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d8dadff45c8312/obsidian/adsantos/Mestrado/BD/trabalhos/caderno-bd/dados/"/>
    </mc:Choice>
  </mc:AlternateContent>
  <xr:revisionPtr revIDLastSave="1" documentId="11_79C1276C07844409D4C511A298CD325E09B5FABF" xr6:coauthVersionLast="47" xr6:coauthVersionMax="47" xr10:uidLastSave="{49E1DC1B-9885-4374-9EC2-ADF6DBEF5A20}"/>
  <bookViews>
    <workbookView xWindow="-108" yWindow="-108" windowWidth="23256" windowHeight="12576" activeTab="1" xr2:uid="{00000000-000D-0000-FFFF-FFFF00000000}"/>
  </bookViews>
  <sheets>
    <sheet name="Graficos Acoes" sheetId="25" r:id="rId1"/>
    <sheet name="Dados Preços Acoes" sheetId="24" r:id="rId2"/>
    <sheet name=" Calculos basicos" sheetId="12" r:id="rId3"/>
    <sheet name="Ferramentas estatisticas " sheetId="10" r:id="rId4"/>
    <sheet name="Regressão Linear ex 1" sheetId="18" r:id="rId5"/>
    <sheet name="Regressão Linear ex 2" sheetId="1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24" l="1"/>
  <c r="R1" i="24"/>
  <c r="P1" i="24"/>
  <c r="N1" i="24"/>
  <c r="L1" i="24"/>
  <c r="J1" i="24"/>
  <c r="H1" i="24"/>
  <c r="F1" i="24"/>
  <c r="D1" i="24"/>
  <c r="B1" i="24"/>
  <c r="A20" i="10"/>
  <c r="A16" i="10"/>
  <c r="A12" i="10"/>
  <c r="A17" i="10"/>
  <c r="A19" i="10"/>
  <c r="A15" i="10"/>
  <c r="A11" i="10"/>
  <c r="A13" i="10"/>
  <c r="A18" i="10"/>
  <c r="A14" i="10"/>
  <c r="A10" i="10"/>
  <c r="A9" i="10"/>
  <c r="N3149" i="24"/>
  <c r="N3147" i="24"/>
  <c r="N3145" i="24"/>
  <c r="N3143" i="24"/>
  <c r="N3141" i="24"/>
  <c r="N3139" i="24"/>
  <c r="N3137" i="24"/>
  <c r="N3135" i="24"/>
  <c r="N3133" i="24"/>
  <c r="N3131" i="24"/>
  <c r="N3129" i="24"/>
  <c r="N3127" i="24"/>
  <c r="N3125" i="24"/>
  <c r="N3123" i="24"/>
  <c r="N3121" i="24"/>
  <c r="N3119" i="24"/>
  <c r="N3117" i="24"/>
  <c r="N3115" i="24"/>
  <c r="N3113" i="24"/>
  <c r="N3111" i="24"/>
  <c r="N3109" i="24"/>
  <c r="N3107" i="24"/>
  <c r="N3105" i="24"/>
  <c r="N3103" i="24"/>
  <c r="N3101" i="24"/>
  <c r="N3099" i="24"/>
  <c r="N3098" i="24"/>
  <c r="P3097" i="24"/>
  <c r="R3096" i="24"/>
  <c r="N3096" i="24"/>
  <c r="P3095" i="24"/>
  <c r="R3094" i="24"/>
  <c r="N3094" i="24"/>
  <c r="P3093" i="24"/>
  <c r="R3092" i="24"/>
  <c r="N3092" i="24"/>
  <c r="P3091" i="24"/>
  <c r="B3091" i="24"/>
  <c r="P3090" i="24"/>
  <c r="B3090" i="24"/>
  <c r="P3089" i="24"/>
  <c r="B3089" i="24"/>
  <c r="P3088" i="24"/>
  <c r="B3088" i="24"/>
  <c r="R3087" i="24"/>
  <c r="N3087" i="24"/>
  <c r="T3086" i="24"/>
  <c r="P3086" i="24"/>
  <c r="H3086" i="24"/>
  <c r="T3085" i="24"/>
  <c r="P3085" i="24"/>
  <c r="H3085" i="24"/>
  <c r="B3085" i="24"/>
  <c r="R3084" i="24"/>
  <c r="N3084" i="24"/>
  <c r="F3084" i="24"/>
  <c r="B3084" i="24"/>
  <c r="R3083" i="24"/>
  <c r="N3083" i="24"/>
  <c r="F3083" i="24"/>
  <c r="B3083" i="24"/>
  <c r="R3082" i="24"/>
  <c r="N3082" i="24"/>
  <c r="F3082" i="24"/>
  <c r="B3082" i="24"/>
  <c r="R3081" i="24"/>
  <c r="N3081" i="24"/>
  <c r="F3081" i="24"/>
  <c r="B3081" i="24"/>
  <c r="R3080" i="24"/>
  <c r="N3080" i="24"/>
  <c r="F3080" i="24"/>
  <c r="B3080" i="24"/>
  <c r="R3079" i="24"/>
  <c r="N3079" i="24"/>
  <c r="F3079" i="24"/>
  <c r="B3079" i="24"/>
  <c r="R3078" i="24"/>
  <c r="N3078" i="24"/>
  <c r="F3078" i="24"/>
  <c r="B3078" i="24"/>
  <c r="R3077" i="24"/>
  <c r="N3077" i="24"/>
  <c r="F3077" i="24"/>
  <c r="B3077" i="24"/>
  <c r="R3076" i="24"/>
  <c r="N3076" i="24"/>
  <c r="F3076" i="24"/>
  <c r="B3076" i="24"/>
  <c r="R3075" i="24"/>
  <c r="N3075" i="24"/>
  <c r="F3075" i="24"/>
  <c r="B3075" i="24"/>
  <c r="R3074" i="24"/>
  <c r="N3074" i="24"/>
  <c r="F3074" i="24"/>
  <c r="B3074" i="24"/>
  <c r="R3073" i="24"/>
  <c r="N3073" i="24"/>
  <c r="F3073" i="24"/>
  <c r="B3073" i="24"/>
  <c r="R3072" i="24"/>
  <c r="N3072" i="24"/>
  <c r="F3072" i="24"/>
  <c r="B3072" i="24"/>
  <c r="R3071" i="24"/>
  <c r="N3071" i="24"/>
  <c r="F3071" i="24"/>
  <c r="B3071" i="24"/>
  <c r="R3070" i="24"/>
  <c r="N3070" i="24"/>
  <c r="F3070" i="24"/>
  <c r="B3070" i="24"/>
  <c r="R3069" i="24"/>
  <c r="N3069" i="24"/>
  <c r="F3069" i="24"/>
  <c r="B3069" i="24"/>
  <c r="R3068" i="24"/>
  <c r="N3068" i="24"/>
  <c r="F3068" i="24"/>
  <c r="B3068" i="24"/>
  <c r="R3067" i="24"/>
  <c r="N3067" i="24"/>
  <c r="F3067" i="24"/>
  <c r="B3067" i="24"/>
  <c r="R3066" i="24"/>
  <c r="N3066" i="24"/>
  <c r="M3149" i="24"/>
  <c r="M3147" i="24"/>
  <c r="M3145" i="24"/>
  <c r="M3143" i="24"/>
  <c r="M3141" i="24"/>
  <c r="M3139" i="24"/>
  <c r="M3137" i="24"/>
  <c r="M3135" i="24"/>
  <c r="M3133" i="24"/>
  <c r="M3131" i="24"/>
  <c r="M3129" i="24"/>
  <c r="M3127" i="24"/>
  <c r="M3125" i="24"/>
  <c r="M3123" i="24"/>
  <c r="M3121" i="24"/>
  <c r="M3119" i="24"/>
  <c r="M3117" i="24"/>
  <c r="M3115" i="24"/>
  <c r="M3113" i="24"/>
  <c r="M3111" i="24"/>
  <c r="M3109" i="24"/>
  <c r="M3107" i="24"/>
  <c r="M3105" i="24"/>
  <c r="M3103" i="24"/>
  <c r="M3101" i="24"/>
  <c r="M3099" i="24"/>
  <c r="M3098" i="24"/>
  <c r="O3097" i="24"/>
  <c r="Q3096" i="24"/>
  <c r="M3096" i="24"/>
  <c r="O3095" i="24"/>
  <c r="Q3094" i="24"/>
  <c r="M3094" i="24"/>
  <c r="O3093" i="24"/>
  <c r="Q3092" i="24"/>
  <c r="M3092" i="24"/>
  <c r="O3091" i="24"/>
  <c r="A3091" i="24"/>
  <c r="O3090" i="24"/>
  <c r="A3090" i="24"/>
  <c r="O3089" i="24"/>
  <c r="A3089" i="24"/>
  <c r="O3088" i="24"/>
  <c r="A3088" i="24"/>
  <c r="Q3087" i="24"/>
  <c r="M3087" i="24"/>
  <c r="S3086" i="24"/>
  <c r="O3086" i="24"/>
  <c r="G3086" i="24"/>
  <c r="S3085" i="24"/>
  <c r="O3085" i="24"/>
  <c r="G3085" i="24"/>
  <c r="A3085" i="24"/>
  <c r="Q3084" i="24"/>
  <c r="M3084" i="24"/>
  <c r="E3084" i="24"/>
  <c r="A3084" i="24"/>
  <c r="Q3083" i="24"/>
  <c r="M3083" i="24"/>
  <c r="E3083" i="24"/>
  <c r="A3083" i="24"/>
  <c r="Q3082" i="24"/>
  <c r="M3082" i="24"/>
  <c r="E3082" i="24"/>
  <c r="A3082" i="24"/>
  <c r="Q3081" i="24"/>
  <c r="M3081" i="24"/>
  <c r="E3081" i="24"/>
  <c r="A3081" i="24"/>
  <c r="Q3080" i="24"/>
  <c r="M3080" i="24"/>
  <c r="E3080" i="24"/>
  <c r="A3080" i="24"/>
  <c r="Q3079" i="24"/>
  <c r="M3079" i="24"/>
  <c r="E3079" i="24"/>
  <c r="A3079" i="24"/>
  <c r="Q3078" i="24"/>
  <c r="M3078" i="24"/>
  <c r="E3078" i="24"/>
  <c r="A3078" i="24"/>
  <c r="Q3077" i="24"/>
  <c r="M3077" i="24"/>
  <c r="E3077" i="24"/>
  <c r="A3077" i="24"/>
  <c r="Q3076" i="24"/>
  <c r="M3076" i="24"/>
  <c r="E3076" i="24"/>
  <c r="A3076" i="24"/>
  <c r="Q3075" i="24"/>
  <c r="M3075" i="24"/>
  <c r="E3075" i="24"/>
  <c r="A3075" i="24"/>
  <c r="Q3074" i="24"/>
  <c r="M3074" i="24"/>
  <c r="E3074" i="24"/>
  <c r="A3074" i="24"/>
  <c r="Q3073" i="24"/>
  <c r="M3073" i="24"/>
  <c r="E3073" i="24"/>
  <c r="A3073" i="24"/>
  <c r="Q3072" i="24"/>
  <c r="M3072" i="24"/>
  <c r="E3072" i="24"/>
  <c r="A3072" i="24"/>
  <c r="Q3071" i="24"/>
  <c r="M3071" i="24"/>
  <c r="E3071" i="24"/>
  <c r="A3071" i="24"/>
  <c r="Q3070" i="24"/>
  <c r="M3070" i="24"/>
  <c r="E3070" i="24"/>
  <c r="A3070" i="24"/>
  <c r="Q3069" i="24"/>
  <c r="M3069" i="24"/>
  <c r="E3069" i="24"/>
  <c r="A3069" i="24"/>
  <c r="Q3068" i="24"/>
  <c r="M3068" i="24"/>
  <c r="E3068" i="24"/>
  <c r="A3068" i="24"/>
  <c r="Q3067" i="24"/>
  <c r="M3067" i="24"/>
  <c r="E3067" i="24"/>
  <c r="A3067" i="24"/>
  <c r="Q3066" i="24"/>
  <c r="M3066" i="24"/>
  <c r="N3148" i="24"/>
  <c r="N3146" i="24"/>
  <c r="N3144" i="24"/>
  <c r="N3142" i="24"/>
  <c r="N3140" i="24"/>
  <c r="N3138" i="24"/>
  <c r="N3136" i="24"/>
  <c r="N3134" i="24"/>
  <c r="N3132" i="24"/>
  <c r="N3130" i="24"/>
  <c r="N3128" i="24"/>
  <c r="N3126" i="24"/>
  <c r="N3124" i="24"/>
  <c r="N3122" i="24"/>
  <c r="N3120" i="24"/>
  <c r="N3118" i="24"/>
  <c r="N3116" i="24"/>
  <c r="N3114" i="24"/>
  <c r="N3112" i="24"/>
  <c r="N3110" i="24"/>
  <c r="N3108" i="24"/>
  <c r="N3106" i="24"/>
  <c r="N3104" i="24"/>
  <c r="N3102" i="24"/>
  <c r="N3100" i="24"/>
  <c r="R3098" i="24"/>
  <c r="R3097" i="24"/>
  <c r="N3097" i="24"/>
  <c r="P3096" i="24"/>
  <c r="R3095" i="24"/>
  <c r="N3095" i="24"/>
  <c r="P3094" i="24"/>
  <c r="R3093" i="24"/>
  <c r="N3093" i="24"/>
  <c r="P3092" i="24"/>
  <c r="R3091" i="24"/>
  <c r="N3091" i="24"/>
  <c r="R3090" i="24"/>
  <c r="N3090" i="24"/>
  <c r="R3089" i="24"/>
  <c r="N3089" i="24"/>
  <c r="R3088" i="24"/>
  <c r="N3088" i="24"/>
  <c r="T3087" i="24"/>
  <c r="P3087" i="24"/>
  <c r="B3087" i="24"/>
  <c r="R3086" i="24"/>
  <c r="N3086" i="24"/>
  <c r="B3086" i="24"/>
  <c r="R3085" i="24"/>
  <c r="N3085" i="24"/>
  <c r="D3085" i="24"/>
  <c r="T3084" i="24"/>
  <c r="P3084" i="24"/>
  <c r="H3084" i="24"/>
  <c r="D3084" i="24"/>
  <c r="T3083" i="24"/>
  <c r="P3083" i="24"/>
  <c r="H3083" i="24"/>
  <c r="D3083" i="24"/>
  <c r="T3082" i="24"/>
  <c r="P3082" i="24"/>
  <c r="H3082" i="24"/>
  <c r="D3082" i="24"/>
  <c r="T3081" i="24"/>
  <c r="P3081" i="24"/>
  <c r="H3081" i="24"/>
  <c r="D3081" i="24"/>
  <c r="T3080" i="24"/>
  <c r="P3080" i="24"/>
  <c r="H3080" i="24"/>
  <c r="D3080" i="24"/>
  <c r="T3079" i="24"/>
  <c r="P3079" i="24"/>
  <c r="H3079" i="24"/>
  <c r="D3079" i="24"/>
  <c r="T3078" i="24"/>
  <c r="P3078" i="24"/>
  <c r="H3078" i="24"/>
  <c r="D3078" i="24"/>
  <c r="T3077" i="24"/>
  <c r="P3077" i="24"/>
  <c r="H3077" i="24"/>
  <c r="D3077" i="24"/>
  <c r="T3076" i="24"/>
  <c r="P3076" i="24"/>
  <c r="H3076" i="24"/>
  <c r="D3076" i="24"/>
  <c r="T3075" i="24"/>
  <c r="P3075" i="24"/>
  <c r="H3075" i="24"/>
  <c r="D3075" i="24"/>
  <c r="T3074" i="24"/>
  <c r="P3074" i="24"/>
  <c r="H3074" i="24"/>
  <c r="D3074" i="24"/>
  <c r="T3073" i="24"/>
  <c r="P3073" i="24"/>
  <c r="H3073" i="24"/>
  <c r="D3073" i="24"/>
  <c r="T3072" i="24"/>
  <c r="P3072" i="24"/>
  <c r="H3072" i="24"/>
  <c r="D3072" i="24"/>
  <c r="T3071" i="24"/>
  <c r="P3071" i="24"/>
  <c r="H3071" i="24"/>
  <c r="D3071" i="24"/>
  <c r="T3070" i="24"/>
  <c r="P3070" i="24"/>
  <c r="H3070" i="24"/>
  <c r="D3070" i="24"/>
  <c r="T3069" i="24"/>
  <c r="P3069" i="24"/>
  <c r="H3069" i="24"/>
  <c r="D3069" i="24"/>
  <c r="T3068" i="24"/>
  <c r="P3068" i="24"/>
  <c r="H3068" i="24"/>
  <c r="D3068" i="24"/>
  <c r="T3067" i="24"/>
  <c r="P3067" i="24"/>
  <c r="H3067" i="24"/>
  <c r="D3067" i="24"/>
  <c r="T3066" i="24"/>
  <c r="P3066" i="24"/>
  <c r="H3066" i="24"/>
  <c r="M3148" i="24"/>
  <c r="M3146" i="24"/>
  <c r="M3144" i="24"/>
  <c r="M3142" i="24"/>
  <c r="M3140" i="24"/>
  <c r="M3138" i="24"/>
  <c r="M3136" i="24"/>
  <c r="M3134" i="24"/>
  <c r="M3132" i="24"/>
  <c r="M3130" i="24"/>
  <c r="M3128" i="24"/>
  <c r="M3126" i="24"/>
  <c r="M3124" i="24"/>
  <c r="M3122" i="24"/>
  <c r="M3120" i="24"/>
  <c r="M3118" i="24"/>
  <c r="M3116" i="24"/>
  <c r="M3114" i="24"/>
  <c r="M3112" i="24"/>
  <c r="M3110" i="24"/>
  <c r="M3108" i="24"/>
  <c r="M3106" i="24"/>
  <c r="M3104" i="24"/>
  <c r="M3102" i="24"/>
  <c r="M3100" i="24"/>
  <c r="Q3098" i="24"/>
  <c r="Q3097" i="24"/>
  <c r="M3097" i="24"/>
  <c r="O3096" i="24"/>
  <c r="Q3095" i="24"/>
  <c r="M3095" i="24"/>
  <c r="O3094" i="24"/>
  <c r="Q3093" i="24"/>
  <c r="M3093" i="24"/>
  <c r="O3092" i="24"/>
  <c r="Q3091" i="24"/>
  <c r="M3091" i="24"/>
  <c r="Q3090" i="24"/>
  <c r="M3090" i="24"/>
  <c r="Q3089" i="24"/>
  <c r="M3089" i="24"/>
  <c r="Q3088" i="24"/>
  <c r="M3088" i="24"/>
  <c r="S3087" i="24"/>
  <c r="O3087" i="24"/>
  <c r="A3087" i="24"/>
  <c r="Q3086" i="24"/>
  <c r="M3086" i="24"/>
  <c r="A3086" i="24"/>
  <c r="Q3085" i="24"/>
  <c r="M3085" i="24"/>
  <c r="C3085" i="24"/>
  <c r="S3084" i="24"/>
  <c r="O3084" i="24"/>
  <c r="G3084" i="24"/>
  <c r="C3084" i="24"/>
  <c r="S3083" i="24"/>
  <c r="O3083" i="24"/>
  <c r="G3083" i="24"/>
  <c r="C3083" i="24"/>
  <c r="S3082" i="24"/>
  <c r="O3082" i="24"/>
  <c r="G3082" i="24"/>
  <c r="C3082" i="24"/>
  <c r="S3081" i="24"/>
  <c r="O3081" i="24"/>
  <c r="G3081" i="24"/>
  <c r="C3081" i="24"/>
  <c r="S3080" i="24"/>
  <c r="O3080" i="24"/>
  <c r="G3080" i="24"/>
  <c r="C3080" i="24"/>
  <c r="S3079" i="24"/>
  <c r="O3079" i="24"/>
  <c r="G3079" i="24"/>
  <c r="C3079" i="24"/>
  <c r="S3078" i="24"/>
  <c r="O3078" i="24"/>
  <c r="G3078" i="24"/>
  <c r="C3078" i="24"/>
  <c r="S3077" i="24"/>
  <c r="O3077" i="24"/>
  <c r="G3077" i="24"/>
  <c r="C3077" i="24"/>
  <c r="S3076" i="24"/>
  <c r="O3076" i="24"/>
  <c r="G3076" i="24"/>
  <c r="C3076" i="24"/>
  <c r="S3075" i="24"/>
  <c r="O3075" i="24"/>
  <c r="G3075" i="24"/>
  <c r="C3075" i="24"/>
  <c r="S3074" i="24"/>
  <c r="O3074" i="24"/>
  <c r="G3074" i="24"/>
  <c r="C3074" i="24"/>
  <c r="S3073" i="24"/>
  <c r="O3073" i="24"/>
  <c r="G3073" i="24"/>
  <c r="C3073" i="24"/>
  <c r="S3072" i="24"/>
  <c r="O3072" i="24"/>
  <c r="G3072" i="24"/>
  <c r="C3072" i="24"/>
  <c r="S3071" i="24"/>
  <c r="O3071" i="24"/>
  <c r="G3071" i="24"/>
  <c r="C3071" i="24"/>
  <c r="S3070" i="24"/>
  <c r="O3070" i="24"/>
  <c r="G3070" i="24"/>
  <c r="C3070" i="24"/>
  <c r="S3069" i="24"/>
  <c r="O3069" i="24"/>
  <c r="G3069" i="24"/>
  <c r="C3069" i="24"/>
  <c r="S3068" i="24"/>
  <c r="O3068" i="24"/>
  <c r="G3068" i="24"/>
  <c r="C3068" i="24"/>
  <c r="S3067" i="24"/>
  <c r="O3067" i="24"/>
  <c r="G3067" i="24"/>
  <c r="C3067" i="24"/>
  <c r="S3066" i="24"/>
  <c r="O3066" i="24"/>
  <c r="D3066" i="24"/>
  <c r="T3065" i="24"/>
  <c r="P3065" i="24"/>
  <c r="H3065" i="24"/>
  <c r="D3065" i="24"/>
  <c r="T3064" i="24"/>
  <c r="P3064" i="24"/>
  <c r="H3064" i="24"/>
  <c r="D3064" i="24"/>
  <c r="T3063" i="24"/>
  <c r="P3063" i="24"/>
  <c r="H3063" i="24"/>
  <c r="D3063" i="24"/>
  <c r="T3062" i="24"/>
  <c r="P3062" i="24"/>
  <c r="H3062" i="24"/>
  <c r="D3062" i="24"/>
  <c r="T3061" i="24"/>
  <c r="P3061" i="24"/>
  <c r="H3061" i="24"/>
  <c r="D3061" i="24"/>
  <c r="T3060" i="24"/>
  <c r="P3060" i="24"/>
  <c r="H3060" i="24"/>
  <c r="D3060" i="24"/>
  <c r="T3059" i="24"/>
  <c r="P3059" i="24"/>
  <c r="H3059" i="24"/>
  <c r="D3059" i="24"/>
  <c r="T3058" i="24"/>
  <c r="P3058" i="24"/>
  <c r="H3058" i="24"/>
  <c r="D3058" i="24"/>
  <c r="T3057" i="24"/>
  <c r="P3057" i="24"/>
  <c r="H3057" i="24"/>
  <c r="D3057" i="24"/>
  <c r="T3056" i="24"/>
  <c r="P3056" i="24"/>
  <c r="H3056" i="24"/>
  <c r="D3056" i="24"/>
  <c r="T3055" i="24"/>
  <c r="P3055" i="24"/>
  <c r="H3055" i="24"/>
  <c r="D3055" i="24"/>
  <c r="T3054" i="24"/>
  <c r="P3054" i="24"/>
  <c r="H3054" i="24"/>
  <c r="D3054" i="24"/>
  <c r="T3053" i="24"/>
  <c r="P3053" i="24"/>
  <c r="H3053" i="24"/>
  <c r="D3053" i="24"/>
  <c r="T3052" i="24"/>
  <c r="P3052" i="24"/>
  <c r="H3052" i="24"/>
  <c r="D3052" i="24"/>
  <c r="T3051" i="24"/>
  <c r="P3051" i="24"/>
  <c r="H3051" i="24"/>
  <c r="D3051" i="24"/>
  <c r="T3050" i="24"/>
  <c r="P3050" i="24"/>
  <c r="H3050" i="24"/>
  <c r="D3050" i="24"/>
  <c r="T3049" i="24"/>
  <c r="P3049" i="24"/>
  <c r="H3049" i="24"/>
  <c r="D3049" i="24"/>
  <c r="T3048" i="24"/>
  <c r="P3048" i="24"/>
  <c r="H3048" i="24"/>
  <c r="D3048" i="24"/>
  <c r="T3047" i="24"/>
  <c r="P3047" i="24"/>
  <c r="H3047" i="24"/>
  <c r="D3047" i="24"/>
  <c r="T3046" i="24"/>
  <c r="P3046" i="24"/>
  <c r="H3046" i="24"/>
  <c r="D3046" i="24"/>
  <c r="T3045" i="24"/>
  <c r="P3045" i="24"/>
  <c r="H3045" i="24"/>
  <c r="D3045" i="24"/>
  <c r="T3044" i="24"/>
  <c r="P3044" i="24"/>
  <c r="H3044" i="24"/>
  <c r="D3044" i="24"/>
  <c r="T3043" i="24"/>
  <c r="P3043" i="24"/>
  <c r="H3043" i="24"/>
  <c r="D3043" i="24"/>
  <c r="T3042" i="24"/>
  <c r="P3042" i="24"/>
  <c r="H3042" i="24"/>
  <c r="D3042" i="24"/>
  <c r="T3041" i="24"/>
  <c r="P3041" i="24"/>
  <c r="H3041" i="24"/>
  <c r="D3041" i="24"/>
  <c r="T3040" i="24"/>
  <c r="P3040" i="24"/>
  <c r="H3040" i="24"/>
  <c r="D3040" i="24"/>
  <c r="T3039" i="24"/>
  <c r="P3039" i="24"/>
  <c r="H3039" i="24"/>
  <c r="D3039" i="24"/>
  <c r="T3038" i="24"/>
  <c r="P3038" i="24"/>
  <c r="H3038" i="24"/>
  <c r="D3038" i="24"/>
  <c r="T3037" i="24"/>
  <c r="P3037" i="24"/>
  <c r="H3037" i="24"/>
  <c r="D3037" i="24"/>
  <c r="T3036" i="24"/>
  <c r="P3036" i="24"/>
  <c r="H3036" i="24"/>
  <c r="D3036" i="24"/>
  <c r="T3035" i="24"/>
  <c r="P3035" i="24"/>
  <c r="H3035" i="24"/>
  <c r="D3035" i="24"/>
  <c r="T3034" i="24"/>
  <c r="G3066" i="24"/>
  <c r="C3066" i="24"/>
  <c r="S3065" i="24"/>
  <c r="O3065" i="24"/>
  <c r="G3065" i="24"/>
  <c r="C3065" i="24"/>
  <c r="S3064" i="24"/>
  <c r="O3064" i="24"/>
  <c r="G3064" i="24"/>
  <c r="C3064" i="24"/>
  <c r="S3063" i="24"/>
  <c r="O3063" i="24"/>
  <c r="G3063" i="24"/>
  <c r="C3063" i="24"/>
  <c r="S3062" i="24"/>
  <c r="O3062" i="24"/>
  <c r="G3062" i="24"/>
  <c r="C3062" i="24"/>
  <c r="S3061" i="24"/>
  <c r="O3061" i="24"/>
  <c r="G3061" i="24"/>
  <c r="C3061" i="24"/>
  <c r="S3060" i="24"/>
  <c r="O3060" i="24"/>
  <c r="G3060" i="24"/>
  <c r="C3060" i="24"/>
  <c r="S3059" i="24"/>
  <c r="O3059" i="24"/>
  <c r="G3059" i="24"/>
  <c r="C3059" i="24"/>
  <c r="S3058" i="24"/>
  <c r="O3058" i="24"/>
  <c r="G3058" i="24"/>
  <c r="C3058" i="24"/>
  <c r="S3057" i="24"/>
  <c r="O3057" i="24"/>
  <c r="G3057" i="24"/>
  <c r="C3057" i="24"/>
  <c r="S3056" i="24"/>
  <c r="O3056" i="24"/>
  <c r="G3056" i="24"/>
  <c r="C3056" i="24"/>
  <c r="S3055" i="24"/>
  <c r="O3055" i="24"/>
  <c r="G3055" i="24"/>
  <c r="C3055" i="24"/>
  <c r="S3054" i="24"/>
  <c r="O3054" i="24"/>
  <c r="G3054" i="24"/>
  <c r="C3054" i="24"/>
  <c r="S3053" i="24"/>
  <c r="O3053" i="24"/>
  <c r="G3053" i="24"/>
  <c r="C3053" i="24"/>
  <c r="S3052" i="24"/>
  <c r="O3052" i="24"/>
  <c r="G3052" i="24"/>
  <c r="C3052" i="24"/>
  <c r="S3051" i="24"/>
  <c r="O3051" i="24"/>
  <c r="G3051" i="24"/>
  <c r="C3051" i="24"/>
  <c r="S3050" i="24"/>
  <c r="O3050" i="24"/>
  <c r="G3050" i="24"/>
  <c r="C3050" i="24"/>
  <c r="S3049" i="24"/>
  <c r="O3049" i="24"/>
  <c r="G3049" i="24"/>
  <c r="C3049" i="24"/>
  <c r="S3048" i="24"/>
  <c r="O3048" i="24"/>
  <c r="G3048" i="24"/>
  <c r="C3048" i="24"/>
  <c r="S3047" i="24"/>
  <c r="O3047" i="24"/>
  <c r="G3047" i="24"/>
  <c r="C3047" i="24"/>
  <c r="S3046" i="24"/>
  <c r="O3046" i="24"/>
  <c r="G3046" i="24"/>
  <c r="C3046" i="24"/>
  <c r="S3045" i="24"/>
  <c r="O3045" i="24"/>
  <c r="G3045" i="24"/>
  <c r="C3045" i="24"/>
  <c r="S3044" i="24"/>
  <c r="O3044" i="24"/>
  <c r="G3044" i="24"/>
  <c r="C3044" i="24"/>
  <c r="S3043" i="24"/>
  <c r="O3043" i="24"/>
  <c r="G3043" i="24"/>
  <c r="C3043" i="24"/>
  <c r="S3042" i="24"/>
  <c r="O3042" i="24"/>
  <c r="G3042" i="24"/>
  <c r="C3042" i="24"/>
  <c r="S3041" i="24"/>
  <c r="O3041" i="24"/>
  <c r="G3041" i="24"/>
  <c r="C3041" i="24"/>
  <c r="S3040" i="24"/>
  <c r="O3040" i="24"/>
  <c r="G3040" i="24"/>
  <c r="C3040" i="24"/>
  <c r="S3039" i="24"/>
  <c r="O3039" i="24"/>
  <c r="G3039" i="24"/>
  <c r="C3039" i="24"/>
  <c r="S3038" i="24"/>
  <c r="O3038" i="24"/>
  <c r="G3038" i="24"/>
  <c r="C3038" i="24"/>
  <c r="S3037" i="24"/>
  <c r="O3037" i="24"/>
  <c r="G3037" i="24"/>
  <c r="C3037" i="24"/>
  <c r="S3036" i="24"/>
  <c r="O3036" i="24"/>
  <c r="G3036" i="24"/>
  <c r="C3036" i="24"/>
  <c r="S3035" i="24"/>
  <c r="O3035" i="24"/>
  <c r="G3035" i="24"/>
  <c r="C3035" i="24"/>
  <c r="S3034" i="24"/>
  <c r="O3034" i="24"/>
  <c r="G3034" i="24"/>
  <c r="F3066" i="24"/>
  <c r="B3066" i="24"/>
  <c r="R3065" i="24"/>
  <c r="N3065" i="24"/>
  <c r="F3065" i="24"/>
  <c r="B3065" i="24"/>
  <c r="R3064" i="24"/>
  <c r="N3064" i="24"/>
  <c r="F3064" i="24"/>
  <c r="B3064" i="24"/>
  <c r="R3063" i="24"/>
  <c r="N3063" i="24"/>
  <c r="F3063" i="24"/>
  <c r="B3063" i="24"/>
  <c r="R3062" i="24"/>
  <c r="N3062" i="24"/>
  <c r="F3062" i="24"/>
  <c r="B3062" i="24"/>
  <c r="R3061" i="24"/>
  <c r="N3061" i="24"/>
  <c r="F3061" i="24"/>
  <c r="B3061" i="24"/>
  <c r="R3060" i="24"/>
  <c r="N3060" i="24"/>
  <c r="F3060" i="24"/>
  <c r="B3060" i="24"/>
  <c r="R3059" i="24"/>
  <c r="N3059" i="24"/>
  <c r="F3059" i="24"/>
  <c r="B3059" i="24"/>
  <c r="R3058" i="24"/>
  <c r="N3058" i="24"/>
  <c r="F3058" i="24"/>
  <c r="B3058" i="24"/>
  <c r="R3057" i="24"/>
  <c r="N3057" i="24"/>
  <c r="F3057" i="24"/>
  <c r="B3057" i="24"/>
  <c r="R3056" i="24"/>
  <c r="N3056" i="24"/>
  <c r="F3056" i="24"/>
  <c r="B3056" i="24"/>
  <c r="R3055" i="24"/>
  <c r="N3055" i="24"/>
  <c r="F3055" i="24"/>
  <c r="B3055" i="24"/>
  <c r="R3054" i="24"/>
  <c r="N3054" i="24"/>
  <c r="F3054" i="24"/>
  <c r="B3054" i="24"/>
  <c r="R3053" i="24"/>
  <c r="N3053" i="24"/>
  <c r="F3053" i="24"/>
  <c r="B3053" i="24"/>
  <c r="R3052" i="24"/>
  <c r="N3052" i="24"/>
  <c r="F3052" i="24"/>
  <c r="B3052" i="24"/>
  <c r="R3051" i="24"/>
  <c r="N3051" i="24"/>
  <c r="F3051" i="24"/>
  <c r="B3051" i="24"/>
  <c r="R3050" i="24"/>
  <c r="N3050" i="24"/>
  <c r="F3050" i="24"/>
  <c r="B3050" i="24"/>
  <c r="R3049" i="24"/>
  <c r="N3049" i="24"/>
  <c r="F3049" i="24"/>
  <c r="B3049" i="24"/>
  <c r="R3048" i="24"/>
  <c r="N3048" i="24"/>
  <c r="F3048" i="24"/>
  <c r="B3048" i="24"/>
  <c r="R3047" i="24"/>
  <c r="N3047" i="24"/>
  <c r="F3047" i="24"/>
  <c r="B3047" i="24"/>
  <c r="R3046" i="24"/>
  <c r="N3046" i="24"/>
  <c r="F3046" i="24"/>
  <c r="B3046" i="24"/>
  <c r="R3045" i="24"/>
  <c r="N3045" i="24"/>
  <c r="F3045" i="24"/>
  <c r="B3045" i="24"/>
  <c r="R3044" i="24"/>
  <c r="N3044" i="24"/>
  <c r="F3044" i="24"/>
  <c r="B3044" i="24"/>
  <c r="R3043" i="24"/>
  <c r="N3043" i="24"/>
  <c r="F3043" i="24"/>
  <c r="B3043" i="24"/>
  <c r="R3042" i="24"/>
  <c r="N3042" i="24"/>
  <c r="F3042" i="24"/>
  <c r="B3042" i="24"/>
  <c r="R3041" i="24"/>
  <c r="N3041" i="24"/>
  <c r="F3041" i="24"/>
  <c r="B3041" i="24"/>
  <c r="R3040" i="24"/>
  <c r="N3040" i="24"/>
  <c r="F3040" i="24"/>
  <c r="B3040" i="24"/>
  <c r="R3039" i="24"/>
  <c r="N3039" i="24"/>
  <c r="F3039" i="24"/>
  <c r="B3039" i="24"/>
  <c r="R3038" i="24"/>
  <c r="N3038" i="24"/>
  <c r="F3038" i="24"/>
  <c r="B3038" i="24"/>
  <c r="R3037" i="24"/>
  <c r="N3037" i="24"/>
  <c r="F3037" i="24"/>
  <c r="B3037" i="24"/>
  <c r="R3036" i="24"/>
  <c r="N3036" i="24"/>
  <c r="F3036" i="24"/>
  <c r="B3036" i="24"/>
  <c r="R3035" i="24"/>
  <c r="N3035" i="24"/>
  <c r="F3035" i="24"/>
  <c r="B3035" i="24"/>
  <c r="E3066" i="24"/>
  <c r="E3065" i="24"/>
  <c r="E3064" i="24"/>
  <c r="E3063" i="24"/>
  <c r="E3062" i="24"/>
  <c r="E3061" i="24"/>
  <c r="E3060" i="24"/>
  <c r="E3059" i="24"/>
  <c r="E3058" i="24"/>
  <c r="E3057" i="24"/>
  <c r="E3056" i="24"/>
  <c r="E3055" i="24"/>
  <c r="E3054" i="24"/>
  <c r="E3053" i="24"/>
  <c r="E3052" i="24"/>
  <c r="E3051" i="24"/>
  <c r="E3050" i="24"/>
  <c r="E3049" i="24"/>
  <c r="E3048" i="24"/>
  <c r="E3047" i="24"/>
  <c r="E3046" i="24"/>
  <c r="E3045" i="24"/>
  <c r="E3044" i="24"/>
  <c r="E3043" i="24"/>
  <c r="E3042" i="24"/>
  <c r="E3041" i="24"/>
  <c r="E3040" i="24"/>
  <c r="E3039" i="24"/>
  <c r="E3038" i="24"/>
  <c r="E3037" i="24"/>
  <c r="E3036" i="24"/>
  <c r="E3035" i="24"/>
  <c r="P3034" i="24"/>
  <c r="F3034" i="24"/>
  <c r="B3034" i="24"/>
  <c r="R3033" i="24"/>
  <c r="N3033" i="24"/>
  <c r="F3033" i="24"/>
  <c r="B3033" i="24"/>
  <c r="R3032" i="24"/>
  <c r="N3032" i="24"/>
  <c r="F3032" i="24"/>
  <c r="B3032" i="24"/>
  <c r="R3031" i="24"/>
  <c r="N3031" i="24"/>
  <c r="F3031" i="24"/>
  <c r="B3031" i="24"/>
  <c r="R3030" i="24"/>
  <c r="N3030" i="24"/>
  <c r="F3030" i="24"/>
  <c r="B3030" i="24"/>
  <c r="R3029" i="24"/>
  <c r="N3029" i="24"/>
  <c r="F3029" i="24"/>
  <c r="B3029" i="24"/>
  <c r="R3028" i="24"/>
  <c r="N3028" i="24"/>
  <c r="F3028" i="24"/>
  <c r="B3028" i="24"/>
  <c r="R3027" i="24"/>
  <c r="N3027" i="24"/>
  <c r="F3027" i="24"/>
  <c r="B3027" i="24"/>
  <c r="R3026" i="24"/>
  <c r="N3026" i="24"/>
  <c r="F3026" i="24"/>
  <c r="B3026" i="24"/>
  <c r="R3025" i="24"/>
  <c r="N3025" i="24"/>
  <c r="F3025" i="24"/>
  <c r="B3025" i="24"/>
  <c r="R3024" i="24"/>
  <c r="N3024" i="24"/>
  <c r="F3024" i="24"/>
  <c r="B3024" i="24"/>
  <c r="R3023" i="24"/>
  <c r="N3023" i="24"/>
  <c r="F3023" i="24"/>
  <c r="B3023" i="24"/>
  <c r="R3022" i="24"/>
  <c r="N3022" i="24"/>
  <c r="F3022" i="24"/>
  <c r="B3022" i="24"/>
  <c r="R3021" i="24"/>
  <c r="N3021" i="24"/>
  <c r="F3021" i="24"/>
  <c r="B3021" i="24"/>
  <c r="R3020" i="24"/>
  <c r="N3020" i="24"/>
  <c r="F3020" i="24"/>
  <c r="B3020" i="24"/>
  <c r="R3019" i="24"/>
  <c r="N3019" i="24"/>
  <c r="F3019" i="24"/>
  <c r="B3019" i="24"/>
  <c r="R3018" i="24"/>
  <c r="N3018" i="24"/>
  <c r="F3018" i="24"/>
  <c r="B3018" i="24"/>
  <c r="R3017" i="24"/>
  <c r="N3017" i="24"/>
  <c r="F3017" i="24"/>
  <c r="B3017" i="24"/>
  <c r="R3016" i="24"/>
  <c r="N3016" i="24"/>
  <c r="F3016" i="24"/>
  <c r="B3016" i="24"/>
  <c r="R3015" i="24"/>
  <c r="N3015" i="24"/>
  <c r="F3015" i="24"/>
  <c r="B3015" i="24"/>
  <c r="R3014" i="24"/>
  <c r="N3014" i="24"/>
  <c r="F3014" i="24"/>
  <c r="B3014" i="24"/>
  <c r="R3013" i="24"/>
  <c r="N3013" i="24"/>
  <c r="F3013" i="24"/>
  <c r="B3013" i="24"/>
  <c r="R3012" i="24"/>
  <c r="N3012" i="24"/>
  <c r="F3012" i="24"/>
  <c r="B3012" i="24"/>
  <c r="R3011" i="24"/>
  <c r="N3011" i="24"/>
  <c r="F3011" i="24"/>
  <c r="B3011" i="24"/>
  <c r="R3010" i="24"/>
  <c r="N3010" i="24"/>
  <c r="A3066" i="24"/>
  <c r="A3065" i="24"/>
  <c r="A3064" i="24"/>
  <c r="A3063" i="24"/>
  <c r="A3062" i="24"/>
  <c r="A3061" i="24"/>
  <c r="A3060" i="24"/>
  <c r="A3059" i="24"/>
  <c r="A3058" i="24"/>
  <c r="A3057" i="24"/>
  <c r="A3056" i="24"/>
  <c r="A3055" i="24"/>
  <c r="A3054" i="24"/>
  <c r="A3053" i="24"/>
  <c r="A3052" i="24"/>
  <c r="A3051" i="24"/>
  <c r="A3050" i="24"/>
  <c r="A3049" i="24"/>
  <c r="A3048" i="24"/>
  <c r="A3047" i="24"/>
  <c r="A3046" i="24"/>
  <c r="A3045" i="24"/>
  <c r="A3044" i="24"/>
  <c r="A3043" i="24"/>
  <c r="A3042" i="24"/>
  <c r="A3041" i="24"/>
  <c r="A3040" i="24"/>
  <c r="A3039" i="24"/>
  <c r="A3038" i="24"/>
  <c r="A3037" i="24"/>
  <c r="A3036" i="24"/>
  <c r="A3035" i="24"/>
  <c r="N3034" i="24"/>
  <c r="E3034" i="24"/>
  <c r="A3034" i="24"/>
  <c r="Q3033" i="24"/>
  <c r="M3033" i="24"/>
  <c r="E3033" i="24"/>
  <c r="A3033" i="24"/>
  <c r="Q3032" i="24"/>
  <c r="M3032" i="24"/>
  <c r="E3032" i="24"/>
  <c r="A3032" i="24"/>
  <c r="Q3031" i="24"/>
  <c r="M3031" i="24"/>
  <c r="E3031" i="24"/>
  <c r="A3031" i="24"/>
  <c r="Q3030" i="24"/>
  <c r="M3030" i="24"/>
  <c r="E3030" i="24"/>
  <c r="A3030" i="24"/>
  <c r="Q3029" i="24"/>
  <c r="M3029" i="24"/>
  <c r="E3029" i="24"/>
  <c r="A3029" i="24"/>
  <c r="Q3028" i="24"/>
  <c r="M3028" i="24"/>
  <c r="E3028" i="24"/>
  <c r="A3028" i="24"/>
  <c r="Q3027" i="24"/>
  <c r="M3027" i="24"/>
  <c r="E3027" i="24"/>
  <c r="A3027" i="24"/>
  <c r="Q3026" i="24"/>
  <c r="M3026" i="24"/>
  <c r="E3026" i="24"/>
  <c r="A3026" i="24"/>
  <c r="Q3025" i="24"/>
  <c r="M3025" i="24"/>
  <c r="E3025" i="24"/>
  <c r="A3025" i="24"/>
  <c r="Q3024" i="24"/>
  <c r="M3024" i="24"/>
  <c r="E3024" i="24"/>
  <c r="A3024" i="24"/>
  <c r="Q3023" i="24"/>
  <c r="M3023" i="24"/>
  <c r="E3023" i="24"/>
  <c r="A3023" i="24"/>
  <c r="Q3022" i="24"/>
  <c r="M3022" i="24"/>
  <c r="E3022" i="24"/>
  <c r="A3022" i="24"/>
  <c r="Q3021" i="24"/>
  <c r="M3021" i="24"/>
  <c r="E3021" i="24"/>
  <c r="A3021" i="24"/>
  <c r="Q3020" i="24"/>
  <c r="M3020" i="24"/>
  <c r="E3020" i="24"/>
  <c r="A3020" i="24"/>
  <c r="Q3019" i="24"/>
  <c r="M3019" i="24"/>
  <c r="E3019" i="24"/>
  <c r="A3019" i="24"/>
  <c r="Q3018" i="24"/>
  <c r="M3018" i="24"/>
  <c r="E3018" i="24"/>
  <c r="A3018" i="24"/>
  <c r="Q3017" i="24"/>
  <c r="M3017" i="24"/>
  <c r="E3017" i="24"/>
  <c r="A3017" i="24"/>
  <c r="Q3016" i="24"/>
  <c r="M3016" i="24"/>
  <c r="E3016" i="24"/>
  <c r="A3016" i="24"/>
  <c r="Q3015" i="24"/>
  <c r="M3015" i="24"/>
  <c r="E3015" i="24"/>
  <c r="A3015" i="24"/>
  <c r="Q3014" i="24"/>
  <c r="M3014" i="24"/>
  <c r="E3014" i="24"/>
  <c r="A3014" i="24"/>
  <c r="Q3013" i="24"/>
  <c r="M3013" i="24"/>
  <c r="E3013" i="24"/>
  <c r="A3013" i="24"/>
  <c r="Q3012" i="24"/>
  <c r="M3012" i="24"/>
  <c r="E3012" i="24"/>
  <c r="A3012" i="24"/>
  <c r="Q3011" i="24"/>
  <c r="M3011" i="24"/>
  <c r="E3011" i="24"/>
  <c r="A3011" i="24"/>
  <c r="Q3065" i="24"/>
  <c r="Q3064" i="24"/>
  <c r="Q3063" i="24"/>
  <c r="Q3062" i="24"/>
  <c r="Q3061" i="24"/>
  <c r="Q3060" i="24"/>
  <c r="Q3059" i="24"/>
  <c r="Q3058" i="24"/>
  <c r="Q3057" i="24"/>
  <c r="Q3056" i="24"/>
  <c r="Q3055" i="24"/>
  <c r="Q3054" i="24"/>
  <c r="Q3053" i="24"/>
  <c r="Q3052" i="24"/>
  <c r="Q3051" i="24"/>
  <c r="Q3050" i="24"/>
  <c r="Q3049" i="24"/>
  <c r="Q3048" i="24"/>
  <c r="Q3047" i="24"/>
  <c r="Q3046" i="24"/>
  <c r="Q3045" i="24"/>
  <c r="Q3044" i="24"/>
  <c r="Q3043" i="24"/>
  <c r="Q3042" i="24"/>
  <c r="Q3041" i="24"/>
  <c r="Q3040" i="24"/>
  <c r="Q3039" i="24"/>
  <c r="Q3038" i="24"/>
  <c r="Q3037" i="24"/>
  <c r="Q3036" i="24"/>
  <c r="Q3035" i="24"/>
  <c r="R3034" i="24"/>
  <c r="M3034" i="24"/>
  <c r="D3034" i="24"/>
  <c r="T3033" i="24"/>
  <c r="P3033" i="24"/>
  <c r="H3033" i="24"/>
  <c r="D3033" i="24"/>
  <c r="T3032" i="24"/>
  <c r="P3032" i="24"/>
  <c r="H3032" i="24"/>
  <c r="D3032" i="24"/>
  <c r="T3031" i="24"/>
  <c r="P3031" i="24"/>
  <c r="H3031" i="24"/>
  <c r="D3031" i="24"/>
  <c r="T3030" i="24"/>
  <c r="P3030" i="24"/>
  <c r="H3030" i="24"/>
  <c r="D3030" i="24"/>
  <c r="T3029" i="24"/>
  <c r="P3029" i="24"/>
  <c r="H3029" i="24"/>
  <c r="D3029" i="24"/>
  <c r="T3028" i="24"/>
  <c r="P3028" i="24"/>
  <c r="H3028" i="24"/>
  <c r="D3028" i="24"/>
  <c r="T3027" i="24"/>
  <c r="P3027" i="24"/>
  <c r="H3027" i="24"/>
  <c r="D3027" i="24"/>
  <c r="T3026" i="24"/>
  <c r="P3026" i="24"/>
  <c r="H3026" i="24"/>
  <c r="D3026" i="24"/>
  <c r="T3025" i="24"/>
  <c r="P3025" i="24"/>
  <c r="H3025" i="24"/>
  <c r="D3025" i="24"/>
  <c r="T3024" i="24"/>
  <c r="P3024" i="24"/>
  <c r="H3024" i="24"/>
  <c r="D3024" i="24"/>
  <c r="T3023" i="24"/>
  <c r="P3023" i="24"/>
  <c r="H3023" i="24"/>
  <c r="D3023" i="24"/>
  <c r="T3022" i="24"/>
  <c r="P3022" i="24"/>
  <c r="H3022" i="24"/>
  <c r="D3022" i="24"/>
  <c r="T3021" i="24"/>
  <c r="P3021" i="24"/>
  <c r="H3021" i="24"/>
  <c r="D3021" i="24"/>
  <c r="T3020" i="24"/>
  <c r="P3020" i="24"/>
  <c r="H3020" i="24"/>
  <c r="D3020" i="24"/>
  <c r="T3019" i="24"/>
  <c r="P3019" i="24"/>
  <c r="H3019" i="24"/>
  <c r="D3019" i="24"/>
  <c r="T3018" i="24"/>
  <c r="P3018" i="24"/>
  <c r="H3018" i="24"/>
  <c r="D3018" i="24"/>
  <c r="T3017" i="24"/>
  <c r="P3017" i="24"/>
  <c r="H3017" i="24"/>
  <c r="D3017" i="24"/>
  <c r="T3016" i="24"/>
  <c r="P3016" i="24"/>
  <c r="H3016" i="24"/>
  <c r="D3016" i="24"/>
  <c r="T3015" i="24"/>
  <c r="P3015" i="24"/>
  <c r="H3015" i="24"/>
  <c r="D3015" i="24"/>
  <c r="T3014" i="24"/>
  <c r="P3014" i="24"/>
  <c r="H3014" i="24"/>
  <c r="D3014" i="24"/>
  <c r="T3013" i="24"/>
  <c r="P3013" i="24"/>
  <c r="H3013" i="24"/>
  <c r="D3013" i="24"/>
  <c r="T3012" i="24"/>
  <c r="P3012" i="24"/>
  <c r="H3012" i="24"/>
  <c r="D3012" i="24"/>
  <c r="T3011" i="24"/>
  <c r="P3011" i="24"/>
  <c r="H3011" i="24"/>
  <c r="D3011" i="24"/>
  <c r="T3010" i="24"/>
  <c r="M3065" i="24"/>
  <c r="M3061" i="24"/>
  <c r="M3057" i="24"/>
  <c r="M3053" i="24"/>
  <c r="M3049" i="24"/>
  <c r="M3045" i="24"/>
  <c r="M3041" i="24"/>
  <c r="M3037" i="24"/>
  <c r="H3034" i="24"/>
  <c r="G3033" i="24"/>
  <c r="G3032" i="24"/>
  <c r="G3031" i="24"/>
  <c r="G3030" i="24"/>
  <c r="G3029" i="24"/>
  <c r="G3028" i="24"/>
  <c r="G3027" i="24"/>
  <c r="G3026" i="24"/>
  <c r="G3025" i="24"/>
  <c r="G3024" i="24"/>
  <c r="G3023" i="24"/>
  <c r="G3022" i="24"/>
  <c r="G3021" i="24"/>
  <c r="G3020" i="24"/>
  <c r="G3019" i="24"/>
  <c r="G3018" i="24"/>
  <c r="G3017" i="24"/>
  <c r="G3016" i="24"/>
  <c r="G3015" i="24"/>
  <c r="G3014" i="24"/>
  <c r="G3013" i="24"/>
  <c r="G3012" i="24"/>
  <c r="G3011" i="24"/>
  <c r="P3010" i="24"/>
  <c r="G3010" i="24"/>
  <c r="C3010" i="24"/>
  <c r="S3009" i="24"/>
  <c r="O3009" i="24"/>
  <c r="G3009" i="24"/>
  <c r="C3009" i="24"/>
  <c r="S3008" i="24"/>
  <c r="O3008" i="24"/>
  <c r="G3008" i="24"/>
  <c r="C3008" i="24"/>
  <c r="S3007" i="24"/>
  <c r="O3007" i="24"/>
  <c r="G3007" i="24"/>
  <c r="C3007" i="24"/>
  <c r="S3006" i="24"/>
  <c r="O3006" i="24"/>
  <c r="G3006" i="24"/>
  <c r="C3006" i="24"/>
  <c r="S3005" i="24"/>
  <c r="O3005" i="24"/>
  <c r="G3005" i="24"/>
  <c r="C3005" i="24"/>
  <c r="S3004" i="24"/>
  <c r="O3004" i="24"/>
  <c r="G3004" i="24"/>
  <c r="C3004" i="24"/>
  <c r="S3003" i="24"/>
  <c r="O3003" i="24"/>
  <c r="G3003" i="24"/>
  <c r="C3003" i="24"/>
  <c r="S3002" i="24"/>
  <c r="O3002" i="24"/>
  <c r="G3002" i="24"/>
  <c r="C3002" i="24"/>
  <c r="S3001" i="24"/>
  <c r="O3001" i="24"/>
  <c r="G3001" i="24"/>
  <c r="C3001" i="24"/>
  <c r="S3000" i="24"/>
  <c r="O3000" i="24"/>
  <c r="G3000" i="24"/>
  <c r="C3000" i="24"/>
  <c r="S2999" i="24"/>
  <c r="O2999" i="24"/>
  <c r="G2999" i="24"/>
  <c r="C2999" i="24"/>
  <c r="S2998" i="24"/>
  <c r="O2998" i="24"/>
  <c r="G2998" i="24"/>
  <c r="C2998" i="24"/>
  <c r="S2997" i="24"/>
  <c r="O2997" i="24"/>
  <c r="G2997" i="24"/>
  <c r="C2997" i="24"/>
  <c r="S2996" i="24"/>
  <c r="O2996" i="24"/>
  <c r="G2996" i="24"/>
  <c r="C2996" i="24"/>
  <c r="S2995" i="24"/>
  <c r="O2995" i="24"/>
  <c r="G2995" i="24"/>
  <c r="C2995" i="24"/>
  <c r="S2994" i="24"/>
  <c r="O2994" i="24"/>
  <c r="G2994" i="24"/>
  <c r="C2994" i="24"/>
  <c r="S2993" i="24"/>
  <c r="O2993" i="24"/>
  <c r="G2993" i="24"/>
  <c r="C2993" i="24"/>
  <c r="S2992" i="24"/>
  <c r="O2992" i="24"/>
  <c r="G2992" i="24"/>
  <c r="C2992" i="24"/>
  <c r="S2991" i="24"/>
  <c r="O2991" i="24"/>
  <c r="G2991" i="24"/>
  <c r="C2991" i="24"/>
  <c r="S2990" i="24"/>
  <c r="O2990" i="24"/>
  <c r="G2990" i="24"/>
  <c r="C2990" i="24"/>
  <c r="S2989" i="24"/>
  <c r="O2989" i="24"/>
  <c r="G2989" i="24"/>
  <c r="C2989" i="24"/>
  <c r="S2988" i="24"/>
  <c r="O2988" i="24"/>
  <c r="G2988" i="24"/>
  <c r="C2988" i="24"/>
  <c r="S2987" i="24"/>
  <c r="O2987" i="24"/>
  <c r="G2987" i="24"/>
  <c r="C2987" i="24"/>
  <c r="S2986" i="24"/>
  <c r="O2986" i="24"/>
  <c r="G2986" i="24"/>
  <c r="C2986" i="24"/>
  <c r="S2985" i="24"/>
  <c r="O2985" i="24"/>
  <c r="G2985" i="24"/>
  <c r="C2985" i="24"/>
  <c r="S2984" i="24"/>
  <c r="O2984" i="24"/>
  <c r="G2984" i="24"/>
  <c r="C2984" i="24"/>
  <c r="S2983" i="24"/>
  <c r="O2983" i="24"/>
  <c r="G2983" i="24"/>
  <c r="C2983" i="24"/>
  <c r="S2982" i="24"/>
  <c r="O2982" i="24"/>
  <c r="G2982" i="24"/>
  <c r="C2982" i="24"/>
  <c r="S2981" i="24"/>
  <c r="O2981" i="24"/>
  <c r="G2981" i="24"/>
  <c r="C2981" i="24"/>
  <c r="S2980" i="24"/>
  <c r="O2980" i="24"/>
  <c r="G2980" i="24"/>
  <c r="C2980" i="24"/>
  <c r="S2979" i="24"/>
  <c r="O2979" i="24"/>
  <c r="G2979" i="24"/>
  <c r="C2979" i="24"/>
  <c r="S2978" i="24"/>
  <c r="O2978" i="24"/>
  <c r="G2978" i="24"/>
  <c r="C2978" i="24"/>
  <c r="S2977" i="24"/>
  <c r="O2977" i="24"/>
  <c r="G2977" i="24"/>
  <c r="C2977" i="24"/>
  <c r="S2976" i="24"/>
  <c r="O2976" i="24"/>
  <c r="G2976" i="24"/>
  <c r="C2976" i="24"/>
  <c r="S2975" i="24"/>
  <c r="O2975" i="24"/>
  <c r="G2975" i="24"/>
  <c r="C2975" i="24"/>
  <c r="S2974" i="24"/>
  <c r="O2974" i="24"/>
  <c r="G2974" i="24"/>
  <c r="C2974" i="24"/>
  <c r="S2973" i="24"/>
  <c r="O2973" i="24"/>
  <c r="M3064" i="24"/>
  <c r="M3060" i="24"/>
  <c r="M3056" i="24"/>
  <c r="M3052" i="24"/>
  <c r="M3048" i="24"/>
  <c r="M3044" i="24"/>
  <c r="M3040" i="24"/>
  <c r="M3036" i="24"/>
  <c r="C3034" i="24"/>
  <c r="C3033" i="24"/>
  <c r="C3032" i="24"/>
  <c r="C3031" i="24"/>
  <c r="C3030" i="24"/>
  <c r="C3029" i="24"/>
  <c r="C3028" i="24"/>
  <c r="C3027" i="24"/>
  <c r="C3026" i="24"/>
  <c r="C3025" i="24"/>
  <c r="C3024" i="24"/>
  <c r="C3023" i="24"/>
  <c r="C3022" i="24"/>
  <c r="C3021" i="24"/>
  <c r="C3020" i="24"/>
  <c r="C3019" i="24"/>
  <c r="C3018" i="24"/>
  <c r="C3017" i="24"/>
  <c r="C3016" i="24"/>
  <c r="C3015" i="24"/>
  <c r="C3014" i="24"/>
  <c r="C3013" i="24"/>
  <c r="C3012" i="24"/>
  <c r="C3011" i="24"/>
  <c r="O3010" i="24"/>
  <c r="F3010" i="24"/>
  <c r="B3010" i="24"/>
  <c r="R3009" i="24"/>
  <c r="N3009" i="24"/>
  <c r="F3009" i="24"/>
  <c r="B3009" i="24"/>
  <c r="R3008" i="24"/>
  <c r="N3008" i="24"/>
  <c r="F3008" i="24"/>
  <c r="B3008" i="24"/>
  <c r="R3007" i="24"/>
  <c r="N3007" i="24"/>
  <c r="F3007" i="24"/>
  <c r="B3007" i="24"/>
  <c r="R3006" i="24"/>
  <c r="N3006" i="24"/>
  <c r="F3006" i="24"/>
  <c r="B3006" i="24"/>
  <c r="R3005" i="24"/>
  <c r="N3005" i="24"/>
  <c r="F3005" i="24"/>
  <c r="B3005" i="24"/>
  <c r="R3004" i="24"/>
  <c r="N3004" i="24"/>
  <c r="F3004" i="24"/>
  <c r="B3004" i="24"/>
  <c r="R3003" i="24"/>
  <c r="N3003" i="24"/>
  <c r="F3003" i="24"/>
  <c r="B3003" i="24"/>
  <c r="R3002" i="24"/>
  <c r="N3002" i="24"/>
  <c r="F3002" i="24"/>
  <c r="B3002" i="24"/>
  <c r="R3001" i="24"/>
  <c r="N3001" i="24"/>
  <c r="F3001" i="24"/>
  <c r="B3001" i="24"/>
  <c r="R3000" i="24"/>
  <c r="N3000" i="24"/>
  <c r="F3000" i="24"/>
  <c r="B3000" i="24"/>
  <c r="R2999" i="24"/>
  <c r="N2999" i="24"/>
  <c r="F2999" i="24"/>
  <c r="B2999" i="24"/>
  <c r="R2998" i="24"/>
  <c r="N2998" i="24"/>
  <c r="F2998" i="24"/>
  <c r="B2998" i="24"/>
  <c r="R2997" i="24"/>
  <c r="N2997" i="24"/>
  <c r="F2997" i="24"/>
  <c r="B2997" i="24"/>
  <c r="R2996" i="24"/>
  <c r="N2996" i="24"/>
  <c r="F2996" i="24"/>
  <c r="B2996" i="24"/>
  <c r="R2995" i="24"/>
  <c r="N2995" i="24"/>
  <c r="F2995" i="24"/>
  <c r="B2995" i="24"/>
  <c r="R2994" i="24"/>
  <c r="N2994" i="24"/>
  <c r="F2994" i="24"/>
  <c r="B2994" i="24"/>
  <c r="R2993" i="24"/>
  <c r="N2993" i="24"/>
  <c r="F2993" i="24"/>
  <c r="B2993" i="24"/>
  <c r="R2992" i="24"/>
  <c r="N2992" i="24"/>
  <c r="F2992" i="24"/>
  <c r="B2992" i="24"/>
  <c r="R2991" i="24"/>
  <c r="N2991" i="24"/>
  <c r="F2991" i="24"/>
  <c r="B2991" i="24"/>
  <c r="R2990" i="24"/>
  <c r="N2990" i="24"/>
  <c r="F2990" i="24"/>
  <c r="B2990" i="24"/>
  <c r="R2989" i="24"/>
  <c r="N2989" i="24"/>
  <c r="F2989" i="24"/>
  <c r="B2989" i="24"/>
  <c r="R2988" i="24"/>
  <c r="N2988" i="24"/>
  <c r="F2988" i="24"/>
  <c r="B2988" i="24"/>
  <c r="R2987" i="24"/>
  <c r="N2987" i="24"/>
  <c r="F2987" i="24"/>
  <c r="B2987" i="24"/>
  <c r="R2986" i="24"/>
  <c r="N2986" i="24"/>
  <c r="F2986" i="24"/>
  <c r="B2986" i="24"/>
  <c r="R2985" i="24"/>
  <c r="N2985" i="24"/>
  <c r="F2985" i="24"/>
  <c r="B2985" i="24"/>
  <c r="R2984" i="24"/>
  <c r="N2984" i="24"/>
  <c r="F2984" i="24"/>
  <c r="B2984" i="24"/>
  <c r="R2983" i="24"/>
  <c r="N2983" i="24"/>
  <c r="F2983" i="24"/>
  <c r="B2983" i="24"/>
  <c r="R2982" i="24"/>
  <c r="N2982" i="24"/>
  <c r="F2982" i="24"/>
  <c r="B2982" i="24"/>
  <c r="R2981" i="24"/>
  <c r="N2981" i="24"/>
  <c r="F2981" i="24"/>
  <c r="B2981" i="24"/>
  <c r="R2980" i="24"/>
  <c r="N2980" i="24"/>
  <c r="F2980" i="24"/>
  <c r="B2980" i="24"/>
  <c r="R2979" i="24"/>
  <c r="N2979" i="24"/>
  <c r="F2979" i="24"/>
  <c r="B2979" i="24"/>
  <c r="R2978" i="24"/>
  <c r="N2978" i="24"/>
  <c r="F2978" i="24"/>
  <c r="B2978" i="24"/>
  <c r="R2977" i="24"/>
  <c r="N2977" i="24"/>
  <c r="F2977" i="24"/>
  <c r="B2977" i="24"/>
  <c r="R2976" i="24"/>
  <c r="N2976" i="24"/>
  <c r="F2976" i="24"/>
  <c r="B2976" i="24"/>
  <c r="R2975" i="24"/>
  <c r="N2975" i="24"/>
  <c r="F2975" i="24"/>
  <c r="B2975" i="24"/>
  <c r="R2974" i="24"/>
  <c r="N2974" i="24"/>
  <c r="F2974" i="24"/>
  <c r="B2974" i="24"/>
  <c r="M3063" i="24"/>
  <c r="M3059" i="24"/>
  <c r="M3055" i="24"/>
  <c r="M3051" i="24"/>
  <c r="M3047" i="24"/>
  <c r="M3043" i="24"/>
  <c r="M3039" i="24"/>
  <c r="M3035" i="24"/>
  <c r="S3033" i="24"/>
  <c r="S3032" i="24"/>
  <c r="S3031" i="24"/>
  <c r="S3030" i="24"/>
  <c r="S3029" i="24"/>
  <c r="S3028" i="24"/>
  <c r="S3027" i="24"/>
  <c r="S3026" i="24"/>
  <c r="S3025" i="24"/>
  <c r="S3024" i="24"/>
  <c r="S3023" i="24"/>
  <c r="S3022" i="24"/>
  <c r="S3021" i="24"/>
  <c r="S3020" i="24"/>
  <c r="S3019" i="24"/>
  <c r="S3018" i="24"/>
  <c r="S3017" i="24"/>
  <c r="S3016" i="24"/>
  <c r="S3015" i="24"/>
  <c r="S3014" i="24"/>
  <c r="S3013" i="24"/>
  <c r="S3012" i="24"/>
  <c r="S3011" i="24"/>
  <c r="S3010" i="24"/>
  <c r="M3010" i="24"/>
  <c r="E3010" i="24"/>
  <c r="A3010" i="24"/>
  <c r="Q3009" i="24"/>
  <c r="M3009" i="24"/>
  <c r="E3009" i="24"/>
  <c r="A3009" i="24"/>
  <c r="Q3008" i="24"/>
  <c r="M3008" i="24"/>
  <c r="E3008" i="24"/>
  <c r="A3008" i="24"/>
  <c r="Q3007" i="24"/>
  <c r="M3007" i="24"/>
  <c r="E3007" i="24"/>
  <c r="A3007" i="24"/>
  <c r="Q3006" i="24"/>
  <c r="M3006" i="24"/>
  <c r="E3006" i="24"/>
  <c r="A3006" i="24"/>
  <c r="Q3005" i="24"/>
  <c r="M3005" i="24"/>
  <c r="E3005" i="24"/>
  <c r="A3005" i="24"/>
  <c r="Q3004" i="24"/>
  <c r="M3004" i="24"/>
  <c r="E3004" i="24"/>
  <c r="A3004" i="24"/>
  <c r="Q3003" i="24"/>
  <c r="M3003" i="24"/>
  <c r="E3003" i="24"/>
  <c r="A3003" i="24"/>
  <c r="Q3002" i="24"/>
  <c r="M3002" i="24"/>
  <c r="E3002" i="24"/>
  <c r="A3002" i="24"/>
  <c r="Q3001" i="24"/>
  <c r="M3001" i="24"/>
  <c r="E3001" i="24"/>
  <c r="A3001" i="24"/>
  <c r="Q3000" i="24"/>
  <c r="M3000" i="24"/>
  <c r="E3000" i="24"/>
  <c r="A3000" i="24"/>
  <c r="Q2999" i="24"/>
  <c r="M2999" i="24"/>
  <c r="E2999" i="24"/>
  <c r="A2999" i="24"/>
  <c r="Q2998" i="24"/>
  <c r="M2998" i="24"/>
  <c r="E2998" i="24"/>
  <c r="A2998" i="24"/>
  <c r="Q2997" i="24"/>
  <c r="M2997" i="24"/>
  <c r="E2997" i="24"/>
  <c r="A2997" i="24"/>
  <c r="Q2996" i="24"/>
  <c r="M2996" i="24"/>
  <c r="E2996" i="24"/>
  <c r="A2996" i="24"/>
  <c r="Q2995" i="24"/>
  <c r="M2995" i="24"/>
  <c r="E2995" i="24"/>
  <c r="A2995" i="24"/>
  <c r="Q2994" i="24"/>
  <c r="M2994" i="24"/>
  <c r="E2994" i="24"/>
  <c r="A2994" i="24"/>
  <c r="Q2993" i="24"/>
  <c r="M2993" i="24"/>
  <c r="E2993" i="24"/>
  <c r="A2993" i="24"/>
  <c r="Q2992" i="24"/>
  <c r="M2992" i="24"/>
  <c r="E2992" i="24"/>
  <c r="A2992" i="24"/>
  <c r="Q2991" i="24"/>
  <c r="M2991" i="24"/>
  <c r="E2991" i="24"/>
  <c r="A2991" i="24"/>
  <c r="Q2990" i="24"/>
  <c r="M2990" i="24"/>
  <c r="E2990" i="24"/>
  <c r="A2990" i="24"/>
  <c r="Q2989" i="24"/>
  <c r="M2989" i="24"/>
  <c r="E2989" i="24"/>
  <c r="A2989" i="24"/>
  <c r="Q2988" i="24"/>
  <c r="M2988" i="24"/>
  <c r="E2988" i="24"/>
  <c r="A2988" i="24"/>
  <c r="Q2987" i="24"/>
  <c r="M2987" i="24"/>
  <c r="E2987" i="24"/>
  <c r="A2987" i="24"/>
  <c r="Q2986" i="24"/>
  <c r="M2986" i="24"/>
  <c r="E2986" i="24"/>
  <c r="A2986" i="24"/>
  <c r="Q2985" i="24"/>
  <c r="M2985" i="24"/>
  <c r="E2985" i="24"/>
  <c r="A2985" i="24"/>
  <c r="Q2984" i="24"/>
  <c r="M2984" i="24"/>
  <c r="E2984" i="24"/>
  <c r="A2984" i="24"/>
  <c r="Q2983" i="24"/>
  <c r="M2983" i="24"/>
  <c r="E2983" i="24"/>
  <c r="A2983" i="24"/>
  <c r="Q2982" i="24"/>
  <c r="M2982" i="24"/>
  <c r="E2982" i="24"/>
  <c r="A2982" i="24"/>
  <c r="Q2981" i="24"/>
  <c r="M2981" i="24"/>
  <c r="E2981" i="24"/>
  <c r="A2981" i="24"/>
  <c r="Q2980" i="24"/>
  <c r="M2980" i="24"/>
  <c r="E2980" i="24"/>
  <c r="A2980" i="24"/>
  <c r="Q2979" i="24"/>
  <c r="M2979" i="24"/>
  <c r="E2979" i="24"/>
  <c r="A2979" i="24"/>
  <c r="Q2978" i="24"/>
  <c r="M2978" i="24"/>
  <c r="E2978" i="24"/>
  <c r="A2978" i="24"/>
  <c r="Q2977" i="24"/>
  <c r="M2977" i="24"/>
  <c r="E2977" i="24"/>
  <c r="A2977" i="24"/>
  <c r="Q2976" i="24"/>
  <c r="M2976" i="24"/>
  <c r="E2976" i="24"/>
  <c r="A2976" i="24"/>
  <c r="Q2975" i="24"/>
  <c r="M2975" i="24"/>
  <c r="E2975" i="24"/>
  <c r="A2975" i="24"/>
  <c r="Q2974" i="24"/>
  <c r="M2974" i="24"/>
  <c r="E2974" i="24"/>
  <c r="A2974" i="24"/>
  <c r="M3062" i="24"/>
  <c r="M3058" i="24"/>
  <c r="M3054" i="24"/>
  <c r="M3050" i="24"/>
  <c r="M3046" i="24"/>
  <c r="M3042" i="24"/>
  <c r="M3038" i="24"/>
  <c r="Q3034" i="24"/>
  <c r="O3033" i="24"/>
  <c r="O3032" i="24"/>
  <c r="O3031" i="24"/>
  <c r="O3030" i="24"/>
  <c r="O3029" i="24"/>
  <c r="O3028" i="24"/>
  <c r="O3027" i="24"/>
  <c r="O3026" i="24"/>
  <c r="O3025" i="24"/>
  <c r="O3024" i="24"/>
  <c r="O3023" i="24"/>
  <c r="O3022" i="24"/>
  <c r="O3021" i="24"/>
  <c r="O3020" i="24"/>
  <c r="O3019" i="24"/>
  <c r="O3018" i="24"/>
  <c r="O3017" i="24"/>
  <c r="O3016" i="24"/>
  <c r="O3015" i="24"/>
  <c r="O3014" i="24"/>
  <c r="O3013" i="24"/>
  <c r="O3012" i="24"/>
  <c r="O3011" i="24"/>
  <c r="Q3010" i="24"/>
  <c r="H3010" i="24"/>
  <c r="D3010" i="24"/>
  <c r="T3009" i="24"/>
  <c r="P3009" i="24"/>
  <c r="H3009" i="24"/>
  <c r="D3009" i="24"/>
  <c r="T3008" i="24"/>
  <c r="P3008" i="24"/>
  <c r="H3008" i="24"/>
  <c r="D3008" i="24"/>
  <c r="T3007" i="24"/>
  <c r="P3007" i="24"/>
  <c r="H3007" i="24"/>
  <c r="D3007" i="24"/>
  <c r="T3006" i="24"/>
  <c r="P3006" i="24"/>
  <c r="H3006" i="24"/>
  <c r="D3006" i="24"/>
  <c r="T3005" i="24"/>
  <c r="P3005" i="24"/>
  <c r="H3005" i="24"/>
  <c r="D3005" i="24"/>
  <c r="T3004" i="24"/>
  <c r="P3004" i="24"/>
  <c r="H3004" i="24"/>
  <c r="D3004" i="24"/>
  <c r="T3003" i="24"/>
  <c r="P3003" i="24"/>
  <c r="H3003" i="24"/>
  <c r="D3003" i="24"/>
  <c r="T3002" i="24"/>
  <c r="P3002" i="24"/>
  <c r="H3002" i="24"/>
  <c r="D3002" i="24"/>
  <c r="T3001" i="24"/>
  <c r="P3001" i="24"/>
  <c r="H3001" i="24"/>
  <c r="D3001" i="24"/>
  <c r="T3000" i="24"/>
  <c r="P3000" i="24"/>
  <c r="H3000" i="24"/>
  <c r="D3000" i="24"/>
  <c r="T2999" i="24"/>
  <c r="P2999" i="24"/>
  <c r="H2999" i="24"/>
  <c r="D2999" i="24"/>
  <c r="T2998" i="24"/>
  <c r="P2998" i="24"/>
  <c r="H2998" i="24"/>
  <c r="D2998" i="24"/>
  <c r="T2997" i="24"/>
  <c r="P2997" i="24"/>
  <c r="H2997" i="24"/>
  <c r="D2997" i="24"/>
  <c r="T2996" i="24"/>
  <c r="P2996" i="24"/>
  <c r="H2996" i="24"/>
  <c r="D2996" i="24"/>
  <c r="T2995" i="24"/>
  <c r="P2995" i="24"/>
  <c r="H2995" i="24"/>
  <c r="D2995" i="24"/>
  <c r="T2994" i="24"/>
  <c r="P2994" i="24"/>
  <c r="H2994" i="24"/>
  <c r="D2994" i="24"/>
  <c r="T2993" i="24"/>
  <c r="P2993" i="24"/>
  <c r="H2993" i="24"/>
  <c r="D2993" i="24"/>
  <c r="T2992" i="24"/>
  <c r="P2992" i="24"/>
  <c r="H2992" i="24"/>
  <c r="D2992" i="24"/>
  <c r="T2991" i="24"/>
  <c r="P2991" i="24"/>
  <c r="H2991" i="24"/>
  <c r="D2991" i="24"/>
  <c r="T2990" i="24"/>
  <c r="P2990" i="24"/>
  <c r="H2990" i="24"/>
  <c r="D2990" i="24"/>
  <c r="T2989" i="24"/>
  <c r="P2989" i="24"/>
  <c r="H2989" i="24"/>
  <c r="D2989" i="24"/>
  <c r="T2988" i="24"/>
  <c r="P2988" i="24"/>
  <c r="H2988" i="24"/>
  <c r="D2988" i="24"/>
  <c r="T2987" i="24"/>
  <c r="P2987" i="24"/>
  <c r="H2987" i="24"/>
  <c r="D2987" i="24"/>
  <c r="T2986" i="24"/>
  <c r="P2986" i="24"/>
  <c r="P2985" i="24"/>
  <c r="P2984" i="24"/>
  <c r="P2983" i="24"/>
  <c r="P2982" i="24"/>
  <c r="P2981" i="24"/>
  <c r="P2980" i="24"/>
  <c r="P2979" i="24"/>
  <c r="P2978" i="24"/>
  <c r="P2977" i="24"/>
  <c r="P2976" i="24"/>
  <c r="P2975" i="24"/>
  <c r="P2974" i="24"/>
  <c r="R2973" i="24"/>
  <c r="M2973" i="24"/>
  <c r="E2973" i="24"/>
  <c r="A2973" i="24"/>
  <c r="Q2972" i="24"/>
  <c r="M2972" i="24"/>
  <c r="E2972" i="24"/>
  <c r="A2972" i="24"/>
  <c r="Q2971" i="24"/>
  <c r="M2971" i="24"/>
  <c r="E2971" i="24"/>
  <c r="A2971" i="24"/>
  <c r="Q2970" i="24"/>
  <c r="M2970" i="24"/>
  <c r="E2970" i="24"/>
  <c r="A2970" i="24"/>
  <c r="Q2969" i="24"/>
  <c r="M2969" i="24"/>
  <c r="E2969" i="24"/>
  <c r="A2969" i="24"/>
  <c r="Q2968" i="24"/>
  <c r="M2968" i="24"/>
  <c r="E2968" i="24"/>
  <c r="A2968" i="24"/>
  <c r="Q2967" i="24"/>
  <c r="M2967" i="24"/>
  <c r="E2967" i="24"/>
  <c r="A2967" i="24"/>
  <c r="Q2966" i="24"/>
  <c r="M2966" i="24"/>
  <c r="E2966" i="24"/>
  <c r="A2966" i="24"/>
  <c r="Q2965" i="24"/>
  <c r="M2965" i="24"/>
  <c r="E2965" i="24"/>
  <c r="A2965" i="24"/>
  <c r="Q2964" i="24"/>
  <c r="M2964" i="24"/>
  <c r="E2964" i="24"/>
  <c r="A2964" i="24"/>
  <c r="Q2963" i="24"/>
  <c r="M2963" i="24"/>
  <c r="E2963" i="24"/>
  <c r="A2963" i="24"/>
  <c r="Q2962" i="24"/>
  <c r="M2962" i="24"/>
  <c r="E2962" i="24"/>
  <c r="A2962" i="24"/>
  <c r="Q2961" i="24"/>
  <c r="M2961" i="24"/>
  <c r="E2961" i="24"/>
  <c r="A2961" i="24"/>
  <c r="Q2960" i="24"/>
  <c r="M2960" i="24"/>
  <c r="E2960" i="24"/>
  <c r="A2960" i="24"/>
  <c r="Q2959" i="24"/>
  <c r="M2959" i="24"/>
  <c r="E2959" i="24"/>
  <c r="A2959" i="24"/>
  <c r="Q2958" i="24"/>
  <c r="M2958" i="24"/>
  <c r="E2958" i="24"/>
  <c r="A2958" i="24"/>
  <c r="Q2957" i="24"/>
  <c r="M2957" i="24"/>
  <c r="E2957" i="24"/>
  <c r="A2957" i="24"/>
  <c r="Q2956" i="24"/>
  <c r="M2956" i="24"/>
  <c r="E2956" i="24"/>
  <c r="A2956" i="24"/>
  <c r="Q2955" i="24"/>
  <c r="M2955" i="24"/>
  <c r="E2955" i="24"/>
  <c r="A2955" i="24"/>
  <c r="Q2954" i="24"/>
  <c r="M2954" i="24"/>
  <c r="E2954" i="24"/>
  <c r="A2954" i="24"/>
  <c r="Q2953" i="24"/>
  <c r="M2953" i="24"/>
  <c r="E2953" i="24"/>
  <c r="A2953" i="24"/>
  <c r="Q2952" i="24"/>
  <c r="M2952" i="24"/>
  <c r="E2952" i="24"/>
  <c r="A2952" i="24"/>
  <c r="Q2951" i="24"/>
  <c r="M2951" i="24"/>
  <c r="E2951" i="24"/>
  <c r="A2951" i="24"/>
  <c r="Q2950" i="24"/>
  <c r="M2950" i="24"/>
  <c r="E2950" i="24"/>
  <c r="A2950" i="24"/>
  <c r="Q2949" i="24"/>
  <c r="M2949" i="24"/>
  <c r="E2949" i="24"/>
  <c r="A2949" i="24"/>
  <c r="Q2948" i="24"/>
  <c r="M2948" i="24"/>
  <c r="E2948" i="24"/>
  <c r="A2948" i="24"/>
  <c r="Q2947" i="24"/>
  <c r="M2947" i="24"/>
  <c r="E2947" i="24"/>
  <c r="A2947" i="24"/>
  <c r="Q2946" i="24"/>
  <c r="M2946" i="24"/>
  <c r="E2946" i="24"/>
  <c r="A2946" i="24"/>
  <c r="Q2945" i="24"/>
  <c r="M2945" i="24"/>
  <c r="E2945" i="24"/>
  <c r="A2945" i="24"/>
  <c r="Q2944" i="24"/>
  <c r="M2944" i="24"/>
  <c r="E2944" i="24"/>
  <c r="A2944" i="24"/>
  <c r="Q2943" i="24"/>
  <c r="M2943" i="24"/>
  <c r="E2943" i="24"/>
  <c r="A2943" i="24"/>
  <c r="Q2942" i="24"/>
  <c r="M2942" i="24"/>
  <c r="E2942" i="24"/>
  <c r="A2942" i="24"/>
  <c r="Q2941" i="24"/>
  <c r="M2941" i="24"/>
  <c r="E2941" i="24"/>
  <c r="A2941" i="24"/>
  <c r="Q2940" i="24"/>
  <c r="M2940" i="24"/>
  <c r="E2940" i="24"/>
  <c r="A2940" i="24"/>
  <c r="Q2939" i="24"/>
  <c r="M2939" i="24"/>
  <c r="E2939" i="24"/>
  <c r="A2939" i="24"/>
  <c r="Q2938" i="24"/>
  <c r="M2938" i="24"/>
  <c r="E2938" i="24"/>
  <c r="A2938" i="24"/>
  <c r="Q2937" i="24"/>
  <c r="M2937" i="24"/>
  <c r="E2937" i="24"/>
  <c r="A2937" i="24"/>
  <c r="Q2936" i="24"/>
  <c r="M2936" i="24"/>
  <c r="E2936" i="24"/>
  <c r="A2936" i="24"/>
  <c r="Q2935" i="24"/>
  <c r="M2935" i="24"/>
  <c r="E2935" i="24"/>
  <c r="A2935" i="24"/>
  <c r="Q2934" i="24"/>
  <c r="M2934" i="24"/>
  <c r="E2934" i="24"/>
  <c r="A2934" i="24"/>
  <c r="Q2933" i="24"/>
  <c r="M2933" i="24"/>
  <c r="E2933" i="24"/>
  <c r="A2933" i="24"/>
  <c r="Q2932" i="24"/>
  <c r="M2932" i="24"/>
  <c r="E2932" i="24"/>
  <c r="A2932" i="24"/>
  <c r="Q2931" i="24"/>
  <c r="M2931" i="24"/>
  <c r="E2931" i="24"/>
  <c r="A2931" i="24"/>
  <c r="Q2930" i="24"/>
  <c r="M2930" i="24"/>
  <c r="E2930" i="24"/>
  <c r="A2930" i="24"/>
  <c r="Q2929" i="24"/>
  <c r="M2929" i="24"/>
  <c r="E2929" i="24"/>
  <c r="A2929" i="24"/>
  <c r="Q2928" i="24"/>
  <c r="M2928" i="24"/>
  <c r="E2928" i="24"/>
  <c r="A2928" i="24"/>
  <c r="Q2927" i="24"/>
  <c r="M2927" i="24"/>
  <c r="E2927" i="24"/>
  <c r="A2927" i="24"/>
  <c r="Q2926" i="24"/>
  <c r="M2926" i="24"/>
  <c r="E2926" i="24"/>
  <c r="A2926" i="24"/>
  <c r="Q2925" i="24"/>
  <c r="M2925" i="24"/>
  <c r="E2925" i="24"/>
  <c r="A2925" i="24"/>
  <c r="Q2924" i="24"/>
  <c r="M2924" i="24"/>
  <c r="E2924" i="24"/>
  <c r="A2924" i="24"/>
  <c r="Q2923" i="24"/>
  <c r="M2923" i="24"/>
  <c r="E2923" i="24"/>
  <c r="A2923" i="24"/>
  <c r="Q2922" i="24"/>
  <c r="M2922" i="24"/>
  <c r="E2922" i="24"/>
  <c r="A2922" i="24"/>
  <c r="Q2921" i="24"/>
  <c r="M2921" i="24"/>
  <c r="E2921" i="24"/>
  <c r="A2921" i="24"/>
  <c r="Q2920" i="24"/>
  <c r="M2920" i="24"/>
  <c r="E2920" i="24"/>
  <c r="A2920" i="24"/>
  <c r="Q2919" i="24"/>
  <c r="M2919" i="24"/>
  <c r="E2919" i="24"/>
  <c r="A2919" i="24"/>
  <c r="Q2918" i="24"/>
  <c r="M2918" i="24"/>
  <c r="E2918" i="24"/>
  <c r="A2918" i="24"/>
  <c r="Q2917" i="24"/>
  <c r="M2917" i="24"/>
  <c r="E2917" i="24"/>
  <c r="A2917" i="24"/>
  <c r="Q2916" i="24"/>
  <c r="M2916" i="24"/>
  <c r="E2916" i="24"/>
  <c r="A2916" i="24"/>
  <c r="Q2915" i="24"/>
  <c r="M2915" i="24"/>
  <c r="E2915" i="24"/>
  <c r="A2915" i="24"/>
  <c r="Q2914" i="24"/>
  <c r="M2914" i="24"/>
  <c r="E2914" i="24"/>
  <c r="A2914" i="24"/>
  <c r="Q2913" i="24"/>
  <c r="M2913" i="24"/>
  <c r="H2986" i="24"/>
  <c r="H2985" i="24"/>
  <c r="H2984" i="24"/>
  <c r="H2983" i="24"/>
  <c r="H2982" i="24"/>
  <c r="H2981" i="24"/>
  <c r="H2980" i="24"/>
  <c r="H2979" i="24"/>
  <c r="H2978" i="24"/>
  <c r="H2977" i="24"/>
  <c r="H2976" i="24"/>
  <c r="H2975" i="24"/>
  <c r="H2974" i="24"/>
  <c r="Q2973" i="24"/>
  <c r="H2973" i="24"/>
  <c r="D2973" i="24"/>
  <c r="T2972" i="24"/>
  <c r="P2972" i="24"/>
  <c r="H2972" i="24"/>
  <c r="D2972" i="24"/>
  <c r="T2971" i="24"/>
  <c r="P2971" i="24"/>
  <c r="H2971" i="24"/>
  <c r="D2971" i="24"/>
  <c r="T2970" i="24"/>
  <c r="P2970" i="24"/>
  <c r="H2970" i="24"/>
  <c r="D2970" i="24"/>
  <c r="T2969" i="24"/>
  <c r="P2969" i="24"/>
  <c r="H2969" i="24"/>
  <c r="D2969" i="24"/>
  <c r="T2968" i="24"/>
  <c r="P2968" i="24"/>
  <c r="H2968" i="24"/>
  <c r="D2968" i="24"/>
  <c r="T2967" i="24"/>
  <c r="P2967" i="24"/>
  <c r="H2967" i="24"/>
  <c r="D2967" i="24"/>
  <c r="T2966" i="24"/>
  <c r="P2966" i="24"/>
  <c r="H2966" i="24"/>
  <c r="D2966" i="24"/>
  <c r="T2965" i="24"/>
  <c r="P2965" i="24"/>
  <c r="H2965" i="24"/>
  <c r="D2965" i="24"/>
  <c r="T2964" i="24"/>
  <c r="P2964" i="24"/>
  <c r="H2964" i="24"/>
  <c r="D2964" i="24"/>
  <c r="T2963" i="24"/>
  <c r="P2963" i="24"/>
  <c r="H2963" i="24"/>
  <c r="D2963" i="24"/>
  <c r="T2962" i="24"/>
  <c r="P2962" i="24"/>
  <c r="H2962" i="24"/>
  <c r="D2962" i="24"/>
  <c r="T2961" i="24"/>
  <c r="P2961" i="24"/>
  <c r="H2961" i="24"/>
  <c r="D2961" i="24"/>
  <c r="T2960" i="24"/>
  <c r="P2960" i="24"/>
  <c r="H2960" i="24"/>
  <c r="D2960" i="24"/>
  <c r="T2959" i="24"/>
  <c r="P2959" i="24"/>
  <c r="H2959" i="24"/>
  <c r="D2959" i="24"/>
  <c r="T2958" i="24"/>
  <c r="P2958" i="24"/>
  <c r="H2958" i="24"/>
  <c r="D2958" i="24"/>
  <c r="T2957" i="24"/>
  <c r="P2957" i="24"/>
  <c r="H2957" i="24"/>
  <c r="D2957" i="24"/>
  <c r="T2956" i="24"/>
  <c r="P2956" i="24"/>
  <c r="H2956" i="24"/>
  <c r="D2956" i="24"/>
  <c r="T2955" i="24"/>
  <c r="P2955" i="24"/>
  <c r="H2955" i="24"/>
  <c r="D2955" i="24"/>
  <c r="T2954" i="24"/>
  <c r="P2954" i="24"/>
  <c r="H2954" i="24"/>
  <c r="D2954" i="24"/>
  <c r="T2953" i="24"/>
  <c r="P2953" i="24"/>
  <c r="H2953" i="24"/>
  <c r="D2953" i="24"/>
  <c r="T2952" i="24"/>
  <c r="P2952" i="24"/>
  <c r="H2952" i="24"/>
  <c r="D2952" i="24"/>
  <c r="T2951" i="24"/>
  <c r="P2951" i="24"/>
  <c r="H2951" i="24"/>
  <c r="D2951" i="24"/>
  <c r="T2950" i="24"/>
  <c r="P2950" i="24"/>
  <c r="H2950" i="24"/>
  <c r="D2950" i="24"/>
  <c r="T2949" i="24"/>
  <c r="P2949" i="24"/>
  <c r="H2949" i="24"/>
  <c r="D2949" i="24"/>
  <c r="T2948" i="24"/>
  <c r="P2948" i="24"/>
  <c r="H2948" i="24"/>
  <c r="D2948" i="24"/>
  <c r="T2947" i="24"/>
  <c r="P2947" i="24"/>
  <c r="H2947" i="24"/>
  <c r="D2947" i="24"/>
  <c r="T2946" i="24"/>
  <c r="P2946" i="24"/>
  <c r="H2946" i="24"/>
  <c r="D2946" i="24"/>
  <c r="T2945" i="24"/>
  <c r="P2945" i="24"/>
  <c r="H2945" i="24"/>
  <c r="D2945" i="24"/>
  <c r="T2944" i="24"/>
  <c r="P2944" i="24"/>
  <c r="H2944" i="24"/>
  <c r="D2944" i="24"/>
  <c r="T2943" i="24"/>
  <c r="P2943" i="24"/>
  <c r="H2943" i="24"/>
  <c r="D2943" i="24"/>
  <c r="T2942" i="24"/>
  <c r="P2942" i="24"/>
  <c r="H2942" i="24"/>
  <c r="D2942" i="24"/>
  <c r="T2941" i="24"/>
  <c r="P2941" i="24"/>
  <c r="H2941" i="24"/>
  <c r="D2941" i="24"/>
  <c r="T2940" i="24"/>
  <c r="P2940" i="24"/>
  <c r="H2940" i="24"/>
  <c r="D2940" i="24"/>
  <c r="T2939" i="24"/>
  <c r="P2939" i="24"/>
  <c r="H2939" i="24"/>
  <c r="D2939" i="24"/>
  <c r="T2938" i="24"/>
  <c r="P2938" i="24"/>
  <c r="H2938" i="24"/>
  <c r="D2938" i="24"/>
  <c r="T2937" i="24"/>
  <c r="P2937" i="24"/>
  <c r="H2937" i="24"/>
  <c r="D2937" i="24"/>
  <c r="T2936" i="24"/>
  <c r="P2936" i="24"/>
  <c r="H2936" i="24"/>
  <c r="D2936" i="24"/>
  <c r="T2935" i="24"/>
  <c r="P2935" i="24"/>
  <c r="H2935" i="24"/>
  <c r="D2935" i="24"/>
  <c r="T2934" i="24"/>
  <c r="P2934" i="24"/>
  <c r="H2934" i="24"/>
  <c r="D2934" i="24"/>
  <c r="T2933" i="24"/>
  <c r="P2933" i="24"/>
  <c r="H2933" i="24"/>
  <c r="D2933" i="24"/>
  <c r="T2932" i="24"/>
  <c r="P2932" i="24"/>
  <c r="H2932" i="24"/>
  <c r="D2932" i="24"/>
  <c r="T2931" i="24"/>
  <c r="P2931" i="24"/>
  <c r="H2931" i="24"/>
  <c r="D2931" i="24"/>
  <c r="T2930" i="24"/>
  <c r="P2930" i="24"/>
  <c r="H2930" i="24"/>
  <c r="D2930" i="24"/>
  <c r="T2929" i="24"/>
  <c r="P2929" i="24"/>
  <c r="H2929" i="24"/>
  <c r="D2929" i="24"/>
  <c r="T2928" i="24"/>
  <c r="P2928" i="24"/>
  <c r="H2928" i="24"/>
  <c r="D2928" i="24"/>
  <c r="T2927" i="24"/>
  <c r="P2927" i="24"/>
  <c r="H2927" i="24"/>
  <c r="D2927" i="24"/>
  <c r="T2926" i="24"/>
  <c r="P2926" i="24"/>
  <c r="H2926" i="24"/>
  <c r="D2926" i="24"/>
  <c r="T2925" i="24"/>
  <c r="P2925" i="24"/>
  <c r="H2925" i="24"/>
  <c r="D2925" i="24"/>
  <c r="T2924" i="24"/>
  <c r="P2924" i="24"/>
  <c r="H2924" i="24"/>
  <c r="D2924" i="24"/>
  <c r="T2923" i="24"/>
  <c r="P2923" i="24"/>
  <c r="H2923" i="24"/>
  <c r="D2923" i="24"/>
  <c r="T2922" i="24"/>
  <c r="P2922" i="24"/>
  <c r="H2922" i="24"/>
  <c r="D2922" i="24"/>
  <c r="T2921" i="24"/>
  <c r="P2921" i="24"/>
  <c r="H2921" i="24"/>
  <c r="D2921" i="24"/>
  <c r="T2920" i="24"/>
  <c r="P2920" i="24"/>
  <c r="H2920" i="24"/>
  <c r="D2920" i="24"/>
  <c r="T2919" i="24"/>
  <c r="P2919" i="24"/>
  <c r="H2919" i="24"/>
  <c r="D2919" i="24"/>
  <c r="T2918" i="24"/>
  <c r="P2918" i="24"/>
  <c r="H2918" i="24"/>
  <c r="D2918" i="24"/>
  <c r="T2917" i="24"/>
  <c r="P2917" i="24"/>
  <c r="H2917" i="24"/>
  <c r="D2917" i="24"/>
  <c r="T2916" i="24"/>
  <c r="P2916" i="24"/>
  <c r="H2916" i="24"/>
  <c r="D2916" i="24"/>
  <c r="T2915" i="24"/>
  <c r="P2915" i="24"/>
  <c r="H2915" i="24"/>
  <c r="D2915" i="24"/>
  <c r="T2914" i="24"/>
  <c r="P2914" i="24"/>
  <c r="H2914" i="24"/>
  <c r="D2914" i="24"/>
  <c r="T2913" i="24"/>
  <c r="D2986" i="24"/>
  <c r="D2985" i="24"/>
  <c r="D2984" i="24"/>
  <c r="D2983" i="24"/>
  <c r="D2982" i="24"/>
  <c r="D2981" i="24"/>
  <c r="D2980" i="24"/>
  <c r="D2979" i="24"/>
  <c r="D2978" i="24"/>
  <c r="D2977" i="24"/>
  <c r="D2976" i="24"/>
  <c r="D2975" i="24"/>
  <c r="D2974" i="24"/>
  <c r="P2973" i="24"/>
  <c r="G2973" i="24"/>
  <c r="C2973" i="24"/>
  <c r="S2972" i="24"/>
  <c r="O2972" i="24"/>
  <c r="G2972" i="24"/>
  <c r="C2972" i="24"/>
  <c r="S2971" i="24"/>
  <c r="O2971" i="24"/>
  <c r="G2971" i="24"/>
  <c r="C2971" i="24"/>
  <c r="S2970" i="24"/>
  <c r="O2970" i="24"/>
  <c r="G2970" i="24"/>
  <c r="C2970" i="24"/>
  <c r="S2969" i="24"/>
  <c r="O2969" i="24"/>
  <c r="G2969" i="24"/>
  <c r="C2969" i="24"/>
  <c r="S2968" i="24"/>
  <c r="O2968" i="24"/>
  <c r="G2968" i="24"/>
  <c r="C2968" i="24"/>
  <c r="S2967" i="24"/>
  <c r="O2967" i="24"/>
  <c r="G2967" i="24"/>
  <c r="C2967" i="24"/>
  <c r="S2966" i="24"/>
  <c r="O2966" i="24"/>
  <c r="G2966" i="24"/>
  <c r="C2966" i="24"/>
  <c r="S2965" i="24"/>
  <c r="O2965" i="24"/>
  <c r="G2965" i="24"/>
  <c r="C2965" i="24"/>
  <c r="S2964" i="24"/>
  <c r="O2964" i="24"/>
  <c r="G2964" i="24"/>
  <c r="C2964" i="24"/>
  <c r="S2963" i="24"/>
  <c r="O2963" i="24"/>
  <c r="G2963" i="24"/>
  <c r="C2963" i="24"/>
  <c r="S2962" i="24"/>
  <c r="O2962" i="24"/>
  <c r="G2962" i="24"/>
  <c r="C2962" i="24"/>
  <c r="S2961" i="24"/>
  <c r="O2961" i="24"/>
  <c r="G2961" i="24"/>
  <c r="C2961" i="24"/>
  <c r="S2960" i="24"/>
  <c r="O2960" i="24"/>
  <c r="G2960" i="24"/>
  <c r="C2960" i="24"/>
  <c r="S2959" i="24"/>
  <c r="O2959" i="24"/>
  <c r="G2959" i="24"/>
  <c r="C2959" i="24"/>
  <c r="S2958" i="24"/>
  <c r="O2958" i="24"/>
  <c r="G2958" i="24"/>
  <c r="C2958" i="24"/>
  <c r="S2957" i="24"/>
  <c r="O2957" i="24"/>
  <c r="G2957" i="24"/>
  <c r="C2957" i="24"/>
  <c r="S2956" i="24"/>
  <c r="O2956" i="24"/>
  <c r="G2956" i="24"/>
  <c r="C2956" i="24"/>
  <c r="S2955" i="24"/>
  <c r="O2955" i="24"/>
  <c r="G2955" i="24"/>
  <c r="C2955" i="24"/>
  <c r="S2954" i="24"/>
  <c r="O2954" i="24"/>
  <c r="G2954" i="24"/>
  <c r="C2954" i="24"/>
  <c r="S2953" i="24"/>
  <c r="O2953" i="24"/>
  <c r="G2953" i="24"/>
  <c r="C2953" i="24"/>
  <c r="S2952" i="24"/>
  <c r="O2952" i="24"/>
  <c r="G2952" i="24"/>
  <c r="C2952" i="24"/>
  <c r="S2951" i="24"/>
  <c r="O2951" i="24"/>
  <c r="G2951" i="24"/>
  <c r="C2951" i="24"/>
  <c r="S2950" i="24"/>
  <c r="O2950" i="24"/>
  <c r="G2950" i="24"/>
  <c r="C2950" i="24"/>
  <c r="S2949" i="24"/>
  <c r="O2949" i="24"/>
  <c r="G2949" i="24"/>
  <c r="C2949" i="24"/>
  <c r="S2948" i="24"/>
  <c r="O2948" i="24"/>
  <c r="G2948" i="24"/>
  <c r="C2948" i="24"/>
  <c r="S2947" i="24"/>
  <c r="O2947" i="24"/>
  <c r="G2947" i="24"/>
  <c r="C2947" i="24"/>
  <c r="S2946" i="24"/>
  <c r="O2946" i="24"/>
  <c r="G2946" i="24"/>
  <c r="C2946" i="24"/>
  <c r="S2945" i="24"/>
  <c r="O2945" i="24"/>
  <c r="G2945" i="24"/>
  <c r="C2945" i="24"/>
  <c r="S2944" i="24"/>
  <c r="O2944" i="24"/>
  <c r="G2944" i="24"/>
  <c r="C2944" i="24"/>
  <c r="S2943" i="24"/>
  <c r="O2943" i="24"/>
  <c r="G2943" i="24"/>
  <c r="C2943" i="24"/>
  <c r="S2942" i="24"/>
  <c r="O2942" i="24"/>
  <c r="G2942" i="24"/>
  <c r="C2942" i="24"/>
  <c r="S2941" i="24"/>
  <c r="O2941" i="24"/>
  <c r="G2941" i="24"/>
  <c r="C2941" i="24"/>
  <c r="S2940" i="24"/>
  <c r="O2940" i="24"/>
  <c r="G2940" i="24"/>
  <c r="C2940" i="24"/>
  <c r="S2939" i="24"/>
  <c r="O2939" i="24"/>
  <c r="G2939" i="24"/>
  <c r="C2939" i="24"/>
  <c r="S2938" i="24"/>
  <c r="O2938" i="24"/>
  <c r="G2938" i="24"/>
  <c r="C2938" i="24"/>
  <c r="S2937" i="24"/>
  <c r="O2937" i="24"/>
  <c r="G2937" i="24"/>
  <c r="C2937" i="24"/>
  <c r="S2936" i="24"/>
  <c r="O2936" i="24"/>
  <c r="G2936" i="24"/>
  <c r="C2936" i="24"/>
  <c r="S2935" i="24"/>
  <c r="O2935" i="24"/>
  <c r="G2935" i="24"/>
  <c r="C2935" i="24"/>
  <c r="S2934" i="24"/>
  <c r="O2934" i="24"/>
  <c r="G2934" i="24"/>
  <c r="C2934" i="24"/>
  <c r="S2933" i="24"/>
  <c r="O2933" i="24"/>
  <c r="G2933" i="24"/>
  <c r="C2933" i="24"/>
  <c r="S2932" i="24"/>
  <c r="O2932" i="24"/>
  <c r="G2932" i="24"/>
  <c r="C2932" i="24"/>
  <c r="S2931" i="24"/>
  <c r="O2931" i="24"/>
  <c r="G2931" i="24"/>
  <c r="C2931" i="24"/>
  <c r="S2930" i="24"/>
  <c r="O2930" i="24"/>
  <c r="G2930" i="24"/>
  <c r="C2930" i="24"/>
  <c r="S2929" i="24"/>
  <c r="O2929" i="24"/>
  <c r="G2929" i="24"/>
  <c r="C2929" i="24"/>
  <c r="S2928" i="24"/>
  <c r="O2928" i="24"/>
  <c r="G2928" i="24"/>
  <c r="C2928" i="24"/>
  <c r="S2927" i="24"/>
  <c r="O2927" i="24"/>
  <c r="G2927" i="24"/>
  <c r="C2927" i="24"/>
  <c r="S2926" i="24"/>
  <c r="O2926" i="24"/>
  <c r="G2926" i="24"/>
  <c r="C2926" i="24"/>
  <c r="S2925" i="24"/>
  <c r="O2925" i="24"/>
  <c r="G2925" i="24"/>
  <c r="C2925" i="24"/>
  <c r="S2924" i="24"/>
  <c r="O2924" i="24"/>
  <c r="G2924" i="24"/>
  <c r="C2924" i="24"/>
  <c r="S2923" i="24"/>
  <c r="O2923" i="24"/>
  <c r="G2923" i="24"/>
  <c r="C2923" i="24"/>
  <c r="S2922" i="24"/>
  <c r="O2922" i="24"/>
  <c r="G2922" i="24"/>
  <c r="C2922" i="24"/>
  <c r="S2921" i="24"/>
  <c r="O2921" i="24"/>
  <c r="G2921" i="24"/>
  <c r="C2921" i="24"/>
  <c r="S2920" i="24"/>
  <c r="O2920" i="24"/>
  <c r="G2920" i="24"/>
  <c r="C2920" i="24"/>
  <c r="S2919" i="24"/>
  <c r="O2919" i="24"/>
  <c r="G2919" i="24"/>
  <c r="C2919" i="24"/>
  <c r="S2918" i="24"/>
  <c r="O2918" i="24"/>
  <c r="G2918" i="24"/>
  <c r="C2918" i="24"/>
  <c r="S2917" i="24"/>
  <c r="O2917" i="24"/>
  <c r="G2917" i="24"/>
  <c r="C2917" i="24"/>
  <c r="S2916" i="24"/>
  <c r="O2916" i="24"/>
  <c r="G2916" i="24"/>
  <c r="C2916" i="24"/>
  <c r="S2915" i="24"/>
  <c r="O2915" i="24"/>
  <c r="G2915" i="24"/>
  <c r="C2915" i="24"/>
  <c r="S2914" i="24"/>
  <c r="O2914" i="24"/>
  <c r="G2914" i="24"/>
  <c r="C2914" i="24"/>
  <c r="S2913" i="24"/>
  <c r="O2913" i="24"/>
  <c r="T2985" i="24"/>
  <c r="T2984" i="24"/>
  <c r="T2983" i="24"/>
  <c r="T2982" i="24"/>
  <c r="T2981" i="24"/>
  <c r="T2980" i="24"/>
  <c r="T2979" i="24"/>
  <c r="T2978" i="24"/>
  <c r="T2977" i="24"/>
  <c r="T2976" i="24"/>
  <c r="T2975" i="24"/>
  <c r="T2974" i="24"/>
  <c r="T2973" i="24"/>
  <c r="N2973" i="24"/>
  <c r="F2973" i="24"/>
  <c r="B2973" i="24"/>
  <c r="R2972" i="24"/>
  <c r="N2972" i="24"/>
  <c r="F2972" i="24"/>
  <c r="B2972" i="24"/>
  <c r="R2971" i="24"/>
  <c r="N2971" i="24"/>
  <c r="F2971" i="24"/>
  <c r="B2971" i="24"/>
  <c r="R2970" i="24"/>
  <c r="N2970" i="24"/>
  <c r="F2970" i="24"/>
  <c r="B2970" i="24"/>
  <c r="R2969" i="24"/>
  <c r="N2969" i="24"/>
  <c r="F2969" i="24"/>
  <c r="B2969" i="24"/>
  <c r="R2968" i="24"/>
  <c r="N2968" i="24"/>
  <c r="F2968" i="24"/>
  <c r="B2968" i="24"/>
  <c r="R2967" i="24"/>
  <c r="N2967" i="24"/>
  <c r="F2967" i="24"/>
  <c r="B2967" i="24"/>
  <c r="R2966" i="24"/>
  <c r="N2966" i="24"/>
  <c r="F2966" i="24"/>
  <c r="B2966" i="24"/>
  <c r="R2965" i="24"/>
  <c r="N2965" i="24"/>
  <c r="F2965" i="24"/>
  <c r="B2965" i="24"/>
  <c r="R2964" i="24"/>
  <c r="N2964" i="24"/>
  <c r="F2964" i="24"/>
  <c r="B2964" i="24"/>
  <c r="R2963" i="24"/>
  <c r="N2963" i="24"/>
  <c r="F2963" i="24"/>
  <c r="B2963" i="24"/>
  <c r="R2962" i="24"/>
  <c r="N2962" i="24"/>
  <c r="F2962" i="24"/>
  <c r="B2962" i="24"/>
  <c r="R2961" i="24"/>
  <c r="N2961" i="24"/>
  <c r="F2961" i="24"/>
  <c r="B2961" i="24"/>
  <c r="R2960" i="24"/>
  <c r="N2960" i="24"/>
  <c r="F2960" i="24"/>
  <c r="B2960" i="24"/>
  <c r="R2959" i="24"/>
  <c r="N2959" i="24"/>
  <c r="F2959" i="24"/>
  <c r="B2959" i="24"/>
  <c r="R2958" i="24"/>
  <c r="N2958" i="24"/>
  <c r="F2958" i="24"/>
  <c r="B2958" i="24"/>
  <c r="R2957" i="24"/>
  <c r="N2957" i="24"/>
  <c r="F2957" i="24"/>
  <c r="B2957" i="24"/>
  <c r="R2956" i="24"/>
  <c r="N2956" i="24"/>
  <c r="F2956" i="24"/>
  <c r="B2956" i="24"/>
  <c r="R2955" i="24"/>
  <c r="N2955" i="24"/>
  <c r="F2955" i="24"/>
  <c r="B2955" i="24"/>
  <c r="R2954" i="24"/>
  <c r="N2954" i="24"/>
  <c r="F2954" i="24"/>
  <c r="B2954" i="24"/>
  <c r="R2953" i="24"/>
  <c r="N2953" i="24"/>
  <c r="F2953" i="24"/>
  <c r="B2953" i="24"/>
  <c r="R2952" i="24"/>
  <c r="N2952" i="24"/>
  <c r="F2952" i="24"/>
  <c r="B2952" i="24"/>
  <c r="R2951" i="24"/>
  <c r="N2951" i="24"/>
  <c r="F2951" i="24"/>
  <c r="B2951" i="24"/>
  <c r="R2950" i="24"/>
  <c r="N2950" i="24"/>
  <c r="F2950" i="24"/>
  <c r="B2950" i="24"/>
  <c r="R2949" i="24"/>
  <c r="N2949" i="24"/>
  <c r="F2949" i="24"/>
  <c r="B2949" i="24"/>
  <c r="R2948" i="24"/>
  <c r="N2948" i="24"/>
  <c r="F2948" i="24"/>
  <c r="B2948" i="24"/>
  <c r="R2947" i="24"/>
  <c r="N2947" i="24"/>
  <c r="F2947" i="24"/>
  <c r="B2947" i="24"/>
  <c r="R2946" i="24"/>
  <c r="N2946" i="24"/>
  <c r="F2946" i="24"/>
  <c r="B2946" i="24"/>
  <c r="R2945" i="24"/>
  <c r="N2945" i="24"/>
  <c r="F2945" i="24"/>
  <c r="B2945" i="24"/>
  <c r="R2944" i="24"/>
  <c r="N2944" i="24"/>
  <c r="F2944" i="24"/>
  <c r="B2944" i="24"/>
  <c r="R2943" i="24"/>
  <c r="N2943" i="24"/>
  <c r="F2943" i="24"/>
  <c r="B2943" i="24"/>
  <c r="R2942" i="24"/>
  <c r="N2942" i="24"/>
  <c r="F2942" i="24"/>
  <c r="B2942" i="24"/>
  <c r="R2941" i="24"/>
  <c r="R2940" i="24"/>
  <c r="R2939" i="24"/>
  <c r="R2938" i="24"/>
  <c r="R2937" i="24"/>
  <c r="R2936" i="24"/>
  <c r="R2935" i="24"/>
  <c r="R2934" i="24"/>
  <c r="R2933" i="24"/>
  <c r="R2932" i="24"/>
  <c r="R2931" i="24"/>
  <c r="R2930" i="24"/>
  <c r="R2929" i="24"/>
  <c r="R2928" i="24"/>
  <c r="R2927" i="24"/>
  <c r="R2926" i="24"/>
  <c r="R2925" i="24"/>
  <c r="R2924" i="24"/>
  <c r="R2923" i="24"/>
  <c r="R2922" i="24"/>
  <c r="R2921" i="24"/>
  <c r="R2920" i="24"/>
  <c r="R2919" i="24"/>
  <c r="R2918" i="24"/>
  <c r="R2917" i="24"/>
  <c r="R2916" i="24"/>
  <c r="R2915" i="24"/>
  <c r="R2914" i="24"/>
  <c r="R2913" i="24"/>
  <c r="G2913" i="24"/>
  <c r="C2913" i="24"/>
  <c r="S2912" i="24"/>
  <c r="O2912" i="24"/>
  <c r="G2912" i="24"/>
  <c r="C2912" i="24"/>
  <c r="S2911" i="24"/>
  <c r="O2911" i="24"/>
  <c r="G2911" i="24"/>
  <c r="C2911" i="24"/>
  <c r="S2910" i="24"/>
  <c r="O2910" i="24"/>
  <c r="G2910" i="24"/>
  <c r="C2910" i="24"/>
  <c r="S2909" i="24"/>
  <c r="O2909" i="24"/>
  <c r="G2909" i="24"/>
  <c r="C2909" i="24"/>
  <c r="S2908" i="24"/>
  <c r="O2908" i="24"/>
  <c r="G2908" i="24"/>
  <c r="C2908" i="24"/>
  <c r="S2907" i="24"/>
  <c r="O2907" i="24"/>
  <c r="G2907" i="24"/>
  <c r="C2907" i="24"/>
  <c r="S2906" i="24"/>
  <c r="O2906" i="24"/>
  <c r="G2906" i="24"/>
  <c r="C2906" i="24"/>
  <c r="S2905" i="24"/>
  <c r="O2905" i="24"/>
  <c r="G2905" i="24"/>
  <c r="C2905" i="24"/>
  <c r="S2904" i="24"/>
  <c r="O2904" i="24"/>
  <c r="G2904" i="24"/>
  <c r="C2904" i="24"/>
  <c r="S2903" i="24"/>
  <c r="O2903" i="24"/>
  <c r="G2903" i="24"/>
  <c r="C2903" i="24"/>
  <c r="S2902" i="24"/>
  <c r="O2902" i="24"/>
  <c r="G2902" i="24"/>
  <c r="C2902" i="24"/>
  <c r="S2901" i="24"/>
  <c r="O2901" i="24"/>
  <c r="G2901" i="24"/>
  <c r="C2901" i="24"/>
  <c r="S2900" i="24"/>
  <c r="O2900" i="24"/>
  <c r="G2900" i="24"/>
  <c r="C2900" i="24"/>
  <c r="S2899" i="24"/>
  <c r="O2899" i="24"/>
  <c r="G2899" i="24"/>
  <c r="C2899" i="24"/>
  <c r="S2898" i="24"/>
  <c r="O2898" i="24"/>
  <c r="G2898" i="24"/>
  <c r="C2898" i="24"/>
  <c r="S2897" i="24"/>
  <c r="O2897" i="24"/>
  <c r="G2897" i="24"/>
  <c r="C2897" i="24"/>
  <c r="S2896" i="24"/>
  <c r="O2896" i="24"/>
  <c r="G2896" i="24"/>
  <c r="C2896" i="24"/>
  <c r="S2895" i="24"/>
  <c r="O2895" i="24"/>
  <c r="G2895" i="24"/>
  <c r="C2895" i="24"/>
  <c r="S2894" i="24"/>
  <c r="O2894" i="24"/>
  <c r="G2894" i="24"/>
  <c r="C2894" i="24"/>
  <c r="S2893" i="24"/>
  <c r="O2893" i="24"/>
  <c r="G2893" i="24"/>
  <c r="C2893" i="24"/>
  <c r="S2892" i="24"/>
  <c r="O2892" i="24"/>
  <c r="G2892" i="24"/>
  <c r="C2892" i="24"/>
  <c r="S2891" i="24"/>
  <c r="O2891" i="24"/>
  <c r="G2891" i="24"/>
  <c r="C2891" i="24"/>
  <c r="S2890" i="24"/>
  <c r="O2890" i="24"/>
  <c r="G2890" i="24"/>
  <c r="C2890" i="24"/>
  <c r="S2889" i="24"/>
  <c r="O2889" i="24"/>
  <c r="G2889" i="24"/>
  <c r="C2889" i="24"/>
  <c r="S2888" i="24"/>
  <c r="O2888" i="24"/>
  <c r="G2888" i="24"/>
  <c r="C2888" i="24"/>
  <c r="S2887" i="24"/>
  <c r="O2887" i="24"/>
  <c r="G2887" i="24"/>
  <c r="C2887" i="24"/>
  <c r="S2886" i="24"/>
  <c r="O2886" i="24"/>
  <c r="G2886" i="24"/>
  <c r="C2886" i="24"/>
  <c r="S2885" i="24"/>
  <c r="O2885" i="24"/>
  <c r="G2885" i="24"/>
  <c r="C2885" i="24"/>
  <c r="S2884" i="24"/>
  <c r="O2884" i="24"/>
  <c r="G2884" i="24"/>
  <c r="C2884" i="24"/>
  <c r="S2883" i="24"/>
  <c r="O2883" i="24"/>
  <c r="G2883" i="24"/>
  <c r="C2883" i="24"/>
  <c r="S2882" i="24"/>
  <c r="O2882" i="24"/>
  <c r="G2882" i="24"/>
  <c r="C2882" i="24"/>
  <c r="S2881" i="24"/>
  <c r="O2881" i="24"/>
  <c r="G2881" i="24"/>
  <c r="C2881" i="24"/>
  <c r="S2880" i="24"/>
  <c r="O2880" i="24"/>
  <c r="G2880" i="24"/>
  <c r="C2880" i="24"/>
  <c r="S2879" i="24"/>
  <c r="O2879" i="24"/>
  <c r="G2879" i="24"/>
  <c r="C2879" i="24"/>
  <c r="S2878" i="24"/>
  <c r="O2878" i="24"/>
  <c r="G2878" i="24"/>
  <c r="C2878" i="24"/>
  <c r="S2877" i="24"/>
  <c r="O2877" i="24"/>
  <c r="G2877" i="24"/>
  <c r="C2877" i="24"/>
  <c r="S2876" i="24"/>
  <c r="O2876" i="24"/>
  <c r="G2876" i="24"/>
  <c r="C2876" i="24"/>
  <c r="S2875" i="24"/>
  <c r="O2875" i="24"/>
  <c r="G2875" i="24"/>
  <c r="C2875" i="24"/>
  <c r="S2874" i="24"/>
  <c r="O2874" i="24"/>
  <c r="G2874" i="24"/>
  <c r="C2874" i="24"/>
  <c r="S2873" i="24"/>
  <c r="O2873" i="24"/>
  <c r="G2873" i="24"/>
  <c r="C2873" i="24"/>
  <c r="S2872" i="24"/>
  <c r="O2872" i="24"/>
  <c r="G2872" i="24"/>
  <c r="C2872" i="24"/>
  <c r="S2871" i="24"/>
  <c r="O2871" i="24"/>
  <c r="G2871" i="24"/>
  <c r="C2871" i="24"/>
  <c r="S2870" i="24"/>
  <c r="O2870" i="24"/>
  <c r="G2870" i="24"/>
  <c r="C2870" i="24"/>
  <c r="S2869" i="24"/>
  <c r="O2869" i="24"/>
  <c r="G2869" i="24"/>
  <c r="C2869" i="24"/>
  <c r="S2868" i="24"/>
  <c r="O2868" i="24"/>
  <c r="G2868" i="24"/>
  <c r="C2868" i="24"/>
  <c r="S2867" i="24"/>
  <c r="O2867" i="24"/>
  <c r="G2867" i="24"/>
  <c r="C2867" i="24"/>
  <c r="S2866" i="24"/>
  <c r="O2866" i="24"/>
  <c r="G2866" i="24"/>
  <c r="C2866" i="24"/>
  <c r="S2865" i="24"/>
  <c r="O2865" i="24"/>
  <c r="G2865" i="24"/>
  <c r="C2865" i="24"/>
  <c r="S2864" i="24"/>
  <c r="O2864" i="24"/>
  <c r="G2864" i="24"/>
  <c r="C2864" i="24"/>
  <c r="S2863" i="24"/>
  <c r="O2863" i="24"/>
  <c r="G2863" i="24"/>
  <c r="C2863" i="24"/>
  <c r="S2862" i="24"/>
  <c r="O2862" i="24"/>
  <c r="G2862" i="24"/>
  <c r="C2862" i="24"/>
  <c r="S2861" i="24"/>
  <c r="O2861" i="24"/>
  <c r="G2861" i="24"/>
  <c r="C2861" i="24"/>
  <c r="S2860" i="24"/>
  <c r="O2860" i="24"/>
  <c r="G2860" i="24"/>
  <c r="C2860" i="24"/>
  <c r="S2859" i="24"/>
  <c r="O2859" i="24"/>
  <c r="G2859" i="24"/>
  <c r="C2859" i="24"/>
  <c r="S2858" i="24"/>
  <c r="O2858" i="24"/>
  <c r="G2858" i="24"/>
  <c r="C2858" i="24"/>
  <c r="S2857" i="24"/>
  <c r="O2857" i="24"/>
  <c r="G2857" i="24"/>
  <c r="N2941" i="24"/>
  <c r="N2940" i="24"/>
  <c r="N2939" i="24"/>
  <c r="N2938" i="24"/>
  <c r="N2937" i="24"/>
  <c r="N2936" i="24"/>
  <c r="N2935" i="24"/>
  <c r="N2934" i="24"/>
  <c r="N2933" i="24"/>
  <c r="N2932" i="24"/>
  <c r="N2931" i="24"/>
  <c r="N2930" i="24"/>
  <c r="N2929" i="24"/>
  <c r="N2928" i="24"/>
  <c r="N2927" i="24"/>
  <c r="N2926" i="24"/>
  <c r="N2925" i="24"/>
  <c r="N2924" i="24"/>
  <c r="N2923" i="24"/>
  <c r="N2922" i="24"/>
  <c r="N2921" i="24"/>
  <c r="N2920" i="24"/>
  <c r="N2919" i="24"/>
  <c r="N2918" i="24"/>
  <c r="N2917" i="24"/>
  <c r="N2916" i="24"/>
  <c r="N2915" i="24"/>
  <c r="N2914" i="24"/>
  <c r="P2913" i="24"/>
  <c r="F2913" i="24"/>
  <c r="B2913" i="24"/>
  <c r="R2912" i="24"/>
  <c r="N2912" i="24"/>
  <c r="F2912" i="24"/>
  <c r="B2912" i="24"/>
  <c r="R2911" i="24"/>
  <c r="N2911" i="24"/>
  <c r="F2911" i="24"/>
  <c r="B2911" i="24"/>
  <c r="R2910" i="24"/>
  <c r="N2910" i="24"/>
  <c r="F2910" i="24"/>
  <c r="B2910" i="24"/>
  <c r="R2909" i="24"/>
  <c r="N2909" i="24"/>
  <c r="F2909" i="24"/>
  <c r="B2909" i="24"/>
  <c r="R2908" i="24"/>
  <c r="N2908" i="24"/>
  <c r="F2908" i="24"/>
  <c r="B2908" i="24"/>
  <c r="R2907" i="24"/>
  <c r="N2907" i="24"/>
  <c r="F2907" i="24"/>
  <c r="B2907" i="24"/>
  <c r="R2906" i="24"/>
  <c r="N2906" i="24"/>
  <c r="F2906" i="24"/>
  <c r="B2906" i="24"/>
  <c r="R2905" i="24"/>
  <c r="N2905" i="24"/>
  <c r="F2905" i="24"/>
  <c r="B2905" i="24"/>
  <c r="R2904" i="24"/>
  <c r="N2904" i="24"/>
  <c r="F2904" i="24"/>
  <c r="B2904" i="24"/>
  <c r="R2903" i="24"/>
  <c r="N2903" i="24"/>
  <c r="F2903" i="24"/>
  <c r="B2903" i="24"/>
  <c r="R2902" i="24"/>
  <c r="N2902" i="24"/>
  <c r="F2902" i="24"/>
  <c r="B2902" i="24"/>
  <c r="R2901" i="24"/>
  <c r="N2901" i="24"/>
  <c r="F2901" i="24"/>
  <c r="B2901" i="24"/>
  <c r="R2900" i="24"/>
  <c r="N2900" i="24"/>
  <c r="F2900" i="24"/>
  <c r="B2900" i="24"/>
  <c r="R2899" i="24"/>
  <c r="N2899" i="24"/>
  <c r="F2899" i="24"/>
  <c r="B2899" i="24"/>
  <c r="R2898" i="24"/>
  <c r="N2898" i="24"/>
  <c r="F2898" i="24"/>
  <c r="B2898" i="24"/>
  <c r="R2897" i="24"/>
  <c r="N2897" i="24"/>
  <c r="F2897" i="24"/>
  <c r="B2897" i="24"/>
  <c r="R2896" i="24"/>
  <c r="N2896" i="24"/>
  <c r="F2896" i="24"/>
  <c r="B2896" i="24"/>
  <c r="R2895" i="24"/>
  <c r="N2895" i="24"/>
  <c r="F2895" i="24"/>
  <c r="B2895" i="24"/>
  <c r="R2894" i="24"/>
  <c r="N2894" i="24"/>
  <c r="F2894" i="24"/>
  <c r="B2894" i="24"/>
  <c r="R2893" i="24"/>
  <c r="N2893" i="24"/>
  <c r="F2893" i="24"/>
  <c r="B2893" i="24"/>
  <c r="R2892" i="24"/>
  <c r="N2892" i="24"/>
  <c r="F2892" i="24"/>
  <c r="B2892" i="24"/>
  <c r="R2891" i="24"/>
  <c r="N2891" i="24"/>
  <c r="F2891" i="24"/>
  <c r="B2891" i="24"/>
  <c r="R2890" i="24"/>
  <c r="N2890" i="24"/>
  <c r="F2890" i="24"/>
  <c r="B2890" i="24"/>
  <c r="R2889" i="24"/>
  <c r="N2889" i="24"/>
  <c r="F2889" i="24"/>
  <c r="B2889" i="24"/>
  <c r="R2888" i="24"/>
  <c r="N2888" i="24"/>
  <c r="F2888" i="24"/>
  <c r="B2888" i="24"/>
  <c r="R2887" i="24"/>
  <c r="N2887" i="24"/>
  <c r="F2887" i="24"/>
  <c r="B2887" i="24"/>
  <c r="R2886" i="24"/>
  <c r="N2886" i="24"/>
  <c r="F2886" i="24"/>
  <c r="B2886" i="24"/>
  <c r="R2885" i="24"/>
  <c r="N2885" i="24"/>
  <c r="F2885" i="24"/>
  <c r="B2885" i="24"/>
  <c r="R2884" i="24"/>
  <c r="N2884" i="24"/>
  <c r="F2884" i="24"/>
  <c r="B2884" i="24"/>
  <c r="R2883" i="24"/>
  <c r="N2883" i="24"/>
  <c r="F2883" i="24"/>
  <c r="B2883" i="24"/>
  <c r="R2882" i="24"/>
  <c r="N2882" i="24"/>
  <c r="F2882" i="24"/>
  <c r="B2882" i="24"/>
  <c r="R2881" i="24"/>
  <c r="N2881" i="24"/>
  <c r="F2881" i="24"/>
  <c r="B2881" i="24"/>
  <c r="R2880" i="24"/>
  <c r="N2880" i="24"/>
  <c r="F2880" i="24"/>
  <c r="B2880" i="24"/>
  <c r="R2879" i="24"/>
  <c r="N2879" i="24"/>
  <c r="F2879" i="24"/>
  <c r="B2879" i="24"/>
  <c r="R2878" i="24"/>
  <c r="N2878" i="24"/>
  <c r="F2878" i="24"/>
  <c r="B2878" i="24"/>
  <c r="R2877" i="24"/>
  <c r="N2877" i="24"/>
  <c r="F2877" i="24"/>
  <c r="B2877" i="24"/>
  <c r="R2876" i="24"/>
  <c r="N2876" i="24"/>
  <c r="F2876" i="24"/>
  <c r="B2876" i="24"/>
  <c r="R2875" i="24"/>
  <c r="N2875" i="24"/>
  <c r="F2875" i="24"/>
  <c r="B2875" i="24"/>
  <c r="R2874" i="24"/>
  <c r="N2874" i="24"/>
  <c r="F2874" i="24"/>
  <c r="B2874" i="24"/>
  <c r="R2873" i="24"/>
  <c r="N2873" i="24"/>
  <c r="F2873" i="24"/>
  <c r="B2873" i="24"/>
  <c r="R2872" i="24"/>
  <c r="N2872" i="24"/>
  <c r="F2872" i="24"/>
  <c r="B2872" i="24"/>
  <c r="R2871" i="24"/>
  <c r="N2871" i="24"/>
  <c r="F2871" i="24"/>
  <c r="B2871" i="24"/>
  <c r="R2870" i="24"/>
  <c r="N2870" i="24"/>
  <c r="F2870" i="24"/>
  <c r="B2870" i="24"/>
  <c r="R2869" i="24"/>
  <c r="N2869" i="24"/>
  <c r="F2869" i="24"/>
  <c r="B2869" i="24"/>
  <c r="R2868" i="24"/>
  <c r="N2868" i="24"/>
  <c r="F2868" i="24"/>
  <c r="B2868" i="24"/>
  <c r="R2867" i="24"/>
  <c r="N2867" i="24"/>
  <c r="F2867" i="24"/>
  <c r="B2867" i="24"/>
  <c r="R2866" i="24"/>
  <c r="N2866" i="24"/>
  <c r="F2866" i="24"/>
  <c r="B2866" i="24"/>
  <c r="R2865" i="24"/>
  <c r="N2865" i="24"/>
  <c r="F2865" i="24"/>
  <c r="B2865" i="24"/>
  <c r="R2864" i="24"/>
  <c r="N2864" i="24"/>
  <c r="F2864" i="24"/>
  <c r="B2864" i="24"/>
  <c r="R2863" i="24"/>
  <c r="N2863" i="24"/>
  <c r="F2863" i="24"/>
  <c r="B2863" i="24"/>
  <c r="R2862" i="24"/>
  <c r="N2862" i="24"/>
  <c r="F2862" i="24"/>
  <c r="B2862" i="24"/>
  <c r="R2861" i="24"/>
  <c r="N2861" i="24"/>
  <c r="F2861" i="24"/>
  <c r="B2861" i="24"/>
  <c r="R2860" i="24"/>
  <c r="N2860" i="24"/>
  <c r="F2860" i="24"/>
  <c r="B2860" i="24"/>
  <c r="R2859" i="24"/>
  <c r="N2859" i="24"/>
  <c r="F2859" i="24"/>
  <c r="B2859" i="24"/>
  <c r="R2858" i="24"/>
  <c r="N2858" i="24"/>
  <c r="F2858" i="24"/>
  <c r="B2858" i="24"/>
  <c r="R2857" i="24"/>
  <c r="N2857" i="24"/>
  <c r="F2857" i="24"/>
  <c r="F2941" i="24"/>
  <c r="F2940" i="24"/>
  <c r="F2939" i="24"/>
  <c r="F2938" i="24"/>
  <c r="F2937" i="24"/>
  <c r="F2936" i="24"/>
  <c r="F2935" i="24"/>
  <c r="F2934" i="24"/>
  <c r="F2933" i="24"/>
  <c r="F2932" i="24"/>
  <c r="F2931" i="24"/>
  <c r="F2930" i="24"/>
  <c r="F2929" i="24"/>
  <c r="F2928" i="24"/>
  <c r="F2927" i="24"/>
  <c r="F2926" i="24"/>
  <c r="F2925" i="24"/>
  <c r="F2924" i="24"/>
  <c r="F2923" i="24"/>
  <c r="F2922" i="24"/>
  <c r="F2921" i="24"/>
  <c r="F2920" i="24"/>
  <c r="F2919" i="24"/>
  <c r="F2918" i="24"/>
  <c r="F2917" i="24"/>
  <c r="F2916" i="24"/>
  <c r="F2915" i="24"/>
  <c r="F2914" i="24"/>
  <c r="N2913" i="24"/>
  <c r="E2913" i="24"/>
  <c r="A2913" i="24"/>
  <c r="Q2912" i="24"/>
  <c r="M2912" i="24"/>
  <c r="E2912" i="24"/>
  <c r="A2912" i="24"/>
  <c r="Q2911" i="24"/>
  <c r="M2911" i="24"/>
  <c r="E2911" i="24"/>
  <c r="A2911" i="24"/>
  <c r="Q2910" i="24"/>
  <c r="M2910" i="24"/>
  <c r="E2910" i="24"/>
  <c r="A2910" i="24"/>
  <c r="Q2909" i="24"/>
  <c r="M2909" i="24"/>
  <c r="E2909" i="24"/>
  <c r="A2909" i="24"/>
  <c r="Q2908" i="24"/>
  <c r="M2908" i="24"/>
  <c r="E2908" i="24"/>
  <c r="A2908" i="24"/>
  <c r="Q2907" i="24"/>
  <c r="M2907" i="24"/>
  <c r="E2907" i="24"/>
  <c r="A2907" i="24"/>
  <c r="Q2906" i="24"/>
  <c r="M2906" i="24"/>
  <c r="E2906" i="24"/>
  <c r="A2906" i="24"/>
  <c r="Q2905" i="24"/>
  <c r="M2905" i="24"/>
  <c r="E2905" i="24"/>
  <c r="A2905" i="24"/>
  <c r="Q2904" i="24"/>
  <c r="M2904" i="24"/>
  <c r="E2904" i="24"/>
  <c r="A2904" i="24"/>
  <c r="Q2903" i="24"/>
  <c r="M2903" i="24"/>
  <c r="E2903" i="24"/>
  <c r="A2903" i="24"/>
  <c r="Q2902" i="24"/>
  <c r="M2902" i="24"/>
  <c r="E2902" i="24"/>
  <c r="A2902" i="24"/>
  <c r="Q2901" i="24"/>
  <c r="M2901" i="24"/>
  <c r="E2901" i="24"/>
  <c r="A2901" i="24"/>
  <c r="Q2900" i="24"/>
  <c r="M2900" i="24"/>
  <c r="E2900" i="24"/>
  <c r="A2900" i="24"/>
  <c r="Q2899" i="24"/>
  <c r="M2899" i="24"/>
  <c r="E2899" i="24"/>
  <c r="A2899" i="24"/>
  <c r="Q2898" i="24"/>
  <c r="M2898" i="24"/>
  <c r="E2898" i="24"/>
  <c r="A2898" i="24"/>
  <c r="Q2897" i="24"/>
  <c r="M2897" i="24"/>
  <c r="E2897" i="24"/>
  <c r="A2897" i="24"/>
  <c r="Q2896" i="24"/>
  <c r="M2896" i="24"/>
  <c r="E2896" i="24"/>
  <c r="A2896" i="24"/>
  <c r="Q2895" i="24"/>
  <c r="M2895" i="24"/>
  <c r="E2895" i="24"/>
  <c r="A2895" i="24"/>
  <c r="Q2894" i="24"/>
  <c r="M2894" i="24"/>
  <c r="E2894" i="24"/>
  <c r="A2894" i="24"/>
  <c r="Q2893" i="24"/>
  <c r="M2893" i="24"/>
  <c r="E2893" i="24"/>
  <c r="A2893" i="24"/>
  <c r="Q2892" i="24"/>
  <c r="M2892" i="24"/>
  <c r="E2892" i="24"/>
  <c r="A2892" i="24"/>
  <c r="Q2891" i="24"/>
  <c r="M2891" i="24"/>
  <c r="E2891" i="24"/>
  <c r="A2891" i="24"/>
  <c r="Q2890" i="24"/>
  <c r="M2890" i="24"/>
  <c r="E2890" i="24"/>
  <c r="A2890" i="24"/>
  <c r="Q2889" i="24"/>
  <c r="M2889" i="24"/>
  <c r="E2889" i="24"/>
  <c r="A2889" i="24"/>
  <c r="Q2888" i="24"/>
  <c r="M2888" i="24"/>
  <c r="E2888" i="24"/>
  <c r="A2888" i="24"/>
  <c r="Q2887" i="24"/>
  <c r="M2887" i="24"/>
  <c r="E2887" i="24"/>
  <c r="A2887" i="24"/>
  <c r="Q2886" i="24"/>
  <c r="M2886" i="24"/>
  <c r="E2886" i="24"/>
  <c r="A2886" i="24"/>
  <c r="Q2885" i="24"/>
  <c r="M2885" i="24"/>
  <c r="E2885" i="24"/>
  <c r="A2885" i="24"/>
  <c r="Q2884" i="24"/>
  <c r="M2884" i="24"/>
  <c r="E2884" i="24"/>
  <c r="A2884" i="24"/>
  <c r="Q2883" i="24"/>
  <c r="M2883" i="24"/>
  <c r="E2883" i="24"/>
  <c r="A2883" i="24"/>
  <c r="Q2882" i="24"/>
  <c r="M2882" i="24"/>
  <c r="E2882" i="24"/>
  <c r="A2882" i="24"/>
  <c r="Q2881" i="24"/>
  <c r="M2881" i="24"/>
  <c r="E2881" i="24"/>
  <c r="A2881" i="24"/>
  <c r="Q2880" i="24"/>
  <c r="M2880" i="24"/>
  <c r="E2880" i="24"/>
  <c r="A2880" i="24"/>
  <c r="Q2879" i="24"/>
  <c r="M2879" i="24"/>
  <c r="E2879" i="24"/>
  <c r="A2879" i="24"/>
  <c r="Q2878" i="24"/>
  <c r="M2878" i="24"/>
  <c r="E2878" i="24"/>
  <c r="A2878" i="24"/>
  <c r="Q2877" i="24"/>
  <c r="M2877" i="24"/>
  <c r="E2877" i="24"/>
  <c r="A2877" i="24"/>
  <c r="Q2876" i="24"/>
  <c r="M2876" i="24"/>
  <c r="E2876" i="24"/>
  <c r="A2876" i="24"/>
  <c r="Q2875" i="24"/>
  <c r="M2875" i="24"/>
  <c r="E2875" i="24"/>
  <c r="A2875" i="24"/>
  <c r="Q2874" i="24"/>
  <c r="M2874" i="24"/>
  <c r="E2874" i="24"/>
  <c r="A2874" i="24"/>
  <c r="Q2873" i="24"/>
  <c r="M2873" i="24"/>
  <c r="E2873" i="24"/>
  <c r="A2873" i="24"/>
  <c r="Q2872" i="24"/>
  <c r="M2872" i="24"/>
  <c r="E2872" i="24"/>
  <c r="A2872" i="24"/>
  <c r="Q2871" i="24"/>
  <c r="M2871" i="24"/>
  <c r="E2871" i="24"/>
  <c r="A2871" i="24"/>
  <c r="Q2870" i="24"/>
  <c r="M2870" i="24"/>
  <c r="E2870" i="24"/>
  <c r="A2870" i="24"/>
  <c r="Q2869" i="24"/>
  <c r="M2869" i="24"/>
  <c r="E2869" i="24"/>
  <c r="A2869" i="24"/>
  <c r="Q2868" i="24"/>
  <c r="M2868" i="24"/>
  <c r="E2868" i="24"/>
  <c r="A2868" i="24"/>
  <c r="Q2867" i="24"/>
  <c r="M2867" i="24"/>
  <c r="E2867" i="24"/>
  <c r="A2867" i="24"/>
  <c r="Q2866" i="24"/>
  <c r="M2866" i="24"/>
  <c r="E2866" i="24"/>
  <c r="A2866" i="24"/>
  <c r="Q2865" i="24"/>
  <c r="M2865" i="24"/>
  <c r="E2865" i="24"/>
  <c r="A2865" i="24"/>
  <c r="Q2864" i="24"/>
  <c r="M2864" i="24"/>
  <c r="E2864" i="24"/>
  <c r="A2864" i="24"/>
  <c r="Q2863" i="24"/>
  <c r="M2863" i="24"/>
  <c r="E2863" i="24"/>
  <c r="A2863" i="24"/>
  <c r="Q2862" i="24"/>
  <c r="M2862" i="24"/>
  <c r="E2862" i="24"/>
  <c r="A2862" i="24"/>
  <c r="Q2861" i="24"/>
  <c r="M2861" i="24"/>
  <c r="E2861" i="24"/>
  <c r="A2861" i="24"/>
  <c r="Q2860" i="24"/>
  <c r="M2860" i="24"/>
  <c r="E2860" i="24"/>
  <c r="A2860" i="24"/>
  <c r="Q2859" i="24"/>
  <c r="M2859" i="24"/>
  <c r="E2859" i="24"/>
  <c r="A2859" i="24"/>
  <c r="Q2858" i="24"/>
  <c r="M2858" i="24"/>
  <c r="E2858" i="24"/>
  <c r="A2858" i="24"/>
  <c r="Q2857" i="24"/>
  <c r="M2857" i="24"/>
  <c r="E2857" i="24"/>
  <c r="A2857" i="24"/>
  <c r="B2941" i="24"/>
  <c r="B2940" i="24"/>
  <c r="B2939" i="24"/>
  <c r="B2938" i="24"/>
  <c r="B2937" i="24"/>
  <c r="B2936" i="24"/>
  <c r="B2935" i="24"/>
  <c r="B2934" i="24"/>
  <c r="B2933" i="24"/>
  <c r="B2932" i="24"/>
  <c r="B2931" i="24"/>
  <c r="B2930" i="24"/>
  <c r="B2929" i="24"/>
  <c r="B2928" i="24"/>
  <c r="B2927" i="24"/>
  <c r="B2926" i="24"/>
  <c r="B2925" i="24"/>
  <c r="B2924" i="24"/>
  <c r="B2923" i="24"/>
  <c r="B2922" i="24"/>
  <c r="B2921" i="24"/>
  <c r="B2920" i="24"/>
  <c r="B2919" i="24"/>
  <c r="B2918" i="24"/>
  <c r="B2917" i="24"/>
  <c r="B2916" i="24"/>
  <c r="B2915" i="24"/>
  <c r="B2914" i="24"/>
  <c r="H2913" i="24"/>
  <c r="D2913" i="24"/>
  <c r="T2912" i="24"/>
  <c r="P2912" i="24"/>
  <c r="H2912" i="24"/>
  <c r="D2912" i="24"/>
  <c r="T2911" i="24"/>
  <c r="P2911" i="24"/>
  <c r="H2911" i="24"/>
  <c r="D2911" i="24"/>
  <c r="T2910" i="24"/>
  <c r="P2910" i="24"/>
  <c r="H2910" i="24"/>
  <c r="D2910" i="24"/>
  <c r="T2909" i="24"/>
  <c r="P2909" i="24"/>
  <c r="H2909" i="24"/>
  <c r="D2909" i="24"/>
  <c r="T2908" i="24"/>
  <c r="P2908" i="24"/>
  <c r="H2908" i="24"/>
  <c r="D2908" i="24"/>
  <c r="T2907" i="24"/>
  <c r="P2907" i="24"/>
  <c r="H2907" i="24"/>
  <c r="D2907" i="24"/>
  <c r="T2906" i="24"/>
  <c r="P2906" i="24"/>
  <c r="H2906" i="24"/>
  <c r="D2906" i="24"/>
  <c r="T2905" i="24"/>
  <c r="P2905" i="24"/>
  <c r="H2905" i="24"/>
  <c r="D2905" i="24"/>
  <c r="T2904" i="24"/>
  <c r="P2904" i="24"/>
  <c r="H2904" i="24"/>
  <c r="D2904" i="24"/>
  <c r="T2903" i="24"/>
  <c r="P2903" i="24"/>
  <c r="H2903" i="24"/>
  <c r="D2903" i="24"/>
  <c r="T2902" i="24"/>
  <c r="P2902" i="24"/>
  <c r="H2902" i="24"/>
  <c r="D2902" i="24"/>
  <c r="T2901" i="24"/>
  <c r="P2901" i="24"/>
  <c r="H2901" i="24"/>
  <c r="D2901" i="24"/>
  <c r="T2900" i="24"/>
  <c r="P2900" i="24"/>
  <c r="H2900" i="24"/>
  <c r="D2900" i="24"/>
  <c r="T2899" i="24"/>
  <c r="P2899" i="24"/>
  <c r="H2899" i="24"/>
  <c r="D2899" i="24"/>
  <c r="T2898" i="24"/>
  <c r="P2898" i="24"/>
  <c r="H2898" i="24"/>
  <c r="D2898" i="24"/>
  <c r="T2897" i="24"/>
  <c r="P2897" i="24"/>
  <c r="H2897" i="24"/>
  <c r="D2897" i="24"/>
  <c r="T2896" i="24"/>
  <c r="P2896" i="24"/>
  <c r="H2896" i="24"/>
  <c r="D2896" i="24"/>
  <c r="T2895" i="24"/>
  <c r="P2895" i="24"/>
  <c r="H2895" i="24"/>
  <c r="D2895" i="24"/>
  <c r="T2894" i="24"/>
  <c r="P2894" i="24"/>
  <c r="H2894" i="24"/>
  <c r="D2894" i="24"/>
  <c r="T2893" i="24"/>
  <c r="P2893" i="24"/>
  <c r="H2893" i="24"/>
  <c r="D2893" i="24"/>
  <c r="T2892" i="24"/>
  <c r="P2892" i="24"/>
  <c r="H2892" i="24"/>
  <c r="D2892" i="24"/>
  <c r="T2891" i="24"/>
  <c r="P2891" i="24"/>
  <c r="H2891" i="24"/>
  <c r="D2891" i="24"/>
  <c r="T2890" i="24"/>
  <c r="P2890" i="24"/>
  <c r="H2890" i="24"/>
  <c r="D2890" i="24"/>
  <c r="T2889" i="24"/>
  <c r="P2889" i="24"/>
  <c r="H2889" i="24"/>
  <c r="D2889" i="24"/>
  <c r="T2888" i="24"/>
  <c r="P2888" i="24"/>
  <c r="H2888" i="24"/>
  <c r="D2888" i="24"/>
  <c r="T2887" i="24"/>
  <c r="P2887" i="24"/>
  <c r="H2887" i="24"/>
  <c r="D2887" i="24"/>
  <c r="T2886" i="24"/>
  <c r="P2886" i="24"/>
  <c r="H2886" i="24"/>
  <c r="D2886" i="24"/>
  <c r="T2885" i="24"/>
  <c r="P2885" i="24"/>
  <c r="H2885" i="24"/>
  <c r="D2885" i="24"/>
  <c r="T2884" i="24"/>
  <c r="P2884" i="24"/>
  <c r="H2884" i="24"/>
  <c r="D2884" i="24"/>
  <c r="T2883" i="24"/>
  <c r="P2883" i="24"/>
  <c r="H2883" i="24"/>
  <c r="D2883" i="24"/>
  <c r="T2882" i="24"/>
  <c r="P2882" i="24"/>
  <c r="H2882" i="24"/>
  <c r="D2882" i="24"/>
  <c r="T2881" i="24"/>
  <c r="P2881" i="24"/>
  <c r="H2881" i="24"/>
  <c r="D2881" i="24"/>
  <c r="T2880" i="24"/>
  <c r="P2880" i="24"/>
  <c r="H2880" i="24"/>
  <c r="D2880" i="24"/>
  <c r="T2879" i="24"/>
  <c r="P2879" i="24"/>
  <c r="H2879" i="24"/>
  <c r="D2879" i="24"/>
  <c r="T2878" i="24"/>
  <c r="P2878" i="24"/>
  <c r="H2878" i="24"/>
  <c r="D2878" i="24"/>
  <c r="T2877" i="24"/>
  <c r="P2877" i="24"/>
  <c r="H2877" i="24"/>
  <c r="D2877" i="24"/>
  <c r="T2876" i="24"/>
  <c r="P2876" i="24"/>
  <c r="H2876" i="24"/>
  <c r="D2876" i="24"/>
  <c r="T2875" i="24"/>
  <c r="P2875" i="24"/>
  <c r="H2875" i="24"/>
  <c r="D2875" i="24"/>
  <c r="T2874" i="24"/>
  <c r="P2874" i="24"/>
  <c r="H2874" i="24"/>
  <c r="D2874" i="24"/>
  <c r="T2873" i="24"/>
  <c r="P2873" i="24"/>
  <c r="H2873" i="24"/>
  <c r="D2873" i="24"/>
  <c r="T2872" i="24"/>
  <c r="P2872" i="24"/>
  <c r="H2872" i="24"/>
  <c r="D2872" i="24"/>
  <c r="T2871" i="24"/>
  <c r="P2871" i="24"/>
  <c r="H2871" i="24"/>
  <c r="D2871" i="24"/>
  <c r="T2870" i="24"/>
  <c r="P2870" i="24"/>
  <c r="H2870" i="24"/>
  <c r="D2870" i="24"/>
  <c r="T2869" i="24"/>
  <c r="P2869" i="24"/>
  <c r="H2869" i="24"/>
  <c r="D2869" i="24"/>
  <c r="T2868" i="24"/>
  <c r="P2868" i="24"/>
  <c r="H2868" i="24"/>
  <c r="D2868" i="24"/>
  <c r="T2867" i="24"/>
  <c r="P2867" i="24"/>
  <c r="H2867" i="24"/>
  <c r="D2867" i="24"/>
  <c r="T2866" i="24"/>
  <c r="P2866" i="24"/>
  <c r="H2866" i="24"/>
  <c r="D2866" i="24"/>
  <c r="T2865" i="24"/>
  <c r="P2865" i="24"/>
  <c r="H2865" i="24"/>
  <c r="D2865" i="24"/>
  <c r="T2864" i="24"/>
  <c r="P2864" i="24"/>
  <c r="H2864" i="24"/>
  <c r="D2864" i="24"/>
  <c r="T2863" i="24"/>
  <c r="P2863" i="24"/>
  <c r="H2863" i="24"/>
  <c r="D2863" i="24"/>
  <c r="T2862" i="24"/>
  <c r="P2862" i="24"/>
  <c r="H2862" i="24"/>
  <c r="D2862" i="24"/>
  <c r="T2861" i="24"/>
  <c r="P2861" i="24"/>
  <c r="H2861" i="24"/>
  <c r="D2861" i="24"/>
  <c r="T2860" i="24"/>
  <c r="P2860" i="24"/>
  <c r="H2860" i="24"/>
  <c r="D2860" i="24"/>
  <c r="T2859" i="24"/>
  <c r="P2859" i="24"/>
  <c r="H2859" i="24"/>
  <c r="D2859" i="24"/>
  <c r="T2858" i="24"/>
  <c r="P2858" i="24"/>
  <c r="H2858" i="24"/>
  <c r="D2858" i="24"/>
  <c r="T2857" i="24"/>
  <c r="P2857" i="24"/>
  <c r="H2857" i="24"/>
  <c r="D2857" i="24"/>
  <c r="S2856" i="24"/>
  <c r="O2856" i="24"/>
  <c r="G2856" i="24"/>
  <c r="C2856" i="24"/>
  <c r="S2855" i="24"/>
  <c r="O2855" i="24"/>
  <c r="G2855" i="24"/>
  <c r="C2855" i="24"/>
  <c r="S2854" i="24"/>
  <c r="O2854" i="24"/>
  <c r="G2854" i="24"/>
  <c r="C2854" i="24"/>
  <c r="S2853" i="24"/>
  <c r="O2853" i="24"/>
  <c r="G2853" i="24"/>
  <c r="C2853" i="24"/>
  <c r="S2852" i="24"/>
  <c r="O2852" i="24"/>
  <c r="G2852" i="24"/>
  <c r="C2852" i="24"/>
  <c r="S2851" i="24"/>
  <c r="O2851" i="24"/>
  <c r="G2851" i="24"/>
  <c r="C2851" i="24"/>
  <c r="S2850" i="24"/>
  <c r="O2850" i="24"/>
  <c r="G2850" i="24"/>
  <c r="C2850" i="24"/>
  <c r="S2849" i="24"/>
  <c r="O2849" i="24"/>
  <c r="G2849" i="24"/>
  <c r="C2849" i="24"/>
  <c r="S2848" i="24"/>
  <c r="O2848" i="24"/>
  <c r="G2848" i="24"/>
  <c r="C2848" i="24"/>
  <c r="S2847" i="24"/>
  <c r="O2847" i="24"/>
  <c r="G2847" i="24"/>
  <c r="C2847" i="24"/>
  <c r="S2846" i="24"/>
  <c r="O2846" i="24"/>
  <c r="G2846" i="24"/>
  <c r="C2846" i="24"/>
  <c r="S2845" i="24"/>
  <c r="O2845" i="24"/>
  <c r="G2845" i="24"/>
  <c r="C2845" i="24"/>
  <c r="S2844" i="24"/>
  <c r="O2844" i="24"/>
  <c r="G2844" i="24"/>
  <c r="C2844" i="24"/>
  <c r="S2843" i="24"/>
  <c r="O2843" i="24"/>
  <c r="G2843" i="24"/>
  <c r="C2843" i="24"/>
  <c r="S2842" i="24"/>
  <c r="O2842" i="24"/>
  <c r="G2842" i="24"/>
  <c r="C2842" i="24"/>
  <c r="S2841" i="24"/>
  <c r="O2841" i="24"/>
  <c r="G2841" i="24"/>
  <c r="C2841" i="24"/>
  <c r="S2840" i="24"/>
  <c r="O2840" i="24"/>
  <c r="G2840" i="24"/>
  <c r="C2840" i="24"/>
  <c r="S2839" i="24"/>
  <c r="O2839" i="24"/>
  <c r="G2839" i="24"/>
  <c r="C2839" i="24"/>
  <c r="S2838" i="24"/>
  <c r="O2838" i="24"/>
  <c r="G2838" i="24"/>
  <c r="C2838" i="24"/>
  <c r="S2837" i="24"/>
  <c r="O2837" i="24"/>
  <c r="G2837" i="24"/>
  <c r="C2837" i="24"/>
  <c r="S2836" i="24"/>
  <c r="O2836" i="24"/>
  <c r="G2836" i="24"/>
  <c r="C2836" i="24"/>
  <c r="S2835" i="24"/>
  <c r="O2835" i="24"/>
  <c r="G2835" i="24"/>
  <c r="C2835" i="24"/>
  <c r="S2834" i="24"/>
  <c r="O2834" i="24"/>
  <c r="G2834" i="24"/>
  <c r="C2834" i="24"/>
  <c r="S2833" i="24"/>
  <c r="O2833" i="24"/>
  <c r="G2833" i="24"/>
  <c r="C2833" i="24"/>
  <c r="S2832" i="24"/>
  <c r="O2832" i="24"/>
  <c r="G2832" i="24"/>
  <c r="C2832" i="24"/>
  <c r="S2831" i="24"/>
  <c r="O2831" i="24"/>
  <c r="G2831" i="24"/>
  <c r="C2831" i="24"/>
  <c r="S2830" i="24"/>
  <c r="O2830" i="24"/>
  <c r="G2830" i="24"/>
  <c r="C2830" i="24"/>
  <c r="S2829" i="24"/>
  <c r="O2829" i="24"/>
  <c r="G2829" i="24"/>
  <c r="C2829" i="24"/>
  <c r="S2828" i="24"/>
  <c r="O2828" i="24"/>
  <c r="G2828" i="24"/>
  <c r="C2828" i="24"/>
  <c r="S2827" i="24"/>
  <c r="O2827" i="24"/>
  <c r="G2827" i="24"/>
  <c r="C2827" i="24"/>
  <c r="S2826" i="24"/>
  <c r="O2826" i="24"/>
  <c r="G2826" i="24"/>
  <c r="C2826" i="24"/>
  <c r="S2825" i="24"/>
  <c r="O2825" i="24"/>
  <c r="G2825" i="24"/>
  <c r="C2825" i="24"/>
  <c r="S2824" i="24"/>
  <c r="O2824" i="24"/>
  <c r="G2824" i="24"/>
  <c r="C2824" i="24"/>
  <c r="S2823" i="24"/>
  <c r="O2823" i="24"/>
  <c r="G2823" i="24"/>
  <c r="C2823" i="24"/>
  <c r="S2822" i="24"/>
  <c r="O2822" i="24"/>
  <c r="G2822" i="24"/>
  <c r="C2822" i="24"/>
  <c r="S2821" i="24"/>
  <c r="O2821" i="24"/>
  <c r="G2821" i="24"/>
  <c r="C2821" i="24"/>
  <c r="S2820" i="24"/>
  <c r="O2820" i="24"/>
  <c r="G2820" i="24"/>
  <c r="C2820" i="24"/>
  <c r="S2819" i="24"/>
  <c r="O2819" i="24"/>
  <c r="G2819" i="24"/>
  <c r="C2819" i="24"/>
  <c r="S2818" i="24"/>
  <c r="O2818" i="24"/>
  <c r="G2818" i="24"/>
  <c r="C2818" i="24"/>
  <c r="S2817" i="24"/>
  <c r="O2817" i="24"/>
  <c r="G2817" i="24"/>
  <c r="C2817" i="24"/>
  <c r="S2816" i="24"/>
  <c r="O2816" i="24"/>
  <c r="G2816" i="24"/>
  <c r="C2816" i="24"/>
  <c r="S2815" i="24"/>
  <c r="O2815" i="24"/>
  <c r="G2815" i="24"/>
  <c r="C2815" i="24"/>
  <c r="S2814" i="24"/>
  <c r="O2814" i="24"/>
  <c r="G2814" i="24"/>
  <c r="C2814" i="24"/>
  <c r="S2813" i="24"/>
  <c r="O2813" i="24"/>
  <c r="G2813" i="24"/>
  <c r="C2813" i="24"/>
  <c r="S2812" i="24"/>
  <c r="O2812" i="24"/>
  <c r="G2812" i="24"/>
  <c r="C2812" i="24"/>
  <c r="S2811" i="24"/>
  <c r="O2811" i="24"/>
  <c r="G2811" i="24"/>
  <c r="C2811" i="24"/>
  <c r="S2810" i="24"/>
  <c r="O2810" i="24"/>
  <c r="G2810" i="24"/>
  <c r="C2810" i="24"/>
  <c r="S2809" i="24"/>
  <c r="O2809" i="24"/>
  <c r="G2809" i="24"/>
  <c r="C2809" i="24"/>
  <c r="S2808" i="24"/>
  <c r="O2808" i="24"/>
  <c r="G2808" i="24"/>
  <c r="C2808" i="24"/>
  <c r="S2807" i="24"/>
  <c r="O2807" i="24"/>
  <c r="G2807" i="24"/>
  <c r="C2807" i="24"/>
  <c r="S2806" i="24"/>
  <c r="O2806" i="24"/>
  <c r="G2806" i="24"/>
  <c r="C2806" i="24"/>
  <c r="S2805" i="24"/>
  <c r="O2805" i="24"/>
  <c r="G2805" i="24"/>
  <c r="C2805" i="24"/>
  <c r="S2804" i="24"/>
  <c r="O2804" i="24"/>
  <c r="G2804" i="24"/>
  <c r="C2804" i="24"/>
  <c r="S2803" i="24"/>
  <c r="O2803" i="24"/>
  <c r="G2803" i="24"/>
  <c r="C2803" i="24"/>
  <c r="S2802" i="24"/>
  <c r="O2802" i="24"/>
  <c r="G2802" i="24"/>
  <c r="C2802" i="24"/>
  <c r="S2801" i="24"/>
  <c r="O2801" i="24"/>
  <c r="G2801" i="24"/>
  <c r="C2801" i="24"/>
  <c r="S2800" i="24"/>
  <c r="O2800" i="24"/>
  <c r="G2800" i="24"/>
  <c r="C2800" i="24"/>
  <c r="S2799" i="24"/>
  <c r="O2799" i="24"/>
  <c r="G2799" i="24"/>
  <c r="C2799" i="24"/>
  <c r="S2798" i="24"/>
  <c r="O2798" i="24"/>
  <c r="G2798" i="24"/>
  <c r="C2798" i="24"/>
  <c r="S2797" i="24"/>
  <c r="O2797" i="24"/>
  <c r="G2797" i="24"/>
  <c r="C2797" i="24"/>
  <c r="S2796" i="24"/>
  <c r="O2796" i="24"/>
  <c r="G2796" i="24"/>
  <c r="C2796" i="24"/>
  <c r="S2795" i="24"/>
  <c r="O2795" i="24"/>
  <c r="G2795" i="24"/>
  <c r="C2795" i="24"/>
  <c r="S2794" i="24"/>
  <c r="O2794" i="24"/>
  <c r="G2794" i="24"/>
  <c r="C2794" i="24"/>
  <c r="S2793" i="24"/>
  <c r="O2793" i="24"/>
  <c r="C2857" i="24"/>
  <c r="R2856" i="24"/>
  <c r="N2856" i="24"/>
  <c r="F2856" i="24"/>
  <c r="B2856" i="24"/>
  <c r="R2855" i="24"/>
  <c r="N2855" i="24"/>
  <c r="F2855" i="24"/>
  <c r="B2855" i="24"/>
  <c r="R2854" i="24"/>
  <c r="N2854" i="24"/>
  <c r="F2854" i="24"/>
  <c r="B2854" i="24"/>
  <c r="R2853" i="24"/>
  <c r="N2853" i="24"/>
  <c r="F2853" i="24"/>
  <c r="B2853" i="24"/>
  <c r="R2852" i="24"/>
  <c r="N2852" i="24"/>
  <c r="F2852" i="24"/>
  <c r="B2852" i="24"/>
  <c r="R2851" i="24"/>
  <c r="N2851" i="24"/>
  <c r="F2851" i="24"/>
  <c r="B2851" i="24"/>
  <c r="R2850" i="24"/>
  <c r="N2850" i="24"/>
  <c r="F2850" i="24"/>
  <c r="B2850" i="24"/>
  <c r="R2849" i="24"/>
  <c r="N2849" i="24"/>
  <c r="F2849" i="24"/>
  <c r="B2849" i="24"/>
  <c r="R2848" i="24"/>
  <c r="N2848" i="24"/>
  <c r="F2848" i="24"/>
  <c r="B2848" i="24"/>
  <c r="R2847" i="24"/>
  <c r="N2847" i="24"/>
  <c r="F2847" i="24"/>
  <c r="B2847" i="24"/>
  <c r="R2846" i="24"/>
  <c r="N2846" i="24"/>
  <c r="F2846" i="24"/>
  <c r="B2846" i="24"/>
  <c r="R2845" i="24"/>
  <c r="N2845" i="24"/>
  <c r="F2845" i="24"/>
  <c r="B2845" i="24"/>
  <c r="R2844" i="24"/>
  <c r="N2844" i="24"/>
  <c r="F2844" i="24"/>
  <c r="B2844" i="24"/>
  <c r="R2843" i="24"/>
  <c r="N2843" i="24"/>
  <c r="F2843" i="24"/>
  <c r="B2843" i="24"/>
  <c r="R2842" i="24"/>
  <c r="N2842" i="24"/>
  <c r="F2842" i="24"/>
  <c r="B2842" i="24"/>
  <c r="R2841" i="24"/>
  <c r="N2841" i="24"/>
  <c r="F2841" i="24"/>
  <c r="B2841" i="24"/>
  <c r="R2840" i="24"/>
  <c r="N2840" i="24"/>
  <c r="F2840" i="24"/>
  <c r="B2840" i="24"/>
  <c r="R2839" i="24"/>
  <c r="N2839" i="24"/>
  <c r="F2839" i="24"/>
  <c r="B2839" i="24"/>
  <c r="R2838" i="24"/>
  <c r="N2838" i="24"/>
  <c r="F2838" i="24"/>
  <c r="B2838" i="24"/>
  <c r="R2837" i="24"/>
  <c r="N2837" i="24"/>
  <c r="F2837" i="24"/>
  <c r="B2837" i="24"/>
  <c r="R2836" i="24"/>
  <c r="N2836" i="24"/>
  <c r="F2836" i="24"/>
  <c r="B2836" i="24"/>
  <c r="R2835" i="24"/>
  <c r="N2835" i="24"/>
  <c r="F2835" i="24"/>
  <c r="B2835" i="24"/>
  <c r="R2834" i="24"/>
  <c r="N2834" i="24"/>
  <c r="F2834" i="24"/>
  <c r="B2834" i="24"/>
  <c r="R2833" i="24"/>
  <c r="N2833" i="24"/>
  <c r="F2833" i="24"/>
  <c r="B2833" i="24"/>
  <c r="R2832" i="24"/>
  <c r="N2832" i="24"/>
  <c r="F2832" i="24"/>
  <c r="B2832" i="24"/>
  <c r="R2831" i="24"/>
  <c r="N2831" i="24"/>
  <c r="F2831" i="24"/>
  <c r="B2831" i="24"/>
  <c r="R2830" i="24"/>
  <c r="N2830" i="24"/>
  <c r="F2830" i="24"/>
  <c r="B2830" i="24"/>
  <c r="R2829" i="24"/>
  <c r="N2829" i="24"/>
  <c r="F2829" i="24"/>
  <c r="B2829" i="24"/>
  <c r="R2828" i="24"/>
  <c r="N2828" i="24"/>
  <c r="F2828" i="24"/>
  <c r="B2828" i="24"/>
  <c r="R2827" i="24"/>
  <c r="N2827" i="24"/>
  <c r="F2827" i="24"/>
  <c r="B2827" i="24"/>
  <c r="R2826" i="24"/>
  <c r="N2826" i="24"/>
  <c r="F2826" i="24"/>
  <c r="B2826" i="24"/>
  <c r="R2825" i="24"/>
  <c r="N2825" i="24"/>
  <c r="F2825" i="24"/>
  <c r="B2825" i="24"/>
  <c r="R2824" i="24"/>
  <c r="N2824" i="24"/>
  <c r="F2824" i="24"/>
  <c r="B2824" i="24"/>
  <c r="R2823" i="24"/>
  <c r="N2823" i="24"/>
  <c r="F2823" i="24"/>
  <c r="B2823" i="24"/>
  <c r="R2822" i="24"/>
  <c r="N2822" i="24"/>
  <c r="F2822" i="24"/>
  <c r="B2822" i="24"/>
  <c r="R2821" i="24"/>
  <c r="N2821" i="24"/>
  <c r="F2821" i="24"/>
  <c r="B2821" i="24"/>
  <c r="R2820" i="24"/>
  <c r="N2820" i="24"/>
  <c r="F2820" i="24"/>
  <c r="B2820" i="24"/>
  <c r="R2819" i="24"/>
  <c r="N2819" i="24"/>
  <c r="F2819" i="24"/>
  <c r="B2819" i="24"/>
  <c r="R2818" i="24"/>
  <c r="N2818" i="24"/>
  <c r="F2818" i="24"/>
  <c r="B2818" i="24"/>
  <c r="R2817" i="24"/>
  <c r="N2817" i="24"/>
  <c r="F2817" i="24"/>
  <c r="B2817" i="24"/>
  <c r="R2816" i="24"/>
  <c r="N2816" i="24"/>
  <c r="F2816" i="24"/>
  <c r="B2816" i="24"/>
  <c r="R2815" i="24"/>
  <c r="N2815" i="24"/>
  <c r="F2815" i="24"/>
  <c r="B2815" i="24"/>
  <c r="R2814" i="24"/>
  <c r="N2814" i="24"/>
  <c r="F2814" i="24"/>
  <c r="B2814" i="24"/>
  <c r="R2813" i="24"/>
  <c r="N2813" i="24"/>
  <c r="F2813" i="24"/>
  <c r="B2813" i="24"/>
  <c r="R2812" i="24"/>
  <c r="N2812" i="24"/>
  <c r="F2812" i="24"/>
  <c r="B2812" i="24"/>
  <c r="R2811" i="24"/>
  <c r="N2811" i="24"/>
  <c r="F2811" i="24"/>
  <c r="B2811" i="24"/>
  <c r="R2810" i="24"/>
  <c r="N2810" i="24"/>
  <c r="F2810" i="24"/>
  <c r="B2810" i="24"/>
  <c r="R2809" i="24"/>
  <c r="N2809" i="24"/>
  <c r="F2809" i="24"/>
  <c r="B2809" i="24"/>
  <c r="R2808" i="24"/>
  <c r="N2808" i="24"/>
  <c r="F2808" i="24"/>
  <c r="B2808" i="24"/>
  <c r="R2807" i="24"/>
  <c r="N2807" i="24"/>
  <c r="F2807" i="24"/>
  <c r="B2807" i="24"/>
  <c r="R2806" i="24"/>
  <c r="N2806" i="24"/>
  <c r="F2806" i="24"/>
  <c r="B2806" i="24"/>
  <c r="R2805" i="24"/>
  <c r="N2805" i="24"/>
  <c r="F2805" i="24"/>
  <c r="B2805" i="24"/>
  <c r="R2804" i="24"/>
  <c r="N2804" i="24"/>
  <c r="F2804" i="24"/>
  <c r="B2804" i="24"/>
  <c r="R2803" i="24"/>
  <c r="N2803" i="24"/>
  <c r="F2803" i="24"/>
  <c r="B2803" i="24"/>
  <c r="R2802" i="24"/>
  <c r="N2802" i="24"/>
  <c r="F2802" i="24"/>
  <c r="B2802" i="24"/>
  <c r="R2801" i="24"/>
  <c r="N2801" i="24"/>
  <c r="F2801" i="24"/>
  <c r="B2801" i="24"/>
  <c r="R2800" i="24"/>
  <c r="N2800" i="24"/>
  <c r="F2800" i="24"/>
  <c r="B2800" i="24"/>
  <c r="R2799" i="24"/>
  <c r="N2799" i="24"/>
  <c r="F2799" i="24"/>
  <c r="B2799" i="24"/>
  <c r="R2798" i="24"/>
  <c r="N2798" i="24"/>
  <c r="F2798" i="24"/>
  <c r="B2798" i="24"/>
  <c r="R2797" i="24"/>
  <c r="N2797" i="24"/>
  <c r="F2797" i="24"/>
  <c r="B2797" i="24"/>
  <c r="R2796" i="24"/>
  <c r="N2796" i="24"/>
  <c r="F2796" i="24"/>
  <c r="B2796" i="24"/>
  <c r="R2795" i="24"/>
  <c r="N2795" i="24"/>
  <c r="F2795" i="24"/>
  <c r="B2795" i="24"/>
  <c r="R2794" i="24"/>
  <c r="N2794" i="24"/>
  <c r="F2794" i="24"/>
  <c r="B2794" i="24"/>
  <c r="R2793" i="24"/>
  <c r="N2793" i="24"/>
  <c r="B2857" i="24"/>
  <c r="Q2856" i="24"/>
  <c r="M2856" i="24"/>
  <c r="E2856" i="24"/>
  <c r="A2856" i="24"/>
  <c r="Q2855" i="24"/>
  <c r="M2855" i="24"/>
  <c r="E2855" i="24"/>
  <c r="A2855" i="24"/>
  <c r="Q2854" i="24"/>
  <c r="M2854" i="24"/>
  <c r="E2854" i="24"/>
  <c r="A2854" i="24"/>
  <c r="Q2853" i="24"/>
  <c r="M2853" i="24"/>
  <c r="E2853" i="24"/>
  <c r="A2853" i="24"/>
  <c r="Q2852" i="24"/>
  <c r="M2852" i="24"/>
  <c r="E2852" i="24"/>
  <c r="A2852" i="24"/>
  <c r="Q2851" i="24"/>
  <c r="M2851" i="24"/>
  <c r="E2851" i="24"/>
  <c r="A2851" i="24"/>
  <c r="Q2850" i="24"/>
  <c r="M2850" i="24"/>
  <c r="E2850" i="24"/>
  <c r="A2850" i="24"/>
  <c r="Q2849" i="24"/>
  <c r="M2849" i="24"/>
  <c r="E2849" i="24"/>
  <c r="A2849" i="24"/>
  <c r="Q2848" i="24"/>
  <c r="M2848" i="24"/>
  <c r="E2848" i="24"/>
  <c r="A2848" i="24"/>
  <c r="Q2847" i="24"/>
  <c r="M2847" i="24"/>
  <c r="E2847" i="24"/>
  <c r="A2847" i="24"/>
  <c r="Q2846" i="24"/>
  <c r="M2846" i="24"/>
  <c r="E2846" i="24"/>
  <c r="A2846" i="24"/>
  <c r="Q2845" i="24"/>
  <c r="M2845" i="24"/>
  <c r="E2845" i="24"/>
  <c r="A2845" i="24"/>
  <c r="Q2844" i="24"/>
  <c r="M2844" i="24"/>
  <c r="E2844" i="24"/>
  <c r="A2844" i="24"/>
  <c r="Q2843" i="24"/>
  <c r="M2843" i="24"/>
  <c r="E2843" i="24"/>
  <c r="A2843" i="24"/>
  <c r="Q2842" i="24"/>
  <c r="M2842" i="24"/>
  <c r="E2842" i="24"/>
  <c r="A2842" i="24"/>
  <c r="Q2841" i="24"/>
  <c r="M2841" i="24"/>
  <c r="E2841" i="24"/>
  <c r="A2841" i="24"/>
  <c r="Q2840" i="24"/>
  <c r="M2840" i="24"/>
  <c r="E2840" i="24"/>
  <c r="A2840" i="24"/>
  <c r="Q2839" i="24"/>
  <c r="M2839" i="24"/>
  <c r="E2839" i="24"/>
  <c r="A2839" i="24"/>
  <c r="Q2838" i="24"/>
  <c r="M2838" i="24"/>
  <c r="E2838" i="24"/>
  <c r="A2838" i="24"/>
  <c r="Q2837" i="24"/>
  <c r="M2837" i="24"/>
  <c r="E2837" i="24"/>
  <c r="A2837" i="24"/>
  <c r="Q2836" i="24"/>
  <c r="M2836" i="24"/>
  <c r="E2836" i="24"/>
  <c r="A2836" i="24"/>
  <c r="Q2835" i="24"/>
  <c r="M2835" i="24"/>
  <c r="E2835" i="24"/>
  <c r="A2835" i="24"/>
  <c r="Q2834" i="24"/>
  <c r="M2834" i="24"/>
  <c r="E2834" i="24"/>
  <c r="A2834" i="24"/>
  <c r="Q2833" i="24"/>
  <c r="M2833" i="24"/>
  <c r="E2833" i="24"/>
  <c r="A2833" i="24"/>
  <c r="Q2832" i="24"/>
  <c r="M2832" i="24"/>
  <c r="E2832" i="24"/>
  <c r="A2832" i="24"/>
  <c r="Q2831" i="24"/>
  <c r="M2831" i="24"/>
  <c r="E2831" i="24"/>
  <c r="A2831" i="24"/>
  <c r="Q2830" i="24"/>
  <c r="M2830" i="24"/>
  <c r="E2830" i="24"/>
  <c r="A2830" i="24"/>
  <c r="Q2829" i="24"/>
  <c r="M2829" i="24"/>
  <c r="E2829" i="24"/>
  <c r="A2829" i="24"/>
  <c r="Q2828" i="24"/>
  <c r="M2828" i="24"/>
  <c r="E2828" i="24"/>
  <c r="A2828" i="24"/>
  <c r="Q2827" i="24"/>
  <c r="M2827" i="24"/>
  <c r="E2827" i="24"/>
  <c r="A2827" i="24"/>
  <c r="Q2826" i="24"/>
  <c r="M2826" i="24"/>
  <c r="E2826" i="24"/>
  <c r="A2826" i="24"/>
  <c r="Q2825" i="24"/>
  <c r="M2825" i="24"/>
  <c r="E2825" i="24"/>
  <c r="A2825" i="24"/>
  <c r="Q2824" i="24"/>
  <c r="M2824" i="24"/>
  <c r="E2824" i="24"/>
  <c r="A2824" i="24"/>
  <c r="Q2823" i="24"/>
  <c r="M2823" i="24"/>
  <c r="E2823" i="24"/>
  <c r="A2823" i="24"/>
  <c r="Q2822" i="24"/>
  <c r="M2822" i="24"/>
  <c r="E2822" i="24"/>
  <c r="A2822" i="24"/>
  <c r="Q2821" i="24"/>
  <c r="M2821" i="24"/>
  <c r="E2821" i="24"/>
  <c r="A2821" i="24"/>
  <c r="Q2820" i="24"/>
  <c r="M2820" i="24"/>
  <c r="E2820" i="24"/>
  <c r="A2820" i="24"/>
  <c r="Q2819" i="24"/>
  <c r="M2819" i="24"/>
  <c r="E2819" i="24"/>
  <c r="A2819" i="24"/>
  <c r="Q2818" i="24"/>
  <c r="M2818" i="24"/>
  <c r="E2818" i="24"/>
  <c r="A2818" i="24"/>
  <c r="Q2817" i="24"/>
  <c r="M2817" i="24"/>
  <c r="E2817" i="24"/>
  <c r="A2817" i="24"/>
  <c r="Q2816" i="24"/>
  <c r="M2816" i="24"/>
  <c r="E2816" i="24"/>
  <c r="A2816" i="24"/>
  <c r="Q2815" i="24"/>
  <c r="M2815" i="24"/>
  <c r="E2815" i="24"/>
  <c r="A2815" i="24"/>
  <c r="Q2814" i="24"/>
  <c r="M2814" i="24"/>
  <c r="E2814" i="24"/>
  <c r="A2814" i="24"/>
  <c r="Q2813" i="24"/>
  <c r="M2813" i="24"/>
  <c r="E2813" i="24"/>
  <c r="A2813" i="24"/>
  <c r="Q2812" i="24"/>
  <c r="M2812" i="24"/>
  <c r="E2812" i="24"/>
  <c r="A2812" i="24"/>
  <c r="Q2811" i="24"/>
  <c r="M2811" i="24"/>
  <c r="E2811" i="24"/>
  <c r="A2811" i="24"/>
  <c r="Q2810" i="24"/>
  <c r="M2810" i="24"/>
  <c r="E2810" i="24"/>
  <c r="A2810" i="24"/>
  <c r="Q2809" i="24"/>
  <c r="M2809" i="24"/>
  <c r="E2809" i="24"/>
  <c r="A2809" i="24"/>
  <c r="Q2808" i="24"/>
  <c r="M2808" i="24"/>
  <c r="E2808" i="24"/>
  <c r="A2808" i="24"/>
  <c r="Q2807" i="24"/>
  <c r="M2807" i="24"/>
  <c r="E2807" i="24"/>
  <c r="A2807" i="24"/>
  <c r="Q2806" i="24"/>
  <c r="M2806" i="24"/>
  <c r="E2806" i="24"/>
  <c r="A2806" i="24"/>
  <c r="Q2805" i="24"/>
  <c r="M2805" i="24"/>
  <c r="E2805" i="24"/>
  <c r="A2805" i="24"/>
  <c r="Q2804" i="24"/>
  <c r="M2804" i="24"/>
  <c r="E2804" i="24"/>
  <c r="A2804" i="24"/>
  <c r="Q2803" i="24"/>
  <c r="M2803" i="24"/>
  <c r="E2803" i="24"/>
  <c r="A2803" i="24"/>
  <c r="Q2802" i="24"/>
  <c r="M2802" i="24"/>
  <c r="E2802" i="24"/>
  <c r="A2802" i="24"/>
  <c r="Q2801" i="24"/>
  <c r="M2801" i="24"/>
  <c r="E2801" i="24"/>
  <c r="A2801" i="24"/>
  <c r="Q2800" i="24"/>
  <c r="M2800" i="24"/>
  <c r="E2800" i="24"/>
  <c r="A2800" i="24"/>
  <c r="Q2799" i="24"/>
  <c r="M2799" i="24"/>
  <c r="E2799" i="24"/>
  <c r="A2799" i="24"/>
  <c r="Q2798" i="24"/>
  <c r="M2798" i="24"/>
  <c r="E2798" i="24"/>
  <c r="A2798" i="24"/>
  <c r="Q2797" i="24"/>
  <c r="M2797" i="24"/>
  <c r="E2797" i="24"/>
  <c r="A2797" i="24"/>
  <c r="Q2796" i="24"/>
  <c r="M2796" i="24"/>
  <c r="E2796" i="24"/>
  <c r="A2796" i="24"/>
  <c r="Q2795" i="24"/>
  <c r="M2795" i="24"/>
  <c r="E2795" i="24"/>
  <c r="A2795" i="24"/>
  <c r="Q2794" i="24"/>
  <c r="M2794" i="24"/>
  <c r="E2794" i="24"/>
  <c r="A2794" i="24"/>
  <c r="Q2793" i="24"/>
  <c r="M2793" i="24"/>
  <c r="E2793" i="24"/>
  <c r="A2793" i="24"/>
  <c r="T2856" i="24"/>
  <c r="P2856" i="24"/>
  <c r="H2856" i="24"/>
  <c r="D2856" i="24"/>
  <c r="T2855" i="24"/>
  <c r="P2855" i="24"/>
  <c r="H2855" i="24"/>
  <c r="D2855" i="24"/>
  <c r="T2854" i="24"/>
  <c r="P2854" i="24"/>
  <c r="H2854" i="24"/>
  <c r="D2854" i="24"/>
  <c r="T2853" i="24"/>
  <c r="P2853" i="24"/>
  <c r="H2853" i="24"/>
  <c r="D2853" i="24"/>
  <c r="T2852" i="24"/>
  <c r="P2852" i="24"/>
  <c r="H2852" i="24"/>
  <c r="D2852" i="24"/>
  <c r="T2851" i="24"/>
  <c r="P2851" i="24"/>
  <c r="H2851" i="24"/>
  <c r="D2851" i="24"/>
  <c r="T2850" i="24"/>
  <c r="P2850" i="24"/>
  <c r="H2850" i="24"/>
  <c r="D2850" i="24"/>
  <c r="T2849" i="24"/>
  <c r="P2849" i="24"/>
  <c r="H2849" i="24"/>
  <c r="D2849" i="24"/>
  <c r="T2848" i="24"/>
  <c r="P2848" i="24"/>
  <c r="H2848" i="24"/>
  <c r="D2848" i="24"/>
  <c r="T2847" i="24"/>
  <c r="P2847" i="24"/>
  <c r="H2847" i="24"/>
  <c r="D2847" i="24"/>
  <c r="T2846" i="24"/>
  <c r="P2846" i="24"/>
  <c r="H2846" i="24"/>
  <c r="D2846" i="24"/>
  <c r="T2845" i="24"/>
  <c r="P2845" i="24"/>
  <c r="H2845" i="24"/>
  <c r="H2844" i="24"/>
  <c r="H2843" i="24"/>
  <c r="H2842" i="24"/>
  <c r="H2841" i="24"/>
  <c r="H2840" i="24"/>
  <c r="H2839" i="24"/>
  <c r="H2838" i="24"/>
  <c r="H2837" i="24"/>
  <c r="H2836" i="24"/>
  <c r="H2835" i="24"/>
  <c r="H2834" i="24"/>
  <c r="H2833" i="24"/>
  <c r="H2832" i="24"/>
  <c r="H2831" i="24"/>
  <c r="H2830" i="24"/>
  <c r="H2829" i="24"/>
  <c r="H2828" i="24"/>
  <c r="H2827" i="24"/>
  <c r="H2826" i="24"/>
  <c r="H2825" i="24"/>
  <c r="H2824" i="24"/>
  <c r="H2823" i="24"/>
  <c r="H2822" i="24"/>
  <c r="H2821" i="24"/>
  <c r="H2820" i="24"/>
  <c r="H2819" i="24"/>
  <c r="H2818" i="24"/>
  <c r="H2817" i="24"/>
  <c r="H2816" i="24"/>
  <c r="H2815" i="24"/>
  <c r="H2814" i="24"/>
  <c r="H2813" i="24"/>
  <c r="H2812" i="24"/>
  <c r="H2811" i="24"/>
  <c r="H2810" i="24"/>
  <c r="H2809" i="24"/>
  <c r="H2808" i="24"/>
  <c r="H2807" i="24"/>
  <c r="H2806" i="24"/>
  <c r="H2805" i="24"/>
  <c r="H2804" i="24"/>
  <c r="H2803" i="24"/>
  <c r="H2802" i="24"/>
  <c r="H2801" i="24"/>
  <c r="H2800" i="24"/>
  <c r="H2799" i="24"/>
  <c r="H2798" i="24"/>
  <c r="H2797" i="24"/>
  <c r="H2796" i="24"/>
  <c r="H2795" i="24"/>
  <c r="H2794" i="24"/>
  <c r="H2793" i="24"/>
  <c r="C2793" i="24"/>
  <c r="R2792" i="24"/>
  <c r="N2792" i="24"/>
  <c r="F2792" i="24"/>
  <c r="B2792" i="24"/>
  <c r="R2791" i="24"/>
  <c r="N2791" i="24"/>
  <c r="F2791" i="24"/>
  <c r="B2791" i="24"/>
  <c r="R2790" i="24"/>
  <c r="N2790" i="24"/>
  <c r="F2790" i="24"/>
  <c r="B2790" i="24"/>
  <c r="R2789" i="24"/>
  <c r="N2789" i="24"/>
  <c r="F2789" i="24"/>
  <c r="B2789" i="24"/>
  <c r="R2788" i="24"/>
  <c r="N2788" i="24"/>
  <c r="F2788" i="24"/>
  <c r="B2788" i="24"/>
  <c r="R2787" i="24"/>
  <c r="N2787" i="24"/>
  <c r="F2787" i="24"/>
  <c r="B2787" i="24"/>
  <c r="R2786" i="24"/>
  <c r="N2786" i="24"/>
  <c r="F2786" i="24"/>
  <c r="B2786" i="24"/>
  <c r="R2785" i="24"/>
  <c r="N2785" i="24"/>
  <c r="F2785" i="24"/>
  <c r="B2785" i="24"/>
  <c r="R2784" i="24"/>
  <c r="N2784" i="24"/>
  <c r="F2784" i="24"/>
  <c r="B2784" i="24"/>
  <c r="R2783" i="24"/>
  <c r="N2783" i="24"/>
  <c r="F2783" i="24"/>
  <c r="B2783" i="24"/>
  <c r="R2782" i="24"/>
  <c r="N2782" i="24"/>
  <c r="H2782" i="24"/>
  <c r="D2782" i="24"/>
  <c r="T2781" i="24"/>
  <c r="P2781" i="24"/>
  <c r="L2781" i="24"/>
  <c r="F2781" i="24"/>
  <c r="B2781" i="24"/>
  <c r="R2780" i="24"/>
  <c r="N2780" i="24"/>
  <c r="H2780" i="24"/>
  <c r="D2780" i="24"/>
  <c r="T2779" i="24"/>
  <c r="P2779" i="24"/>
  <c r="L2779" i="24"/>
  <c r="F2779" i="24"/>
  <c r="B2779" i="24"/>
  <c r="R2778" i="24"/>
  <c r="N2778" i="24"/>
  <c r="H2778" i="24"/>
  <c r="D2778" i="24"/>
  <c r="T2777" i="24"/>
  <c r="P2777" i="24"/>
  <c r="L2777" i="24"/>
  <c r="F2777" i="24"/>
  <c r="B2777" i="24"/>
  <c r="R2776" i="24"/>
  <c r="N2776" i="24"/>
  <c r="H2776" i="24"/>
  <c r="D2776" i="24"/>
  <c r="T2775" i="24"/>
  <c r="P2775" i="24"/>
  <c r="L2775" i="24"/>
  <c r="F2775" i="24"/>
  <c r="B2775" i="24"/>
  <c r="R2774" i="24"/>
  <c r="N2774" i="24"/>
  <c r="H2774" i="24"/>
  <c r="D2774" i="24"/>
  <c r="T2773" i="24"/>
  <c r="P2773" i="24"/>
  <c r="L2773" i="24"/>
  <c r="F2773" i="24"/>
  <c r="B2773" i="24"/>
  <c r="R2772" i="24"/>
  <c r="N2772" i="24"/>
  <c r="H2772" i="24"/>
  <c r="D2772" i="24"/>
  <c r="T2771" i="24"/>
  <c r="P2771" i="24"/>
  <c r="L2771" i="24"/>
  <c r="F2771" i="24"/>
  <c r="B2771" i="24"/>
  <c r="R2770" i="24"/>
  <c r="N2770" i="24"/>
  <c r="H2770" i="24"/>
  <c r="D2770" i="24"/>
  <c r="T2769" i="24"/>
  <c r="P2769" i="24"/>
  <c r="L2769" i="24"/>
  <c r="F2769" i="24"/>
  <c r="B2769" i="24"/>
  <c r="R2768" i="24"/>
  <c r="N2768" i="24"/>
  <c r="H2768" i="24"/>
  <c r="D2768" i="24"/>
  <c r="T2767" i="24"/>
  <c r="P2767" i="24"/>
  <c r="L2767" i="24"/>
  <c r="F2767" i="24"/>
  <c r="B2767" i="24"/>
  <c r="R2766" i="24"/>
  <c r="N2766" i="24"/>
  <c r="H2766" i="24"/>
  <c r="D2766" i="24"/>
  <c r="T2765" i="24"/>
  <c r="P2765" i="24"/>
  <c r="L2765" i="24"/>
  <c r="F2765" i="24"/>
  <c r="B2765" i="24"/>
  <c r="R2764" i="24"/>
  <c r="N2764" i="24"/>
  <c r="H2764" i="24"/>
  <c r="D2764" i="24"/>
  <c r="T2763" i="24"/>
  <c r="P2763" i="24"/>
  <c r="L2763" i="24"/>
  <c r="F2763" i="24"/>
  <c r="B2763" i="24"/>
  <c r="R2762" i="24"/>
  <c r="N2762" i="24"/>
  <c r="H2762" i="24"/>
  <c r="D2762" i="24"/>
  <c r="T2761" i="24"/>
  <c r="P2761" i="24"/>
  <c r="L2761" i="24"/>
  <c r="F2761" i="24"/>
  <c r="B2761" i="24"/>
  <c r="R2760" i="24"/>
  <c r="N2760" i="24"/>
  <c r="H2760" i="24"/>
  <c r="D2760" i="24"/>
  <c r="T2759" i="24"/>
  <c r="P2759" i="24"/>
  <c r="L2759" i="24"/>
  <c r="F2759" i="24"/>
  <c r="B2759" i="24"/>
  <c r="R2758" i="24"/>
  <c r="N2758" i="24"/>
  <c r="H2758" i="24"/>
  <c r="D2758" i="24"/>
  <c r="T2757" i="24"/>
  <c r="P2757" i="24"/>
  <c r="L2757" i="24"/>
  <c r="F2757" i="24"/>
  <c r="B2757" i="24"/>
  <c r="R2756" i="24"/>
  <c r="N2756" i="24"/>
  <c r="H2756" i="24"/>
  <c r="D2756" i="24"/>
  <c r="T2755" i="24"/>
  <c r="P2755" i="24"/>
  <c r="L2755" i="24"/>
  <c r="F2755" i="24"/>
  <c r="B2755" i="24"/>
  <c r="R2754" i="24"/>
  <c r="N2754" i="24"/>
  <c r="H2754" i="24"/>
  <c r="D2754" i="24"/>
  <c r="T2753" i="24"/>
  <c r="P2753" i="24"/>
  <c r="L2753" i="24"/>
  <c r="F2753" i="24"/>
  <c r="B2753" i="24"/>
  <c r="R2752" i="24"/>
  <c r="N2752" i="24"/>
  <c r="H2752" i="24"/>
  <c r="D2752" i="24"/>
  <c r="T2751" i="24"/>
  <c r="P2751" i="24"/>
  <c r="L2751" i="24"/>
  <c r="F2751" i="24"/>
  <c r="B2751" i="24"/>
  <c r="R2750" i="24"/>
  <c r="N2750" i="24"/>
  <c r="H2750" i="24"/>
  <c r="D2750" i="24"/>
  <c r="T2749" i="24"/>
  <c r="P2749" i="24"/>
  <c r="L2749" i="24"/>
  <c r="F2749" i="24"/>
  <c r="B2749" i="24"/>
  <c r="R2748" i="24"/>
  <c r="N2748" i="24"/>
  <c r="H2748" i="24"/>
  <c r="D2748" i="24"/>
  <c r="T2747" i="24"/>
  <c r="P2747" i="24"/>
  <c r="L2747" i="24"/>
  <c r="F2747" i="24"/>
  <c r="B2747" i="24"/>
  <c r="R2746" i="24"/>
  <c r="N2746" i="24"/>
  <c r="H2746" i="24"/>
  <c r="D2746" i="24"/>
  <c r="T2745" i="24"/>
  <c r="P2745" i="24"/>
  <c r="L2745" i="24"/>
  <c r="F2745" i="24"/>
  <c r="B2745" i="24"/>
  <c r="R2744" i="24"/>
  <c r="N2744" i="24"/>
  <c r="H2744" i="24"/>
  <c r="D2744" i="24"/>
  <c r="T2743" i="24"/>
  <c r="P2743" i="24"/>
  <c r="L2743" i="24"/>
  <c r="F2743" i="24"/>
  <c r="B2743" i="24"/>
  <c r="R2742" i="24"/>
  <c r="N2742" i="24"/>
  <c r="H2742" i="24"/>
  <c r="D2742" i="24"/>
  <c r="T2741" i="24"/>
  <c r="P2741" i="24"/>
  <c r="L2741" i="24"/>
  <c r="F2741" i="24"/>
  <c r="B2741" i="24"/>
  <c r="R2740" i="24"/>
  <c r="N2740" i="24"/>
  <c r="H2740" i="24"/>
  <c r="D2740" i="24"/>
  <c r="T2739" i="24"/>
  <c r="P2739" i="24"/>
  <c r="L2739" i="24"/>
  <c r="F2739" i="24"/>
  <c r="D2845" i="24"/>
  <c r="D2844" i="24"/>
  <c r="D2843" i="24"/>
  <c r="D2842" i="24"/>
  <c r="D2841" i="24"/>
  <c r="D2840" i="24"/>
  <c r="D2839" i="24"/>
  <c r="D2838" i="24"/>
  <c r="D2837" i="24"/>
  <c r="D2836" i="24"/>
  <c r="D2835" i="24"/>
  <c r="D2834" i="24"/>
  <c r="D2833" i="24"/>
  <c r="D2832" i="24"/>
  <c r="D2831" i="24"/>
  <c r="D2830" i="24"/>
  <c r="D2829" i="24"/>
  <c r="D2828" i="24"/>
  <c r="D2827" i="24"/>
  <c r="D2826" i="24"/>
  <c r="D2825" i="24"/>
  <c r="D2824" i="24"/>
  <c r="D2823" i="24"/>
  <c r="D2822" i="24"/>
  <c r="D2821" i="24"/>
  <c r="D2820" i="24"/>
  <c r="D2819" i="24"/>
  <c r="D2818" i="24"/>
  <c r="D2817" i="24"/>
  <c r="D2816" i="24"/>
  <c r="D2815" i="24"/>
  <c r="D2814" i="24"/>
  <c r="D2813" i="24"/>
  <c r="D2812" i="24"/>
  <c r="D2811" i="24"/>
  <c r="D2810" i="24"/>
  <c r="D2809" i="24"/>
  <c r="D2808" i="24"/>
  <c r="D2807" i="24"/>
  <c r="D2806" i="24"/>
  <c r="D2805" i="24"/>
  <c r="D2804" i="24"/>
  <c r="D2803" i="24"/>
  <c r="D2802" i="24"/>
  <c r="D2801" i="24"/>
  <c r="D2800" i="24"/>
  <c r="D2799" i="24"/>
  <c r="D2798" i="24"/>
  <c r="D2797" i="24"/>
  <c r="D2796" i="24"/>
  <c r="D2795" i="24"/>
  <c r="D2794" i="24"/>
  <c r="G2793" i="24"/>
  <c r="B2793" i="24"/>
  <c r="Q2792" i="24"/>
  <c r="M2792" i="24"/>
  <c r="E2792" i="24"/>
  <c r="A2792" i="24"/>
  <c r="Q2791" i="24"/>
  <c r="M2791" i="24"/>
  <c r="E2791" i="24"/>
  <c r="A2791" i="24"/>
  <c r="Q2790" i="24"/>
  <c r="M2790" i="24"/>
  <c r="E2790" i="24"/>
  <c r="A2790" i="24"/>
  <c r="Q2789" i="24"/>
  <c r="M2789" i="24"/>
  <c r="E2789" i="24"/>
  <c r="A2789" i="24"/>
  <c r="Q2788" i="24"/>
  <c r="M2788" i="24"/>
  <c r="E2788" i="24"/>
  <c r="A2788" i="24"/>
  <c r="Q2787" i="24"/>
  <c r="M2787" i="24"/>
  <c r="E2787" i="24"/>
  <c r="A2787" i="24"/>
  <c r="Q2786" i="24"/>
  <c r="M2786" i="24"/>
  <c r="E2786" i="24"/>
  <c r="A2786" i="24"/>
  <c r="Q2785" i="24"/>
  <c r="M2785" i="24"/>
  <c r="E2785" i="24"/>
  <c r="A2785" i="24"/>
  <c r="Q2784" i="24"/>
  <c r="M2784" i="24"/>
  <c r="E2784" i="24"/>
  <c r="A2784" i="24"/>
  <c r="Q2783" i="24"/>
  <c r="M2783" i="24"/>
  <c r="E2783" i="24"/>
  <c r="A2783" i="24"/>
  <c r="Q2782" i="24"/>
  <c r="M2782" i="24"/>
  <c r="G2782" i="24"/>
  <c r="C2782" i="24"/>
  <c r="S2781" i="24"/>
  <c r="O2781" i="24"/>
  <c r="K2781" i="24"/>
  <c r="E2781" i="24"/>
  <c r="A2781" i="24"/>
  <c r="Q2780" i="24"/>
  <c r="M2780" i="24"/>
  <c r="G2780" i="24"/>
  <c r="C2780" i="24"/>
  <c r="S2779" i="24"/>
  <c r="O2779" i="24"/>
  <c r="K2779" i="24"/>
  <c r="E2779" i="24"/>
  <c r="A2779" i="24"/>
  <c r="Q2778" i="24"/>
  <c r="M2778" i="24"/>
  <c r="G2778" i="24"/>
  <c r="C2778" i="24"/>
  <c r="S2777" i="24"/>
  <c r="O2777" i="24"/>
  <c r="K2777" i="24"/>
  <c r="E2777" i="24"/>
  <c r="A2777" i="24"/>
  <c r="Q2776" i="24"/>
  <c r="M2776" i="24"/>
  <c r="G2776" i="24"/>
  <c r="C2776" i="24"/>
  <c r="S2775" i="24"/>
  <c r="O2775" i="24"/>
  <c r="K2775" i="24"/>
  <c r="E2775" i="24"/>
  <c r="A2775" i="24"/>
  <c r="Q2774" i="24"/>
  <c r="M2774" i="24"/>
  <c r="G2774" i="24"/>
  <c r="C2774" i="24"/>
  <c r="S2773" i="24"/>
  <c r="O2773" i="24"/>
  <c r="K2773" i="24"/>
  <c r="E2773" i="24"/>
  <c r="A2773" i="24"/>
  <c r="Q2772" i="24"/>
  <c r="M2772" i="24"/>
  <c r="G2772" i="24"/>
  <c r="C2772" i="24"/>
  <c r="S2771" i="24"/>
  <c r="O2771" i="24"/>
  <c r="K2771" i="24"/>
  <c r="E2771" i="24"/>
  <c r="A2771" i="24"/>
  <c r="Q2770" i="24"/>
  <c r="M2770" i="24"/>
  <c r="G2770" i="24"/>
  <c r="C2770" i="24"/>
  <c r="S2769" i="24"/>
  <c r="O2769" i="24"/>
  <c r="K2769" i="24"/>
  <c r="E2769" i="24"/>
  <c r="A2769" i="24"/>
  <c r="Q2768" i="24"/>
  <c r="M2768" i="24"/>
  <c r="G2768" i="24"/>
  <c r="C2768" i="24"/>
  <c r="S2767" i="24"/>
  <c r="O2767" i="24"/>
  <c r="K2767" i="24"/>
  <c r="E2767" i="24"/>
  <c r="A2767" i="24"/>
  <c r="Q2766" i="24"/>
  <c r="M2766" i="24"/>
  <c r="G2766" i="24"/>
  <c r="C2766" i="24"/>
  <c r="S2765" i="24"/>
  <c r="O2765" i="24"/>
  <c r="K2765" i="24"/>
  <c r="E2765" i="24"/>
  <c r="A2765" i="24"/>
  <c r="Q2764" i="24"/>
  <c r="M2764" i="24"/>
  <c r="G2764" i="24"/>
  <c r="C2764" i="24"/>
  <c r="S2763" i="24"/>
  <c r="O2763" i="24"/>
  <c r="K2763" i="24"/>
  <c r="E2763" i="24"/>
  <c r="A2763" i="24"/>
  <c r="Q2762" i="24"/>
  <c r="M2762" i="24"/>
  <c r="G2762" i="24"/>
  <c r="C2762" i="24"/>
  <c r="S2761" i="24"/>
  <c r="O2761" i="24"/>
  <c r="K2761" i="24"/>
  <c r="E2761" i="24"/>
  <c r="A2761" i="24"/>
  <c r="Q2760" i="24"/>
  <c r="M2760" i="24"/>
  <c r="G2760" i="24"/>
  <c r="C2760" i="24"/>
  <c r="S2759" i="24"/>
  <c r="O2759" i="24"/>
  <c r="K2759" i="24"/>
  <c r="E2759" i="24"/>
  <c r="A2759" i="24"/>
  <c r="Q2758" i="24"/>
  <c r="M2758" i="24"/>
  <c r="G2758" i="24"/>
  <c r="C2758" i="24"/>
  <c r="S2757" i="24"/>
  <c r="O2757" i="24"/>
  <c r="K2757" i="24"/>
  <c r="E2757" i="24"/>
  <c r="A2757" i="24"/>
  <c r="Q2756" i="24"/>
  <c r="M2756" i="24"/>
  <c r="G2756" i="24"/>
  <c r="C2756" i="24"/>
  <c r="S2755" i="24"/>
  <c r="O2755" i="24"/>
  <c r="K2755" i="24"/>
  <c r="E2755" i="24"/>
  <c r="A2755" i="24"/>
  <c r="Q2754" i="24"/>
  <c r="M2754" i="24"/>
  <c r="G2754" i="24"/>
  <c r="C2754" i="24"/>
  <c r="S2753" i="24"/>
  <c r="O2753" i="24"/>
  <c r="K2753" i="24"/>
  <c r="E2753" i="24"/>
  <c r="A2753" i="24"/>
  <c r="Q2752" i="24"/>
  <c r="M2752" i="24"/>
  <c r="G2752" i="24"/>
  <c r="C2752" i="24"/>
  <c r="S2751" i="24"/>
  <c r="O2751" i="24"/>
  <c r="K2751" i="24"/>
  <c r="E2751" i="24"/>
  <c r="A2751" i="24"/>
  <c r="Q2750" i="24"/>
  <c r="M2750" i="24"/>
  <c r="G2750" i="24"/>
  <c r="C2750" i="24"/>
  <c r="S2749" i="24"/>
  <c r="O2749" i="24"/>
  <c r="K2749" i="24"/>
  <c r="E2749" i="24"/>
  <c r="A2749" i="24"/>
  <c r="Q2748" i="24"/>
  <c r="M2748" i="24"/>
  <c r="G2748" i="24"/>
  <c r="C2748" i="24"/>
  <c r="S2747" i="24"/>
  <c r="O2747" i="24"/>
  <c r="K2747" i="24"/>
  <c r="E2747" i="24"/>
  <c r="A2747" i="24"/>
  <c r="Q2746" i="24"/>
  <c r="M2746" i="24"/>
  <c r="G2746" i="24"/>
  <c r="C2746" i="24"/>
  <c r="S2745" i="24"/>
  <c r="O2745" i="24"/>
  <c r="K2745" i="24"/>
  <c r="E2745" i="24"/>
  <c r="A2745" i="24"/>
  <c r="Q2744" i="24"/>
  <c r="M2744" i="24"/>
  <c r="G2744" i="24"/>
  <c r="C2744" i="24"/>
  <c r="S2743" i="24"/>
  <c r="O2743" i="24"/>
  <c r="K2743" i="24"/>
  <c r="E2743" i="24"/>
  <c r="A2743" i="24"/>
  <c r="Q2742" i="24"/>
  <c r="M2742" i="24"/>
  <c r="G2742" i="24"/>
  <c r="C2742" i="24"/>
  <c r="S2741" i="24"/>
  <c r="O2741" i="24"/>
  <c r="K2741" i="24"/>
  <c r="E2741" i="24"/>
  <c r="A2741" i="24"/>
  <c r="Q2740" i="24"/>
  <c r="M2740" i="24"/>
  <c r="G2740" i="24"/>
  <c r="C2740" i="24"/>
  <c r="S2739" i="24"/>
  <c r="O2739" i="24"/>
  <c r="K2739" i="24"/>
  <c r="E2739" i="24"/>
  <c r="T2844" i="24"/>
  <c r="T2843" i="24"/>
  <c r="T2842" i="24"/>
  <c r="T2841" i="24"/>
  <c r="T2840" i="24"/>
  <c r="T2839" i="24"/>
  <c r="T2838" i="24"/>
  <c r="T2837" i="24"/>
  <c r="T2836" i="24"/>
  <c r="T2835" i="24"/>
  <c r="T2834" i="24"/>
  <c r="T2833" i="24"/>
  <c r="T2832" i="24"/>
  <c r="T2831" i="24"/>
  <c r="T2830" i="24"/>
  <c r="T2829" i="24"/>
  <c r="T2828" i="24"/>
  <c r="T2827" i="24"/>
  <c r="T2826" i="24"/>
  <c r="T2825" i="24"/>
  <c r="T2824" i="24"/>
  <c r="T2823" i="24"/>
  <c r="T2822" i="24"/>
  <c r="T2821" i="24"/>
  <c r="T2820" i="24"/>
  <c r="T2819" i="24"/>
  <c r="T2818" i="24"/>
  <c r="T2817" i="24"/>
  <c r="T2816" i="24"/>
  <c r="T2815" i="24"/>
  <c r="T2814" i="24"/>
  <c r="T2813" i="24"/>
  <c r="T2812" i="24"/>
  <c r="T2811" i="24"/>
  <c r="T2810" i="24"/>
  <c r="T2809" i="24"/>
  <c r="T2808" i="24"/>
  <c r="T2807" i="24"/>
  <c r="T2806" i="24"/>
  <c r="T2805" i="24"/>
  <c r="T2804" i="24"/>
  <c r="T2803" i="24"/>
  <c r="T2802" i="24"/>
  <c r="T2801" i="24"/>
  <c r="T2800" i="24"/>
  <c r="T2799" i="24"/>
  <c r="T2798" i="24"/>
  <c r="T2797" i="24"/>
  <c r="T2796" i="24"/>
  <c r="T2795" i="24"/>
  <c r="T2794" i="24"/>
  <c r="T2793" i="24"/>
  <c r="F2793" i="24"/>
  <c r="T2792" i="24"/>
  <c r="P2792" i="24"/>
  <c r="H2792" i="24"/>
  <c r="D2792" i="24"/>
  <c r="T2791" i="24"/>
  <c r="P2791" i="24"/>
  <c r="H2791" i="24"/>
  <c r="D2791" i="24"/>
  <c r="T2790" i="24"/>
  <c r="P2790" i="24"/>
  <c r="H2790" i="24"/>
  <c r="D2790" i="24"/>
  <c r="T2789" i="24"/>
  <c r="P2789" i="24"/>
  <c r="H2789" i="24"/>
  <c r="D2789" i="24"/>
  <c r="T2788" i="24"/>
  <c r="P2788" i="24"/>
  <c r="H2788" i="24"/>
  <c r="D2788" i="24"/>
  <c r="T2787" i="24"/>
  <c r="P2787" i="24"/>
  <c r="H2787" i="24"/>
  <c r="D2787" i="24"/>
  <c r="T2786" i="24"/>
  <c r="P2786" i="24"/>
  <c r="H2786" i="24"/>
  <c r="D2786" i="24"/>
  <c r="T2785" i="24"/>
  <c r="P2785" i="24"/>
  <c r="H2785" i="24"/>
  <c r="D2785" i="24"/>
  <c r="T2784" i="24"/>
  <c r="P2784" i="24"/>
  <c r="H2784" i="24"/>
  <c r="D2784" i="24"/>
  <c r="T2783" i="24"/>
  <c r="P2783" i="24"/>
  <c r="H2783" i="24"/>
  <c r="D2783" i="24"/>
  <c r="T2782" i="24"/>
  <c r="P2782" i="24"/>
  <c r="L2782" i="24"/>
  <c r="F2782" i="24"/>
  <c r="B2782" i="24"/>
  <c r="R2781" i="24"/>
  <c r="N2781" i="24"/>
  <c r="H2781" i="24"/>
  <c r="D2781" i="24"/>
  <c r="T2780" i="24"/>
  <c r="P2780" i="24"/>
  <c r="L2780" i="24"/>
  <c r="F2780" i="24"/>
  <c r="B2780" i="24"/>
  <c r="R2779" i="24"/>
  <c r="N2779" i="24"/>
  <c r="H2779" i="24"/>
  <c r="D2779" i="24"/>
  <c r="T2778" i="24"/>
  <c r="P2778" i="24"/>
  <c r="L2778" i="24"/>
  <c r="F2778" i="24"/>
  <c r="B2778" i="24"/>
  <c r="R2777" i="24"/>
  <c r="N2777" i="24"/>
  <c r="H2777" i="24"/>
  <c r="D2777" i="24"/>
  <c r="T2776" i="24"/>
  <c r="P2776" i="24"/>
  <c r="L2776" i="24"/>
  <c r="F2776" i="24"/>
  <c r="B2776" i="24"/>
  <c r="R2775" i="24"/>
  <c r="N2775" i="24"/>
  <c r="H2775" i="24"/>
  <c r="D2775" i="24"/>
  <c r="T2774" i="24"/>
  <c r="P2774" i="24"/>
  <c r="L2774" i="24"/>
  <c r="F2774" i="24"/>
  <c r="B2774" i="24"/>
  <c r="R2773" i="24"/>
  <c r="N2773" i="24"/>
  <c r="H2773" i="24"/>
  <c r="D2773" i="24"/>
  <c r="T2772" i="24"/>
  <c r="P2772" i="24"/>
  <c r="L2772" i="24"/>
  <c r="F2772" i="24"/>
  <c r="B2772" i="24"/>
  <c r="R2771" i="24"/>
  <c r="N2771" i="24"/>
  <c r="H2771" i="24"/>
  <c r="D2771" i="24"/>
  <c r="T2770" i="24"/>
  <c r="P2770" i="24"/>
  <c r="L2770" i="24"/>
  <c r="F2770" i="24"/>
  <c r="B2770" i="24"/>
  <c r="R2769" i="24"/>
  <c r="N2769" i="24"/>
  <c r="H2769" i="24"/>
  <c r="D2769" i="24"/>
  <c r="T2768" i="24"/>
  <c r="P2768" i="24"/>
  <c r="L2768" i="24"/>
  <c r="F2768" i="24"/>
  <c r="B2768" i="24"/>
  <c r="R2767" i="24"/>
  <c r="N2767" i="24"/>
  <c r="H2767" i="24"/>
  <c r="D2767" i="24"/>
  <c r="T2766" i="24"/>
  <c r="P2766" i="24"/>
  <c r="L2766" i="24"/>
  <c r="F2766" i="24"/>
  <c r="B2766" i="24"/>
  <c r="R2765" i="24"/>
  <c r="N2765" i="24"/>
  <c r="H2765" i="24"/>
  <c r="D2765" i="24"/>
  <c r="T2764" i="24"/>
  <c r="P2764" i="24"/>
  <c r="L2764" i="24"/>
  <c r="F2764" i="24"/>
  <c r="B2764" i="24"/>
  <c r="R2763" i="24"/>
  <c r="N2763" i="24"/>
  <c r="H2763" i="24"/>
  <c r="D2763" i="24"/>
  <c r="T2762" i="24"/>
  <c r="P2762" i="24"/>
  <c r="L2762" i="24"/>
  <c r="F2762" i="24"/>
  <c r="B2762" i="24"/>
  <c r="R2761" i="24"/>
  <c r="N2761" i="24"/>
  <c r="H2761" i="24"/>
  <c r="D2761" i="24"/>
  <c r="T2760" i="24"/>
  <c r="P2760" i="24"/>
  <c r="L2760" i="24"/>
  <c r="F2760" i="24"/>
  <c r="B2760" i="24"/>
  <c r="R2759" i="24"/>
  <c r="N2759" i="24"/>
  <c r="H2759" i="24"/>
  <c r="D2759" i="24"/>
  <c r="T2758" i="24"/>
  <c r="P2758" i="24"/>
  <c r="L2758" i="24"/>
  <c r="F2758" i="24"/>
  <c r="B2758" i="24"/>
  <c r="R2757" i="24"/>
  <c r="N2757" i="24"/>
  <c r="H2757" i="24"/>
  <c r="D2757" i="24"/>
  <c r="T2756" i="24"/>
  <c r="P2756" i="24"/>
  <c r="L2756" i="24"/>
  <c r="F2756" i="24"/>
  <c r="B2756" i="24"/>
  <c r="R2755" i="24"/>
  <c r="N2755" i="24"/>
  <c r="H2755" i="24"/>
  <c r="D2755" i="24"/>
  <c r="T2754" i="24"/>
  <c r="P2754" i="24"/>
  <c r="L2754" i="24"/>
  <c r="F2754" i="24"/>
  <c r="B2754" i="24"/>
  <c r="R2753" i="24"/>
  <c r="N2753" i="24"/>
  <c r="H2753" i="24"/>
  <c r="D2753" i="24"/>
  <c r="T2752" i="24"/>
  <c r="P2752" i="24"/>
  <c r="L2752" i="24"/>
  <c r="F2752" i="24"/>
  <c r="B2752" i="24"/>
  <c r="R2751" i="24"/>
  <c r="N2751" i="24"/>
  <c r="H2751" i="24"/>
  <c r="D2751" i="24"/>
  <c r="T2750" i="24"/>
  <c r="P2750" i="24"/>
  <c r="L2750" i="24"/>
  <c r="F2750" i="24"/>
  <c r="B2750" i="24"/>
  <c r="R2749" i="24"/>
  <c r="N2749" i="24"/>
  <c r="H2749" i="24"/>
  <c r="D2749" i="24"/>
  <c r="T2748" i="24"/>
  <c r="P2748" i="24"/>
  <c r="L2748" i="24"/>
  <c r="F2748" i="24"/>
  <c r="B2748" i="24"/>
  <c r="R2747" i="24"/>
  <c r="N2747" i="24"/>
  <c r="H2747" i="24"/>
  <c r="D2747" i="24"/>
  <c r="T2746" i="24"/>
  <c r="P2746" i="24"/>
  <c r="L2746" i="24"/>
  <c r="F2746" i="24"/>
  <c r="B2746" i="24"/>
  <c r="R2745" i="24"/>
  <c r="N2745" i="24"/>
  <c r="H2745" i="24"/>
  <c r="D2745" i="24"/>
  <c r="T2744" i="24"/>
  <c r="P2744" i="24"/>
  <c r="L2744" i="24"/>
  <c r="F2744" i="24"/>
  <c r="B2744" i="24"/>
  <c r="R2743" i="24"/>
  <c r="N2743" i="24"/>
  <c r="H2743" i="24"/>
  <c r="D2743" i="24"/>
  <c r="T2742" i="24"/>
  <c r="P2742" i="24"/>
  <c r="L2742" i="24"/>
  <c r="F2742" i="24"/>
  <c r="B2742" i="24"/>
  <c r="R2741" i="24"/>
  <c r="N2741" i="24"/>
  <c r="H2741" i="24"/>
  <c r="D2741" i="24"/>
  <c r="T2740" i="24"/>
  <c r="P2740" i="24"/>
  <c r="L2740" i="24"/>
  <c r="F2740" i="24"/>
  <c r="B2740" i="24"/>
  <c r="R2739" i="24"/>
  <c r="N2739" i="24"/>
  <c r="P2844" i="24"/>
  <c r="P2843" i="24"/>
  <c r="P2842" i="24"/>
  <c r="P2841" i="24"/>
  <c r="P2840" i="24"/>
  <c r="P2839" i="24"/>
  <c r="P2838" i="24"/>
  <c r="P2837" i="24"/>
  <c r="P2836" i="24"/>
  <c r="P2835" i="24"/>
  <c r="P2834" i="24"/>
  <c r="P2833" i="24"/>
  <c r="P2832" i="24"/>
  <c r="P2831" i="24"/>
  <c r="P2830" i="24"/>
  <c r="P2829" i="24"/>
  <c r="P2828" i="24"/>
  <c r="P2827" i="24"/>
  <c r="P2826" i="24"/>
  <c r="P2825" i="24"/>
  <c r="P2824" i="24"/>
  <c r="P2823" i="24"/>
  <c r="P2822" i="24"/>
  <c r="P2821" i="24"/>
  <c r="P2820" i="24"/>
  <c r="P2819" i="24"/>
  <c r="P2818" i="24"/>
  <c r="P2817" i="24"/>
  <c r="P2816" i="24"/>
  <c r="P2815" i="24"/>
  <c r="P2814" i="24"/>
  <c r="P2813" i="24"/>
  <c r="P2812" i="24"/>
  <c r="P2811" i="24"/>
  <c r="P2810" i="24"/>
  <c r="P2809" i="24"/>
  <c r="P2808" i="24"/>
  <c r="P2807" i="24"/>
  <c r="P2806" i="24"/>
  <c r="P2805" i="24"/>
  <c r="P2804" i="24"/>
  <c r="P2803" i="24"/>
  <c r="P2802" i="24"/>
  <c r="P2801" i="24"/>
  <c r="P2800" i="24"/>
  <c r="P2799" i="24"/>
  <c r="P2798" i="24"/>
  <c r="P2797" i="24"/>
  <c r="P2796" i="24"/>
  <c r="P2795" i="24"/>
  <c r="P2794" i="24"/>
  <c r="P2793" i="24"/>
  <c r="D2793" i="24"/>
  <c r="S2792" i="24"/>
  <c r="O2792" i="24"/>
  <c r="G2792" i="24"/>
  <c r="C2792" i="24"/>
  <c r="S2791" i="24"/>
  <c r="O2791" i="24"/>
  <c r="G2791" i="24"/>
  <c r="C2791" i="24"/>
  <c r="S2790" i="24"/>
  <c r="O2790" i="24"/>
  <c r="G2790" i="24"/>
  <c r="C2790" i="24"/>
  <c r="S2789" i="24"/>
  <c r="O2789" i="24"/>
  <c r="G2789" i="24"/>
  <c r="C2789" i="24"/>
  <c r="S2788" i="24"/>
  <c r="O2788" i="24"/>
  <c r="G2788" i="24"/>
  <c r="C2788" i="24"/>
  <c r="S2787" i="24"/>
  <c r="O2787" i="24"/>
  <c r="G2787" i="24"/>
  <c r="C2787" i="24"/>
  <c r="S2786" i="24"/>
  <c r="O2786" i="24"/>
  <c r="G2786" i="24"/>
  <c r="C2786" i="24"/>
  <c r="S2785" i="24"/>
  <c r="O2785" i="24"/>
  <c r="G2785" i="24"/>
  <c r="C2785" i="24"/>
  <c r="S2784" i="24"/>
  <c r="O2784" i="24"/>
  <c r="G2784" i="24"/>
  <c r="C2784" i="24"/>
  <c r="S2783" i="24"/>
  <c r="O2783" i="24"/>
  <c r="G2783" i="24"/>
  <c r="C2783" i="24"/>
  <c r="S2782" i="24"/>
  <c r="O2782" i="24"/>
  <c r="K2782" i="24"/>
  <c r="E2782" i="24"/>
  <c r="A2782" i="24"/>
  <c r="Q2781" i="24"/>
  <c r="M2781" i="24"/>
  <c r="G2781" i="24"/>
  <c r="C2781" i="24"/>
  <c r="S2780" i="24"/>
  <c r="O2780" i="24"/>
  <c r="K2780" i="24"/>
  <c r="E2780" i="24"/>
  <c r="A2780" i="24"/>
  <c r="Q2779" i="24"/>
  <c r="M2779" i="24"/>
  <c r="G2779" i="24"/>
  <c r="C2779" i="24"/>
  <c r="S2778" i="24"/>
  <c r="O2778" i="24"/>
  <c r="K2778" i="24"/>
  <c r="E2778" i="24"/>
  <c r="A2778" i="24"/>
  <c r="Q2777" i="24"/>
  <c r="M2777" i="24"/>
  <c r="G2777" i="24"/>
  <c r="C2777" i="24"/>
  <c r="S2776" i="24"/>
  <c r="O2776" i="24"/>
  <c r="K2776" i="24"/>
  <c r="E2776" i="24"/>
  <c r="A2776" i="24"/>
  <c r="Q2775" i="24"/>
  <c r="M2775" i="24"/>
  <c r="G2775" i="24"/>
  <c r="C2775" i="24"/>
  <c r="S2774" i="24"/>
  <c r="O2774" i="24"/>
  <c r="K2774" i="24"/>
  <c r="E2774" i="24"/>
  <c r="A2774" i="24"/>
  <c r="Q2773" i="24"/>
  <c r="M2773" i="24"/>
  <c r="G2773" i="24"/>
  <c r="C2773" i="24"/>
  <c r="S2772" i="24"/>
  <c r="O2772" i="24"/>
  <c r="K2772" i="24"/>
  <c r="E2772" i="24"/>
  <c r="A2772" i="24"/>
  <c r="Q2771" i="24"/>
  <c r="M2771" i="24"/>
  <c r="G2771" i="24"/>
  <c r="C2771" i="24"/>
  <c r="S2770" i="24"/>
  <c r="O2770" i="24"/>
  <c r="K2770" i="24"/>
  <c r="E2770" i="24"/>
  <c r="A2770" i="24"/>
  <c r="Q2769" i="24"/>
  <c r="M2769" i="24"/>
  <c r="G2769" i="24"/>
  <c r="C2769" i="24"/>
  <c r="S2768" i="24"/>
  <c r="O2768" i="24"/>
  <c r="K2768" i="24"/>
  <c r="E2768" i="24"/>
  <c r="A2768" i="24"/>
  <c r="Q2767" i="24"/>
  <c r="M2767" i="24"/>
  <c r="G2767" i="24"/>
  <c r="C2767" i="24"/>
  <c r="S2766" i="24"/>
  <c r="O2766" i="24"/>
  <c r="K2766" i="24"/>
  <c r="E2766" i="24"/>
  <c r="A2766" i="24"/>
  <c r="Q2765" i="24"/>
  <c r="M2765" i="24"/>
  <c r="G2765" i="24"/>
  <c r="C2765" i="24"/>
  <c r="S2764" i="24"/>
  <c r="O2764" i="24"/>
  <c r="K2764" i="24"/>
  <c r="E2764" i="24"/>
  <c r="A2764" i="24"/>
  <c r="Q2763" i="24"/>
  <c r="M2763" i="24"/>
  <c r="G2763" i="24"/>
  <c r="C2763" i="24"/>
  <c r="S2762" i="24"/>
  <c r="O2762" i="24"/>
  <c r="K2762" i="24"/>
  <c r="E2762" i="24"/>
  <c r="A2762" i="24"/>
  <c r="Q2761" i="24"/>
  <c r="M2761" i="24"/>
  <c r="G2761" i="24"/>
  <c r="C2761" i="24"/>
  <c r="S2760" i="24"/>
  <c r="O2760" i="24"/>
  <c r="K2760" i="24"/>
  <c r="E2760" i="24"/>
  <c r="A2760" i="24"/>
  <c r="Q2759" i="24"/>
  <c r="M2759" i="24"/>
  <c r="G2759" i="24"/>
  <c r="C2759" i="24"/>
  <c r="S2758" i="24"/>
  <c r="O2758" i="24"/>
  <c r="K2758" i="24"/>
  <c r="E2758" i="24"/>
  <c r="A2758" i="24"/>
  <c r="Q2757" i="24"/>
  <c r="M2757" i="24"/>
  <c r="G2757" i="24"/>
  <c r="C2757" i="24"/>
  <c r="S2756" i="24"/>
  <c r="O2756" i="24"/>
  <c r="K2756" i="24"/>
  <c r="E2756" i="24"/>
  <c r="A2756" i="24"/>
  <c r="Q2755" i="24"/>
  <c r="M2755" i="24"/>
  <c r="G2755" i="24"/>
  <c r="C2755" i="24"/>
  <c r="S2754" i="24"/>
  <c r="O2754" i="24"/>
  <c r="K2754" i="24"/>
  <c r="E2754" i="24"/>
  <c r="A2754" i="24"/>
  <c r="Q2753" i="24"/>
  <c r="M2753" i="24"/>
  <c r="G2753" i="24"/>
  <c r="C2753" i="24"/>
  <c r="S2752" i="24"/>
  <c r="O2752" i="24"/>
  <c r="K2752" i="24"/>
  <c r="E2752" i="24"/>
  <c r="A2752" i="24"/>
  <c r="Q2751" i="24"/>
  <c r="M2751" i="24"/>
  <c r="G2751" i="24"/>
  <c r="C2751" i="24"/>
  <c r="S2750" i="24"/>
  <c r="O2750" i="24"/>
  <c r="K2750" i="24"/>
  <c r="E2750" i="24"/>
  <c r="A2750" i="24"/>
  <c r="Q2749" i="24"/>
  <c r="M2749" i="24"/>
  <c r="G2749" i="24"/>
  <c r="C2749" i="24"/>
  <c r="S2748" i="24"/>
  <c r="O2748" i="24"/>
  <c r="K2748" i="24"/>
  <c r="E2748" i="24"/>
  <c r="A2748" i="24"/>
  <c r="Q2747" i="24"/>
  <c r="M2747" i="24"/>
  <c r="G2747" i="24"/>
  <c r="C2747" i="24"/>
  <c r="S2746" i="24"/>
  <c r="A2746" i="24"/>
  <c r="C2745" i="24"/>
  <c r="E2744" i="24"/>
  <c r="G2743" i="24"/>
  <c r="K2742" i="24"/>
  <c r="M2741" i="24"/>
  <c r="O2740" i="24"/>
  <c r="Q2739" i="24"/>
  <c r="D2739" i="24"/>
  <c r="T2738" i="24"/>
  <c r="P2738" i="24"/>
  <c r="L2738" i="24"/>
  <c r="F2738" i="24"/>
  <c r="B2738" i="24"/>
  <c r="R2737" i="24"/>
  <c r="N2737" i="24"/>
  <c r="H2737" i="24"/>
  <c r="D2737" i="24"/>
  <c r="T2736" i="24"/>
  <c r="P2736" i="24"/>
  <c r="L2736" i="24"/>
  <c r="F2736" i="24"/>
  <c r="B2736" i="24"/>
  <c r="R2735" i="24"/>
  <c r="N2735" i="24"/>
  <c r="H2735" i="24"/>
  <c r="D2735" i="24"/>
  <c r="T2734" i="24"/>
  <c r="P2734" i="24"/>
  <c r="L2734" i="24"/>
  <c r="F2734" i="24"/>
  <c r="B2734" i="24"/>
  <c r="R2733" i="24"/>
  <c r="N2733" i="24"/>
  <c r="H2733" i="24"/>
  <c r="D2733" i="24"/>
  <c r="T2732" i="24"/>
  <c r="P2732" i="24"/>
  <c r="L2732" i="24"/>
  <c r="F2732" i="24"/>
  <c r="B2732" i="24"/>
  <c r="R2731" i="24"/>
  <c r="N2731" i="24"/>
  <c r="H2731" i="24"/>
  <c r="D2731" i="24"/>
  <c r="T2730" i="24"/>
  <c r="P2730" i="24"/>
  <c r="L2730" i="24"/>
  <c r="F2730" i="24"/>
  <c r="B2730" i="24"/>
  <c r="R2729" i="24"/>
  <c r="N2729" i="24"/>
  <c r="H2729" i="24"/>
  <c r="D2729" i="24"/>
  <c r="T2728" i="24"/>
  <c r="P2728" i="24"/>
  <c r="L2728" i="24"/>
  <c r="F2728" i="24"/>
  <c r="B2728" i="24"/>
  <c r="R2727" i="24"/>
  <c r="N2727" i="24"/>
  <c r="H2727" i="24"/>
  <c r="D2727" i="24"/>
  <c r="T2726" i="24"/>
  <c r="P2726" i="24"/>
  <c r="L2726" i="24"/>
  <c r="F2726" i="24"/>
  <c r="B2726" i="24"/>
  <c r="R2725" i="24"/>
  <c r="N2725" i="24"/>
  <c r="H2725" i="24"/>
  <c r="D2725" i="24"/>
  <c r="T2724" i="24"/>
  <c r="P2724" i="24"/>
  <c r="L2724" i="24"/>
  <c r="F2724" i="24"/>
  <c r="B2724" i="24"/>
  <c r="R2723" i="24"/>
  <c r="N2723" i="24"/>
  <c r="H2723" i="24"/>
  <c r="D2723" i="24"/>
  <c r="T2722" i="24"/>
  <c r="P2722" i="24"/>
  <c r="L2722" i="24"/>
  <c r="F2722" i="24"/>
  <c r="B2722" i="24"/>
  <c r="R2721" i="24"/>
  <c r="N2721" i="24"/>
  <c r="H2721" i="24"/>
  <c r="D2721" i="24"/>
  <c r="T2720" i="24"/>
  <c r="P2720" i="24"/>
  <c r="L2720" i="24"/>
  <c r="F2720" i="24"/>
  <c r="B2720" i="24"/>
  <c r="R2719" i="24"/>
  <c r="N2719" i="24"/>
  <c r="H2719" i="24"/>
  <c r="D2719" i="24"/>
  <c r="T2718" i="24"/>
  <c r="P2718" i="24"/>
  <c r="L2718" i="24"/>
  <c r="F2718" i="24"/>
  <c r="B2718" i="24"/>
  <c r="R2717" i="24"/>
  <c r="N2717" i="24"/>
  <c r="H2717" i="24"/>
  <c r="D2717" i="24"/>
  <c r="T2716" i="24"/>
  <c r="P2716" i="24"/>
  <c r="L2716" i="24"/>
  <c r="F2716" i="24"/>
  <c r="B2716" i="24"/>
  <c r="R2715" i="24"/>
  <c r="N2715" i="24"/>
  <c r="H2715" i="24"/>
  <c r="D2715" i="24"/>
  <c r="T2714" i="24"/>
  <c r="P2714" i="24"/>
  <c r="L2714" i="24"/>
  <c r="F2714" i="24"/>
  <c r="B2714" i="24"/>
  <c r="R2713" i="24"/>
  <c r="N2713" i="24"/>
  <c r="H2713" i="24"/>
  <c r="D2713" i="24"/>
  <c r="T2712" i="24"/>
  <c r="P2712" i="24"/>
  <c r="L2712" i="24"/>
  <c r="F2712" i="24"/>
  <c r="B2712" i="24"/>
  <c r="R2711" i="24"/>
  <c r="N2711" i="24"/>
  <c r="H2711" i="24"/>
  <c r="D2711" i="24"/>
  <c r="T2710" i="24"/>
  <c r="P2710" i="24"/>
  <c r="L2710" i="24"/>
  <c r="F2710" i="24"/>
  <c r="B2710" i="24"/>
  <c r="R2709" i="24"/>
  <c r="N2709" i="24"/>
  <c r="H2709" i="24"/>
  <c r="D2709" i="24"/>
  <c r="T2708" i="24"/>
  <c r="P2708" i="24"/>
  <c r="L2708" i="24"/>
  <c r="F2708" i="24"/>
  <c r="B2708" i="24"/>
  <c r="R2707" i="24"/>
  <c r="N2707" i="24"/>
  <c r="H2707" i="24"/>
  <c r="D2707" i="24"/>
  <c r="T2706" i="24"/>
  <c r="P2706" i="24"/>
  <c r="L2706" i="24"/>
  <c r="F2706" i="24"/>
  <c r="B2706" i="24"/>
  <c r="R2705" i="24"/>
  <c r="N2705" i="24"/>
  <c r="H2705" i="24"/>
  <c r="D2705" i="24"/>
  <c r="T2704" i="24"/>
  <c r="P2704" i="24"/>
  <c r="L2704" i="24"/>
  <c r="F2704" i="24"/>
  <c r="B2704" i="24"/>
  <c r="R2703" i="24"/>
  <c r="N2703" i="24"/>
  <c r="H2703" i="24"/>
  <c r="D2703" i="24"/>
  <c r="T2702" i="24"/>
  <c r="P2702" i="24"/>
  <c r="L2702" i="24"/>
  <c r="F2702" i="24"/>
  <c r="B2702" i="24"/>
  <c r="R2701" i="24"/>
  <c r="N2701" i="24"/>
  <c r="H2701" i="24"/>
  <c r="D2701" i="24"/>
  <c r="T2700" i="24"/>
  <c r="P2700" i="24"/>
  <c r="L2700" i="24"/>
  <c r="F2700" i="24"/>
  <c r="B2700" i="24"/>
  <c r="R2699" i="24"/>
  <c r="N2699" i="24"/>
  <c r="H2699" i="24"/>
  <c r="D2699" i="24"/>
  <c r="T2698" i="24"/>
  <c r="P2698" i="24"/>
  <c r="L2698" i="24"/>
  <c r="F2698" i="24"/>
  <c r="B2698" i="24"/>
  <c r="R2697" i="24"/>
  <c r="N2697" i="24"/>
  <c r="H2697" i="24"/>
  <c r="D2697" i="24"/>
  <c r="T2696" i="24"/>
  <c r="P2696" i="24"/>
  <c r="L2696" i="24"/>
  <c r="F2696" i="24"/>
  <c r="B2696" i="24"/>
  <c r="R2695" i="24"/>
  <c r="N2695" i="24"/>
  <c r="H2695" i="24"/>
  <c r="D2695" i="24"/>
  <c r="T2694" i="24"/>
  <c r="P2694" i="24"/>
  <c r="L2694" i="24"/>
  <c r="F2694" i="24"/>
  <c r="B2694" i="24"/>
  <c r="R2693" i="24"/>
  <c r="N2693" i="24"/>
  <c r="H2693" i="24"/>
  <c r="D2693" i="24"/>
  <c r="T2692" i="24"/>
  <c r="P2692" i="24"/>
  <c r="L2692" i="24"/>
  <c r="F2692" i="24"/>
  <c r="B2692" i="24"/>
  <c r="R2691" i="24"/>
  <c r="N2691" i="24"/>
  <c r="H2691" i="24"/>
  <c r="D2691" i="24"/>
  <c r="T2690" i="24"/>
  <c r="P2690" i="24"/>
  <c r="L2690" i="24"/>
  <c r="F2690" i="24"/>
  <c r="B2690" i="24"/>
  <c r="R2689" i="24"/>
  <c r="N2689" i="24"/>
  <c r="H2689" i="24"/>
  <c r="D2689" i="24"/>
  <c r="T2688" i="24"/>
  <c r="P2688" i="24"/>
  <c r="L2688" i="24"/>
  <c r="F2688" i="24"/>
  <c r="B2688" i="24"/>
  <c r="R2687" i="24"/>
  <c r="N2687" i="24"/>
  <c r="H2687" i="24"/>
  <c r="D2687" i="24"/>
  <c r="T2686" i="24"/>
  <c r="P2686" i="24"/>
  <c r="L2686" i="24"/>
  <c r="F2686" i="24"/>
  <c r="B2686" i="24"/>
  <c r="R2685" i="24"/>
  <c r="N2685" i="24"/>
  <c r="H2685" i="24"/>
  <c r="D2685" i="24"/>
  <c r="T2684" i="24"/>
  <c r="P2684" i="24"/>
  <c r="L2684" i="24"/>
  <c r="F2684" i="24"/>
  <c r="B2684" i="24"/>
  <c r="R2683" i="24"/>
  <c r="N2683" i="24"/>
  <c r="H2683" i="24"/>
  <c r="D2683" i="24"/>
  <c r="T2682" i="24"/>
  <c r="P2682" i="24"/>
  <c r="L2682" i="24"/>
  <c r="F2682" i="24"/>
  <c r="B2682" i="24"/>
  <c r="R2681" i="24"/>
  <c r="N2681" i="24"/>
  <c r="H2681" i="24"/>
  <c r="D2681" i="24"/>
  <c r="T2680" i="24"/>
  <c r="P2680" i="24"/>
  <c r="L2680" i="24"/>
  <c r="F2680" i="24"/>
  <c r="B2680" i="24"/>
  <c r="R2679" i="24"/>
  <c r="N2679" i="24"/>
  <c r="H2679" i="24"/>
  <c r="D2679" i="24"/>
  <c r="T2678" i="24"/>
  <c r="P2678" i="24"/>
  <c r="L2678" i="24"/>
  <c r="F2678" i="24"/>
  <c r="B2678" i="24"/>
  <c r="R2677" i="24"/>
  <c r="N2677" i="24"/>
  <c r="H2677" i="24"/>
  <c r="D2677" i="24"/>
  <c r="T2676" i="24"/>
  <c r="P2676" i="24"/>
  <c r="L2676" i="24"/>
  <c r="F2676" i="24"/>
  <c r="B2676" i="24"/>
  <c r="R2675" i="24"/>
  <c r="N2675" i="24"/>
  <c r="H2675" i="24"/>
  <c r="D2675" i="24"/>
  <c r="T2674" i="24"/>
  <c r="P2674" i="24"/>
  <c r="L2674" i="24"/>
  <c r="F2674" i="24"/>
  <c r="B2674" i="24"/>
  <c r="R2673" i="24"/>
  <c r="N2673" i="24"/>
  <c r="H2673" i="24"/>
  <c r="D2673" i="24"/>
  <c r="T2672" i="24"/>
  <c r="P2672" i="24"/>
  <c r="L2672" i="24"/>
  <c r="F2672" i="24"/>
  <c r="B2672" i="24"/>
  <c r="R2671" i="24"/>
  <c r="N2671" i="24"/>
  <c r="H2671" i="24"/>
  <c r="D2671" i="24"/>
  <c r="T2670" i="24"/>
  <c r="P2670" i="24"/>
  <c r="L2670" i="24"/>
  <c r="F2670" i="24"/>
  <c r="B2670" i="24"/>
  <c r="R2669" i="24"/>
  <c r="N2669" i="24"/>
  <c r="H2669" i="24"/>
  <c r="D2669" i="24"/>
  <c r="T2668" i="24"/>
  <c r="P2668" i="24"/>
  <c r="L2668" i="24"/>
  <c r="F2668" i="24"/>
  <c r="B2668" i="24"/>
  <c r="R2667" i="24"/>
  <c r="N2667" i="24"/>
  <c r="H2667" i="24"/>
  <c r="D2667" i="24"/>
  <c r="T2666" i="24"/>
  <c r="P2666" i="24"/>
  <c r="L2666" i="24"/>
  <c r="F2666" i="24"/>
  <c r="B2666" i="24"/>
  <c r="R2665" i="24"/>
  <c r="N2665" i="24"/>
  <c r="H2665" i="24"/>
  <c r="D2665" i="24"/>
  <c r="T2664" i="24"/>
  <c r="P2664" i="24"/>
  <c r="L2664" i="24"/>
  <c r="F2664" i="24"/>
  <c r="B2664" i="24"/>
  <c r="R2663" i="24"/>
  <c r="N2663" i="24"/>
  <c r="H2663" i="24"/>
  <c r="D2663" i="24"/>
  <c r="T2662" i="24"/>
  <c r="P2662" i="24"/>
  <c r="L2662" i="24"/>
  <c r="F2662" i="24"/>
  <c r="B2662" i="24"/>
  <c r="R2661" i="24"/>
  <c r="N2661" i="24"/>
  <c r="H2661" i="24"/>
  <c r="D2661" i="24"/>
  <c r="T2660" i="24"/>
  <c r="P2660" i="24"/>
  <c r="L2660" i="24"/>
  <c r="F2660" i="24"/>
  <c r="B2660" i="24"/>
  <c r="R2659" i="24"/>
  <c r="N2659" i="24"/>
  <c r="H2659" i="24"/>
  <c r="D2659" i="24"/>
  <c r="T2658" i="24"/>
  <c r="P2658" i="24"/>
  <c r="L2658" i="24"/>
  <c r="F2658" i="24"/>
  <c r="B2658" i="24"/>
  <c r="R2657" i="24"/>
  <c r="N2657" i="24"/>
  <c r="H2657" i="24"/>
  <c r="D2657" i="24"/>
  <c r="T2656" i="24"/>
  <c r="P2656" i="24"/>
  <c r="L2656" i="24"/>
  <c r="F2656" i="24"/>
  <c r="B2656" i="24"/>
  <c r="R2655" i="24"/>
  <c r="N2655" i="24"/>
  <c r="H2655" i="24"/>
  <c r="D2655" i="24"/>
  <c r="T2654" i="24"/>
  <c r="P2654" i="24"/>
  <c r="L2654" i="24"/>
  <c r="F2654" i="24"/>
  <c r="B2654" i="24"/>
  <c r="R2653" i="24"/>
  <c r="N2653" i="24"/>
  <c r="H2653" i="24"/>
  <c r="D2653" i="24"/>
  <c r="T2652" i="24"/>
  <c r="P2652" i="24"/>
  <c r="L2652" i="24"/>
  <c r="F2652" i="24"/>
  <c r="B2652" i="24"/>
  <c r="R2651" i="24"/>
  <c r="N2651" i="24"/>
  <c r="H2651" i="24"/>
  <c r="D2651" i="24"/>
  <c r="T2650" i="24"/>
  <c r="P2650" i="24"/>
  <c r="L2650" i="24"/>
  <c r="F2650" i="24"/>
  <c r="B2650" i="24"/>
  <c r="R2649" i="24"/>
  <c r="N2649" i="24"/>
  <c r="H2649" i="24"/>
  <c r="D2649" i="24"/>
  <c r="T2648" i="24"/>
  <c r="P2648" i="24"/>
  <c r="L2648" i="24"/>
  <c r="F2648" i="24"/>
  <c r="B2648" i="24"/>
  <c r="R2647" i="24"/>
  <c r="N2647" i="24"/>
  <c r="H2647" i="24"/>
  <c r="D2647" i="24"/>
  <c r="T2646" i="24"/>
  <c r="P2646" i="24"/>
  <c r="L2646" i="24"/>
  <c r="F2646" i="24"/>
  <c r="B2646" i="24"/>
  <c r="R2645" i="24"/>
  <c r="N2645" i="24"/>
  <c r="H2645" i="24"/>
  <c r="D2645" i="24"/>
  <c r="T2644" i="24"/>
  <c r="P2644" i="24"/>
  <c r="L2644" i="24"/>
  <c r="F2644" i="24"/>
  <c r="B2644" i="24"/>
  <c r="R2643" i="24"/>
  <c r="N2643" i="24"/>
  <c r="H2643" i="24"/>
  <c r="D2643" i="24"/>
  <c r="T2642" i="24"/>
  <c r="P2642" i="24"/>
  <c r="L2642" i="24"/>
  <c r="F2642" i="24"/>
  <c r="B2642" i="24"/>
  <c r="R2641" i="24"/>
  <c r="N2641" i="24"/>
  <c r="H2641" i="24"/>
  <c r="D2641" i="24"/>
  <c r="T2640" i="24"/>
  <c r="P2640" i="24"/>
  <c r="L2640" i="24"/>
  <c r="F2640" i="24"/>
  <c r="B2640" i="24"/>
  <c r="R2639" i="24"/>
  <c r="N2639" i="24"/>
  <c r="H2639" i="24"/>
  <c r="D2639" i="24"/>
  <c r="T2638" i="24"/>
  <c r="P2638" i="24"/>
  <c r="L2638" i="24"/>
  <c r="F2638" i="24"/>
  <c r="B2638" i="24"/>
  <c r="R2637" i="24"/>
  <c r="N2637" i="24"/>
  <c r="H2637" i="24"/>
  <c r="D2637" i="24"/>
  <c r="T2636" i="24"/>
  <c r="P2636" i="24"/>
  <c r="L2636" i="24"/>
  <c r="F2636" i="24"/>
  <c r="B2636" i="24"/>
  <c r="R2635" i="24"/>
  <c r="N2635" i="24"/>
  <c r="H2635" i="24"/>
  <c r="D2635" i="24"/>
  <c r="T2634" i="24"/>
  <c r="P2634" i="24"/>
  <c r="L2634" i="24"/>
  <c r="F2634" i="24"/>
  <c r="B2634" i="24"/>
  <c r="R2633" i="24"/>
  <c r="N2633" i="24"/>
  <c r="H2633" i="24"/>
  <c r="D2633" i="24"/>
  <c r="T2632" i="24"/>
  <c r="P2632" i="24"/>
  <c r="L2632" i="24"/>
  <c r="F2632" i="24"/>
  <c r="B2632" i="24"/>
  <c r="R2631" i="24"/>
  <c r="N2631" i="24"/>
  <c r="H2631" i="24"/>
  <c r="D2631" i="24"/>
  <c r="T2630" i="24"/>
  <c r="P2630" i="24"/>
  <c r="L2630" i="24"/>
  <c r="F2630" i="24"/>
  <c r="B2630" i="24"/>
  <c r="R2629" i="24"/>
  <c r="N2629" i="24"/>
  <c r="H2629" i="24"/>
  <c r="D2629" i="24"/>
  <c r="T2628" i="24"/>
  <c r="P2628" i="24"/>
  <c r="L2628" i="24"/>
  <c r="F2628" i="24"/>
  <c r="B2628" i="24"/>
  <c r="R2627" i="24"/>
  <c r="O2746" i="24"/>
  <c r="Q2745" i="24"/>
  <c r="S2744" i="24"/>
  <c r="A2744" i="24"/>
  <c r="C2743" i="24"/>
  <c r="E2742" i="24"/>
  <c r="G2741" i="24"/>
  <c r="K2740" i="24"/>
  <c r="M2739" i="24"/>
  <c r="C2739" i="24"/>
  <c r="S2738" i="24"/>
  <c r="O2738" i="24"/>
  <c r="K2738" i="24"/>
  <c r="E2738" i="24"/>
  <c r="A2738" i="24"/>
  <c r="Q2737" i="24"/>
  <c r="M2737" i="24"/>
  <c r="G2737" i="24"/>
  <c r="C2737" i="24"/>
  <c r="S2736" i="24"/>
  <c r="O2736" i="24"/>
  <c r="K2736" i="24"/>
  <c r="E2736" i="24"/>
  <c r="A2736" i="24"/>
  <c r="Q2735" i="24"/>
  <c r="M2735" i="24"/>
  <c r="G2735" i="24"/>
  <c r="C2735" i="24"/>
  <c r="S2734" i="24"/>
  <c r="O2734" i="24"/>
  <c r="K2734" i="24"/>
  <c r="E2734" i="24"/>
  <c r="A2734" i="24"/>
  <c r="Q2733" i="24"/>
  <c r="M2733" i="24"/>
  <c r="G2733" i="24"/>
  <c r="C2733" i="24"/>
  <c r="S2732" i="24"/>
  <c r="O2732" i="24"/>
  <c r="K2732" i="24"/>
  <c r="E2732" i="24"/>
  <c r="A2732" i="24"/>
  <c r="Q2731" i="24"/>
  <c r="M2731" i="24"/>
  <c r="G2731" i="24"/>
  <c r="C2731" i="24"/>
  <c r="S2730" i="24"/>
  <c r="O2730" i="24"/>
  <c r="K2730" i="24"/>
  <c r="E2730" i="24"/>
  <c r="A2730" i="24"/>
  <c r="Q2729" i="24"/>
  <c r="M2729" i="24"/>
  <c r="G2729" i="24"/>
  <c r="C2729" i="24"/>
  <c r="S2728" i="24"/>
  <c r="O2728" i="24"/>
  <c r="K2728" i="24"/>
  <c r="E2728" i="24"/>
  <c r="A2728" i="24"/>
  <c r="Q2727" i="24"/>
  <c r="M2727" i="24"/>
  <c r="G2727" i="24"/>
  <c r="C2727" i="24"/>
  <c r="S2726" i="24"/>
  <c r="O2726" i="24"/>
  <c r="K2726" i="24"/>
  <c r="E2726" i="24"/>
  <c r="A2726" i="24"/>
  <c r="Q2725" i="24"/>
  <c r="M2725" i="24"/>
  <c r="G2725" i="24"/>
  <c r="C2725" i="24"/>
  <c r="S2724" i="24"/>
  <c r="O2724" i="24"/>
  <c r="K2724" i="24"/>
  <c r="E2724" i="24"/>
  <c r="A2724" i="24"/>
  <c r="Q2723" i="24"/>
  <c r="M2723" i="24"/>
  <c r="G2723" i="24"/>
  <c r="C2723" i="24"/>
  <c r="S2722" i="24"/>
  <c r="O2722" i="24"/>
  <c r="K2722" i="24"/>
  <c r="E2722" i="24"/>
  <c r="A2722" i="24"/>
  <c r="Q2721" i="24"/>
  <c r="M2721" i="24"/>
  <c r="G2721" i="24"/>
  <c r="C2721" i="24"/>
  <c r="S2720" i="24"/>
  <c r="O2720" i="24"/>
  <c r="K2720" i="24"/>
  <c r="E2720" i="24"/>
  <c r="A2720" i="24"/>
  <c r="Q2719" i="24"/>
  <c r="M2719" i="24"/>
  <c r="G2719" i="24"/>
  <c r="C2719" i="24"/>
  <c r="S2718" i="24"/>
  <c r="O2718" i="24"/>
  <c r="K2718" i="24"/>
  <c r="E2718" i="24"/>
  <c r="A2718" i="24"/>
  <c r="Q2717" i="24"/>
  <c r="M2717" i="24"/>
  <c r="G2717" i="24"/>
  <c r="C2717" i="24"/>
  <c r="S2716" i="24"/>
  <c r="O2716" i="24"/>
  <c r="K2716" i="24"/>
  <c r="E2716" i="24"/>
  <c r="A2716" i="24"/>
  <c r="Q2715" i="24"/>
  <c r="M2715" i="24"/>
  <c r="G2715" i="24"/>
  <c r="C2715" i="24"/>
  <c r="S2714" i="24"/>
  <c r="O2714" i="24"/>
  <c r="K2714" i="24"/>
  <c r="E2714" i="24"/>
  <c r="A2714" i="24"/>
  <c r="Q2713" i="24"/>
  <c r="M2713" i="24"/>
  <c r="G2713" i="24"/>
  <c r="C2713" i="24"/>
  <c r="S2712" i="24"/>
  <c r="O2712" i="24"/>
  <c r="K2712" i="24"/>
  <c r="E2712" i="24"/>
  <c r="A2712" i="24"/>
  <c r="Q2711" i="24"/>
  <c r="M2711" i="24"/>
  <c r="G2711" i="24"/>
  <c r="C2711" i="24"/>
  <c r="S2710" i="24"/>
  <c r="O2710" i="24"/>
  <c r="K2710" i="24"/>
  <c r="E2710" i="24"/>
  <c r="A2710" i="24"/>
  <c r="Q2709" i="24"/>
  <c r="M2709" i="24"/>
  <c r="G2709" i="24"/>
  <c r="C2709" i="24"/>
  <c r="S2708" i="24"/>
  <c r="O2708" i="24"/>
  <c r="K2708" i="24"/>
  <c r="E2708" i="24"/>
  <c r="A2708" i="24"/>
  <c r="Q2707" i="24"/>
  <c r="M2707" i="24"/>
  <c r="G2707" i="24"/>
  <c r="C2707" i="24"/>
  <c r="S2706" i="24"/>
  <c r="O2706" i="24"/>
  <c r="K2706" i="24"/>
  <c r="E2706" i="24"/>
  <c r="A2706" i="24"/>
  <c r="Q2705" i="24"/>
  <c r="M2705" i="24"/>
  <c r="G2705" i="24"/>
  <c r="C2705" i="24"/>
  <c r="S2704" i="24"/>
  <c r="O2704" i="24"/>
  <c r="K2704" i="24"/>
  <c r="E2704" i="24"/>
  <c r="A2704" i="24"/>
  <c r="Q2703" i="24"/>
  <c r="M2703" i="24"/>
  <c r="G2703" i="24"/>
  <c r="C2703" i="24"/>
  <c r="S2702" i="24"/>
  <c r="O2702" i="24"/>
  <c r="K2702" i="24"/>
  <c r="E2702" i="24"/>
  <c r="A2702" i="24"/>
  <c r="Q2701" i="24"/>
  <c r="M2701" i="24"/>
  <c r="G2701" i="24"/>
  <c r="C2701" i="24"/>
  <c r="S2700" i="24"/>
  <c r="O2700" i="24"/>
  <c r="K2700" i="24"/>
  <c r="E2700" i="24"/>
  <c r="A2700" i="24"/>
  <c r="Q2699" i="24"/>
  <c r="M2699" i="24"/>
  <c r="G2699" i="24"/>
  <c r="C2699" i="24"/>
  <c r="S2698" i="24"/>
  <c r="O2698" i="24"/>
  <c r="K2698" i="24"/>
  <c r="E2698" i="24"/>
  <c r="A2698" i="24"/>
  <c r="Q2697" i="24"/>
  <c r="M2697" i="24"/>
  <c r="G2697" i="24"/>
  <c r="C2697" i="24"/>
  <c r="S2696" i="24"/>
  <c r="O2696" i="24"/>
  <c r="K2696" i="24"/>
  <c r="E2696" i="24"/>
  <c r="A2696" i="24"/>
  <c r="Q2695" i="24"/>
  <c r="M2695" i="24"/>
  <c r="G2695" i="24"/>
  <c r="C2695" i="24"/>
  <c r="S2694" i="24"/>
  <c r="O2694" i="24"/>
  <c r="K2694" i="24"/>
  <c r="E2694" i="24"/>
  <c r="A2694" i="24"/>
  <c r="Q2693" i="24"/>
  <c r="M2693" i="24"/>
  <c r="G2693" i="24"/>
  <c r="C2693" i="24"/>
  <c r="S2692" i="24"/>
  <c r="O2692" i="24"/>
  <c r="K2692" i="24"/>
  <c r="E2692" i="24"/>
  <c r="A2692" i="24"/>
  <c r="Q2691" i="24"/>
  <c r="M2691" i="24"/>
  <c r="G2691" i="24"/>
  <c r="C2691" i="24"/>
  <c r="S2690" i="24"/>
  <c r="O2690" i="24"/>
  <c r="K2690" i="24"/>
  <c r="E2690" i="24"/>
  <c r="A2690" i="24"/>
  <c r="Q2689" i="24"/>
  <c r="M2689" i="24"/>
  <c r="G2689" i="24"/>
  <c r="C2689" i="24"/>
  <c r="S2688" i="24"/>
  <c r="O2688" i="24"/>
  <c r="K2688" i="24"/>
  <c r="E2688" i="24"/>
  <c r="A2688" i="24"/>
  <c r="Q2687" i="24"/>
  <c r="M2687" i="24"/>
  <c r="G2687" i="24"/>
  <c r="C2687" i="24"/>
  <c r="S2686" i="24"/>
  <c r="O2686" i="24"/>
  <c r="K2686" i="24"/>
  <c r="E2686" i="24"/>
  <c r="A2686" i="24"/>
  <c r="Q2685" i="24"/>
  <c r="M2685" i="24"/>
  <c r="G2685" i="24"/>
  <c r="C2685" i="24"/>
  <c r="S2684" i="24"/>
  <c r="O2684" i="24"/>
  <c r="K2684" i="24"/>
  <c r="E2684" i="24"/>
  <c r="A2684" i="24"/>
  <c r="Q2683" i="24"/>
  <c r="M2683" i="24"/>
  <c r="G2683" i="24"/>
  <c r="C2683" i="24"/>
  <c r="S2682" i="24"/>
  <c r="O2682" i="24"/>
  <c r="K2682" i="24"/>
  <c r="E2682" i="24"/>
  <c r="A2682" i="24"/>
  <c r="Q2681" i="24"/>
  <c r="M2681" i="24"/>
  <c r="G2681" i="24"/>
  <c r="C2681" i="24"/>
  <c r="S2680" i="24"/>
  <c r="O2680" i="24"/>
  <c r="K2680" i="24"/>
  <c r="E2680" i="24"/>
  <c r="A2680" i="24"/>
  <c r="Q2679" i="24"/>
  <c r="M2679" i="24"/>
  <c r="G2679" i="24"/>
  <c r="C2679" i="24"/>
  <c r="S2678" i="24"/>
  <c r="O2678" i="24"/>
  <c r="K2678" i="24"/>
  <c r="E2678" i="24"/>
  <c r="A2678" i="24"/>
  <c r="Q2677" i="24"/>
  <c r="M2677" i="24"/>
  <c r="G2677" i="24"/>
  <c r="C2677" i="24"/>
  <c r="S2676" i="24"/>
  <c r="O2676" i="24"/>
  <c r="K2676" i="24"/>
  <c r="E2676" i="24"/>
  <c r="A2676" i="24"/>
  <c r="Q2675" i="24"/>
  <c r="M2675" i="24"/>
  <c r="G2675" i="24"/>
  <c r="C2675" i="24"/>
  <c r="S2674" i="24"/>
  <c r="O2674" i="24"/>
  <c r="K2674" i="24"/>
  <c r="E2674" i="24"/>
  <c r="A2674" i="24"/>
  <c r="Q2673" i="24"/>
  <c r="M2673" i="24"/>
  <c r="G2673" i="24"/>
  <c r="C2673" i="24"/>
  <c r="S2672" i="24"/>
  <c r="O2672" i="24"/>
  <c r="K2672" i="24"/>
  <c r="E2672" i="24"/>
  <c r="A2672" i="24"/>
  <c r="Q2671" i="24"/>
  <c r="M2671" i="24"/>
  <c r="G2671" i="24"/>
  <c r="C2671" i="24"/>
  <c r="S2670" i="24"/>
  <c r="O2670" i="24"/>
  <c r="K2670" i="24"/>
  <c r="E2670" i="24"/>
  <c r="A2670" i="24"/>
  <c r="Q2669" i="24"/>
  <c r="M2669" i="24"/>
  <c r="G2669" i="24"/>
  <c r="C2669" i="24"/>
  <c r="S2668" i="24"/>
  <c r="O2668" i="24"/>
  <c r="K2668" i="24"/>
  <c r="E2668" i="24"/>
  <c r="A2668" i="24"/>
  <c r="Q2667" i="24"/>
  <c r="M2667" i="24"/>
  <c r="G2667" i="24"/>
  <c r="C2667" i="24"/>
  <c r="S2666" i="24"/>
  <c r="O2666" i="24"/>
  <c r="K2666" i="24"/>
  <c r="E2666" i="24"/>
  <c r="A2666" i="24"/>
  <c r="Q2665" i="24"/>
  <c r="M2665" i="24"/>
  <c r="G2665" i="24"/>
  <c r="C2665" i="24"/>
  <c r="S2664" i="24"/>
  <c r="O2664" i="24"/>
  <c r="K2664" i="24"/>
  <c r="E2664" i="24"/>
  <c r="A2664" i="24"/>
  <c r="Q2663" i="24"/>
  <c r="M2663" i="24"/>
  <c r="G2663" i="24"/>
  <c r="C2663" i="24"/>
  <c r="S2662" i="24"/>
  <c r="O2662" i="24"/>
  <c r="K2662" i="24"/>
  <c r="E2662" i="24"/>
  <c r="A2662" i="24"/>
  <c r="Q2661" i="24"/>
  <c r="M2661" i="24"/>
  <c r="G2661" i="24"/>
  <c r="C2661" i="24"/>
  <c r="S2660" i="24"/>
  <c r="O2660" i="24"/>
  <c r="K2660" i="24"/>
  <c r="E2660" i="24"/>
  <c r="A2660" i="24"/>
  <c r="Q2659" i="24"/>
  <c r="M2659" i="24"/>
  <c r="G2659" i="24"/>
  <c r="C2659" i="24"/>
  <c r="S2658" i="24"/>
  <c r="O2658" i="24"/>
  <c r="K2658" i="24"/>
  <c r="E2658" i="24"/>
  <c r="A2658" i="24"/>
  <c r="Q2657" i="24"/>
  <c r="M2657" i="24"/>
  <c r="G2657" i="24"/>
  <c r="C2657" i="24"/>
  <c r="S2656" i="24"/>
  <c r="O2656" i="24"/>
  <c r="K2656" i="24"/>
  <c r="E2656" i="24"/>
  <c r="A2656" i="24"/>
  <c r="Q2655" i="24"/>
  <c r="M2655" i="24"/>
  <c r="G2655" i="24"/>
  <c r="C2655" i="24"/>
  <c r="S2654" i="24"/>
  <c r="O2654" i="24"/>
  <c r="K2654" i="24"/>
  <c r="E2654" i="24"/>
  <c r="A2654" i="24"/>
  <c r="Q2653" i="24"/>
  <c r="M2653" i="24"/>
  <c r="G2653" i="24"/>
  <c r="C2653" i="24"/>
  <c r="S2652" i="24"/>
  <c r="O2652" i="24"/>
  <c r="K2652" i="24"/>
  <c r="E2652" i="24"/>
  <c r="A2652" i="24"/>
  <c r="Q2651" i="24"/>
  <c r="M2651" i="24"/>
  <c r="G2651" i="24"/>
  <c r="C2651" i="24"/>
  <c r="S2650" i="24"/>
  <c r="O2650" i="24"/>
  <c r="K2650" i="24"/>
  <c r="E2650" i="24"/>
  <c r="A2650" i="24"/>
  <c r="Q2649" i="24"/>
  <c r="M2649" i="24"/>
  <c r="G2649" i="24"/>
  <c r="C2649" i="24"/>
  <c r="S2648" i="24"/>
  <c r="O2648" i="24"/>
  <c r="K2648" i="24"/>
  <c r="E2648" i="24"/>
  <c r="A2648" i="24"/>
  <c r="Q2647" i="24"/>
  <c r="M2647" i="24"/>
  <c r="G2647" i="24"/>
  <c r="C2647" i="24"/>
  <c r="S2646" i="24"/>
  <c r="O2646" i="24"/>
  <c r="K2646" i="24"/>
  <c r="E2646" i="24"/>
  <c r="A2646" i="24"/>
  <c r="Q2645" i="24"/>
  <c r="M2645" i="24"/>
  <c r="G2645" i="24"/>
  <c r="C2645" i="24"/>
  <c r="S2644" i="24"/>
  <c r="O2644" i="24"/>
  <c r="K2644" i="24"/>
  <c r="E2644" i="24"/>
  <c r="A2644" i="24"/>
  <c r="Q2643" i="24"/>
  <c r="M2643" i="24"/>
  <c r="G2643" i="24"/>
  <c r="C2643" i="24"/>
  <c r="S2642" i="24"/>
  <c r="O2642" i="24"/>
  <c r="K2642" i="24"/>
  <c r="E2642" i="24"/>
  <c r="A2642" i="24"/>
  <c r="Q2641" i="24"/>
  <c r="M2641" i="24"/>
  <c r="G2641" i="24"/>
  <c r="C2641" i="24"/>
  <c r="S2640" i="24"/>
  <c r="O2640" i="24"/>
  <c r="K2640" i="24"/>
  <c r="E2640" i="24"/>
  <c r="A2640" i="24"/>
  <c r="Q2639" i="24"/>
  <c r="M2639" i="24"/>
  <c r="G2639" i="24"/>
  <c r="C2639" i="24"/>
  <c r="S2638" i="24"/>
  <c r="O2638" i="24"/>
  <c r="K2638" i="24"/>
  <c r="E2638" i="24"/>
  <c r="A2638" i="24"/>
  <c r="Q2637" i="24"/>
  <c r="M2637" i="24"/>
  <c r="G2637" i="24"/>
  <c r="C2637" i="24"/>
  <c r="S2636" i="24"/>
  <c r="O2636" i="24"/>
  <c r="K2636" i="24"/>
  <c r="E2636" i="24"/>
  <c r="A2636" i="24"/>
  <c r="Q2635" i="24"/>
  <c r="M2635" i="24"/>
  <c r="G2635" i="24"/>
  <c r="C2635" i="24"/>
  <c r="S2634" i="24"/>
  <c r="O2634" i="24"/>
  <c r="K2634" i="24"/>
  <c r="E2634" i="24"/>
  <c r="A2634" i="24"/>
  <c r="Q2633" i="24"/>
  <c r="M2633" i="24"/>
  <c r="G2633" i="24"/>
  <c r="C2633" i="24"/>
  <c r="S2632" i="24"/>
  <c r="O2632" i="24"/>
  <c r="K2632" i="24"/>
  <c r="E2632" i="24"/>
  <c r="A2632" i="24"/>
  <c r="Q2631" i="24"/>
  <c r="M2631" i="24"/>
  <c r="G2631" i="24"/>
  <c r="C2631" i="24"/>
  <c r="S2630" i="24"/>
  <c r="O2630" i="24"/>
  <c r="K2630" i="24"/>
  <c r="E2630" i="24"/>
  <c r="A2630" i="24"/>
  <c r="Q2629" i="24"/>
  <c r="M2629" i="24"/>
  <c r="G2629" i="24"/>
  <c r="C2629" i="24"/>
  <c r="S2628" i="24"/>
  <c r="O2628" i="24"/>
  <c r="K2628" i="24"/>
  <c r="E2628" i="24"/>
  <c r="K2746" i="24"/>
  <c r="M2745" i="24"/>
  <c r="O2744" i="24"/>
  <c r="Q2743" i="24"/>
  <c r="S2742" i="24"/>
  <c r="A2742" i="24"/>
  <c r="C2741" i="24"/>
  <c r="E2740" i="24"/>
  <c r="H2739" i="24"/>
  <c r="B2739" i="24"/>
  <c r="R2738" i="24"/>
  <c r="N2738" i="24"/>
  <c r="H2738" i="24"/>
  <c r="D2738" i="24"/>
  <c r="T2737" i="24"/>
  <c r="P2737" i="24"/>
  <c r="L2737" i="24"/>
  <c r="F2737" i="24"/>
  <c r="B2737" i="24"/>
  <c r="R2736" i="24"/>
  <c r="N2736" i="24"/>
  <c r="H2736" i="24"/>
  <c r="D2736" i="24"/>
  <c r="T2735" i="24"/>
  <c r="P2735" i="24"/>
  <c r="L2735" i="24"/>
  <c r="F2735" i="24"/>
  <c r="B2735" i="24"/>
  <c r="R2734" i="24"/>
  <c r="N2734" i="24"/>
  <c r="H2734" i="24"/>
  <c r="D2734" i="24"/>
  <c r="T2733" i="24"/>
  <c r="P2733" i="24"/>
  <c r="L2733" i="24"/>
  <c r="F2733" i="24"/>
  <c r="B2733" i="24"/>
  <c r="R2732" i="24"/>
  <c r="N2732" i="24"/>
  <c r="H2732" i="24"/>
  <c r="D2732" i="24"/>
  <c r="T2731" i="24"/>
  <c r="P2731" i="24"/>
  <c r="L2731" i="24"/>
  <c r="F2731" i="24"/>
  <c r="B2731" i="24"/>
  <c r="R2730" i="24"/>
  <c r="N2730" i="24"/>
  <c r="H2730" i="24"/>
  <c r="D2730" i="24"/>
  <c r="T2729" i="24"/>
  <c r="P2729" i="24"/>
  <c r="L2729" i="24"/>
  <c r="F2729" i="24"/>
  <c r="B2729" i="24"/>
  <c r="R2728" i="24"/>
  <c r="N2728" i="24"/>
  <c r="H2728" i="24"/>
  <c r="D2728" i="24"/>
  <c r="T2727" i="24"/>
  <c r="P2727" i="24"/>
  <c r="L2727" i="24"/>
  <c r="F2727" i="24"/>
  <c r="B2727" i="24"/>
  <c r="R2726" i="24"/>
  <c r="N2726" i="24"/>
  <c r="H2726" i="24"/>
  <c r="D2726" i="24"/>
  <c r="T2725" i="24"/>
  <c r="P2725" i="24"/>
  <c r="L2725" i="24"/>
  <c r="F2725" i="24"/>
  <c r="B2725" i="24"/>
  <c r="R2724" i="24"/>
  <c r="N2724" i="24"/>
  <c r="H2724" i="24"/>
  <c r="D2724" i="24"/>
  <c r="T2723" i="24"/>
  <c r="P2723" i="24"/>
  <c r="L2723" i="24"/>
  <c r="F2723" i="24"/>
  <c r="B2723" i="24"/>
  <c r="R2722" i="24"/>
  <c r="N2722" i="24"/>
  <c r="H2722" i="24"/>
  <c r="D2722" i="24"/>
  <c r="T2721" i="24"/>
  <c r="P2721" i="24"/>
  <c r="L2721" i="24"/>
  <c r="F2721" i="24"/>
  <c r="B2721" i="24"/>
  <c r="R2720" i="24"/>
  <c r="N2720" i="24"/>
  <c r="H2720" i="24"/>
  <c r="D2720" i="24"/>
  <c r="T2719" i="24"/>
  <c r="P2719" i="24"/>
  <c r="L2719" i="24"/>
  <c r="F2719" i="24"/>
  <c r="B2719" i="24"/>
  <c r="R2718" i="24"/>
  <c r="N2718" i="24"/>
  <c r="H2718" i="24"/>
  <c r="D2718" i="24"/>
  <c r="T2717" i="24"/>
  <c r="P2717" i="24"/>
  <c r="L2717" i="24"/>
  <c r="F2717" i="24"/>
  <c r="B2717" i="24"/>
  <c r="R2716" i="24"/>
  <c r="N2716" i="24"/>
  <c r="H2716" i="24"/>
  <c r="D2716" i="24"/>
  <c r="T2715" i="24"/>
  <c r="P2715" i="24"/>
  <c r="L2715" i="24"/>
  <c r="F2715" i="24"/>
  <c r="B2715" i="24"/>
  <c r="R2714" i="24"/>
  <c r="N2714" i="24"/>
  <c r="H2714" i="24"/>
  <c r="D2714" i="24"/>
  <c r="T2713" i="24"/>
  <c r="P2713" i="24"/>
  <c r="L2713" i="24"/>
  <c r="F2713" i="24"/>
  <c r="B2713" i="24"/>
  <c r="R2712" i="24"/>
  <c r="N2712" i="24"/>
  <c r="H2712" i="24"/>
  <c r="D2712" i="24"/>
  <c r="T2711" i="24"/>
  <c r="P2711" i="24"/>
  <c r="L2711" i="24"/>
  <c r="F2711" i="24"/>
  <c r="B2711" i="24"/>
  <c r="R2710" i="24"/>
  <c r="N2710" i="24"/>
  <c r="H2710" i="24"/>
  <c r="D2710" i="24"/>
  <c r="T2709" i="24"/>
  <c r="P2709" i="24"/>
  <c r="L2709" i="24"/>
  <c r="F2709" i="24"/>
  <c r="B2709" i="24"/>
  <c r="R2708" i="24"/>
  <c r="N2708" i="24"/>
  <c r="H2708" i="24"/>
  <c r="D2708" i="24"/>
  <c r="T2707" i="24"/>
  <c r="P2707" i="24"/>
  <c r="L2707" i="24"/>
  <c r="F2707" i="24"/>
  <c r="B2707" i="24"/>
  <c r="R2706" i="24"/>
  <c r="N2706" i="24"/>
  <c r="H2706" i="24"/>
  <c r="D2706" i="24"/>
  <c r="T2705" i="24"/>
  <c r="P2705" i="24"/>
  <c r="L2705" i="24"/>
  <c r="F2705" i="24"/>
  <c r="B2705" i="24"/>
  <c r="R2704" i="24"/>
  <c r="N2704" i="24"/>
  <c r="H2704" i="24"/>
  <c r="D2704" i="24"/>
  <c r="T2703" i="24"/>
  <c r="P2703" i="24"/>
  <c r="L2703" i="24"/>
  <c r="F2703" i="24"/>
  <c r="B2703" i="24"/>
  <c r="R2702" i="24"/>
  <c r="N2702" i="24"/>
  <c r="H2702" i="24"/>
  <c r="D2702" i="24"/>
  <c r="T2701" i="24"/>
  <c r="P2701" i="24"/>
  <c r="L2701" i="24"/>
  <c r="F2701" i="24"/>
  <c r="B2701" i="24"/>
  <c r="R2700" i="24"/>
  <c r="N2700" i="24"/>
  <c r="H2700" i="24"/>
  <c r="D2700" i="24"/>
  <c r="T2699" i="24"/>
  <c r="P2699" i="24"/>
  <c r="L2699" i="24"/>
  <c r="F2699" i="24"/>
  <c r="B2699" i="24"/>
  <c r="R2698" i="24"/>
  <c r="N2698" i="24"/>
  <c r="H2698" i="24"/>
  <c r="D2698" i="24"/>
  <c r="T2697" i="24"/>
  <c r="P2697" i="24"/>
  <c r="L2697" i="24"/>
  <c r="F2697" i="24"/>
  <c r="B2697" i="24"/>
  <c r="R2696" i="24"/>
  <c r="N2696" i="24"/>
  <c r="H2696" i="24"/>
  <c r="D2696" i="24"/>
  <c r="T2695" i="24"/>
  <c r="P2695" i="24"/>
  <c r="L2695" i="24"/>
  <c r="F2695" i="24"/>
  <c r="B2695" i="24"/>
  <c r="R2694" i="24"/>
  <c r="N2694" i="24"/>
  <c r="H2694" i="24"/>
  <c r="D2694" i="24"/>
  <c r="T2693" i="24"/>
  <c r="P2693" i="24"/>
  <c r="L2693" i="24"/>
  <c r="F2693" i="24"/>
  <c r="B2693" i="24"/>
  <c r="R2692" i="24"/>
  <c r="N2692" i="24"/>
  <c r="H2692" i="24"/>
  <c r="D2692" i="24"/>
  <c r="T2691" i="24"/>
  <c r="P2691" i="24"/>
  <c r="L2691" i="24"/>
  <c r="F2691" i="24"/>
  <c r="B2691" i="24"/>
  <c r="R2690" i="24"/>
  <c r="N2690" i="24"/>
  <c r="H2690" i="24"/>
  <c r="D2690" i="24"/>
  <c r="T2689" i="24"/>
  <c r="P2689" i="24"/>
  <c r="L2689" i="24"/>
  <c r="F2689" i="24"/>
  <c r="B2689" i="24"/>
  <c r="R2688" i="24"/>
  <c r="N2688" i="24"/>
  <c r="H2688" i="24"/>
  <c r="D2688" i="24"/>
  <c r="T2687" i="24"/>
  <c r="P2687" i="24"/>
  <c r="L2687" i="24"/>
  <c r="F2687" i="24"/>
  <c r="B2687" i="24"/>
  <c r="R2686" i="24"/>
  <c r="N2686" i="24"/>
  <c r="H2686" i="24"/>
  <c r="D2686" i="24"/>
  <c r="T2685" i="24"/>
  <c r="P2685" i="24"/>
  <c r="L2685" i="24"/>
  <c r="F2685" i="24"/>
  <c r="B2685" i="24"/>
  <c r="R2684" i="24"/>
  <c r="N2684" i="24"/>
  <c r="H2684" i="24"/>
  <c r="D2684" i="24"/>
  <c r="T2683" i="24"/>
  <c r="P2683" i="24"/>
  <c r="L2683" i="24"/>
  <c r="F2683" i="24"/>
  <c r="B2683" i="24"/>
  <c r="R2682" i="24"/>
  <c r="N2682" i="24"/>
  <c r="H2682" i="24"/>
  <c r="D2682" i="24"/>
  <c r="T2681" i="24"/>
  <c r="P2681" i="24"/>
  <c r="L2681" i="24"/>
  <c r="F2681" i="24"/>
  <c r="B2681" i="24"/>
  <c r="R2680" i="24"/>
  <c r="N2680" i="24"/>
  <c r="H2680" i="24"/>
  <c r="D2680" i="24"/>
  <c r="T2679" i="24"/>
  <c r="P2679" i="24"/>
  <c r="L2679" i="24"/>
  <c r="F2679" i="24"/>
  <c r="B2679" i="24"/>
  <c r="R2678" i="24"/>
  <c r="N2678" i="24"/>
  <c r="H2678" i="24"/>
  <c r="D2678" i="24"/>
  <c r="T2677" i="24"/>
  <c r="P2677" i="24"/>
  <c r="L2677" i="24"/>
  <c r="F2677" i="24"/>
  <c r="B2677" i="24"/>
  <c r="R2676" i="24"/>
  <c r="N2676" i="24"/>
  <c r="H2676" i="24"/>
  <c r="D2676" i="24"/>
  <c r="T2675" i="24"/>
  <c r="P2675" i="24"/>
  <c r="L2675" i="24"/>
  <c r="F2675" i="24"/>
  <c r="B2675" i="24"/>
  <c r="R2674" i="24"/>
  <c r="N2674" i="24"/>
  <c r="H2674" i="24"/>
  <c r="D2674" i="24"/>
  <c r="T2673" i="24"/>
  <c r="P2673" i="24"/>
  <c r="L2673" i="24"/>
  <c r="F2673" i="24"/>
  <c r="B2673" i="24"/>
  <c r="R2672" i="24"/>
  <c r="N2672" i="24"/>
  <c r="H2672" i="24"/>
  <c r="D2672" i="24"/>
  <c r="T2671" i="24"/>
  <c r="P2671" i="24"/>
  <c r="L2671" i="24"/>
  <c r="F2671" i="24"/>
  <c r="B2671" i="24"/>
  <c r="R2670" i="24"/>
  <c r="N2670" i="24"/>
  <c r="H2670" i="24"/>
  <c r="D2670" i="24"/>
  <c r="T2669" i="24"/>
  <c r="P2669" i="24"/>
  <c r="L2669" i="24"/>
  <c r="F2669" i="24"/>
  <c r="B2669" i="24"/>
  <c r="R2668" i="24"/>
  <c r="N2668" i="24"/>
  <c r="H2668" i="24"/>
  <c r="D2668" i="24"/>
  <c r="T2667" i="24"/>
  <c r="P2667" i="24"/>
  <c r="L2667" i="24"/>
  <c r="F2667" i="24"/>
  <c r="B2667" i="24"/>
  <c r="R2666" i="24"/>
  <c r="N2666" i="24"/>
  <c r="H2666" i="24"/>
  <c r="D2666" i="24"/>
  <c r="T2665" i="24"/>
  <c r="P2665" i="24"/>
  <c r="L2665" i="24"/>
  <c r="F2665" i="24"/>
  <c r="B2665" i="24"/>
  <c r="R2664" i="24"/>
  <c r="N2664" i="24"/>
  <c r="H2664" i="24"/>
  <c r="D2664" i="24"/>
  <c r="T2663" i="24"/>
  <c r="P2663" i="24"/>
  <c r="L2663" i="24"/>
  <c r="F2663" i="24"/>
  <c r="B2663" i="24"/>
  <c r="R2662" i="24"/>
  <c r="N2662" i="24"/>
  <c r="H2662" i="24"/>
  <c r="D2662" i="24"/>
  <c r="T2661" i="24"/>
  <c r="P2661" i="24"/>
  <c r="L2661" i="24"/>
  <c r="F2661" i="24"/>
  <c r="B2661" i="24"/>
  <c r="R2660" i="24"/>
  <c r="N2660" i="24"/>
  <c r="H2660" i="24"/>
  <c r="D2660" i="24"/>
  <c r="T2659" i="24"/>
  <c r="P2659" i="24"/>
  <c r="L2659" i="24"/>
  <c r="F2659" i="24"/>
  <c r="B2659" i="24"/>
  <c r="R2658" i="24"/>
  <c r="N2658" i="24"/>
  <c r="H2658" i="24"/>
  <c r="D2658" i="24"/>
  <c r="T2657" i="24"/>
  <c r="P2657" i="24"/>
  <c r="L2657" i="24"/>
  <c r="F2657" i="24"/>
  <c r="B2657" i="24"/>
  <c r="R2656" i="24"/>
  <c r="N2656" i="24"/>
  <c r="H2656" i="24"/>
  <c r="D2656" i="24"/>
  <c r="T2655" i="24"/>
  <c r="P2655" i="24"/>
  <c r="L2655" i="24"/>
  <c r="F2655" i="24"/>
  <c r="B2655" i="24"/>
  <c r="R2654" i="24"/>
  <c r="N2654" i="24"/>
  <c r="H2654" i="24"/>
  <c r="D2654" i="24"/>
  <c r="T2653" i="24"/>
  <c r="P2653" i="24"/>
  <c r="L2653" i="24"/>
  <c r="F2653" i="24"/>
  <c r="B2653" i="24"/>
  <c r="R2652" i="24"/>
  <c r="N2652" i="24"/>
  <c r="H2652" i="24"/>
  <c r="D2652" i="24"/>
  <c r="T2651" i="24"/>
  <c r="P2651" i="24"/>
  <c r="L2651" i="24"/>
  <c r="F2651" i="24"/>
  <c r="B2651" i="24"/>
  <c r="R2650" i="24"/>
  <c r="N2650" i="24"/>
  <c r="H2650" i="24"/>
  <c r="D2650" i="24"/>
  <c r="T2649" i="24"/>
  <c r="P2649" i="24"/>
  <c r="L2649" i="24"/>
  <c r="F2649" i="24"/>
  <c r="B2649" i="24"/>
  <c r="R2648" i="24"/>
  <c r="N2648" i="24"/>
  <c r="H2648" i="24"/>
  <c r="D2648" i="24"/>
  <c r="T2647" i="24"/>
  <c r="P2647" i="24"/>
  <c r="L2647" i="24"/>
  <c r="F2647" i="24"/>
  <c r="B2647" i="24"/>
  <c r="R2646" i="24"/>
  <c r="N2646" i="24"/>
  <c r="H2646" i="24"/>
  <c r="D2646" i="24"/>
  <c r="T2645" i="24"/>
  <c r="P2645" i="24"/>
  <c r="L2645" i="24"/>
  <c r="F2645" i="24"/>
  <c r="B2645" i="24"/>
  <c r="R2644" i="24"/>
  <c r="N2644" i="24"/>
  <c r="H2644" i="24"/>
  <c r="D2644" i="24"/>
  <c r="T2643" i="24"/>
  <c r="P2643" i="24"/>
  <c r="L2643" i="24"/>
  <c r="F2643" i="24"/>
  <c r="B2643" i="24"/>
  <c r="R2642" i="24"/>
  <c r="N2642" i="24"/>
  <c r="H2642" i="24"/>
  <c r="D2642" i="24"/>
  <c r="T2641" i="24"/>
  <c r="P2641" i="24"/>
  <c r="L2641" i="24"/>
  <c r="F2641" i="24"/>
  <c r="B2641" i="24"/>
  <c r="R2640" i="24"/>
  <c r="N2640" i="24"/>
  <c r="H2640" i="24"/>
  <c r="D2640" i="24"/>
  <c r="T2639" i="24"/>
  <c r="P2639" i="24"/>
  <c r="L2639" i="24"/>
  <c r="F2639" i="24"/>
  <c r="B2639" i="24"/>
  <c r="R2638" i="24"/>
  <c r="N2638" i="24"/>
  <c r="H2638" i="24"/>
  <c r="D2638" i="24"/>
  <c r="T2637" i="24"/>
  <c r="P2637" i="24"/>
  <c r="L2637" i="24"/>
  <c r="F2637" i="24"/>
  <c r="B2637" i="24"/>
  <c r="R2636" i="24"/>
  <c r="N2636" i="24"/>
  <c r="H2636" i="24"/>
  <c r="D2636" i="24"/>
  <c r="T2635" i="24"/>
  <c r="P2635" i="24"/>
  <c r="L2635" i="24"/>
  <c r="F2635" i="24"/>
  <c r="B2635" i="24"/>
  <c r="R2634" i="24"/>
  <c r="N2634" i="24"/>
  <c r="H2634" i="24"/>
  <c r="D2634" i="24"/>
  <c r="T2633" i="24"/>
  <c r="P2633" i="24"/>
  <c r="L2633" i="24"/>
  <c r="F2633" i="24"/>
  <c r="B2633" i="24"/>
  <c r="R2632" i="24"/>
  <c r="N2632" i="24"/>
  <c r="H2632" i="24"/>
  <c r="D2632" i="24"/>
  <c r="T2631" i="24"/>
  <c r="P2631" i="24"/>
  <c r="L2631" i="24"/>
  <c r="F2631" i="24"/>
  <c r="B2631" i="24"/>
  <c r="R2630" i="24"/>
  <c r="N2630" i="24"/>
  <c r="H2630" i="24"/>
  <c r="D2630" i="24"/>
  <c r="T2629" i="24"/>
  <c r="P2629" i="24"/>
  <c r="L2629" i="24"/>
  <c r="F2629" i="24"/>
  <c r="B2629" i="24"/>
  <c r="R2628" i="24"/>
  <c r="N2628" i="24"/>
  <c r="H2628" i="24"/>
  <c r="D2628" i="24"/>
  <c r="T2627" i="24"/>
  <c r="E2746" i="24"/>
  <c r="G2745" i="24"/>
  <c r="K2744" i="24"/>
  <c r="M2743" i="24"/>
  <c r="O2742" i="24"/>
  <c r="Q2741" i="24"/>
  <c r="S2740" i="24"/>
  <c r="A2740" i="24"/>
  <c r="G2739" i="24"/>
  <c r="A2739" i="24"/>
  <c r="Q2738" i="24"/>
  <c r="M2738" i="24"/>
  <c r="G2738" i="24"/>
  <c r="C2738" i="24"/>
  <c r="S2737" i="24"/>
  <c r="O2737" i="24"/>
  <c r="K2737" i="24"/>
  <c r="E2737" i="24"/>
  <c r="A2737" i="24"/>
  <c r="Q2736" i="24"/>
  <c r="M2736" i="24"/>
  <c r="G2736" i="24"/>
  <c r="C2736" i="24"/>
  <c r="S2735" i="24"/>
  <c r="O2735" i="24"/>
  <c r="K2735" i="24"/>
  <c r="E2735" i="24"/>
  <c r="A2735" i="24"/>
  <c r="Q2734" i="24"/>
  <c r="M2734" i="24"/>
  <c r="G2734" i="24"/>
  <c r="C2734" i="24"/>
  <c r="S2733" i="24"/>
  <c r="O2733" i="24"/>
  <c r="K2733" i="24"/>
  <c r="E2733" i="24"/>
  <c r="A2733" i="24"/>
  <c r="Q2732" i="24"/>
  <c r="M2732" i="24"/>
  <c r="G2732" i="24"/>
  <c r="C2732" i="24"/>
  <c r="S2731" i="24"/>
  <c r="O2731" i="24"/>
  <c r="K2731" i="24"/>
  <c r="E2731" i="24"/>
  <c r="A2731" i="24"/>
  <c r="Q2730" i="24"/>
  <c r="M2730" i="24"/>
  <c r="G2730" i="24"/>
  <c r="C2730" i="24"/>
  <c r="S2729" i="24"/>
  <c r="O2729" i="24"/>
  <c r="K2729" i="24"/>
  <c r="E2729" i="24"/>
  <c r="A2729" i="24"/>
  <c r="Q2728" i="24"/>
  <c r="M2728" i="24"/>
  <c r="G2728" i="24"/>
  <c r="C2728" i="24"/>
  <c r="S2727" i="24"/>
  <c r="O2727" i="24"/>
  <c r="K2727" i="24"/>
  <c r="E2727" i="24"/>
  <c r="A2727" i="24"/>
  <c r="Q2726" i="24"/>
  <c r="M2726" i="24"/>
  <c r="G2726" i="24"/>
  <c r="C2726" i="24"/>
  <c r="S2725" i="24"/>
  <c r="O2725" i="24"/>
  <c r="K2725" i="24"/>
  <c r="E2725" i="24"/>
  <c r="A2725" i="24"/>
  <c r="Q2724" i="24"/>
  <c r="M2724" i="24"/>
  <c r="G2724" i="24"/>
  <c r="C2724" i="24"/>
  <c r="S2723" i="24"/>
  <c r="O2723" i="24"/>
  <c r="K2723" i="24"/>
  <c r="E2723" i="24"/>
  <c r="A2723" i="24"/>
  <c r="Q2722" i="24"/>
  <c r="M2722" i="24"/>
  <c r="G2722" i="24"/>
  <c r="C2722" i="24"/>
  <c r="S2721" i="24"/>
  <c r="O2721" i="24"/>
  <c r="K2721" i="24"/>
  <c r="E2721" i="24"/>
  <c r="A2721" i="24"/>
  <c r="Q2720" i="24"/>
  <c r="M2720" i="24"/>
  <c r="G2720" i="24"/>
  <c r="C2720" i="24"/>
  <c r="S2719" i="24"/>
  <c r="O2719" i="24"/>
  <c r="K2719" i="24"/>
  <c r="E2719" i="24"/>
  <c r="A2719" i="24"/>
  <c r="Q2718" i="24"/>
  <c r="M2718" i="24"/>
  <c r="G2718" i="24"/>
  <c r="C2718" i="24"/>
  <c r="S2717" i="24"/>
  <c r="O2717" i="24"/>
  <c r="K2717" i="24"/>
  <c r="E2717" i="24"/>
  <c r="A2717" i="24"/>
  <c r="Q2716" i="24"/>
  <c r="M2716" i="24"/>
  <c r="G2716" i="24"/>
  <c r="C2716" i="24"/>
  <c r="S2715" i="24"/>
  <c r="O2715" i="24"/>
  <c r="K2715" i="24"/>
  <c r="E2715" i="24"/>
  <c r="A2715" i="24"/>
  <c r="Q2714" i="24"/>
  <c r="M2714" i="24"/>
  <c r="G2714" i="24"/>
  <c r="C2714" i="24"/>
  <c r="S2713" i="24"/>
  <c r="O2713" i="24"/>
  <c r="K2713" i="24"/>
  <c r="E2713" i="24"/>
  <c r="A2713" i="24"/>
  <c r="Q2712" i="24"/>
  <c r="M2712" i="24"/>
  <c r="G2712" i="24"/>
  <c r="C2712" i="24"/>
  <c r="S2711" i="24"/>
  <c r="O2711" i="24"/>
  <c r="K2711" i="24"/>
  <c r="E2711" i="24"/>
  <c r="A2711" i="24"/>
  <c r="Q2710" i="24"/>
  <c r="M2710" i="24"/>
  <c r="G2710" i="24"/>
  <c r="C2710" i="24"/>
  <c r="S2709" i="24"/>
  <c r="O2709" i="24"/>
  <c r="K2709" i="24"/>
  <c r="E2709" i="24"/>
  <c r="A2709" i="24"/>
  <c r="Q2708" i="24"/>
  <c r="M2708" i="24"/>
  <c r="G2708" i="24"/>
  <c r="C2708" i="24"/>
  <c r="S2707" i="24"/>
  <c r="O2707" i="24"/>
  <c r="K2707" i="24"/>
  <c r="E2707" i="24"/>
  <c r="A2707" i="24"/>
  <c r="Q2706" i="24"/>
  <c r="M2706" i="24"/>
  <c r="G2706" i="24"/>
  <c r="C2706" i="24"/>
  <c r="S2705" i="24"/>
  <c r="O2705" i="24"/>
  <c r="K2705" i="24"/>
  <c r="E2705" i="24"/>
  <c r="A2705" i="24"/>
  <c r="Q2704" i="24"/>
  <c r="M2704" i="24"/>
  <c r="G2704" i="24"/>
  <c r="C2704" i="24"/>
  <c r="S2703" i="24"/>
  <c r="O2703" i="24"/>
  <c r="K2703" i="24"/>
  <c r="E2703" i="24"/>
  <c r="A2703" i="24"/>
  <c r="Q2702" i="24"/>
  <c r="M2702" i="24"/>
  <c r="G2702" i="24"/>
  <c r="C2702" i="24"/>
  <c r="S2701" i="24"/>
  <c r="O2701" i="24"/>
  <c r="K2701" i="24"/>
  <c r="E2701" i="24"/>
  <c r="A2701" i="24"/>
  <c r="Q2700" i="24"/>
  <c r="M2700" i="24"/>
  <c r="G2700" i="24"/>
  <c r="C2700" i="24"/>
  <c r="S2699" i="24"/>
  <c r="O2699" i="24"/>
  <c r="K2699" i="24"/>
  <c r="E2699" i="24"/>
  <c r="A2699" i="24"/>
  <c r="Q2698" i="24"/>
  <c r="M2698" i="24"/>
  <c r="G2698" i="24"/>
  <c r="C2698" i="24"/>
  <c r="S2697" i="24"/>
  <c r="O2697" i="24"/>
  <c r="K2697" i="24"/>
  <c r="E2697" i="24"/>
  <c r="A2697" i="24"/>
  <c r="Q2696" i="24"/>
  <c r="M2696" i="24"/>
  <c r="G2696" i="24"/>
  <c r="C2696" i="24"/>
  <c r="S2695" i="24"/>
  <c r="O2695" i="24"/>
  <c r="K2695" i="24"/>
  <c r="E2695" i="24"/>
  <c r="A2695" i="24"/>
  <c r="Q2694" i="24"/>
  <c r="M2694" i="24"/>
  <c r="G2694" i="24"/>
  <c r="C2694" i="24"/>
  <c r="S2693" i="24"/>
  <c r="O2693" i="24"/>
  <c r="K2693" i="24"/>
  <c r="E2693" i="24"/>
  <c r="A2693" i="24"/>
  <c r="Q2692" i="24"/>
  <c r="M2692" i="24"/>
  <c r="G2692" i="24"/>
  <c r="C2692" i="24"/>
  <c r="S2691" i="24"/>
  <c r="O2691" i="24"/>
  <c r="K2691" i="24"/>
  <c r="E2691" i="24"/>
  <c r="A2691" i="24"/>
  <c r="Q2690" i="24"/>
  <c r="M2690" i="24"/>
  <c r="G2690" i="24"/>
  <c r="C2690" i="24"/>
  <c r="S2689" i="24"/>
  <c r="O2689" i="24"/>
  <c r="K2689" i="24"/>
  <c r="E2689" i="24"/>
  <c r="A2689" i="24"/>
  <c r="Q2688" i="24"/>
  <c r="M2688" i="24"/>
  <c r="G2688" i="24"/>
  <c r="C2688" i="24"/>
  <c r="S2687" i="24"/>
  <c r="O2687" i="24"/>
  <c r="K2687" i="24"/>
  <c r="E2687" i="24"/>
  <c r="A2687" i="24"/>
  <c r="Q2686" i="24"/>
  <c r="M2686" i="24"/>
  <c r="G2686" i="24"/>
  <c r="C2686" i="24"/>
  <c r="S2685" i="24"/>
  <c r="O2685" i="24"/>
  <c r="K2685" i="24"/>
  <c r="E2685" i="24"/>
  <c r="A2685" i="24"/>
  <c r="Q2684" i="24"/>
  <c r="M2684" i="24"/>
  <c r="G2684" i="24"/>
  <c r="C2684" i="24"/>
  <c r="S2683" i="24"/>
  <c r="O2683" i="24"/>
  <c r="K2683" i="24"/>
  <c r="E2683" i="24"/>
  <c r="A2683" i="24"/>
  <c r="Q2682" i="24"/>
  <c r="M2682" i="24"/>
  <c r="G2682" i="24"/>
  <c r="C2682" i="24"/>
  <c r="S2681" i="24"/>
  <c r="O2681" i="24"/>
  <c r="K2681" i="24"/>
  <c r="E2681" i="24"/>
  <c r="A2681" i="24"/>
  <c r="Q2680" i="24"/>
  <c r="M2680" i="24"/>
  <c r="G2680" i="24"/>
  <c r="C2680" i="24"/>
  <c r="S2679" i="24"/>
  <c r="O2679" i="24"/>
  <c r="K2679" i="24"/>
  <c r="E2679" i="24"/>
  <c r="A2679" i="24"/>
  <c r="Q2678" i="24"/>
  <c r="M2678" i="24"/>
  <c r="G2678" i="24"/>
  <c r="C2678" i="24"/>
  <c r="S2677" i="24"/>
  <c r="O2677" i="24"/>
  <c r="K2677" i="24"/>
  <c r="E2677" i="24"/>
  <c r="A2677" i="24"/>
  <c r="Q2676" i="24"/>
  <c r="M2676" i="24"/>
  <c r="G2676" i="24"/>
  <c r="C2676" i="24"/>
  <c r="S2675" i="24"/>
  <c r="O2675" i="24"/>
  <c r="K2675" i="24"/>
  <c r="E2675" i="24"/>
  <c r="A2675" i="24"/>
  <c r="Q2674" i="24"/>
  <c r="M2674" i="24"/>
  <c r="G2674" i="24"/>
  <c r="C2674" i="24"/>
  <c r="S2673" i="24"/>
  <c r="O2673" i="24"/>
  <c r="K2673" i="24"/>
  <c r="E2673" i="24"/>
  <c r="A2673" i="24"/>
  <c r="Q2672" i="24"/>
  <c r="M2672" i="24"/>
  <c r="G2672" i="24"/>
  <c r="C2672" i="24"/>
  <c r="S2671" i="24"/>
  <c r="O2671" i="24"/>
  <c r="K2671" i="24"/>
  <c r="E2671" i="24"/>
  <c r="A2671" i="24"/>
  <c r="Q2670" i="24"/>
  <c r="M2670" i="24"/>
  <c r="G2670" i="24"/>
  <c r="C2670" i="24"/>
  <c r="S2669" i="24"/>
  <c r="O2669" i="24"/>
  <c r="K2669" i="24"/>
  <c r="E2669" i="24"/>
  <c r="A2669" i="24"/>
  <c r="Q2668" i="24"/>
  <c r="M2668" i="24"/>
  <c r="G2668" i="24"/>
  <c r="C2668" i="24"/>
  <c r="S2667" i="24"/>
  <c r="O2667" i="24"/>
  <c r="K2667" i="24"/>
  <c r="E2667" i="24"/>
  <c r="A2667" i="24"/>
  <c r="Q2666" i="24"/>
  <c r="M2666" i="24"/>
  <c r="G2666" i="24"/>
  <c r="C2666" i="24"/>
  <c r="S2665" i="24"/>
  <c r="O2665" i="24"/>
  <c r="K2665" i="24"/>
  <c r="E2665" i="24"/>
  <c r="A2665" i="24"/>
  <c r="Q2664" i="24"/>
  <c r="M2664" i="24"/>
  <c r="G2664" i="24"/>
  <c r="C2664" i="24"/>
  <c r="S2663" i="24"/>
  <c r="O2663" i="24"/>
  <c r="K2663" i="24"/>
  <c r="E2663" i="24"/>
  <c r="A2663" i="24"/>
  <c r="Q2662" i="24"/>
  <c r="M2662" i="24"/>
  <c r="G2662" i="24"/>
  <c r="C2662" i="24"/>
  <c r="S2661" i="24"/>
  <c r="O2661" i="24"/>
  <c r="K2661" i="24"/>
  <c r="E2661" i="24"/>
  <c r="A2661" i="24"/>
  <c r="Q2660" i="24"/>
  <c r="M2660" i="24"/>
  <c r="G2660" i="24"/>
  <c r="C2660" i="24"/>
  <c r="S2659" i="24"/>
  <c r="O2659" i="24"/>
  <c r="K2659" i="24"/>
  <c r="E2659" i="24"/>
  <c r="A2659" i="24"/>
  <c r="Q2658" i="24"/>
  <c r="M2658" i="24"/>
  <c r="G2658" i="24"/>
  <c r="C2658" i="24"/>
  <c r="S2657" i="24"/>
  <c r="O2657" i="24"/>
  <c r="K2657" i="24"/>
  <c r="E2657" i="24"/>
  <c r="A2657" i="24"/>
  <c r="Q2656" i="24"/>
  <c r="M2656" i="24"/>
  <c r="G2656" i="24"/>
  <c r="C2656" i="24"/>
  <c r="S2655" i="24"/>
  <c r="O2655" i="24"/>
  <c r="K2655" i="24"/>
  <c r="E2655" i="24"/>
  <c r="A2655" i="24"/>
  <c r="Q2654" i="24"/>
  <c r="M2654" i="24"/>
  <c r="G2654" i="24"/>
  <c r="C2654" i="24"/>
  <c r="S2653" i="24"/>
  <c r="O2653" i="24"/>
  <c r="K2653" i="24"/>
  <c r="E2653" i="24"/>
  <c r="A2653" i="24"/>
  <c r="Q2652" i="24"/>
  <c r="M2652" i="24"/>
  <c r="G2652" i="24"/>
  <c r="C2652" i="24"/>
  <c r="S2651" i="24"/>
  <c r="O2651" i="24"/>
  <c r="K2651" i="24"/>
  <c r="E2651" i="24"/>
  <c r="A2651" i="24"/>
  <c r="Q2650" i="24"/>
  <c r="M2650" i="24"/>
  <c r="G2650" i="24"/>
  <c r="C2650" i="24"/>
  <c r="S2649" i="24"/>
  <c r="O2649" i="24"/>
  <c r="K2649" i="24"/>
  <c r="E2649" i="24"/>
  <c r="A2649" i="24"/>
  <c r="Q2648" i="24"/>
  <c r="M2648" i="24"/>
  <c r="G2648" i="24"/>
  <c r="C2648" i="24"/>
  <c r="S2647" i="24"/>
  <c r="O2647" i="24"/>
  <c r="K2647" i="24"/>
  <c r="E2647" i="24"/>
  <c r="A2647" i="24"/>
  <c r="Q2646" i="24"/>
  <c r="M2646" i="24"/>
  <c r="G2646" i="24"/>
  <c r="C2646" i="24"/>
  <c r="S2645" i="24"/>
  <c r="O2645" i="24"/>
  <c r="K2645" i="24"/>
  <c r="E2645" i="24"/>
  <c r="A2645" i="24"/>
  <c r="Q2644" i="24"/>
  <c r="M2644" i="24"/>
  <c r="G2644" i="24"/>
  <c r="C2644" i="24"/>
  <c r="S2643" i="24"/>
  <c r="O2643" i="24"/>
  <c r="K2643" i="24"/>
  <c r="E2643" i="24"/>
  <c r="A2643" i="24"/>
  <c r="Q2642" i="24"/>
  <c r="M2642" i="24"/>
  <c r="G2642" i="24"/>
  <c r="C2642" i="24"/>
  <c r="S2641" i="24"/>
  <c r="O2641" i="24"/>
  <c r="K2641" i="24"/>
  <c r="E2641" i="24"/>
  <c r="A2641" i="24"/>
  <c r="Q2640" i="24"/>
  <c r="M2640" i="24"/>
  <c r="G2640" i="24"/>
  <c r="C2640" i="24"/>
  <c r="E2639" i="24"/>
  <c r="G2638" i="24"/>
  <c r="K2637" i="24"/>
  <c r="M2636" i="24"/>
  <c r="O2635" i="24"/>
  <c r="Q2634" i="24"/>
  <c r="S2633" i="24"/>
  <c r="A2633" i="24"/>
  <c r="C2632" i="24"/>
  <c r="E2631" i="24"/>
  <c r="G2630" i="24"/>
  <c r="K2629" i="24"/>
  <c r="M2628" i="24"/>
  <c r="S2627" i="24"/>
  <c r="N2627" i="24"/>
  <c r="H2627" i="24"/>
  <c r="D2627" i="24"/>
  <c r="T2626" i="24"/>
  <c r="P2626" i="24"/>
  <c r="L2626" i="24"/>
  <c r="F2626" i="24"/>
  <c r="B2626" i="24"/>
  <c r="R2625" i="24"/>
  <c r="N2625" i="24"/>
  <c r="H2625" i="24"/>
  <c r="D2625" i="24"/>
  <c r="T2624" i="24"/>
  <c r="P2624" i="24"/>
  <c r="L2624" i="24"/>
  <c r="F2624" i="24"/>
  <c r="B2624" i="24"/>
  <c r="R2623" i="24"/>
  <c r="N2623" i="24"/>
  <c r="H2623" i="24"/>
  <c r="D2623" i="24"/>
  <c r="T2622" i="24"/>
  <c r="P2622" i="24"/>
  <c r="L2622" i="24"/>
  <c r="F2622" i="24"/>
  <c r="B2622" i="24"/>
  <c r="R2621" i="24"/>
  <c r="N2621" i="24"/>
  <c r="H2621" i="24"/>
  <c r="D2621" i="24"/>
  <c r="T2620" i="24"/>
  <c r="P2620" i="24"/>
  <c r="L2620" i="24"/>
  <c r="F2620" i="24"/>
  <c r="B2620" i="24"/>
  <c r="R2619" i="24"/>
  <c r="N2619" i="24"/>
  <c r="H2619" i="24"/>
  <c r="D2619" i="24"/>
  <c r="T2618" i="24"/>
  <c r="P2618" i="24"/>
  <c r="L2618" i="24"/>
  <c r="F2618" i="24"/>
  <c r="B2618" i="24"/>
  <c r="R2617" i="24"/>
  <c r="N2617" i="24"/>
  <c r="H2617" i="24"/>
  <c r="D2617" i="24"/>
  <c r="T2616" i="24"/>
  <c r="P2616" i="24"/>
  <c r="L2616" i="24"/>
  <c r="F2616" i="24"/>
  <c r="B2616" i="24"/>
  <c r="R2615" i="24"/>
  <c r="N2615" i="24"/>
  <c r="H2615" i="24"/>
  <c r="D2615" i="24"/>
  <c r="T2614" i="24"/>
  <c r="P2614" i="24"/>
  <c r="L2614" i="24"/>
  <c r="F2614" i="24"/>
  <c r="B2614" i="24"/>
  <c r="R2613" i="24"/>
  <c r="N2613" i="24"/>
  <c r="H2613" i="24"/>
  <c r="D2613" i="24"/>
  <c r="T2612" i="24"/>
  <c r="P2612" i="24"/>
  <c r="L2612" i="24"/>
  <c r="F2612" i="24"/>
  <c r="B2612" i="24"/>
  <c r="R2611" i="24"/>
  <c r="N2611" i="24"/>
  <c r="H2611" i="24"/>
  <c r="D2611" i="24"/>
  <c r="T2610" i="24"/>
  <c r="P2610" i="24"/>
  <c r="L2610" i="24"/>
  <c r="F2610" i="24"/>
  <c r="B2610" i="24"/>
  <c r="R2609" i="24"/>
  <c r="N2609" i="24"/>
  <c r="H2609" i="24"/>
  <c r="D2609" i="24"/>
  <c r="T2608" i="24"/>
  <c r="P2608" i="24"/>
  <c r="L2608" i="24"/>
  <c r="F2608" i="24"/>
  <c r="B2608" i="24"/>
  <c r="R2607" i="24"/>
  <c r="N2607" i="24"/>
  <c r="H2607" i="24"/>
  <c r="D2607" i="24"/>
  <c r="T2606" i="24"/>
  <c r="P2606" i="24"/>
  <c r="L2606" i="24"/>
  <c r="F2606" i="24"/>
  <c r="B2606" i="24"/>
  <c r="R2605" i="24"/>
  <c r="N2605" i="24"/>
  <c r="H2605" i="24"/>
  <c r="D2605" i="24"/>
  <c r="T2604" i="24"/>
  <c r="P2604" i="24"/>
  <c r="L2604" i="24"/>
  <c r="F2604" i="24"/>
  <c r="B2604" i="24"/>
  <c r="R2603" i="24"/>
  <c r="N2603" i="24"/>
  <c r="H2603" i="24"/>
  <c r="D2603" i="24"/>
  <c r="T2602" i="24"/>
  <c r="P2602" i="24"/>
  <c r="L2602" i="24"/>
  <c r="F2602" i="24"/>
  <c r="B2602" i="24"/>
  <c r="R2601" i="24"/>
  <c r="N2601" i="24"/>
  <c r="H2601" i="24"/>
  <c r="D2601" i="24"/>
  <c r="T2600" i="24"/>
  <c r="P2600" i="24"/>
  <c r="L2600" i="24"/>
  <c r="F2600" i="24"/>
  <c r="B2600" i="24"/>
  <c r="R2599" i="24"/>
  <c r="N2599" i="24"/>
  <c r="H2599" i="24"/>
  <c r="D2599" i="24"/>
  <c r="T2598" i="24"/>
  <c r="P2598" i="24"/>
  <c r="L2598" i="24"/>
  <c r="F2598" i="24"/>
  <c r="B2598" i="24"/>
  <c r="R2597" i="24"/>
  <c r="N2597" i="24"/>
  <c r="H2597" i="24"/>
  <c r="D2597" i="24"/>
  <c r="T2596" i="24"/>
  <c r="P2596" i="24"/>
  <c r="L2596" i="24"/>
  <c r="F2596" i="24"/>
  <c r="B2596" i="24"/>
  <c r="R2595" i="24"/>
  <c r="N2595" i="24"/>
  <c r="H2595" i="24"/>
  <c r="D2595" i="24"/>
  <c r="T2594" i="24"/>
  <c r="P2594" i="24"/>
  <c r="L2594" i="24"/>
  <c r="F2594" i="24"/>
  <c r="B2594" i="24"/>
  <c r="R2593" i="24"/>
  <c r="N2593" i="24"/>
  <c r="H2593" i="24"/>
  <c r="D2593" i="24"/>
  <c r="T2592" i="24"/>
  <c r="P2592" i="24"/>
  <c r="L2592" i="24"/>
  <c r="F2592" i="24"/>
  <c r="B2592" i="24"/>
  <c r="R2591" i="24"/>
  <c r="N2591" i="24"/>
  <c r="H2591" i="24"/>
  <c r="D2591" i="24"/>
  <c r="T2590" i="24"/>
  <c r="P2590" i="24"/>
  <c r="L2590" i="24"/>
  <c r="F2590" i="24"/>
  <c r="B2590" i="24"/>
  <c r="R2589" i="24"/>
  <c r="N2589" i="24"/>
  <c r="H2589" i="24"/>
  <c r="D2589" i="24"/>
  <c r="T2588" i="24"/>
  <c r="P2588" i="24"/>
  <c r="L2588" i="24"/>
  <c r="F2588" i="24"/>
  <c r="B2588" i="24"/>
  <c r="R2587" i="24"/>
  <c r="N2587" i="24"/>
  <c r="H2587" i="24"/>
  <c r="D2587" i="24"/>
  <c r="T2586" i="24"/>
  <c r="P2586" i="24"/>
  <c r="L2586" i="24"/>
  <c r="F2586" i="24"/>
  <c r="B2586" i="24"/>
  <c r="R2585" i="24"/>
  <c r="N2585" i="24"/>
  <c r="H2585" i="24"/>
  <c r="D2585" i="24"/>
  <c r="T2584" i="24"/>
  <c r="P2584" i="24"/>
  <c r="L2584" i="24"/>
  <c r="F2584" i="24"/>
  <c r="B2584" i="24"/>
  <c r="R2583" i="24"/>
  <c r="N2583" i="24"/>
  <c r="H2583" i="24"/>
  <c r="D2583" i="24"/>
  <c r="T2582" i="24"/>
  <c r="P2582" i="24"/>
  <c r="L2582" i="24"/>
  <c r="F2582" i="24"/>
  <c r="B2582" i="24"/>
  <c r="R2581" i="24"/>
  <c r="N2581" i="24"/>
  <c r="H2581" i="24"/>
  <c r="D2581" i="24"/>
  <c r="T2580" i="24"/>
  <c r="P2580" i="24"/>
  <c r="L2580" i="24"/>
  <c r="F2580" i="24"/>
  <c r="B2580" i="24"/>
  <c r="R2579" i="24"/>
  <c r="N2579" i="24"/>
  <c r="H2579" i="24"/>
  <c r="D2579" i="24"/>
  <c r="T2578" i="24"/>
  <c r="P2578" i="24"/>
  <c r="L2578" i="24"/>
  <c r="F2578" i="24"/>
  <c r="B2578" i="24"/>
  <c r="R2577" i="24"/>
  <c r="N2577" i="24"/>
  <c r="H2577" i="24"/>
  <c r="D2577" i="24"/>
  <c r="T2576" i="24"/>
  <c r="P2576" i="24"/>
  <c r="L2576" i="24"/>
  <c r="F2576" i="24"/>
  <c r="B2576" i="24"/>
  <c r="R2575" i="24"/>
  <c r="N2575" i="24"/>
  <c r="H2575" i="24"/>
  <c r="D2575" i="24"/>
  <c r="T2574" i="24"/>
  <c r="P2574" i="24"/>
  <c r="L2574" i="24"/>
  <c r="F2574" i="24"/>
  <c r="B2574" i="24"/>
  <c r="R2573" i="24"/>
  <c r="N2573" i="24"/>
  <c r="H2573" i="24"/>
  <c r="D2573" i="24"/>
  <c r="T2572" i="24"/>
  <c r="P2572" i="24"/>
  <c r="L2572" i="24"/>
  <c r="F2572" i="24"/>
  <c r="B2572" i="24"/>
  <c r="R2571" i="24"/>
  <c r="N2571" i="24"/>
  <c r="H2571" i="24"/>
  <c r="D2571" i="24"/>
  <c r="T2570" i="24"/>
  <c r="P2570" i="24"/>
  <c r="L2570" i="24"/>
  <c r="F2570" i="24"/>
  <c r="B2570" i="24"/>
  <c r="R2569" i="24"/>
  <c r="N2569" i="24"/>
  <c r="H2569" i="24"/>
  <c r="D2569" i="24"/>
  <c r="T2568" i="24"/>
  <c r="P2568" i="24"/>
  <c r="L2568" i="24"/>
  <c r="F2568" i="24"/>
  <c r="B2568" i="24"/>
  <c r="R2567" i="24"/>
  <c r="N2567" i="24"/>
  <c r="H2567" i="24"/>
  <c r="D2567" i="24"/>
  <c r="T2566" i="24"/>
  <c r="P2566" i="24"/>
  <c r="L2566" i="24"/>
  <c r="F2566" i="24"/>
  <c r="B2566" i="24"/>
  <c r="R2565" i="24"/>
  <c r="N2565" i="24"/>
  <c r="H2565" i="24"/>
  <c r="D2565" i="24"/>
  <c r="T2564" i="24"/>
  <c r="P2564" i="24"/>
  <c r="L2564" i="24"/>
  <c r="F2564" i="24"/>
  <c r="B2564" i="24"/>
  <c r="R2563" i="24"/>
  <c r="N2563" i="24"/>
  <c r="H2563" i="24"/>
  <c r="D2563" i="24"/>
  <c r="T2562" i="24"/>
  <c r="P2562" i="24"/>
  <c r="L2562" i="24"/>
  <c r="F2562" i="24"/>
  <c r="B2562" i="24"/>
  <c r="R2561" i="24"/>
  <c r="N2561" i="24"/>
  <c r="H2561" i="24"/>
  <c r="D2561" i="24"/>
  <c r="T2560" i="24"/>
  <c r="P2560" i="24"/>
  <c r="L2560" i="24"/>
  <c r="F2560" i="24"/>
  <c r="B2560" i="24"/>
  <c r="R2559" i="24"/>
  <c r="N2559" i="24"/>
  <c r="H2559" i="24"/>
  <c r="D2559" i="24"/>
  <c r="T2558" i="24"/>
  <c r="P2558" i="24"/>
  <c r="L2558" i="24"/>
  <c r="F2558" i="24"/>
  <c r="B2558" i="24"/>
  <c r="R2557" i="24"/>
  <c r="N2557" i="24"/>
  <c r="H2557" i="24"/>
  <c r="D2557" i="24"/>
  <c r="T2556" i="24"/>
  <c r="P2556" i="24"/>
  <c r="L2556" i="24"/>
  <c r="F2556" i="24"/>
  <c r="B2556" i="24"/>
  <c r="R2555" i="24"/>
  <c r="N2555" i="24"/>
  <c r="H2555" i="24"/>
  <c r="D2555" i="24"/>
  <c r="T2554" i="24"/>
  <c r="P2554" i="24"/>
  <c r="L2554" i="24"/>
  <c r="F2554" i="24"/>
  <c r="B2554" i="24"/>
  <c r="R2553" i="24"/>
  <c r="N2553" i="24"/>
  <c r="H2553" i="24"/>
  <c r="D2553" i="24"/>
  <c r="T2552" i="24"/>
  <c r="P2552" i="24"/>
  <c r="L2552" i="24"/>
  <c r="F2552" i="24"/>
  <c r="B2552" i="24"/>
  <c r="R2551" i="24"/>
  <c r="N2551" i="24"/>
  <c r="H2551" i="24"/>
  <c r="D2551" i="24"/>
  <c r="T2550" i="24"/>
  <c r="P2550" i="24"/>
  <c r="L2550" i="24"/>
  <c r="F2550" i="24"/>
  <c r="B2550" i="24"/>
  <c r="R2549" i="24"/>
  <c r="N2549" i="24"/>
  <c r="H2549" i="24"/>
  <c r="D2549" i="24"/>
  <c r="T2548" i="24"/>
  <c r="P2548" i="24"/>
  <c r="L2548" i="24"/>
  <c r="F2548" i="24"/>
  <c r="B2548" i="24"/>
  <c r="R2547" i="24"/>
  <c r="N2547" i="24"/>
  <c r="H2547" i="24"/>
  <c r="D2547" i="24"/>
  <c r="T2546" i="24"/>
  <c r="P2546" i="24"/>
  <c r="L2546" i="24"/>
  <c r="F2546" i="24"/>
  <c r="B2546" i="24"/>
  <c r="R2545" i="24"/>
  <c r="N2545" i="24"/>
  <c r="H2545" i="24"/>
  <c r="D2545" i="24"/>
  <c r="T2544" i="24"/>
  <c r="P2544" i="24"/>
  <c r="L2544" i="24"/>
  <c r="F2544" i="24"/>
  <c r="B2544" i="24"/>
  <c r="R2543" i="24"/>
  <c r="N2543" i="24"/>
  <c r="H2543" i="24"/>
  <c r="D2543" i="24"/>
  <c r="T2542" i="24"/>
  <c r="P2542" i="24"/>
  <c r="L2542" i="24"/>
  <c r="F2542" i="24"/>
  <c r="B2542" i="24"/>
  <c r="R2541" i="24"/>
  <c r="N2541" i="24"/>
  <c r="H2541" i="24"/>
  <c r="D2541" i="24"/>
  <c r="T2540" i="24"/>
  <c r="P2540" i="24"/>
  <c r="L2540" i="24"/>
  <c r="F2540" i="24"/>
  <c r="B2540" i="24"/>
  <c r="R2539" i="24"/>
  <c r="N2539" i="24"/>
  <c r="H2539" i="24"/>
  <c r="D2539" i="24"/>
  <c r="T2538" i="24"/>
  <c r="P2538" i="24"/>
  <c r="L2538" i="24"/>
  <c r="F2538" i="24"/>
  <c r="B2538" i="24"/>
  <c r="R2537" i="24"/>
  <c r="N2537" i="24"/>
  <c r="H2537" i="24"/>
  <c r="D2537" i="24"/>
  <c r="T2536" i="24"/>
  <c r="P2536" i="24"/>
  <c r="L2536" i="24"/>
  <c r="F2536" i="24"/>
  <c r="B2536" i="24"/>
  <c r="R2535" i="24"/>
  <c r="N2535" i="24"/>
  <c r="H2535" i="24"/>
  <c r="D2535" i="24"/>
  <c r="T2534" i="24"/>
  <c r="P2534" i="24"/>
  <c r="L2534" i="24"/>
  <c r="F2534" i="24"/>
  <c r="B2534" i="24"/>
  <c r="R2533" i="24"/>
  <c r="N2533" i="24"/>
  <c r="H2533" i="24"/>
  <c r="D2533" i="24"/>
  <c r="T2532" i="24"/>
  <c r="P2532" i="24"/>
  <c r="L2532" i="24"/>
  <c r="F2532" i="24"/>
  <c r="B2532" i="24"/>
  <c r="R2531" i="24"/>
  <c r="N2531" i="24"/>
  <c r="H2531" i="24"/>
  <c r="D2531" i="24"/>
  <c r="T2530" i="24"/>
  <c r="P2530" i="24"/>
  <c r="L2530" i="24"/>
  <c r="F2530" i="24"/>
  <c r="B2530" i="24"/>
  <c r="R2529" i="24"/>
  <c r="N2529" i="24"/>
  <c r="H2529" i="24"/>
  <c r="D2529" i="24"/>
  <c r="T2528" i="24"/>
  <c r="P2528" i="24"/>
  <c r="L2528" i="24"/>
  <c r="F2528" i="24"/>
  <c r="B2528" i="24"/>
  <c r="R2527" i="24"/>
  <c r="N2527" i="24"/>
  <c r="H2527" i="24"/>
  <c r="D2527" i="24"/>
  <c r="T2526" i="24"/>
  <c r="P2526" i="24"/>
  <c r="L2526" i="24"/>
  <c r="F2526" i="24"/>
  <c r="B2526" i="24"/>
  <c r="R2525" i="24"/>
  <c r="N2525" i="24"/>
  <c r="H2525" i="24"/>
  <c r="D2525" i="24"/>
  <c r="T2524" i="24"/>
  <c r="P2524" i="24"/>
  <c r="L2524" i="24"/>
  <c r="F2524" i="24"/>
  <c r="B2524" i="24"/>
  <c r="R2523" i="24"/>
  <c r="N2523" i="24"/>
  <c r="H2523" i="24"/>
  <c r="D2523" i="24"/>
  <c r="T2522" i="24"/>
  <c r="P2522" i="24"/>
  <c r="L2522" i="24"/>
  <c r="F2522" i="24"/>
  <c r="B2522" i="24"/>
  <c r="R2521" i="24"/>
  <c r="N2521" i="24"/>
  <c r="H2521" i="24"/>
  <c r="D2521" i="24"/>
  <c r="T2520" i="24"/>
  <c r="P2520" i="24"/>
  <c r="L2520" i="24"/>
  <c r="F2520" i="24"/>
  <c r="B2520" i="24"/>
  <c r="R2519" i="24"/>
  <c r="N2519" i="24"/>
  <c r="H2519" i="24"/>
  <c r="D2519" i="24"/>
  <c r="T2518" i="24"/>
  <c r="P2518" i="24"/>
  <c r="L2518" i="24"/>
  <c r="F2518" i="24"/>
  <c r="B2518" i="24"/>
  <c r="S2639" i="24"/>
  <c r="A2639" i="24"/>
  <c r="C2638" i="24"/>
  <c r="E2637" i="24"/>
  <c r="G2636" i="24"/>
  <c r="K2635" i="24"/>
  <c r="M2634" i="24"/>
  <c r="O2633" i="24"/>
  <c r="Q2632" i="24"/>
  <c r="S2631" i="24"/>
  <c r="A2631" i="24"/>
  <c r="C2630" i="24"/>
  <c r="E2629" i="24"/>
  <c r="G2628" i="24"/>
  <c r="Q2627" i="24"/>
  <c r="M2627" i="24"/>
  <c r="G2627" i="24"/>
  <c r="C2627" i="24"/>
  <c r="S2626" i="24"/>
  <c r="O2626" i="24"/>
  <c r="K2626" i="24"/>
  <c r="E2626" i="24"/>
  <c r="A2626" i="24"/>
  <c r="Q2625" i="24"/>
  <c r="M2625" i="24"/>
  <c r="G2625" i="24"/>
  <c r="C2625" i="24"/>
  <c r="S2624" i="24"/>
  <c r="O2624" i="24"/>
  <c r="K2624" i="24"/>
  <c r="E2624" i="24"/>
  <c r="A2624" i="24"/>
  <c r="Q2623" i="24"/>
  <c r="M2623" i="24"/>
  <c r="G2623" i="24"/>
  <c r="C2623" i="24"/>
  <c r="S2622" i="24"/>
  <c r="O2622" i="24"/>
  <c r="K2622" i="24"/>
  <c r="E2622" i="24"/>
  <c r="A2622" i="24"/>
  <c r="Q2621" i="24"/>
  <c r="M2621" i="24"/>
  <c r="G2621" i="24"/>
  <c r="C2621" i="24"/>
  <c r="S2620" i="24"/>
  <c r="O2620" i="24"/>
  <c r="K2620" i="24"/>
  <c r="E2620" i="24"/>
  <c r="A2620" i="24"/>
  <c r="Q2619" i="24"/>
  <c r="M2619" i="24"/>
  <c r="G2619" i="24"/>
  <c r="C2619" i="24"/>
  <c r="S2618" i="24"/>
  <c r="O2618" i="24"/>
  <c r="K2618" i="24"/>
  <c r="E2618" i="24"/>
  <c r="A2618" i="24"/>
  <c r="Q2617" i="24"/>
  <c r="M2617" i="24"/>
  <c r="G2617" i="24"/>
  <c r="C2617" i="24"/>
  <c r="S2616" i="24"/>
  <c r="O2616" i="24"/>
  <c r="K2616" i="24"/>
  <c r="E2616" i="24"/>
  <c r="A2616" i="24"/>
  <c r="Q2615" i="24"/>
  <c r="M2615" i="24"/>
  <c r="G2615" i="24"/>
  <c r="C2615" i="24"/>
  <c r="S2614" i="24"/>
  <c r="O2614" i="24"/>
  <c r="K2614" i="24"/>
  <c r="E2614" i="24"/>
  <c r="A2614" i="24"/>
  <c r="Q2613" i="24"/>
  <c r="M2613" i="24"/>
  <c r="G2613" i="24"/>
  <c r="C2613" i="24"/>
  <c r="S2612" i="24"/>
  <c r="O2612" i="24"/>
  <c r="K2612" i="24"/>
  <c r="E2612" i="24"/>
  <c r="A2612" i="24"/>
  <c r="Q2611" i="24"/>
  <c r="M2611" i="24"/>
  <c r="G2611" i="24"/>
  <c r="C2611" i="24"/>
  <c r="S2610" i="24"/>
  <c r="O2610" i="24"/>
  <c r="K2610" i="24"/>
  <c r="E2610" i="24"/>
  <c r="A2610" i="24"/>
  <c r="Q2609" i="24"/>
  <c r="M2609" i="24"/>
  <c r="G2609" i="24"/>
  <c r="C2609" i="24"/>
  <c r="S2608" i="24"/>
  <c r="O2608" i="24"/>
  <c r="K2608" i="24"/>
  <c r="E2608" i="24"/>
  <c r="A2608" i="24"/>
  <c r="Q2607" i="24"/>
  <c r="M2607" i="24"/>
  <c r="G2607" i="24"/>
  <c r="C2607" i="24"/>
  <c r="S2606" i="24"/>
  <c r="O2606" i="24"/>
  <c r="K2606" i="24"/>
  <c r="E2606" i="24"/>
  <c r="A2606" i="24"/>
  <c r="Q2605" i="24"/>
  <c r="M2605" i="24"/>
  <c r="G2605" i="24"/>
  <c r="C2605" i="24"/>
  <c r="S2604" i="24"/>
  <c r="O2604" i="24"/>
  <c r="K2604" i="24"/>
  <c r="E2604" i="24"/>
  <c r="A2604" i="24"/>
  <c r="Q2603" i="24"/>
  <c r="M2603" i="24"/>
  <c r="G2603" i="24"/>
  <c r="C2603" i="24"/>
  <c r="S2602" i="24"/>
  <c r="O2602" i="24"/>
  <c r="K2602" i="24"/>
  <c r="E2602" i="24"/>
  <c r="A2602" i="24"/>
  <c r="Q2601" i="24"/>
  <c r="M2601" i="24"/>
  <c r="G2601" i="24"/>
  <c r="C2601" i="24"/>
  <c r="S2600" i="24"/>
  <c r="O2600" i="24"/>
  <c r="K2600" i="24"/>
  <c r="E2600" i="24"/>
  <c r="A2600" i="24"/>
  <c r="Q2599" i="24"/>
  <c r="M2599" i="24"/>
  <c r="G2599" i="24"/>
  <c r="C2599" i="24"/>
  <c r="S2598" i="24"/>
  <c r="O2598" i="24"/>
  <c r="K2598" i="24"/>
  <c r="E2598" i="24"/>
  <c r="A2598" i="24"/>
  <c r="Q2597" i="24"/>
  <c r="M2597" i="24"/>
  <c r="G2597" i="24"/>
  <c r="C2597" i="24"/>
  <c r="S2596" i="24"/>
  <c r="O2596" i="24"/>
  <c r="K2596" i="24"/>
  <c r="E2596" i="24"/>
  <c r="A2596" i="24"/>
  <c r="Q2595" i="24"/>
  <c r="M2595" i="24"/>
  <c r="G2595" i="24"/>
  <c r="C2595" i="24"/>
  <c r="S2594" i="24"/>
  <c r="O2594" i="24"/>
  <c r="K2594" i="24"/>
  <c r="E2594" i="24"/>
  <c r="A2594" i="24"/>
  <c r="Q2593" i="24"/>
  <c r="M2593" i="24"/>
  <c r="G2593" i="24"/>
  <c r="C2593" i="24"/>
  <c r="S2592" i="24"/>
  <c r="O2592" i="24"/>
  <c r="K2592" i="24"/>
  <c r="E2592" i="24"/>
  <c r="A2592" i="24"/>
  <c r="Q2591" i="24"/>
  <c r="M2591" i="24"/>
  <c r="G2591" i="24"/>
  <c r="C2591" i="24"/>
  <c r="S2590" i="24"/>
  <c r="O2590" i="24"/>
  <c r="K2590" i="24"/>
  <c r="E2590" i="24"/>
  <c r="A2590" i="24"/>
  <c r="Q2589" i="24"/>
  <c r="M2589" i="24"/>
  <c r="G2589" i="24"/>
  <c r="C2589" i="24"/>
  <c r="S2588" i="24"/>
  <c r="O2588" i="24"/>
  <c r="K2588" i="24"/>
  <c r="E2588" i="24"/>
  <c r="A2588" i="24"/>
  <c r="Q2587" i="24"/>
  <c r="M2587" i="24"/>
  <c r="G2587" i="24"/>
  <c r="C2587" i="24"/>
  <c r="S2586" i="24"/>
  <c r="O2586" i="24"/>
  <c r="K2586" i="24"/>
  <c r="E2586" i="24"/>
  <c r="A2586" i="24"/>
  <c r="Q2585" i="24"/>
  <c r="M2585" i="24"/>
  <c r="G2585" i="24"/>
  <c r="C2585" i="24"/>
  <c r="S2584" i="24"/>
  <c r="O2584" i="24"/>
  <c r="K2584" i="24"/>
  <c r="E2584" i="24"/>
  <c r="A2584" i="24"/>
  <c r="Q2583" i="24"/>
  <c r="M2583" i="24"/>
  <c r="G2583" i="24"/>
  <c r="C2583" i="24"/>
  <c r="S2582" i="24"/>
  <c r="O2582" i="24"/>
  <c r="K2582" i="24"/>
  <c r="E2582" i="24"/>
  <c r="A2582" i="24"/>
  <c r="Q2581" i="24"/>
  <c r="M2581" i="24"/>
  <c r="G2581" i="24"/>
  <c r="C2581" i="24"/>
  <c r="S2580" i="24"/>
  <c r="O2580" i="24"/>
  <c r="K2580" i="24"/>
  <c r="E2580" i="24"/>
  <c r="A2580" i="24"/>
  <c r="Q2579" i="24"/>
  <c r="M2579" i="24"/>
  <c r="G2579" i="24"/>
  <c r="C2579" i="24"/>
  <c r="S2578" i="24"/>
  <c r="O2578" i="24"/>
  <c r="K2578" i="24"/>
  <c r="E2578" i="24"/>
  <c r="A2578" i="24"/>
  <c r="Q2577" i="24"/>
  <c r="M2577" i="24"/>
  <c r="G2577" i="24"/>
  <c r="C2577" i="24"/>
  <c r="S2576" i="24"/>
  <c r="O2576" i="24"/>
  <c r="K2576" i="24"/>
  <c r="E2576" i="24"/>
  <c r="A2576" i="24"/>
  <c r="Q2575" i="24"/>
  <c r="M2575" i="24"/>
  <c r="G2575" i="24"/>
  <c r="C2575" i="24"/>
  <c r="S2574" i="24"/>
  <c r="O2574" i="24"/>
  <c r="K2574" i="24"/>
  <c r="E2574" i="24"/>
  <c r="A2574" i="24"/>
  <c r="Q2573" i="24"/>
  <c r="M2573" i="24"/>
  <c r="G2573" i="24"/>
  <c r="C2573" i="24"/>
  <c r="S2572" i="24"/>
  <c r="O2572" i="24"/>
  <c r="K2572" i="24"/>
  <c r="E2572" i="24"/>
  <c r="A2572" i="24"/>
  <c r="Q2571" i="24"/>
  <c r="M2571" i="24"/>
  <c r="G2571" i="24"/>
  <c r="C2571" i="24"/>
  <c r="S2570" i="24"/>
  <c r="O2570" i="24"/>
  <c r="K2570" i="24"/>
  <c r="E2570" i="24"/>
  <c r="A2570" i="24"/>
  <c r="Q2569" i="24"/>
  <c r="M2569" i="24"/>
  <c r="G2569" i="24"/>
  <c r="C2569" i="24"/>
  <c r="S2568" i="24"/>
  <c r="O2568" i="24"/>
  <c r="K2568" i="24"/>
  <c r="E2568" i="24"/>
  <c r="A2568" i="24"/>
  <c r="Q2567" i="24"/>
  <c r="M2567" i="24"/>
  <c r="G2567" i="24"/>
  <c r="C2567" i="24"/>
  <c r="S2566" i="24"/>
  <c r="O2566" i="24"/>
  <c r="K2566" i="24"/>
  <c r="E2566" i="24"/>
  <c r="A2566" i="24"/>
  <c r="Q2565" i="24"/>
  <c r="M2565" i="24"/>
  <c r="G2565" i="24"/>
  <c r="C2565" i="24"/>
  <c r="S2564" i="24"/>
  <c r="O2564" i="24"/>
  <c r="K2564" i="24"/>
  <c r="E2564" i="24"/>
  <c r="A2564" i="24"/>
  <c r="Q2563" i="24"/>
  <c r="M2563" i="24"/>
  <c r="G2563" i="24"/>
  <c r="C2563" i="24"/>
  <c r="S2562" i="24"/>
  <c r="O2562" i="24"/>
  <c r="K2562" i="24"/>
  <c r="E2562" i="24"/>
  <c r="A2562" i="24"/>
  <c r="Q2561" i="24"/>
  <c r="M2561" i="24"/>
  <c r="G2561" i="24"/>
  <c r="C2561" i="24"/>
  <c r="S2560" i="24"/>
  <c r="O2560" i="24"/>
  <c r="K2560" i="24"/>
  <c r="E2560" i="24"/>
  <c r="A2560" i="24"/>
  <c r="Q2559" i="24"/>
  <c r="M2559" i="24"/>
  <c r="G2559" i="24"/>
  <c r="C2559" i="24"/>
  <c r="S2558" i="24"/>
  <c r="O2558" i="24"/>
  <c r="K2558" i="24"/>
  <c r="E2558" i="24"/>
  <c r="A2558" i="24"/>
  <c r="Q2557" i="24"/>
  <c r="M2557" i="24"/>
  <c r="G2557" i="24"/>
  <c r="C2557" i="24"/>
  <c r="S2556" i="24"/>
  <c r="O2556" i="24"/>
  <c r="K2556" i="24"/>
  <c r="E2556" i="24"/>
  <c r="A2556" i="24"/>
  <c r="Q2555" i="24"/>
  <c r="M2555" i="24"/>
  <c r="G2555" i="24"/>
  <c r="C2555" i="24"/>
  <c r="S2554" i="24"/>
  <c r="O2554" i="24"/>
  <c r="K2554" i="24"/>
  <c r="E2554" i="24"/>
  <c r="A2554" i="24"/>
  <c r="Q2553" i="24"/>
  <c r="M2553" i="24"/>
  <c r="G2553" i="24"/>
  <c r="C2553" i="24"/>
  <c r="S2552" i="24"/>
  <c r="O2552" i="24"/>
  <c r="K2552" i="24"/>
  <c r="E2552" i="24"/>
  <c r="A2552" i="24"/>
  <c r="Q2551" i="24"/>
  <c r="M2551" i="24"/>
  <c r="G2551" i="24"/>
  <c r="C2551" i="24"/>
  <c r="S2550" i="24"/>
  <c r="O2550" i="24"/>
  <c r="K2550" i="24"/>
  <c r="E2550" i="24"/>
  <c r="A2550" i="24"/>
  <c r="Q2549" i="24"/>
  <c r="M2549" i="24"/>
  <c r="G2549" i="24"/>
  <c r="C2549" i="24"/>
  <c r="S2548" i="24"/>
  <c r="O2548" i="24"/>
  <c r="K2548" i="24"/>
  <c r="E2548" i="24"/>
  <c r="A2548" i="24"/>
  <c r="Q2547" i="24"/>
  <c r="M2547" i="24"/>
  <c r="G2547" i="24"/>
  <c r="C2547" i="24"/>
  <c r="S2546" i="24"/>
  <c r="O2546" i="24"/>
  <c r="K2546" i="24"/>
  <c r="E2546" i="24"/>
  <c r="A2546" i="24"/>
  <c r="Q2545" i="24"/>
  <c r="M2545" i="24"/>
  <c r="G2545" i="24"/>
  <c r="C2545" i="24"/>
  <c r="S2544" i="24"/>
  <c r="O2544" i="24"/>
  <c r="K2544" i="24"/>
  <c r="E2544" i="24"/>
  <c r="A2544" i="24"/>
  <c r="Q2543" i="24"/>
  <c r="M2543" i="24"/>
  <c r="G2543" i="24"/>
  <c r="C2543" i="24"/>
  <c r="S2542" i="24"/>
  <c r="O2542" i="24"/>
  <c r="K2542" i="24"/>
  <c r="E2542" i="24"/>
  <c r="A2542" i="24"/>
  <c r="Q2541" i="24"/>
  <c r="M2541" i="24"/>
  <c r="G2541" i="24"/>
  <c r="C2541" i="24"/>
  <c r="S2540" i="24"/>
  <c r="O2540" i="24"/>
  <c r="K2540" i="24"/>
  <c r="E2540" i="24"/>
  <c r="A2540" i="24"/>
  <c r="Q2539" i="24"/>
  <c r="M2539" i="24"/>
  <c r="G2539" i="24"/>
  <c r="C2539" i="24"/>
  <c r="S2538" i="24"/>
  <c r="O2538" i="24"/>
  <c r="K2538" i="24"/>
  <c r="E2538" i="24"/>
  <c r="A2538" i="24"/>
  <c r="Q2537" i="24"/>
  <c r="M2537" i="24"/>
  <c r="G2537" i="24"/>
  <c r="C2537" i="24"/>
  <c r="S2536" i="24"/>
  <c r="O2536" i="24"/>
  <c r="K2536" i="24"/>
  <c r="E2536" i="24"/>
  <c r="A2536" i="24"/>
  <c r="Q2535" i="24"/>
  <c r="M2535" i="24"/>
  <c r="G2535" i="24"/>
  <c r="C2535" i="24"/>
  <c r="S2534" i="24"/>
  <c r="O2534" i="24"/>
  <c r="K2534" i="24"/>
  <c r="E2534" i="24"/>
  <c r="A2534" i="24"/>
  <c r="Q2533" i="24"/>
  <c r="M2533" i="24"/>
  <c r="G2533" i="24"/>
  <c r="C2533" i="24"/>
  <c r="S2532" i="24"/>
  <c r="O2532" i="24"/>
  <c r="K2532" i="24"/>
  <c r="E2532" i="24"/>
  <c r="A2532" i="24"/>
  <c r="Q2531" i="24"/>
  <c r="M2531" i="24"/>
  <c r="G2531" i="24"/>
  <c r="C2531" i="24"/>
  <c r="S2530" i="24"/>
  <c r="O2530" i="24"/>
  <c r="K2530" i="24"/>
  <c r="E2530" i="24"/>
  <c r="A2530" i="24"/>
  <c r="Q2529" i="24"/>
  <c r="M2529" i="24"/>
  <c r="G2529" i="24"/>
  <c r="C2529" i="24"/>
  <c r="S2528" i="24"/>
  <c r="O2528" i="24"/>
  <c r="K2528" i="24"/>
  <c r="E2528" i="24"/>
  <c r="A2528" i="24"/>
  <c r="Q2527" i="24"/>
  <c r="M2527" i="24"/>
  <c r="G2527" i="24"/>
  <c r="C2527" i="24"/>
  <c r="S2526" i="24"/>
  <c r="O2526" i="24"/>
  <c r="K2526" i="24"/>
  <c r="E2526" i="24"/>
  <c r="A2526" i="24"/>
  <c r="Q2525" i="24"/>
  <c r="M2525" i="24"/>
  <c r="G2525" i="24"/>
  <c r="C2525" i="24"/>
  <c r="S2524" i="24"/>
  <c r="O2524" i="24"/>
  <c r="K2524" i="24"/>
  <c r="E2524" i="24"/>
  <c r="A2524" i="24"/>
  <c r="Q2523" i="24"/>
  <c r="M2523" i="24"/>
  <c r="G2523" i="24"/>
  <c r="C2523" i="24"/>
  <c r="S2522" i="24"/>
  <c r="O2522" i="24"/>
  <c r="K2522" i="24"/>
  <c r="E2522" i="24"/>
  <c r="A2522" i="24"/>
  <c r="Q2521" i="24"/>
  <c r="M2521" i="24"/>
  <c r="G2521" i="24"/>
  <c r="C2521" i="24"/>
  <c r="S2520" i="24"/>
  <c r="O2520" i="24"/>
  <c r="K2520" i="24"/>
  <c r="E2520" i="24"/>
  <c r="A2520" i="24"/>
  <c r="Q2519" i="24"/>
  <c r="M2519" i="24"/>
  <c r="G2519" i="24"/>
  <c r="C2519" i="24"/>
  <c r="S2518" i="24"/>
  <c r="O2518" i="24"/>
  <c r="K2518" i="24"/>
  <c r="E2518" i="24"/>
  <c r="A2518" i="24"/>
  <c r="Q2517" i="24"/>
  <c r="M2517" i="24"/>
  <c r="O2639" i="24"/>
  <c r="Q2638" i="24"/>
  <c r="S2637" i="24"/>
  <c r="A2637" i="24"/>
  <c r="C2636" i="24"/>
  <c r="E2635" i="24"/>
  <c r="G2634" i="24"/>
  <c r="K2633" i="24"/>
  <c r="M2632" i="24"/>
  <c r="O2631" i="24"/>
  <c r="Q2630" i="24"/>
  <c r="S2629" i="24"/>
  <c r="A2629" i="24"/>
  <c r="C2628" i="24"/>
  <c r="P2627" i="24"/>
  <c r="L2627" i="24"/>
  <c r="F2627" i="24"/>
  <c r="B2627" i="24"/>
  <c r="R2626" i="24"/>
  <c r="N2626" i="24"/>
  <c r="H2626" i="24"/>
  <c r="D2626" i="24"/>
  <c r="T2625" i="24"/>
  <c r="P2625" i="24"/>
  <c r="L2625" i="24"/>
  <c r="F2625" i="24"/>
  <c r="B2625" i="24"/>
  <c r="R2624" i="24"/>
  <c r="N2624" i="24"/>
  <c r="H2624" i="24"/>
  <c r="D2624" i="24"/>
  <c r="T2623" i="24"/>
  <c r="P2623" i="24"/>
  <c r="L2623" i="24"/>
  <c r="F2623" i="24"/>
  <c r="B2623" i="24"/>
  <c r="R2622" i="24"/>
  <c r="N2622" i="24"/>
  <c r="H2622" i="24"/>
  <c r="D2622" i="24"/>
  <c r="T2621" i="24"/>
  <c r="P2621" i="24"/>
  <c r="L2621" i="24"/>
  <c r="F2621" i="24"/>
  <c r="B2621" i="24"/>
  <c r="R2620" i="24"/>
  <c r="N2620" i="24"/>
  <c r="H2620" i="24"/>
  <c r="D2620" i="24"/>
  <c r="T2619" i="24"/>
  <c r="P2619" i="24"/>
  <c r="L2619" i="24"/>
  <c r="F2619" i="24"/>
  <c r="B2619" i="24"/>
  <c r="R2618" i="24"/>
  <c r="N2618" i="24"/>
  <c r="H2618" i="24"/>
  <c r="D2618" i="24"/>
  <c r="T2617" i="24"/>
  <c r="P2617" i="24"/>
  <c r="L2617" i="24"/>
  <c r="F2617" i="24"/>
  <c r="B2617" i="24"/>
  <c r="R2616" i="24"/>
  <c r="N2616" i="24"/>
  <c r="H2616" i="24"/>
  <c r="D2616" i="24"/>
  <c r="T2615" i="24"/>
  <c r="P2615" i="24"/>
  <c r="L2615" i="24"/>
  <c r="F2615" i="24"/>
  <c r="B2615" i="24"/>
  <c r="R2614" i="24"/>
  <c r="N2614" i="24"/>
  <c r="H2614" i="24"/>
  <c r="D2614" i="24"/>
  <c r="T2613" i="24"/>
  <c r="P2613" i="24"/>
  <c r="L2613" i="24"/>
  <c r="F2613" i="24"/>
  <c r="B2613" i="24"/>
  <c r="R2612" i="24"/>
  <c r="N2612" i="24"/>
  <c r="H2612" i="24"/>
  <c r="D2612" i="24"/>
  <c r="T2611" i="24"/>
  <c r="P2611" i="24"/>
  <c r="L2611" i="24"/>
  <c r="F2611" i="24"/>
  <c r="B2611" i="24"/>
  <c r="R2610" i="24"/>
  <c r="N2610" i="24"/>
  <c r="H2610" i="24"/>
  <c r="D2610" i="24"/>
  <c r="T2609" i="24"/>
  <c r="P2609" i="24"/>
  <c r="L2609" i="24"/>
  <c r="F2609" i="24"/>
  <c r="B2609" i="24"/>
  <c r="R2608" i="24"/>
  <c r="N2608" i="24"/>
  <c r="H2608" i="24"/>
  <c r="D2608" i="24"/>
  <c r="T2607" i="24"/>
  <c r="P2607" i="24"/>
  <c r="L2607" i="24"/>
  <c r="F2607" i="24"/>
  <c r="B2607" i="24"/>
  <c r="R2606" i="24"/>
  <c r="N2606" i="24"/>
  <c r="H2606" i="24"/>
  <c r="D2606" i="24"/>
  <c r="T2605" i="24"/>
  <c r="P2605" i="24"/>
  <c r="L2605" i="24"/>
  <c r="F2605" i="24"/>
  <c r="B2605" i="24"/>
  <c r="R2604" i="24"/>
  <c r="N2604" i="24"/>
  <c r="H2604" i="24"/>
  <c r="D2604" i="24"/>
  <c r="T2603" i="24"/>
  <c r="P2603" i="24"/>
  <c r="L2603" i="24"/>
  <c r="F2603" i="24"/>
  <c r="B2603" i="24"/>
  <c r="R2602" i="24"/>
  <c r="N2602" i="24"/>
  <c r="H2602" i="24"/>
  <c r="D2602" i="24"/>
  <c r="T2601" i="24"/>
  <c r="P2601" i="24"/>
  <c r="L2601" i="24"/>
  <c r="F2601" i="24"/>
  <c r="B2601" i="24"/>
  <c r="R2600" i="24"/>
  <c r="N2600" i="24"/>
  <c r="H2600" i="24"/>
  <c r="D2600" i="24"/>
  <c r="T2599" i="24"/>
  <c r="P2599" i="24"/>
  <c r="L2599" i="24"/>
  <c r="F2599" i="24"/>
  <c r="B2599" i="24"/>
  <c r="R2598" i="24"/>
  <c r="N2598" i="24"/>
  <c r="H2598" i="24"/>
  <c r="D2598" i="24"/>
  <c r="T2597" i="24"/>
  <c r="P2597" i="24"/>
  <c r="L2597" i="24"/>
  <c r="F2597" i="24"/>
  <c r="B2597" i="24"/>
  <c r="R2596" i="24"/>
  <c r="N2596" i="24"/>
  <c r="H2596" i="24"/>
  <c r="D2596" i="24"/>
  <c r="T2595" i="24"/>
  <c r="P2595" i="24"/>
  <c r="L2595" i="24"/>
  <c r="F2595" i="24"/>
  <c r="B2595" i="24"/>
  <c r="R2594" i="24"/>
  <c r="N2594" i="24"/>
  <c r="H2594" i="24"/>
  <c r="D2594" i="24"/>
  <c r="T2593" i="24"/>
  <c r="P2593" i="24"/>
  <c r="L2593" i="24"/>
  <c r="F2593" i="24"/>
  <c r="B2593" i="24"/>
  <c r="R2592" i="24"/>
  <c r="N2592" i="24"/>
  <c r="H2592" i="24"/>
  <c r="D2592" i="24"/>
  <c r="T2591" i="24"/>
  <c r="P2591" i="24"/>
  <c r="L2591" i="24"/>
  <c r="F2591" i="24"/>
  <c r="B2591" i="24"/>
  <c r="R2590" i="24"/>
  <c r="N2590" i="24"/>
  <c r="H2590" i="24"/>
  <c r="D2590" i="24"/>
  <c r="T2589" i="24"/>
  <c r="P2589" i="24"/>
  <c r="L2589" i="24"/>
  <c r="F2589" i="24"/>
  <c r="B2589" i="24"/>
  <c r="R2588" i="24"/>
  <c r="N2588" i="24"/>
  <c r="H2588" i="24"/>
  <c r="D2588" i="24"/>
  <c r="T2587" i="24"/>
  <c r="P2587" i="24"/>
  <c r="L2587" i="24"/>
  <c r="F2587" i="24"/>
  <c r="B2587" i="24"/>
  <c r="R2586" i="24"/>
  <c r="N2586" i="24"/>
  <c r="H2586" i="24"/>
  <c r="D2586" i="24"/>
  <c r="T2585" i="24"/>
  <c r="P2585" i="24"/>
  <c r="L2585" i="24"/>
  <c r="F2585" i="24"/>
  <c r="B2585" i="24"/>
  <c r="R2584" i="24"/>
  <c r="N2584" i="24"/>
  <c r="H2584" i="24"/>
  <c r="D2584" i="24"/>
  <c r="T2583" i="24"/>
  <c r="P2583" i="24"/>
  <c r="L2583" i="24"/>
  <c r="F2583" i="24"/>
  <c r="B2583" i="24"/>
  <c r="R2582" i="24"/>
  <c r="N2582" i="24"/>
  <c r="H2582" i="24"/>
  <c r="D2582" i="24"/>
  <c r="T2581" i="24"/>
  <c r="P2581" i="24"/>
  <c r="L2581" i="24"/>
  <c r="F2581" i="24"/>
  <c r="B2581" i="24"/>
  <c r="R2580" i="24"/>
  <c r="N2580" i="24"/>
  <c r="H2580" i="24"/>
  <c r="D2580" i="24"/>
  <c r="T2579" i="24"/>
  <c r="P2579" i="24"/>
  <c r="L2579" i="24"/>
  <c r="F2579" i="24"/>
  <c r="B2579" i="24"/>
  <c r="R2578" i="24"/>
  <c r="N2578" i="24"/>
  <c r="H2578" i="24"/>
  <c r="D2578" i="24"/>
  <c r="T2577" i="24"/>
  <c r="P2577" i="24"/>
  <c r="L2577" i="24"/>
  <c r="F2577" i="24"/>
  <c r="B2577" i="24"/>
  <c r="R2576" i="24"/>
  <c r="N2576" i="24"/>
  <c r="H2576" i="24"/>
  <c r="D2576" i="24"/>
  <c r="T2575" i="24"/>
  <c r="P2575" i="24"/>
  <c r="L2575" i="24"/>
  <c r="F2575" i="24"/>
  <c r="B2575" i="24"/>
  <c r="R2574" i="24"/>
  <c r="N2574" i="24"/>
  <c r="H2574" i="24"/>
  <c r="D2574" i="24"/>
  <c r="T2573" i="24"/>
  <c r="P2573" i="24"/>
  <c r="L2573" i="24"/>
  <c r="F2573" i="24"/>
  <c r="B2573" i="24"/>
  <c r="R2572" i="24"/>
  <c r="N2572" i="24"/>
  <c r="H2572" i="24"/>
  <c r="D2572" i="24"/>
  <c r="T2571" i="24"/>
  <c r="P2571" i="24"/>
  <c r="L2571" i="24"/>
  <c r="F2571" i="24"/>
  <c r="B2571" i="24"/>
  <c r="R2570" i="24"/>
  <c r="N2570" i="24"/>
  <c r="H2570" i="24"/>
  <c r="D2570" i="24"/>
  <c r="T2569" i="24"/>
  <c r="P2569" i="24"/>
  <c r="L2569" i="24"/>
  <c r="F2569" i="24"/>
  <c r="B2569" i="24"/>
  <c r="R2568" i="24"/>
  <c r="N2568" i="24"/>
  <c r="H2568" i="24"/>
  <c r="D2568" i="24"/>
  <c r="T2567" i="24"/>
  <c r="P2567" i="24"/>
  <c r="L2567" i="24"/>
  <c r="F2567" i="24"/>
  <c r="B2567" i="24"/>
  <c r="R2566" i="24"/>
  <c r="N2566" i="24"/>
  <c r="H2566" i="24"/>
  <c r="D2566" i="24"/>
  <c r="T2565" i="24"/>
  <c r="P2565" i="24"/>
  <c r="L2565" i="24"/>
  <c r="F2565" i="24"/>
  <c r="B2565" i="24"/>
  <c r="R2564" i="24"/>
  <c r="N2564" i="24"/>
  <c r="H2564" i="24"/>
  <c r="D2564" i="24"/>
  <c r="T2563" i="24"/>
  <c r="P2563" i="24"/>
  <c r="L2563" i="24"/>
  <c r="F2563" i="24"/>
  <c r="B2563" i="24"/>
  <c r="R2562" i="24"/>
  <c r="N2562" i="24"/>
  <c r="H2562" i="24"/>
  <c r="D2562" i="24"/>
  <c r="T2561" i="24"/>
  <c r="P2561" i="24"/>
  <c r="L2561" i="24"/>
  <c r="F2561" i="24"/>
  <c r="B2561" i="24"/>
  <c r="R2560" i="24"/>
  <c r="N2560" i="24"/>
  <c r="H2560" i="24"/>
  <c r="D2560" i="24"/>
  <c r="T2559" i="24"/>
  <c r="P2559" i="24"/>
  <c r="L2559" i="24"/>
  <c r="F2559" i="24"/>
  <c r="B2559" i="24"/>
  <c r="R2558" i="24"/>
  <c r="N2558" i="24"/>
  <c r="H2558" i="24"/>
  <c r="D2558" i="24"/>
  <c r="T2557" i="24"/>
  <c r="P2557" i="24"/>
  <c r="L2557" i="24"/>
  <c r="F2557" i="24"/>
  <c r="B2557" i="24"/>
  <c r="R2556" i="24"/>
  <c r="N2556" i="24"/>
  <c r="H2556" i="24"/>
  <c r="D2556" i="24"/>
  <c r="T2555" i="24"/>
  <c r="P2555" i="24"/>
  <c r="L2555" i="24"/>
  <c r="F2555" i="24"/>
  <c r="B2555" i="24"/>
  <c r="R2554" i="24"/>
  <c r="N2554" i="24"/>
  <c r="H2554" i="24"/>
  <c r="D2554" i="24"/>
  <c r="T2553" i="24"/>
  <c r="P2553" i="24"/>
  <c r="L2553" i="24"/>
  <c r="F2553" i="24"/>
  <c r="B2553" i="24"/>
  <c r="R2552" i="24"/>
  <c r="N2552" i="24"/>
  <c r="H2552" i="24"/>
  <c r="D2552" i="24"/>
  <c r="T2551" i="24"/>
  <c r="P2551" i="24"/>
  <c r="L2551" i="24"/>
  <c r="F2551" i="24"/>
  <c r="B2551" i="24"/>
  <c r="R2550" i="24"/>
  <c r="N2550" i="24"/>
  <c r="H2550" i="24"/>
  <c r="D2550" i="24"/>
  <c r="T2549" i="24"/>
  <c r="P2549" i="24"/>
  <c r="L2549" i="24"/>
  <c r="F2549" i="24"/>
  <c r="B2549" i="24"/>
  <c r="R2548" i="24"/>
  <c r="N2548" i="24"/>
  <c r="H2548" i="24"/>
  <c r="D2548" i="24"/>
  <c r="T2547" i="24"/>
  <c r="P2547" i="24"/>
  <c r="L2547" i="24"/>
  <c r="F2547" i="24"/>
  <c r="B2547" i="24"/>
  <c r="R2546" i="24"/>
  <c r="N2546" i="24"/>
  <c r="H2546" i="24"/>
  <c r="D2546" i="24"/>
  <c r="T2545" i="24"/>
  <c r="P2545" i="24"/>
  <c r="L2545" i="24"/>
  <c r="F2545" i="24"/>
  <c r="B2545" i="24"/>
  <c r="R2544" i="24"/>
  <c r="N2544" i="24"/>
  <c r="H2544" i="24"/>
  <c r="D2544" i="24"/>
  <c r="T2543" i="24"/>
  <c r="P2543" i="24"/>
  <c r="L2543" i="24"/>
  <c r="F2543" i="24"/>
  <c r="B2543" i="24"/>
  <c r="R2542" i="24"/>
  <c r="N2542" i="24"/>
  <c r="H2542" i="24"/>
  <c r="D2542" i="24"/>
  <c r="T2541" i="24"/>
  <c r="P2541" i="24"/>
  <c r="L2541" i="24"/>
  <c r="F2541" i="24"/>
  <c r="B2541" i="24"/>
  <c r="R2540" i="24"/>
  <c r="N2540" i="24"/>
  <c r="H2540" i="24"/>
  <c r="D2540" i="24"/>
  <c r="T2539" i="24"/>
  <c r="P2539" i="24"/>
  <c r="L2539" i="24"/>
  <c r="F2539" i="24"/>
  <c r="B2539" i="24"/>
  <c r="R2538" i="24"/>
  <c r="N2538" i="24"/>
  <c r="H2538" i="24"/>
  <c r="D2538" i="24"/>
  <c r="T2537" i="24"/>
  <c r="P2537" i="24"/>
  <c r="L2537" i="24"/>
  <c r="F2537" i="24"/>
  <c r="B2537" i="24"/>
  <c r="R2536" i="24"/>
  <c r="N2536" i="24"/>
  <c r="H2536" i="24"/>
  <c r="D2536" i="24"/>
  <c r="T2535" i="24"/>
  <c r="P2535" i="24"/>
  <c r="L2535" i="24"/>
  <c r="F2535" i="24"/>
  <c r="B2535" i="24"/>
  <c r="R2534" i="24"/>
  <c r="N2534" i="24"/>
  <c r="H2534" i="24"/>
  <c r="D2534" i="24"/>
  <c r="T2533" i="24"/>
  <c r="P2533" i="24"/>
  <c r="L2533" i="24"/>
  <c r="F2533" i="24"/>
  <c r="B2533" i="24"/>
  <c r="R2532" i="24"/>
  <c r="N2532" i="24"/>
  <c r="H2532" i="24"/>
  <c r="D2532" i="24"/>
  <c r="T2531" i="24"/>
  <c r="P2531" i="24"/>
  <c r="L2531" i="24"/>
  <c r="F2531" i="24"/>
  <c r="B2531" i="24"/>
  <c r="R2530" i="24"/>
  <c r="N2530" i="24"/>
  <c r="H2530" i="24"/>
  <c r="D2530" i="24"/>
  <c r="T2529" i="24"/>
  <c r="P2529" i="24"/>
  <c r="L2529" i="24"/>
  <c r="F2529" i="24"/>
  <c r="B2529" i="24"/>
  <c r="R2528" i="24"/>
  <c r="N2528" i="24"/>
  <c r="H2528" i="24"/>
  <c r="D2528" i="24"/>
  <c r="T2527" i="24"/>
  <c r="P2527" i="24"/>
  <c r="L2527" i="24"/>
  <c r="F2527" i="24"/>
  <c r="B2527" i="24"/>
  <c r="R2526" i="24"/>
  <c r="N2526" i="24"/>
  <c r="H2526" i="24"/>
  <c r="D2526" i="24"/>
  <c r="T2525" i="24"/>
  <c r="P2525" i="24"/>
  <c r="L2525" i="24"/>
  <c r="F2525" i="24"/>
  <c r="B2525" i="24"/>
  <c r="R2524" i="24"/>
  <c r="N2524" i="24"/>
  <c r="H2524" i="24"/>
  <c r="D2524" i="24"/>
  <c r="T2523" i="24"/>
  <c r="P2523" i="24"/>
  <c r="L2523" i="24"/>
  <c r="F2523" i="24"/>
  <c r="B2523" i="24"/>
  <c r="R2522" i="24"/>
  <c r="N2522" i="24"/>
  <c r="H2522" i="24"/>
  <c r="D2522" i="24"/>
  <c r="T2521" i="24"/>
  <c r="P2521" i="24"/>
  <c r="L2521" i="24"/>
  <c r="F2521" i="24"/>
  <c r="B2521" i="24"/>
  <c r="R2520" i="24"/>
  <c r="N2520" i="24"/>
  <c r="H2520" i="24"/>
  <c r="D2520" i="24"/>
  <c r="T2519" i="24"/>
  <c r="P2519" i="24"/>
  <c r="L2519" i="24"/>
  <c r="F2519" i="24"/>
  <c r="B2519" i="24"/>
  <c r="R2518" i="24"/>
  <c r="N2518" i="24"/>
  <c r="H2518" i="24"/>
  <c r="D2518" i="24"/>
  <c r="T2517" i="24"/>
  <c r="P2517" i="24"/>
  <c r="K2639" i="24"/>
  <c r="M2638" i="24"/>
  <c r="O2637" i="24"/>
  <c r="Q2636" i="24"/>
  <c r="S2635" i="24"/>
  <c r="A2635" i="24"/>
  <c r="C2634" i="24"/>
  <c r="E2633" i="24"/>
  <c r="G2632" i="24"/>
  <c r="K2631" i="24"/>
  <c r="M2630" i="24"/>
  <c r="O2629" i="24"/>
  <c r="Q2628" i="24"/>
  <c r="A2628" i="24"/>
  <c r="O2627" i="24"/>
  <c r="K2627" i="24"/>
  <c r="E2627" i="24"/>
  <c r="A2627" i="24"/>
  <c r="Q2626" i="24"/>
  <c r="M2626" i="24"/>
  <c r="G2626" i="24"/>
  <c r="C2626" i="24"/>
  <c r="S2625" i="24"/>
  <c r="O2625" i="24"/>
  <c r="K2625" i="24"/>
  <c r="E2625" i="24"/>
  <c r="A2625" i="24"/>
  <c r="Q2624" i="24"/>
  <c r="M2624" i="24"/>
  <c r="G2624" i="24"/>
  <c r="C2624" i="24"/>
  <c r="S2623" i="24"/>
  <c r="O2623" i="24"/>
  <c r="K2623" i="24"/>
  <c r="E2623" i="24"/>
  <c r="A2623" i="24"/>
  <c r="Q2622" i="24"/>
  <c r="M2622" i="24"/>
  <c r="G2622" i="24"/>
  <c r="C2622" i="24"/>
  <c r="S2621" i="24"/>
  <c r="O2621" i="24"/>
  <c r="K2621" i="24"/>
  <c r="E2621" i="24"/>
  <c r="A2621" i="24"/>
  <c r="Q2620" i="24"/>
  <c r="M2620" i="24"/>
  <c r="G2620" i="24"/>
  <c r="C2620" i="24"/>
  <c r="S2619" i="24"/>
  <c r="O2619" i="24"/>
  <c r="K2619" i="24"/>
  <c r="E2619" i="24"/>
  <c r="A2619" i="24"/>
  <c r="Q2618" i="24"/>
  <c r="M2618" i="24"/>
  <c r="G2618" i="24"/>
  <c r="C2618" i="24"/>
  <c r="S2617" i="24"/>
  <c r="O2617" i="24"/>
  <c r="K2617" i="24"/>
  <c r="E2617" i="24"/>
  <c r="A2617" i="24"/>
  <c r="Q2616" i="24"/>
  <c r="M2616" i="24"/>
  <c r="G2616" i="24"/>
  <c r="C2616" i="24"/>
  <c r="S2615" i="24"/>
  <c r="O2615" i="24"/>
  <c r="K2615" i="24"/>
  <c r="E2615" i="24"/>
  <c r="A2615" i="24"/>
  <c r="Q2614" i="24"/>
  <c r="M2614" i="24"/>
  <c r="G2614" i="24"/>
  <c r="C2614" i="24"/>
  <c r="S2613" i="24"/>
  <c r="O2613" i="24"/>
  <c r="K2613" i="24"/>
  <c r="E2613" i="24"/>
  <c r="A2613" i="24"/>
  <c r="Q2612" i="24"/>
  <c r="M2612" i="24"/>
  <c r="G2612" i="24"/>
  <c r="C2612" i="24"/>
  <c r="S2611" i="24"/>
  <c r="O2611" i="24"/>
  <c r="K2611" i="24"/>
  <c r="E2611" i="24"/>
  <c r="A2611" i="24"/>
  <c r="Q2610" i="24"/>
  <c r="M2610" i="24"/>
  <c r="G2610" i="24"/>
  <c r="C2610" i="24"/>
  <c r="S2609" i="24"/>
  <c r="O2609" i="24"/>
  <c r="K2609" i="24"/>
  <c r="E2609" i="24"/>
  <c r="A2609" i="24"/>
  <c r="Q2608" i="24"/>
  <c r="M2608" i="24"/>
  <c r="G2608" i="24"/>
  <c r="C2608" i="24"/>
  <c r="S2607" i="24"/>
  <c r="O2607" i="24"/>
  <c r="K2607" i="24"/>
  <c r="E2607" i="24"/>
  <c r="A2607" i="24"/>
  <c r="Q2606" i="24"/>
  <c r="M2606" i="24"/>
  <c r="G2606" i="24"/>
  <c r="C2606" i="24"/>
  <c r="S2605" i="24"/>
  <c r="O2605" i="24"/>
  <c r="K2605" i="24"/>
  <c r="E2605" i="24"/>
  <c r="A2605" i="24"/>
  <c r="Q2604" i="24"/>
  <c r="M2604" i="24"/>
  <c r="G2604" i="24"/>
  <c r="C2604" i="24"/>
  <c r="S2603" i="24"/>
  <c r="O2603" i="24"/>
  <c r="K2603" i="24"/>
  <c r="E2603" i="24"/>
  <c r="A2603" i="24"/>
  <c r="Q2602" i="24"/>
  <c r="M2602" i="24"/>
  <c r="G2602" i="24"/>
  <c r="C2602" i="24"/>
  <c r="S2601" i="24"/>
  <c r="O2601" i="24"/>
  <c r="K2601" i="24"/>
  <c r="E2601" i="24"/>
  <c r="A2601" i="24"/>
  <c r="Q2600" i="24"/>
  <c r="M2600" i="24"/>
  <c r="G2600" i="24"/>
  <c r="C2600" i="24"/>
  <c r="S2599" i="24"/>
  <c r="O2599" i="24"/>
  <c r="K2599" i="24"/>
  <c r="E2599" i="24"/>
  <c r="A2599" i="24"/>
  <c r="Q2598" i="24"/>
  <c r="M2598" i="24"/>
  <c r="G2598" i="24"/>
  <c r="C2598" i="24"/>
  <c r="S2597" i="24"/>
  <c r="O2597" i="24"/>
  <c r="K2597" i="24"/>
  <c r="E2597" i="24"/>
  <c r="A2597" i="24"/>
  <c r="Q2596" i="24"/>
  <c r="M2596" i="24"/>
  <c r="G2596" i="24"/>
  <c r="C2596" i="24"/>
  <c r="S2595" i="24"/>
  <c r="O2595" i="24"/>
  <c r="K2595" i="24"/>
  <c r="E2595" i="24"/>
  <c r="A2595" i="24"/>
  <c r="Q2594" i="24"/>
  <c r="M2594" i="24"/>
  <c r="G2594" i="24"/>
  <c r="C2594" i="24"/>
  <c r="S2593" i="24"/>
  <c r="O2593" i="24"/>
  <c r="K2593" i="24"/>
  <c r="E2593" i="24"/>
  <c r="A2593" i="24"/>
  <c r="Q2592" i="24"/>
  <c r="M2592" i="24"/>
  <c r="G2592" i="24"/>
  <c r="C2592" i="24"/>
  <c r="S2591" i="24"/>
  <c r="O2591" i="24"/>
  <c r="K2591" i="24"/>
  <c r="E2591" i="24"/>
  <c r="A2591" i="24"/>
  <c r="Q2590" i="24"/>
  <c r="M2590" i="24"/>
  <c r="G2590" i="24"/>
  <c r="C2590" i="24"/>
  <c r="S2589" i="24"/>
  <c r="O2589" i="24"/>
  <c r="K2589" i="24"/>
  <c r="E2589" i="24"/>
  <c r="A2589" i="24"/>
  <c r="Q2588" i="24"/>
  <c r="M2588" i="24"/>
  <c r="G2588" i="24"/>
  <c r="C2588" i="24"/>
  <c r="S2587" i="24"/>
  <c r="O2587" i="24"/>
  <c r="K2587" i="24"/>
  <c r="E2587" i="24"/>
  <c r="A2587" i="24"/>
  <c r="Q2586" i="24"/>
  <c r="M2586" i="24"/>
  <c r="G2586" i="24"/>
  <c r="C2586" i="24"/>
  <c r="S2585" i="24"/>
  <c r="O2585" i="24"/>
  <c r="K2585" i="24"/>
  <c r="E2585" i="24"/>
  <c r="A2585" i="24"/>
  <c r="Q2584" i="24"/>
  <c r="M2584" i="24"/>
  <c r="G2584" i="24"/>
  <c r="C2584" i="24"/>
  <c r="S2583" i="24"/>
  <c r="O2583" i="24"/>
  <c r="K2583" i="24"/>
  <c r="E2583" i="24"/>
  <c r="A2583" i="24"/>
  <c r="Q2582" i="24"/>
  <c r="M2582" i="24"/>
  <c r="G2582" i="24"/>
  <c r="C2582" i="24"/>
  <c r="S2581" i="24"/>
  <c r="O2581" i="24"/>
  <c r="K2581" i="24"/>
  <c r="E2581" i="24"/>
  <c r="A2581" i="24"/>
  <c r="Q2580" i="24"/>
  <c r="M2580" i="24"/>
  <c r="G2580" i="24"/>
  <c r="C2580" i="24"/>
  <c r="S2579" i="24"/>
  <c r="O2579" i="24"/>
  <c r="K2579" i="24"/>
  <c r="E2579" i="24"/>
  <c r="A2579" i="24"/>
  <c r="Q2578" i="24"/>
  <c r="M2578" i="24"/>
  <c r="G2578" i="24"/>
  <c r="C2578" i="24"/>
  <c r="S2577" i="24"/>
  <c r="O2577" i="24"/>
  <c r="K2577" i="24"/>
  <c r="E2577" i="24"/>
  <c r="A2577" i="24"/>
  <c r="Q2576" i="24"/>
  <c r="M2576" i="24"/>
  <c r="G2576" i="24"/>
  <c r="C2576" i="24"/>
  <c r="S2575" i="24"/>
  <c r="O2575" i="24"/>
  <c r="K2575" i="24"/>
  <c r="E2575" i="24"/>
  <c r="A2575" i="24"/>
  <c r="Q2574" i="24"/>
  <c r="M2574" i="24"/>
  <c r="G2574" i="24"/>
  <c r="C2574" i="24"/>
  <c r="S2573" i="24"/>
  <c r="O2573" i="24"/>
  <c r="K2573" i="24"/>
  <c r="E2573" i="24"/>
  <c r="A2573" i="24"/>
  <c r="Q2572" i="24"/>
  <c r="M2572" i="24"/>
  <c r="G2572" i="24"/>
  <c r="C2572" i="24"/>
  <c r="S2571" i="24"/>
  <c r="O2571" i="24"/>
  <c r="K2571" i="24"/>
  <c r="E2571" i="24"/>
  <c r="A2571" i="24"/>
  <c r="Q2570" i="24"/>
  <c r="M2570" i="24"/>
  <c r="G2570" i="24"/>
  <c r="C2570" i="24"/>
  <c r="S2569" i="24"/>
  <c r="O2569" i="24"/>
  <c r="K2569" i="24"/>
  <c r="E2569" i="24"/>
  <c r="A2569" i="24"/>
  <c r="Q2568" i="24"/>
  <c r="M2568" i="24"/>
  <c r="G2568" i="24"/>
  <c r="C2568" i="24"/>
  <c r="S2567" i="24"/>
  <c r="O2567" i="24"/>
  <c r="K2567" i="24"/>
  <c r="E2567" i="24"/>
  <c r="A2567" i="24"/>
  <c r="Q2566" i="24"/>
  <c r="M2566" i="24"/>
  <c r="G2566" i="24"/>
  <c r="C2566" i="24"/>
  <c r="S2565" i="24"/>
  <c r="O2565" i="24"/>
  <c r="K2565" i="24"/>
  <c r="E2565" i="24"/>
  <c r="A2565" i="24"/>
  <c r="Q2564" i="24"/>
  <c r="M2564" i="24"/>
  <c r="G2564" i="24"/>
  <c r="C2564" i="24"/>
  <c r="S2563" i="24"/>
  <c r="O2563" i="24"/>
  <c r="K2563" i="24"/>
  <c r="E2563" i="24"/>
  <c r="A2563" i="24"/>
  <c r="Q2562" i="24"/>
  <c r="M2562" i="24"/>
  <c r="G2562" i="24"/>
  <c r="C2562" i="24"/>
  <c r="S2561" i="24"/>
  <c r="O2561" i="24"/>
  <c r="K2561" i="24"/>
  <c r="E2561" i="24"/>
  <c r="A2561" i="24"/>
  <c r="Q2560" i="24"/>
  <c r="M2560" i="24"/>
  <c r="G2560" i="24"/>
  <c r="C2560" i="24"/>
  <c r="S2559" i="24"/>
  <c r="O2559" i="24"/>
  <c r="K2559" i="24"/>
  <c r="E2559" i="24"/>
  <c r="A2559" i="24"/>
  <c r="Q2558" i="24"/>
  <c r="M2558" i="24"/>
  <c r="G2558" i="24"/>
  <c r="C2558" i="24"/>
  <c r="S2557" i="24"/>
  <c r="O2557" i="24"/>
  <c r="K2557" i="24"/>
  <c r="E2557" i="24"/>
  <c r="A2557" i="24"/>
  <c r="Q2556" i="24"/>
  <c r="M2556" i="24"/>
  <c r="G2556" i="24"/>
  <c r="C2556" i="24"/>
  <c r="S2555" i="24"/>
  <c r="O2555" i="24"/>
  <c r="K2555" i="24"/>
  <c r="E2555" i="24"/>
  <c r="A2555" i="24"/>
  <c r="Q2554" i="24"/>
  <c r="M2554" i="24"/>
  <c r="G2554" i="24"/>
  <c r="C2554" i="24"/>
  <c r="S2553" i="24"/>
  <c r="O2553" i="24"/>
  <c r="K2553" i="24"/>
  <c r="E2553" i="24"/>
  <c r="A2553" i="24"/>
  <c r="Q2552" i="24"/>
  <c r="M2552" i="24"/>
  <c r="G2552" i="24"/>
  <c r="C2552" i="24"/>
  <c r="S2551" i="24"/>
  <c r="O2551" i="24"/>
  <c r="K2551" i="24"/>
  <c r="E2551" i="24"/>
  <c r="A2551" i="24"/>
  <c r="Q2550" i="24"/>
  <c r="M2550" i="24"/>
  <c r="G2550" i="24"/>
  <c r="C2550" i="24"/>
  <c r="S2549" i="24"/>
  <c r="O2549" i="24"/>
  <c r="K2549" i="24"/>
  <c r="E2549" i="24"/>
  <c r="A2549" i="24"/>
  <c r="Q2548" i="24"/>
  <c r="M2548" i="24"/>
  <c r="G2548" i="24"/>
  <c r="C2548" i="24"/>
  <c r="S2547" i="24"/>
  <c r="O2547" i="24"/>
  <c r="K2547" i="24"/>
  <c r="E2547" i="24"/>
  <c r="A2547" i="24"/>
  <c r="Q2546" i="24"/>
  <c r="M2546" i="24"/>
  <c r="G2546" i="24"/>
  <c r="C2546" i="24"/>
  <c r="S2545" i="24"/>
  <c r="O2545" i="24"/>
  <c r="K2545" i="24"/>
  <c r="E2545" i="24"/>
  <c r="A2545" i="24"/>
  <c r="Q2544" i="24"/>
  <c r="M2544" i="24"/>
  <c r="G2544" i="24"/>
  <c r="C2544" i="24"/>
  <c r="S2543" i="24"/>
  <c r="O2543" i="24"/>
  <c r="K2543" i="24"/>
  <c r="E2543" i="24"/>
  <c r="A2543" i="24"/>
  <c r="Q2542" i="24"/>
  <c r="M2542" i="24"/>
  <c r="G2542" i="24"/>
  <c r="C2542" i="24"/>
  <c r="S2541" i="24"/>
  <c r="O2541" i="24"/>
  <c r="K2541" i="24"/>
  <c r="E2541" i="24"/>
  <c r="A2541" i="24"/>
  <c r="Q2540" i="24"/>
  <c r="M2540" i="24"/>
  <c r="G2540" i="24"/>
  <c r="C2540" i="24"/>
  <c r="S2539" i="24"/>
  <c r="O2539" i="24"/>
  <c r="K2539" i="24"/>
  <c r="E2539" i="24"/>
  <c r="A2539" i="24"/>
  <c r="Q2538" i="24"/>
  <c r="M2538" i="24"/>
  <c r="G2538" i="24"/>
  <c r="C2538" i="24"/>
  <c r="S2537" i="24"/>
  <c r="O2537" i="24"/>
  <c r="K2537" i="24"/>
  <c r="E2537" i="24"/>
  <c r="A2537" i="24"/>
  <c r="Q2536" i="24"/>
  <c r="M2536" i="24"/>
  <c r="G2536" i="24"/>
  <c r="C2536" i="24"/>
  <c r="S2535" i="24"/>
  <c r="O2535" i="24"/>
  <c r="K2535" i="24"/>
  <c r="E2535" i="24"/>
  <c r="A2535" i="24"/>
  <c r="Q2534" i="24"/>
  <c r="M2534" i="24"/>
  <c r="G2534" i="24"/>
  <c r="C2534" i="24"/>
  <c r="S2533" i="24"/>
  <c r="O2533" i="24"/>
  <c r="K2533" i="24"/>
  <c r="E2533" i="24"/>
  <c r="A2533" i="24"/>
  <c r="Q2532" i="24"/>
  <c r="M2532" i="24"/>
  <c r="G2532" i="24"/>
  <c r="C2532" i="24"/>
  <c r="S2531" i="24"/>
  <c r="O2531" i="24"/>
  <c r="K2531" i="24"/>
  <c r="E2531" i="24"/>
  <c r="A2531" i="24"/>
  <c r="Q2530" i="24"/>
  <c r="M2530" i="24"/>
  <c r="G2530" i="24"/>
  <c r="C2530" i="24"/>
  <c r="S2529" i="24"/>
  <c r="O2529" i="24"/>
  <c r="K2529" i="24"/>
  <c r="E2529" i="24"/>
  <c r="A2529" i="24"/>
  <c r="Q2528" i="24"/>
  <c r="M2528" i="24"/>
  <c r="G2528" i="24"/>
  <c r="C2528" i="24"/>
  <c r="S2527" i="24"/>
  <c r="O2527" i="24"/>
  <c r="K2527" i="24"/>
  <c r="E2527" i="24"/>
  <c r="A2527" i="24"/>
  <c r="Q2526" i="24"/>
  <c r="M2526" i="24"/>
  <c r="G2526" i="24"/>
  <c r="C2526" i="24"/>
  <c r="S2525" i="24"/>
  <c r="O2525" i="24"/>
  <c r="K2525" i="24"/>
  <c r="E2525" i="24"/>
  <c r="A2525" i="24"/>
  <c r="Q2524" i="24"/>
  <c r="M2524" i="24"/>
  <c r="G2524" i="24"/>
  <c r="C2524" i="24"/>
  <c r="S2523" i="24"/>
  <c r="O2523" i="24"/>
  <c r="K2523" i="24"/>
  <c r="E2523" i="24"/>
  <c r="A2523" i="24"/>
  <c r="Q2522" i="24"/>
  <c r="M2522" i="24"/>
  <c r="G2522" i="24"/>
  <c r="C2522" i="24"/>
  <c r="S2521" i="24"/>
  <c r="O2521" i="24"/>
  <c r="K2521" i="24"/>
  <c r="E2521" i="24"/>
  <c r="A2521" i="24"/>
  <c r="Q2520" i="24"/>
  <c r="M2520" i="24"/>
  <c r="G2520" i="24"/>
  <c r="C2520" i="24"/>
  <c r="S2519" i="24"/>
  <c r="O2519" i="24"/>
  <c r="K2519" i="24"/>
  <c r="E2519" i="24"/>
  <c r="A2519" i="24"/>
  <c r="Q2518" i="24"/>
  <c r="M2518" i="24"/>
  <c r="G2518" i="24"/>
  <c r="C2518" i="24"/>
  <c r="S2517" i="24"/>
  <c r="R2517" i="24"/>
  <c r="K2517" i="24"/>
  <c r="E2517" i="24"/>
  <c r="A2517" i="24"/>
  <c r="Q2516" i="24"/>
  <c r="M2516" i="24"/>
  <c r="G2516" i="24"/>
  <c r="C2516" i="24"/>
  <c r="S2515" i="24"/>
  <c r="O2515" i="24"/>
  <c r="K2515" i="24"/>
  <c r="E2515" i="24"/>
  <c r="A2515" i="24"/>
  <c r="Q2514" i="24"/>
  <c r="M2514" i="24"/>
  <c r="G2514" i="24"/>
  <c r="C2514" i="24"/>
  <c r="S2513" i="24"/>
  <c r="O2513" i="24"/>
  <c r="K2513" i="24"/>
  <c r="E2513" i="24"/>
  <c r="A2513" i="24"/>
  <c r="Q2512" i="24"/>
  <c r="M2512" i="24"/>
  <c r="G2512" i="24"/>
  <c r="C2512" i="24"/>
  <c r="S2511" i="24"/>
  <c r="O2511" i="24"/>
  <c r="K2511" i="24"/>
  <c r="E2511" i="24"/>
  <c r="A2511" i="24"/>
  <c r="Q2510" i="24"/>
  <c r="M2510" i="24"/>
  <c r="G2510" i="24"/>
  <c r="C2510" i="24"/>
  <c r="S2509" i="24"/>
  <c r="O2509" i="24"/>
  <c r="K2509" i="24"/>
  <c r="E2509" i="24"/>
  <c r="A2509" i="24"/>
  <c r="Q2508" i="24"/>
  <c r="M2508" i="24"/>
  <c r="G2508" i="24"/>
  <c r="C2508" i="24"/>
  <c r="S2507" i="24"/>
  <c r="O2507" i="24"/>
  <c r="K2507" i="24"/>
  <c r="E2507" i="24"/>
  <c r="A2507" i="24"/>
  <c r="Q2506" i="24"/>
  <c r="M2506" i="24"/>
  <c r="G2506" i="24"/>
  <c r="C2506" i="24"/>
  <c r="S2505" i="24"/>
  <c r="O2505" i="24"/>
  <c r="K2505" i="24"/>
  <c r="E2505" i="24"/>
  <c r="A2505" i="24"/>
  <c r="Q2504" i="24"/>
  <c r="M2504" i="24"/>
  <c r="G2504" i="24"/>
  <c r="C2504" i="24"/>
  <c r="S2503" i="24"/>
  <c r="O2503" i="24"/>
  <c r="K2503" i="24"/>
  <c r="E2503" i="24"/>
  <c r="A2503" i="24"/>
  <c r="Q2502" i="24"/>
  <c r="M2502" i="24"/>
  <c r="G2502" i="24"/>
  <c r="C2502" i="24"/>
  <c r="S2501" i="24"/>
  <c r="O2501" i="24"/>
  <c r="K2501" i="24"/>
  <c r="E2501" i="24"/>
  <c r="A2501" i="24"/>
  <c r="Q2500" i="24"/>
  <c r="M2500" i="24"/>
  <c r="G2500" i="24"/>
  <c r="C2500" i="24"/>
  <c r="S2499" i="24"/>
  <c r="O2499" i="24"/>
  <c r="K2499" i="24"/>
  <c r="E2499" i="24"/>
  <c r="A2499" i="24"/>
  <c r="Q2498" i="24"/>
  <c r="M2498" i="24"/>
  <c r="G2498" i="24"/>
  <c r="C2498" i="24"/>
  <c r="S2497" i="24"/>
  <c r="O2497" i="24"/>
  <c r="K2497" i="24"/>
  <c r="E2497" i="24"/>
  <c r="A2497" i="24"/>
  <c r="Q2496" i="24"/>
  <c r="M2496" i="24"/>
  <c r="G2496" i="24"/>
  <c r="C2496" i="24"/>
  <c r="S2495" i="24"/>
  <c r="O2495" i="24"/>
  <c r="K2495" i="24"/>
  <c r="E2495" i="24"/>
  <c r="A2495" i="24"/>
  <c r="Q2494" i="24"/>
  <c r="M2494" i="24"/>
  <c r="G2494" i="24"/>
  <c r="C2494" i="24"/>
  <c r="S2493" i="24"/>
  <c r="O2493" i="24"/>
  <c r="K2493" i="24"/>
  <c r="E2493" i="24"/>
  <c r="A2493" i="24"/>
  <c r="Q2492" i="24"/>
  <c r="M2492" i="24"/>
  <c r="G2492" i="24"/>
  <c r="C2492" i="24"/>
  <c r="S2491" i="24"/>
  <c r="O2491" i="24"/>
  <c r="K2491" i="24"/>
  <c r="E2491" i="24"/>
  <c r="A2491" i="24"/>
  <c r="Q2490" i="24"/>
  <c r="M2490" i="24"/>
  <c r="G2490" i="24"/>
  <c r="C2490" i="24"/>
  <c r="S2489" i="24"/>
  <c r="O2489" i="24"/>
  <c r="K2489" i="24"/>
  <c r="E2489" i="24"/>
  <c r="A2489" i="24"/>
  <c r="Q2488" i="24"/>
  <c r="M2488" i="24"/>
  <c r="G2488" i="24"/>
  <c r="C2488" i="24"/>
  <c r="S2487" i="24"/>
  <c r="O2487" i="24"/>
  <c r="K2487" i="24"/>
  <c r="E2487" i="24"/>
  <c r="A2487" i="24"/>
  <c r="Q2486" i="24"/>
  <c r="M2486" i="24"/>
  <c r="G2486" i="24"/>
  <c r="C2486" i="24"/>
  <c r="S2485" i="24"/>
  <c r="O2485" i="24"/>
  <c r="K2485" i="24"/>
  <c r="E2485" i="24"/>
  <c r="A2485" i="24"/>
  <c r="Q2484" i="24"/>
  <c r="M2484" i="24"/>
  <c r="G2484" i="24"/>
  <c r="C2484" i="24"/>
  <c r="S2483" i="24"/>
  <c r="O2483" i="24"/>
  <c r="K2483" i="24"/>
  <c r="E2483" i="24"/>
  <c r="A2483" i="24"/>
  <c r="Q2482" i="24"/>
  <c r="M2482" i="24"/>
  <c r="G2482" i="24"/>
  <c r="C2482" i="24"/>
  <c r="S2481" i="24"/>
  <c r="O2481" i="24"/>
  <c r="K2481" i="24"/>
  <c r="E2481" i="24"/>
  <c r="A2481" i="24"/>
  <c r="Q2480" i="24"/>
  <c r="M2480" i="24"/>
  <c r="G2480" i="24"/>
  <c r="C2480" i="24"/>
  <c r="S2479" i="24"/>
  <c r="O2479" i="24"/>
  <c r="K2479" i="24"/>
  <c r="E2479" i="24"/>
  <c r="A2479" i="24"/>
  <c r="Q2478" i="24"/>
  <c r="M2478" i="24"/>
  <c r="G2478" i="24"/>
  <c r="C2478" i="24"/>
  <c r="S2477" i="24"/>
  <c r="O2477" i="24"/>
  <c r="K2477" i="24"/>
  <c r="E2477" i="24"/>
  <c r="A2477" i="24"/>
  <c r="Q2476" i="24"/>
  <c r="M2476" i="24"/>
  <c r="G2476" i="24"/>
  <c r="C2476" i="24"/>
  <c r="S2475" i="24"/>
  <c r="O2475" i="24"/>
  <c r="K2475" i="24"/>
  <c r="E2475" i="24"/>
  <c r="A2475" i="24"/>
  <c r="Q2474" i="24"/>
  <c r="M2474" i="24"/>
  <c r="G2474" i="24"/>
  <c r="C2474" i="24"/>
  <c r="S2473" i="24"/>
  <c r="O2473" i="24"/>
  <c r="K2473" i="24"/>
  <c r="E2473" i="24"/>
  <c r="A2473" i="24"/>
  <c r="Q2472" i="24"/>
  <c r="M2472" i="24"/>
  <c r="G2472" i="24"/>
  <c r="C2472" i="24"/>
  <c r="S2471" i="24"/>
  <c r="O2471" i="24"/>
  <c r="K2471" i="24"/>
  <c r="E2471" i="24"/>
  <c r="A2471" i="24"/>
  <c r="Q2470" i="24"/>
  <c r="M2470" i="24"/>
  <c r="G2470" i="24"/>
  <c r="C2470" i="24"/>
  <c r="S2469" i="24"/>
  <c r="O2469" i="24"/>
  <c r="K2469" i="24"/>
  <c r="E2469" i="24"/>
  <c r="A2469" i="24"/>
  <c r="Q2468" i="24"/>
  <c r="M2468" i="24"/>
  <c r="G2468" i="24"/>
  <c r="C2468" i="24"/>
  <c r="S2467" i="24"/>
  <c r="O2467" i="24"/>
  <c r="K2467" i="24"/>
  <c r="E2467" i="24"/>
  <c r="A2467" i="24"/>
  <c r="Q2466" i="24"/>
  <c r="M2466" i="24"/>
  <c r="G2466" i="24"/>
  <c r="C2466" i="24"/>
  <c r="S2465" i="24"/>
  <c r="O2465" i="24"/>
  <c r="K2465" i="24"/>
  <c r="E2465" i="24"/>
  <c r="A2465" i="24"/>
  <c r="Q2464" i="24"/>
  <c r="M2464" i="24"/>
  <c r="G2464" i="24"/>
  <c r="C2464" i="24"/>
  <c r="S2463" i="24"/>
  <c r="O2463" i="24"/>
  <c r="K2463" i="24"/>
  <c r="E2463" i="24"/>
  <c r="A2463" i="24"/>
  <c r="Q2462" i="24"/>
  <c r="M2462" i="24"/>
  <c r="G2462" i="24"/>
  <c r="C2462" i="24"/>
  <c r="S2461" i="24"/>
  <c r="O2461" i="24"/>
  <c r="K2461" i="24"/>
  <c r="E2461" i="24"/>
  <c r="A2461" i="24"/>
  <c r="Q2460" i="24"/>
  <c r="M2460" i="24"/>
  <c r="G2460" i="24"/>
  <c r="C2460" i="24"/>
  <c r="S2459" i="24"/>
  <c r="O2459" i="24"/>
  <c r="K2459" i="24"/>
  <c r="E2459" i="24"/>
  <c r="A2459" i="24"/>
  <c r="Q2458" i="24"/>
  <c r="M2458" i="24"/>
  <c r="G2458" i="24"/>
  <c r="C2458" i="24"/>
  <c r="S2457" i="24"/>
  <c r="O2457" i="24"/>
  <c r="K2457" i="24"/>
  <c r="E2457" i="24"/>
  <c r="A2457" i="24"/>
  <c r="Q2456" i="24"/>
  <c r="M2456" i="24"/>
  <c r="G2456" i="24"/>
  <c r="C2456" i="24"/>
  <c r="S2455" i="24"/>
  <c r="O2455" i="24"/>
  <c r="K2455" i="24"/>
  <c r="E2455" i="24"/>
  <c r="A2455" i="24"/>
  <c r="Q2454" i="24"/>
  <c r="M2454" i="24"/>
  <c r="G2454" i="24"/>
  <c r="C2454" i="24"/>
  <c r="S2453" i="24"/>
  <c r="O2453" i="24"/>
  <c r="K2453" i="24"/>
  <c r="E2453" i="24"/>
  <c r="A2453" i="24"/>
  <c r="Q2452" i="24"/>
  <c r="M2452" i="24"/>
  <c r="G2452" i="24"/>
  <c r="C2452" i="24"/>
  <c r="S2451" i="24"/>
  <c r="O2451" i="24"/>
  <c r="K2451" i="24"/>
  <c r="E2451" i="24"/>
  <c r="A2451" i="24"/>
  <c r="Q2450" i="24"/>
  <c r="M2450" i="24"/>
  <c r="G2450" i="24"/>
  <c r="C2450" i="24"/>
  <c r="S2449" i="24"/>
  <c r="O2449" i="24"/>
  <c r="K2449" i="24"/>
  <c r="E2449" i="24"/>
  <c r="A2449" i="24"/>
  <c r="Q2448" i="24"/>
  <c r="M2448" i="24"/>
  <c r="G2448" i="24"/>
  <c r="C2448" i="24"/>
  <c r="S2447" i="24"/>
  <c r="O2447" i="24"/>
  <c r="K2447" i="24"/>
  <c r="E2447" i="24"/>
  <c r="A2447" i="24"/>
  <c r="Q2446" i="24"/>
  <c r="M2446" i="24"/>
  <c r="G2446" i="24"/>
  <c r="C2446" i="24"/>
  <c r="S2445" i="24"/>
  <c r="O2445" i="24"/>
  <c r="K2445" i="24"/>
  <c r="E2445" i="24"/>
  <c r="A2445" i="24"/>
  <c r="Q2444" i="24"/>
  <c r="M2444" i="24"/>
  <c r="G2444" i="24"/>
  <c r="C2444" i="24"/>
  <c r="S2443" i="24"/>
  <c r="O2443" i="24"/>
  <c r="K2443" i="24"/>
  <c r="E2443" i="24"/>
  <c r="A2443" i="24"/>
  <c r="Q2442" i="24"/>
  <c r="M2442" i="24"/>
  <c r="G2442" i="24"/>
  <c r="C2442" i="24"/>
  <c r="S2441" i="24"/>
  <c r="O2441" i="24"/>
  <c r="K2441" i="24"/>
  <c r="E2441" i="24"/>
  <c r="A2441" i="24"/>
  <c r="Q2440" i="24"/>
  <c r="M2440" i="24"/>
  <c r="G2440" i="24"/>
  <c r="C2440" i="24"/>
  <c r="S2439" i="24"/>
  <c r="O2439" i="24"/>
  <c r="K2439" i="24"/>
  <c r="E2439" i="24"/>
  <c r="A2439" i="24"/>
  <c r="Q2438" i="24"/>
  <c r="M2438" i="24"/>
  <c r="G2438" i="24"/>
  <c r="C2438" i="24"/>
  <c r="S2437" i="24"/>
  <c r="O2437" i="24"/>
  <c r="K2437" i="24"/>
  <c r="E2437" i="24"/>
  <c r="A2437" i="24"/>
  <c r="Q2436" i="24"/>
  <c r="M2436" i="24"/>
  <c r="G2436" i="24"/>
  <c r="C2436" i="24"/>
  <c r="S2435" i="24"/>
  <c r="O2435" i="24"/>
  <c r="K2435" i="24"/>
  <c r="E2435" i="24"/>
  <c r="A2435" i="24"/>
  <c r="Q2434" i="24"/>
  <c r="M2434" i="24"/>
  <c r="G2434" i="24"/>
  <c r="C2434" i="24"/>
  <c r="S2433" i="24"/>
  <c r="O2433" i="24"/>
  <c r="K2433" i="24"/>
  <c r="E2433" i="24"/>
  <c r="A2433" i="24"/>
  <c r="Q2432" i="24"/>
  <c r="M2432" i="24"/>
  <c r="G2432" i="24"/>
  <c r="C2432" i="24"/>
  <c r="S2431" i="24"/>
  <c r="O2431" i="24"/>
  <c r="K2431" i="24"/>
  <c r="E2431" i="24"/>
  <c r="A2431" i="24"/>
  <c r="Q2430" i="24"/>
  <c r="M2430" i="24"/>
  <c r="G2430" i="24"/>
  <c r="C2430" i="24"/>
  <c r="S2429" i="24"/>
  <c r="O2429" i="24"/>
  <c r="K2429" i="24"/>
  <c r="E2429" i="24"/>
  <c r="A2429" i="24"/>
  <c r="Q2428" i="24"/>
  <c r="M2428" i="24"/>
  <c r="G2428" i="24"/>
  <c r="C2428" i="24"/>
  <c r="S2427" i="24"/>
  <c r="O2427" i="24"/>
  <c r="K2427" i="24"/>
  <c r="E2427" i="24"/>
  <c r="A2427" i="24"/>
  <c r="Q2426" i="24"/>
  <c r="M2426" i="24"/>
  <c r="G2426" i="24"/>
  <c r="C2426" i="24"/>
  <c r="S2425" i="24"/>
  <c r="O2425" i="24"/>
  <c r="K2425" i="24"/>
  <c r="E2425" i="24"/>
  <c r="A2425" i="24"/>
  <c r="Q2424" i="24"/>
  <c r="M2424" i="24"/>
  <c r="G2424" i="24"/>
  <c r="C2424" i="24"/>
  <c r="S2423" i="24"/>
  <c r="O2423" i="24"/>
  <c r="K2423" i="24"/>
  <c r="E2423" i="24"/>
  <c r="A2423" i="24"/>
  <c r="Q2422" i="24"/>
  <c r="M2422" i="24"/>
  <c r="G2422" i="24"/>
  <c r="C2422" i="24"/>
  <c r="S2421" i="24"/>
  <c r="O2421" i="24"/>
  <c r="K2421" i="24"/>
  <c r="E2421" i="24"/>
  <c r="A2421" i="24"/>
  <c r="Q2420" i="24"/>
  <c r="M2420" i="24"/>
  <c r="G2420" i="24"/>
  <c r="C2420" i="24"/>
  <c r="S2419" i="24"/>
  <c r="O2419" i="24"/>
  <c r="K2419" i="24"/>
  <c r="E2419" i="24"/>
  <c r="A2419" i="24"/>
  <c r="Q2418" i="24"/>
  <c r="M2418" i="24"/>
  <c r="G2418" i="24"/>
  <c r="C2418" i="24"/>
  <c r="S2417" i="24"/>
  <c r="O2417" i="24"/>
  <c r="K2417" i="24"/>
  <c r="E2417" i="24"/>
  <c r="A2417" i="24"/>
  <c r="Q2416" i="24"/>
  <c r="M2416" i="24"/>
  <c r="G2416" i="24"/>
  <c r="C2416" i="24"/>
  <c r="S2415" i="24"/>
  <c r="O2415" i="24"/>
  <c r="K2415" i="24"/>
  <c r="E2415" i="24"/>
  <c r="A2415" i="24"/>
  <c r="Q2414" i="24"/>
  <c r="M2414" i="24"/>
  <c r="G2414" i="24"/>
  <c r="C2414" i="24"/>
  <c r="S2413" i="24"/>
  <c r="O2413" i="24"/>
  <c r="K2413" i="24"/>
  <c r="E2413" i="24"/>
  <c r="A2413" i="24"/>
  <c r="Q2412" i="24"/>
  <c r="M2412" i="24"/>
  <c r="G2412" i="24"/>
  <c r="C2412" i="24"/>
  <c r="S2411" i="24"/>
  <c r="O2411" i="24"/>
  <c r="K2411" i="24"/>
  <c r="E2411" i="24"/>
  <c r="A2411" i="24"/>
  <c r="Q2410" i="24"/>
  <c r="M2410" i="24"/>
  <c r="G2410" i="24"/>
  <c r="C2410" i="24"/>
  <c r="S2409" i="24"/>
  <c r="O2409" i="24"/>
  <c r="K2409" i="24"/>
  <c r="E2409" i="24"/>
  <c r="A2409" i="24"/>
  <c r="Q2408" i="24"/>
  <c r="M2408" i="24"/>
  <c r="G2408" i="24"/>
  <c r="C2408" i="24"/>
  <c r="S2407" i="24"/>
  <c r="O2407" i="24"/>
  <c r="K2407" i="24"/>
  <c r="E2407" i="24"/>
  <c r="A2407" i="24"/>
  <c r="Q2406" i="24"/>
  <c r="M2406" i="24"/>
  <c r="G2406" i="24"/>
  <c r="C2406" i="24"/>
  <c r="S2405" i="24"/>
  <c r="O2405" i="24"/>
  <c r="K2405" i="24"/>
  <c r="E2405" i="24"/>
  <c r="A2405" i="24"/>
  <c r="Q2404" i="24"/>
  <c r="M2404" i="24"/>
  <c r="G2404" i="24"/>
  <c r="C2404" i="24"/>
  <c r="S2403" i="24"/>
  <c r="O2517" i="24"/>
  <c r="H2517" i="24"/>
  <c r="D2517" i="24"/>
  <c r="T2516" i="24"/>
  <c r="P2516" i="24"/>
  <c r="L2516" i="24"/>
  <c r="F2516" i="24"/>
  <c r="B2516" i="24"/>
  <c r="R2515" i="24"/>
  <c r="N2515" i="24"/>
  <c r="H2515" i="24"/>
  <c r="D2515" i="24"/>
  <c r="T2514" i="24"/>
  <c r="P2514" i="24"/>
  <c r="L2514" i="24"/>
  <c r="F2514" i="24"/>
  <c r="B2514" i="24"/>
  <c r="R2513" i="24"/>
  <c r="N2513" i="24"/>
  <c r="H2513" i="24"/>
  <c r="D2513" i="24"/>
  <c r="T2512" i="24"/>
  <c r="P2512" i="24"/>
  <c r="L2512" i="24"/>
  <c r="F2512" i="24"/>
  <c r="B2512" i="24"/>
  <c r="R2511" i="24"/>
  <c r="N2511" i="24"/>
  <c r="H2511" i="24"/>
  <c r="D2511" i="24"/>
  <c r="T2510" i="24"/>
  <c r="P2510" i="24"/>
  <c r="L2510" i="24"/>
  <c r="F2510" i="24"/>
  <c r="B2510" i="24"/>
  <c r="R2509" i="24"/>
  <c r="N2509" i="24"/>
  <c r="H2509" i="24"/>
  <c r="D2509" i="24"/>
  <c r="T2508" i="24"/>
  <c r="P2508" i="24"/>
  <c r="L2508" i="24"/>
  <c r="F2508" i="24"/>
  <c r="B2508" i="24"/>
  <c r="R2507" i="24"/>
  <c r="N2507" i="24"/>
  <c r="H2507" i="24"/>
  <c r="D2507" i="24"/>
  <c r="T2506" i="24"/>
  <c r="P2506" i="24"/>
  <c r="L2506" i="24"/>
  <c r="F2506" i="24"/>
  <c r="B2506" i="24"/>
  <c r="R2505" i="24"/>
  <c r="N2505" i="24"/>
  <c r="H2505" i="24"/>
  <c r="D2505" i="24"/>
  <c r="T2504" i="24"/>
  <c r="P2504" i="24"/>
  <c r="L2504" i="24"/>
  <c r="F2504" i="24"/>
  <c r="B2504" i="24"/>
  <c r="R2503" i="24"/>
  <c r="N2503" i="24"/>
  <c r="H2503" i="24"/>
  <c r="D2503" i="24"/>
  <c r="T2502" i="24"/>
  <c r="P2502" i="24"/>
  <c r="L2502" i="24"/>
  <c r="F2502" i="24"/>
  <c r="B2502" i="24"/>
  <c r="R2501" i="24"/>
  <c r="N2501" i="24"/>
  <c r="H2501" i="24"/>
  <c r="D2501" i="24"/>
  <c r="T2500" i="24"/>
  <c r="P2500" i="24"/>
  <c r="L2500" i="24"/>
  <c r="F2500" i="24"/>
  <c r="B2500" i="24"/>
  <c r="R2499" i="24"/>
  <c r="N2499" i="24"/>
  <c r="H2499" i="24"/>
  <c r="D2499" i="24"/>
  <c r="T2498" i="24"/>
  <c r="P2498" i="24"/>
  <c r="L2498" i="24"/>
  <c r="F2498" i="24"/>
  <c r="B2498" i="24"/>
  <c r="R2497" i="24"/>
  <c r="N2497" i="24"/>
  <c r="H2497" i="24"/>
  <c r="D2497" i="24"/>
  <c r="T2496" i="24"/>
  <c r="P2496" i="24"/>
  <c r="L2496" i="24"/>
  <c r="F2496" i="24"/>
  <c r="B2496" i="24"/>
  <c r="R2495" i="24"/>
  <c r="N2495" i="24"/>
  <c r="H2495" i="24"/>
  <c r="D2495" i="24"/>
  <c r="T2494" i="24"/>
  <c r="P2494" i="24"/>
  <c r="L2494" i="24"/>
  <c r="F2494" i="24"/>
  <c r="B2494" i="24"/>
  <c r="R2493" i="24"/>
  <c r="N2493" i="24"/>
  <c r="H2493" i="24"/>
  <c r="D2493" i="24"/>
  <c r="T2492" i="24"/>
  <c r="P2492" i="24"/>
  <c r="L2492" i="24"/>
  <c r="F2492" i="24"/>
  <c r="B2492" i="24"/>
  <c r="R2491" i="24"/>
  <c r="N2491" i="24"/>
  <c r="H2491" i="24"/>
  <c r="D2491" i="24"/>
  <c r="T2490" i="24"/>
  <c r="P2490" i="24"/>
  <c r="L2490" i="24"/>
  <c r="F2490" i="24"/>
  <c r="B2490" i="24"/>
  <c r="R2489" i="24"/>
  <c r="N2489" i="24"/>
  <c r="H2489" i="24"/>
  <c r="D2489" i="24"/>
  <c r="T2488" i="24"/>
  <c r="P2488" i="24"/>
  <c r="L2488" i="24"/>
  <c r="F2488" i="24"/>
  <c r="B2488" i="24"/>
  <c r="R2487" i="24"/>
  <c r="N2487" i="24"/>
  <c r="H2487" i="24"/>
  <c r="D2487" i="24"/>
  <c r="T2486" i="24"/>
  <c r="P2486" i="24"/>
  <c r="L2486" i="24"/>
  <c r="F2486" i="24"/>
  <c r="B2486" i="24"/>
  <c r="R2485" i="24"/>
  <c r="N2485" i="24"/>
  <c r="H2485" i="24"/>
  <c r="D2485" i="24"/>
  <c r="T2484" i="24"/>
  <c r="P2484" i="24"/>
  <c r="L2484" i="24"/>
  <c r="F2484" i="24"/>
  <c r="B2484" i="24"/>
  <c r="R2483" i="24"/>
  <c r="N2483" i="24"/>
  <c r="H2483" i="24"/>
  <c r="D2483" i="24"/>
  <c r="T2482" i="24"/>
  <c r="P2482" i="24"/>
  <c r="L2482" i="24"/>
  <c r="F2482" i="24"/>
  <c r="B2482" i="24"/>
  <c r="R2481" i="24"/>
  <c r="N2481" i="24"/>
  <c r="H2481" i="24"/>
  <c r="D2481" i="24"/>
  <c r="T2480" i="24"/>
  <c r="P2480" i="24"/>
  <c r="L2480" i="24"/>
  <c r="F2480" i="24"/>
  <c r="B2480" i="24"/>
  <c r="R2479" i="24"/>
  <c r="N2479" i="24"/>
  <c r="H2479" i="24"/>
  <c r="D2479" i="24"/>
  <c r="T2478" i="24"/>
  <c r="P2478" i="24"/>
  <c r="L2478" i="24"/>
  <c r="F2478" i="24"/>
  <c r="B2478" i="24"/>
  <c r="R2477" i="24"/>
  <c r="N2477" i="24"/>
  <c r="H2477" i="24"/>
  <c r="D2477" i="24"/>
  <c r="T2476" i="24"/>
  <c r="P2476" i="24"/>
  <c r="L2476" i="24"/>
  <c r="F2476" i="24"/>
  <c r="B2476" i="24"/>
  <c r="R2475" i="24"/>
  <c r="N2475" i="24"/>
  <c r="H2475" i="24"/>
  <c r="D2475" i="24"/>
  <c r="T2474" i="24"/>
  <c r="P2474" i="24"/>
  <c r="L2474" i="24"/>
  <c r="F2474" i="24"/>
  <c r="B2474" i="24"/>
  <c r="R2473" i="24"/>
  <c r="N2473" i="24"/>
  <c r="H2473" i="24"/>
  <c r="D2473" i="24"/>
  <c r="T2472" i="24"/>
  <c r="P2472" i="24"/>
  <c r="L2472" i="24"/>
  <c r="F2472" i="24"/>
  <c r="B2472" i="24"/>
  <c r="R2471" i="24"/>
  <c r="N2471" i="24"/>
  <c r="H2471" i="24"/>
  <c r="D2471" i="24"/>
  <c r="T2470" i="24"/>
  <c r="P2470" i="24"/>
  <c r="L2470" i="24"/>
  <c r="F2470" i="24"/>
  <c r="B2470" i="24"/>
  <c r="R2469" i="24"/>
  <c r="N2469" i="24"/>
  <c r="H2469" i="24"/>
  <c r="D2469" i="24"/>
  <c r="T2468" i="24"/>
  <c r="P2468" i="24"/>
  <c r="L2468" i="24"/>
  <c r="F2468" i="24"/>
  <c r="B2468" i="24"/>
  <c r="R2467" i="24"/>
  <c r="N2467" i="24"/>
  <c r="H2467" i="24"/>
  <c r="D2467" i="24"/>
  <c r="T2466" i="24"/>
  <c r="P2466" i="24"/>
  <c r="L2466" i="24"/>
  <c r="F2466" i="24"/>
  <c r="B2466" i="24"/>
  <c r="R2465" i="24"/>
  <c r="N2465" i="24"/>
  <c r="H2465" i="24"/>
  <c r="D2465" i="24"/>
  <c r="T2464" i="24"/>
  <c r="P2464" i="24"/>
  <c r="L2464" i="24"/>
  <c r="F2464" i="24"/>
  <c r="B2464" i="24"/>
  <c r="R2463" i="24"/>
  <c r="N2463" i="24"/>
  <c r="H2463" i="24"/>
  <c r="D2463" i="24"/>
  <c r="T2462" i="24"/>
  <c r="P2462" i="24"/>
  <c r="L2462" i="24"/>
  <c r="F2462" i="24"/>
  <c r="B2462" i="24"/>
  <c r="R2461" i="24"/>
  <c r="N2461" i="24"/>
  <c r="H2461" i="24"/>
  <c r="D2461" i="24"/>
  <c r="T2460" i="24"/>
  <c r="P2460" i="24"/>
  <c r="L2460" i="24"/>
  <c r="F2460" i="24"/>
  <c r="B2460" i="24"/>
  <c r="R2459" i="24"/>
  <c r="N2459" i="24"/>
  <c r="H2459" i="24"/>
  <c r="D2459" i="24"/>
  <c r="T2458" i="24"/>
  <c r="P2458" i="24"/>
  <c r="L2458" i="24"/>
  <c r="F2458" i="24"/>
  <c r="B2458" i="24"/>
  <c r="R2457" i="24"/>
  <c r="N2457" i="24"/>
  <c r="H2457" i="24"/>
  <c r="D2457" i="24"/>
  <c r="T2456" i="24"/>
  <c r="P2456" i="24"/>
  <c r="L2456" i="24"/>
  <c r="F2456" i="24"/>
  <c r="B2456" i="24"/>
  <c r="R2455" i="24"/>
  <c r="N2455" i="24"/>
  <c r="H2455" i="24"/>
  <c r="D2455" i="24"/>
  <c r="T2454" i="24"/>
  <c r="P2454" i="24"/>
  <c r="L2454" i="24"/>
  <c r="F2454" i="24"/>
  <c r="B2454" i="24"/>
  <c r="R2453" i="24"/>
  <c r="N2453" i="24"/>
  <c r="H2453" i="24"/>
  <c r="D2453" i="24"/>
  <c r="T2452" i="24"/>
  <c r="P2452" i="24"/>
  <c r="L2452" i="24"/>
  <c r="F2452" i="24"/>
  <c r="B2452" i="24"/>
  <c r="R2451" i="24"/>
  <c r="N2451" i="24"/>
  <c r="H2451" i="24"/>
  <c r="D2451" i="24"/>
  <c r="T2450" i="24"/>
  <c r="P2450" i="24"/>
  <c r="L2450" i="24"/>
  <c r="F2450" i="24"/>
  <c r="B2450" i="24"/>
  <c r="R2449" i="24"/>
  <c r="N2449" i="24"/>
  <c r="H2449" i="24"/>
  <c r="D2449" i="24"/>
  <c r="T2448" i="24"/>
  <c r="P2448" i="24"/>
  <c r="L2448" i="24"/>
  <c r="F2448" i="24"/>
  <c r="B2448" i="24"/>
  <c r="R2447" i="24"/>
  <c r="N2447" i="24"/>
  <c r="H2447" i="24"/>
  <c r="D2447" i="24"/>
  <c r="T2446" i="24"/>
  <c r="P2446" i="24"/>
  <c r="L2446" i="24"/>
  <c r="F2446" i="24"/>
  <c r="B2446" i="24"/>
  <c r="R2445" i="24"/>
  <c r="N2445" i="24"/>
  <c r="H2445" i="24"/>
  <c r="D2445" i="24"/>
  <c r="T2444" i="24"/>
  <c r="P2444" i="24"/>
  <c r="L2444" i="24"/>
  <c r="F2444" i="24"/>
  <c r="B2444" i="24"/>
  <c r="R2443" i="24"/>
  <c r="N2443" i="24"/>
  <c r="H2443" i="24"/>
  <c r="D2443" i="24"/>
  <c r="T2442" i="24"/>
  <c r="P2442" i="24"/>
  <c r="L2442" i="24"/>
  <c r="F2442" i="24"/>
  <c r="B2442" i="24"/>
  <c r="R2441" i="24"/>
  <c r="N2441" i="24"/>
  <c r="H2441" i="24"/>
  <c r="D2441" i="24"/>
  <c r="T2440" i="24"/>
  <c r="P2440" i="24"/>
  <c r="L2440" i="24"/>
  <c r="F2440" i="24"/>
  <c r="B2440" i="24"/>
  <c r="R2439" i="24"/>
  <c r="N2439" i="24"/>
  <c r="H2439" i="24"/>
  <c r="D2439" i="24"/>
  <c r="T2438" i="24"/>
  <c r="P2438" i="24"/>
  <c r="L2438" i="24"/>
  <c r="F2438" i="24"/>
  <c r="B2438" i="24"/>
  <c r="R2437" i="24"/>
  <c r="N2437" i="24"/>
  <c r="H2437" i="24"/>
  <c r="D2437" i="24"/>
  <c r="T2436" i="24"/>
  <c r="P2436" i="24"/>
  <c r="L2436" i="24"/>
  <c r="F2436" i="24"/>
  <c r="B2436" i="24"/>
  <c r="R2435" i="24"/>
  <c r="N2435" i="24"/>
  <c r="H2435" i="24"/>
  <c r="D2435" i="24"/>
  <c r="T2434" i="24"/>
  <c r="P2434" i="24"/>
  <c r="L2434" i="24"/>
  <c r="F2434" i="24"/>
  <c r="B2434" i="24"/>
  <c r="R2433" i="24"/>
  <c r="N2433" i="24"/>
  <c r="H2433" i="24"/>
  <c r="D2433" i="24"/>
  <c r="T2432" i="24"/>
  <c r="P2432" i="24"/>
  <c r="L2432" i="24"/>
  <c r="F2432" i="24"/>
  <c r="B2432" i="24"/>
  <c r="R2431" i="24"/>
  <c r="N2431" i="24"/>
  <c r="H2431" i="24"/>
  <c r="D2431" i="24"/>
  <c r="T2430" i="24"/>
  <c r="P2430" i="24"/>
  <c r="L2430" i="24"/>
  <c r="F2430" i="24"/>
  <c r="B2430" i="24"/>
  <c r="R2429" i="24"/>
  <c r="N2429" i="24"/>
  <c r="H2429" i="24"/>
  <c r="D2429" i="24"/>
  <c r="T2428" i="24"/>
  <c r="P2428" i="24"/>
  <c r="L2428" i="24"/>
  <c r="F2428" i="24"/>
  <c r="B2428" i="24"/>
  <c r="R2427" i="24"/>
  <c r="N2427" i="24"/>
  <c r="H2427" i="24"/>
  <c r="D2427" i="24"/>
  <c r="T2426" i="24"/>
  <c r="P2426" i="24"/>
  <c r="L2426" i="24"/>
  <c r="F2426" i="24"/>
  <c r="B2426" i="24"/>
  <c r="R2425" i="24"/>
  <c r="N2425" i="24"/>
  <c r="H2425" i="24"/>
  <c r="D2425" i="24"/>
  <c r="T2424" i="24"/>
  <c r="P2424" i="24"/>
  <c r="L2424" i="24"/>
  <c r="F2424" i="24"/>
  <c r="B2424" i="24"/>
  <c r="R2423" i="24"/>
  <c r="N2423" i="24"/>
  <c r="H2423" i="24"/>
  <c r="D2423" i="24"/>
  <c r="T2422" i="24"/>
  <c r="P2422" i="24"/>
  <c r="L2422" i="24"/>
  <c r="F2422" i="24"/>
  <c r="B2422" i="24"/>
  <c r="R2421" i="24"/>
  <c r="N2421" i="24"/>
  <c r="H2421" i="24"/>
  <c r="D2421" i="24"/>
  <c r="T2420" i="24"/>
  <c r="P2420" i="24"/>
  <c r="L2420" i="24"/>
  <c r="F2420" i="24"/>
  <c r="B2420" i="24"/>
  <c r="R2419" i="24"/>
  <c r="N2419" i="24"/>
  <c r="H2419" i="24"/>
  <c r="D2419" i="24"/>
  <c r="T2418" i="24"/>
  <c r="P2418" i="24"/>
  <c r="L2418" i="24"/>
  <c r="F2418" i="24"/>
  <c r="B2418" i="24"/>
  <c r="R2417" i="24"/>
  <c r="N2417" i="24"/>
  <c r="H2417" i="24"/>
  <c r="D2417" i="24"/>
  <c r="T2416" i="24"/>
  <c r="P2416" i="24"/>
  <c r="L2416" i="24"/>
  <c r="F2416" i="24"/>
  <c r="B2416" i="24"/>
  <c r="R2415" i="24"/>
  <c r="N2415" i="24"/>
  <c r="H2415" i="24"/>
  <c r="D2415" i="24"/>
  <c r="T2414" i="24"/>
  <c r="P2414" i="24"/>
  <c r="L2414" i="24"/>
  <c r="F2414" i="24"/>
  <c r="B2414" i="24"/>
  <c r="R2413" i="24"/>
  <c r="N2413" i="24"/>
  <c r="H2413" i="24"/>
  <c r="D2413" i="24"/>
  <c r="T2412" i="24"/>
  <c r="P2412" i="24"/>
  <c r="L2412" i="24"/>
  <c r="F2412" i="24"/>
  <c r="B2412" i="24"/>
  <c r="R2411" i="24"/>
  <c r="N2411" i="24"/>
  <c r="H2411" i="24"/>
  <c r="D2411" i="24"/>
  <c r="T2410" i="24"/>
  <c r="P2410" i="24"/>
  <c r="L2410" i="24"/>
  <c r="F2410" i="24"/>
  <c r="B2410" i="24"/>
  <c r="R2409" i="24"/>
  <c r="N2409" i="24"/>
  <c r="H2409" i="24"/>
  <c r="D2409" i="24"/>
  <c r="T2408" i="24"/>
  <c r="P2408" i="24"/>
  <c r="L2408" i="24"/>
  <c r="F2408" i="24"/>
  <c r="B2408" i="24"/>
  <c r="R2407" i="24"/>
  <c r="N2407" i="24"/>
  <c r="H2407" i="24"/>
  <c r="D2407" i="24"/>
  <c r="T2406" i="24"/>
  <c r="P2406" i="24"/>
  <c r="L2406" i="24"/>
  <c r="F2406" i="24"/>
  <c r="B2406" i="24"/>
  <c r="R2405" i="24"/>
  <c r="N2405" i="24"/>
  <c r="H2405" i="24"/>
  <c r="D2405" i="24"/>
  <c r="T2404" i="24"/>
  <c r="P2404" i="24"/>
  <c r="L2404" i="24"/>
  <c r="F2404" i="24"/>
  <c r="B2404" i="24"/>
  <c r="N2517" i="24"/>
  <c r="G2517" i="24"/>
  <c r="C2517" i="24"/>
  <c r="S2516" i="24"/>
  <c r="O2516" i="24"/>
  <c r="K2516" i="24"/>
  <c r="E2516" i="24"/>
  <c r="A2516" i="24"/>
  <c r="Q2515" i="24"/>
  <c r="M2515" i="24"/>
  <c r="G2515" i="24"/>
  <c r="C2515" i="24"/>
  <c r="S2514" i="24"/>
  <c r="O2514" i="24"/>
  <c r="K2514" i="24"/>
  <c r="E2514" i="24"/>
  <c r="A2514" i="24"/>
  <c r="Q2513" i="24"/>
  <c r="M2513" i="24"/>
  <c r="G2513" i="24"/>
  <c r="C2513" i="24"/>
  <c r="S2512" i="24"/>
  <c r="O2512" i="24"/>
  <c r="K2512" i="24"/>
  <c r="E2512" i="24"/>
  <c r="A2512" i="24"/>
  <c r="Q2511" i="24"/>
  <c r="M2511" i="24"/>
  <c r="G2511" i="24"/>
  <c r="C2511" i="24"/>
  <c r="S2510" i="24"/>
  <c r="O2510" i="24"/>
  <c r="K2510" i="24"/>
  <c r="E2510" i="24"/>
  <c r="A2510" i="24"/>
  <c r="Q2509" i="24"/>
  <c r="M2509" i="24"/>
  <c r="G2509" i="24"/>
  <c r="C2509" i="24"/>
  <c r="S2508" i="24"/>
  <c r="O2508" i="24"/>
  <c r="K2508" i="24"/>
  <c r="E2508" i="24"/>
  <c r="A2508" i="24"/>
  <c r="Q2507" i="24"/>
  <c r="M2507" i="24"/>
  <c r="G2507" i="24"/>
  <c r="C2507" i="24"/>
  <c r="S2506" i="24"/>
  <c r="O2506" i="24"/>
  <c r="K2506" i="24"/>
  <c r="E2506" i="24"/>
  <c r="A2506" i="24"/>
  <c r="Q2505" i="24"/>
  <c r="M2505" i="24"/>
  <c r="G2505" i="24"/>
  <c r="C2505" i="24"/>
  <c r="S2504" i="24"/>
  <c r="O2504" i="24"/>
  <c r="K2504" i="24"/>
  <c r="E2504" i="24"/>
  <c r="A2504" i="24"/>
  <c r="Q2503" i="24"/>
  <c r="M2503" i="24"/>
  <c r="G2503" i="24"/>
  <c r="C2503" i="24"/>
  <c r="S2502" i="24"/>
  <c r="O2502" i="24"/>
  <c r="K2502" i="24"/>
  <c r="E2502" i="24"/>
  <c r="A2502" i="24"/>
  <c r="Q2501" i="24"/>
  <c r="M2501" i="24"/>
  <c r="G2501" i="24"/>
  <c r="C2501" i="24"/>
  <c r="S2500" i="24"/>
  <c r="O2500" i="24"/>
  <c r="K2500" i="24"/>
  <c r="E2500" i="24"/>
  <c r="A2500" i="24"/>
  <c r="Q2499" i="24"/>
  <c r="M2499" i="24"/>
  <c r="G2499" i="24"/>
  <c r="C2499" i="24"/>
  <c r="S2498" i="24"/>
  <c r="O2498" i="24"/>
  <c r="K2498" i="24"/>
  <c r="E2498" i="24"/>
  <c r="A2498" i="24"/>
  <c r="Q2497" i="24"/>
  <c r="M2497" i="24"/>
  <c r="G2497" i="24"/>
  <c r="C2497" i="24"/>
  <c r="S2496" i="24"/>
  <c r="O2496" i="24"/>
  <c r="K2496" i="24"/>
  <c r="E2496" i="24"/>
  <c r="A2496" i="24"/>
  <c r="Q2495" i="24"/>
  <c r="M2495" i="24"/>
  <c r="G2495" i="24"/>
  <c r="C2495" i="24"/>
  <c r="S2494" i="24"/>
  <c r="O2494" i="24"/>
  <c r="K2494" i="24"/>
  <c r="E2494" i="24"/>
  <c r="A2494" i="24"/>
  <c r="Q2493" i="24"/>
  <c r="M2493" i="24"/>
  <c r="G2493" i="24"/>
  <c r="C2493" i="24"/>
  <c r="S2492" i="24"/>
  <c r="O2492" i="24"/>
  <c r="K2492" i="24"/>
  <c r="E2492" i="24"/>
  <c r="A2492" i="24"/>
  <c r="Q2491" i="24"/>
  <c r="M2491" i="24"/>
  <c r="G2491" i="24"/>
  <c r="C2491" i="24"/>
  <c r="S2490" i="24"/>
  <c r="O2490" i="24"/>
  <c r="K2490" i="24"/>
  <c r="E2490" i="24"/>
  <c r="A2490" i="24"/>
  <c r="Q2489" i="24"/>
  <c r="M2489" i="24"/>
  <c r="G2489" i="24"/>
  <c r="C2489" i="24"/>
  <c r="S2488" i="24"/>
  <c r="O2488" i="24"/>
  <c r="K2488" i="24"/>
  <c r="E2488" i="24"/>
  <c r="A2488" i="24"/>
  <c r="Q2487" i="24"/>
  <c r="M2487" i="24"/>
  <c r="G2487" i="24"/>
  <c r="C2487" i="24"/>
  <c r="S2486" i="24"/>
  <c r="O2486" i="24"/>
  <c r="K2486" i="24"/>
  <c r="E2486" i="24"/>
  <c r="A2486" i="24"/>
  <c r="Q2485" i="24"/>
  <c r="M2485" i="24"/>
  <c r="G2485" i="24"/>
  <c r="C2485" i="24"/>
  <c r="S2484" i="24"/>
  <c r="O2484" i="24"/>
  <c r="K2484" i="24"/>
  <c r="E2484" i="24"/>
  <c r="A2484" i="24"/>
  <c r="Q2483" i="24"/>
  <c r="M2483" i="24"/>
  <c r="G2483" i="24"/>
  <c r="C2483" i="24"/>
  <c r="S2482" i="24"/>
  <c r="O2482" i="24"/>
  <c r="K2482" i="24"/>
  <c r="E2482" i="24"/>
  <c r="A2482" i="24"/>
  <c r="Q2481" i="24"/>
  <c r="M2481" i="24"/>
  <c r="G2481" i="24"/>
  <c r="C2481" i="24"/>
  <c r="S2480" i="24"/>
  <c r="O2480" i="24"/>
  <c r="K2480" i="24"/>
  <c r="E2480" i="24"/>
  <c r="A2480" i="24"/>
  <c r="Q2479" i="24"/>
  <c r="M2479" i="24"/>
  <c r="G2479" i="24"/>
  <c r="C2479" i="24"/>
  <c r="S2478" i="24"/>
  <c r="O2478" i="24"/>
  <c r="K2478" i="24"/>
  <c r="E2478" i="24"/>
  <c r="A2478" i="24"/>
  <c r="Q2477" i="24"/>
  <c r="M2477" i="24"/>
  <c r="G2477" i="24"/>
  <c r="C2477" i="24"/>
  <c r="S2476" i="24"/>
  <c r="O2476" i="24"/>
  <c r="K2476" i="24"/>
  <c r="E2476" i="24"/>
  <c r="A2476" i="24"/>
  <c r="Q2475" i="24"/>
  <c r="M2475" i="24"/>
  <c r="G2475" i="24"/>
  <c r="C2475" i="24"/>
  <c r="S2474" i="24"/>
  <c r="O2474" i="24"/>
  <c r="K2474" i="24"/>
  <c r="E2474" i="24"/>
  <c r="A2474" i="24"/>
  <c r="Q2473" i="24"/>
  <c r="M2473" i="24"/>
  <c r="G2473" i="24"/>
  <c r="C2473" i="24"/>
  <c r="S2472" i="24"/>
  <c r="O2472" i="24"/>
  <c r="K2472" i="24"/>
  <c r="E2472" i="24"/>
  <c r="A2472" i="24"/>
  <c r="Q2471" i="24"/>
  <c r="M2471" i="24"/>
  <c r="G2471" i="24"/>
  <c r="C2471" i="24"/>
  <c r="S2470" i="24"/>
  <c r="O2470" i="24"/>
  <c r="K2470" i="24"/>
  <c r="E2470" i="24"/>
  <c r="A2470" i="24"/>
  <c r="Q2469" i="24"/>
  <c r="M2469" i="24"/>
  <c r="G2469" i="24"/>
  <c r="C2469" i="24"/>
  <c r="S2468" i="24"/>
  <c r="O2468" i="24"/>
  <c r="K2468" i="24"/>
  <c r="E2468" i="24"/>
  <c r="A2468" i="24"/>
  <c r="Q2467" i="24"/>
  <c r="M2467" i="24"/>
  <c r="G2467" i="24"/>
  <c r="C2467" i="24"/>
  <c r="S2466" i="24"/>
  <c r="O2466" i="24"/>
  <c r="K2466" i="24"/>
  <c r="E2466" i="24"/>
  <c r="A2466" i="24"/>
  <c r="Q2465" i="24"/>
  <c r="M2465" i="24"/>
  <c r="G2465" i="24"/>
  <c r="C2465" i="24"/>
  <c r="S2464" i="24"/>
  <c r="O2464" i="24"/>
  <c r="K2464" i="24"/>
  <c r="E2464" i="24"/>
  <c r="A2464" i="24"/>
  <c r="Q2463" i="24"/>
  <c r="M2463" i="24"/>
  <c r="G2463" i="24"/>
  <c r="C2463" i="24"/>
  <c r="S2462" i="24"/>
  <c r="O2462" i="24"/>
  <c r="K2462" i="24"/>
  <c r="E2462" i="24"/>
  <c r="A2462" i="24"/>
  <c r="Q2461" i="24"/>
  <c r="M2461" i="24"/>
  <c r="G2461" i="24"/>
  <c r="C2461" i="24"/>
  <c r="S2460" i="24"/>
  <c r="O2460" i="24"/>
  <c r="K2460" i="24"/>
  <c r="E2460" i="24"/>
  <c r="A2460" i="24"/>
  <c r="Q2459" i="24"/>
  <c r="M2459" i="24"/>
  <c r="G2459" i="24"/>
  <c r="C2459" i="24"/>
  <c r="S2458" i="24"/>
  <c r="O2458" i="24"/>
  <c r="K2458" i="24"/>
  <c r="E2458" i="24"/>
  <c r="A2458" i="24"/>
  <c r="Q2457" i="24"/>
  <c r="M2457" i="24"/>
  <c r="G2457" i="24"/>
  <c r="C2457" i="24"/>
  <c r="S2456" i="24"/>
  <c r="O2456" i="24"/>
  <c r="K2456" i="24"/>
  <c r="E2456" i="24"/>
  <c r="A2456" i="24"/>
  <c r="Q2455" i="24"/>
  <c r="M2455" i="24"/>
  <c r="G2455" i="24"/>
  <c r="C2455" i="24"/>
  <c r="S2454" i="24"/>
  <c r="O2454" i="24"/>
  <c r="K2454" i="24"/>
  <c r="E2454" i="24"/>
  <c r="A2454" i="24"/>
  <c r="Q2453" i="24"/>
  <c r="M2453" i="24"/>
  <c r="G2453" i="24"/>
  <c r="C2453" i="24"/>
  <c r="S2452" i="24"/>
  <c r="O2452" i="24"/>
  <c r="K2452" i="24"/>
  <c r="E2452" i="24"/>
  <c r="A2452" i="24"/>
  <c r="Q2451" i="24"/>
  <c r="M2451" i="24"/>
  <c r="G2451" i="24"/>
  <c r="C2451" i="24"/>
  <c r="S2450" i="24"/>
  <c r="O2450" i="24"/>
  <c r="K2450" i="24"/>
  <c r="E2450" i="24"/>
  <c r="A2450" i="24"/>
  <c r="Q2449" i="24"/>
  <c r="M2449" i="24"/>
  <c r="G2449" i="24"/>
  <c r="C2449" i="24"/>
  <c r="S2448" i="24"/>
  <c r="O2448" i="24"/>
  <c r="K2448" i="24"/>
  <c r="E2448" i="24"/>
  <c r="A2448" i="24"/>
  <c r="Q2447" i="24"/>
  <c r="M2447" i="24"/>
  <c r="G2447" i="24"/>
  <c r="C2447" i="24"/>
  <c r="S2446" i="24"/>
  <c r="O2446" i="24"/>
  <c r="K2446" i="24"/>
  <c r="E2446" i="24"/>
  <c r="A2446" i="24"/>
  <c r="Q2445" i="24"/>
  <c r="M2445" i="24"/>
  <c r="G2445" i="24"/>
  <c r="C2445" i="24"/>
  <c r="S2444" i="24"/>
  <c r="O2444" i="24"/>
  <c r="K2444" i="24"/>
  <c r="E2444" i="24"/>
  <c r="A2444" i="24"/>
  <c r="Q2443" i="24"/>
  <c r="M2443" i="24"/>
  <c r="G2443" i="24"/>
  <c r="C2443" i="24"/>
  <c r="S2442" i="24"/>
  <c r="O2442" i="24"/>
  <c r="K2442" i="24"/>
  <c r="E2442" i="24"/>
  <c r="A2442" i="24"/>
  <c r="Q2441" i="24"/>
  <c r="M2441" i="24"/>
  <c r="G2441" i="24"/>
  <c r="C2441" i="24"/>
  <c r="S2440" i="24"/>
  <c r="O2440" i="24"/>
  <c r="K2440" i="24"/>
  <c r="E2440" i="24"/>
  <c r="A2440" i="24"/>
  <c r="Q2439" i="24"/>
  <c r="M2439" i="24"/>
  <c r="G2439" i="24"/>
  <c r="C2439" i="24"/>
  <c r="S2438" i="24"/>
  <c r="O2438" i="24"/>
  <c r="K2438" i="24"/>
  <c r="E2438" i="24"/>
  <c r="A2438" i="24"/>
  <c r="Q2437" i="24"/>
  <c r="M2437" i="24"/>
  <c r="G2437" i="24"/>
  <c r="C2437" i="24"/>
  <c r="S2436" i="24"/>
  <c r="O2436" i="24"/>
  <c r="K2436" i="24"/>
  <c r="E2436" i="24"/>
  <c r="A2436" i="24"/>
  <c r="Q2435" i="24"/>
  <c r="M2435" i="24"/>
  <c r="G2435" i="24"/>
  <c r="C2435" i="24"/>
  <c r="S2434" i="24"/>
  <c r="O2434" i="24"/>
  <c r="K2434" i="24"/>
  <c r="E2434" i="24"/>
  <c r="A2434" i="24"/>
  <c r="Q2433" i="24"/>
  <c r="M2433" i="24"/>
  <c r="G2433" i="24"/>
  <c r="C2433" i="24"/>
  <c r="S2432" i="24"/>
  <c r="O2432" i="24"/>
  <c r="K2432" i="24"/>
  <c r="E2432" i="24"/>
  <c r="A2432" i="24"/>
  <c r="Q2431" i="24"/>
  <c r="M2431" i="24"/>
  <c r="G2431" i="24"/>
  <c r="C2431" i="24"/>
  <c r="S2430" i="24"/>
  <c r="O2430" i="24"/>
  <c r="K2430" i="24"/>
  <c r="E2430" i="24"/>
  <c r="A2430" i="24"/>
  <c r="Q2429" i="24"/>
  <c r="M2429" i="24"/>
  <c r="G2429" i="24"/>
  <c r="C2429" i="24"/>
  <c r="S2428" i="24"/>
  <c r="O2428" i="24"/>
  <c r="K2428" i="24"/>
  <c r="E2428" i="24"/>
  <c r="A2428" i="24"/>
  <c r="Q2427" i="24"/>
  <c r="M2427" i="24"/>
  <c r="G2427" i="24"/>
  <c r="C2427" i="24"/>
  <c r="S2426" i="24"/>
  <c r="O2426" i="24"/>
  <c r="K2426" i="24"/>
  <c r="E2426" i="24"/>
  <c r="A2426" i="24"/>
  <c r="Q2425" i="24"/>
  <c r="M2425" i="24"/>
  <c r="G2425" i="24"/>
  <c r="C2425" i="24"/>
  <c r="S2424" i="24"/>
  <c r="O2424" i="24"/>
  <c r="K2424" i="24"/>
  <c r="E2424" i="24"/>
  <c r="A2424" i="24"/>
  <c r="Q2423" i="24"/>
  <c r="M2423" i="24"/>
  <c r="G2423" i="24"/>
  <c r="C2423" i="24"/>
  <c r="S2422" i="24"/>
  <c r="O2422" i="24"/>
  <c r="K2422" i="24"/>
  <c r="E2422" i="24"/>
  <c r="A2422" i="24"/>
  <c r="Q2421" i="24"/>
  <c r="M2421" i="24"/>
  <c r="G2421" i="24"/>
  <c r="C2421" i="24"/>
  <c r="S2420" i="24"/>
  <c r="O2420" i="24"/>
  <c r="K2420" i="24"/>
  <c r="E2420" i="24"/>
  <c r="A2420" i="24"/>
  <c r="Q2419" i="24"/>
  <c r="M2419" i="24"/>
  <c r="G2419" i="24"/>
  <c r="C2419" i="24"/>
  <c r="S2418" i="24"/>
  <c r="O2418" i="24"/>
  <c r="K2418" i="24"/>
  <c r="E2418" i="24"/>
  <c r="A2418" i="24"/>
  <c r="Q2417" i="24"/>
  <c r="M2417" i="24"/>
  <c r="G2417" i="24"/>
  <c r="C2417" i="24"/>
  <c r="S2416" i="24"/>
  <c r="O2416" i="24"/>
  <c r="K2416" i="24"/>
  <c r="E2416" i="24"/>
  <c r="A2416" i="24"/>
  <c r="Q2415" i="24"/>
  <c r="M2415" i="24"/>
  <c r="G2415" i="24"/>
  <c r="C2415" i="24"/>
  <c r="S2414" i="24"/>
  <c r="O2414" i="24"/>
  <c r="K2414" i="24"/>
  <c r="E2414" i="24"/>
  <c r="A2414" i="24"/>
  <c r="Q2413" i="24"/>
  <c r="M2413" i="24"/>
  <c r="G2413" i="24"/>
  <c r="C2413" i="24"/>
  <c r="S2412" i="24"/>
  <c r="O2412" i="24"/>
  <c r="K2412" i="24"/>
  <c r="E2412" i="24"/>
  <c r="A2412" i="24"/>
  <c r="Q2411" i="24"/>
  <c r="M2411" i="24"/>
  <c r="G2411" i="24"/>
  <c r="C2411" i="24"/>
  <c r="S2410" i="24"/>
  <c r="O2410" i="24"/>
  <c r="K2410" i="24"/>
  <c r="E2410" i="24"/>
  <c r="A2410" i="24"/>
  <c r="Q2409" i="24"/>
  <c r="M2409" i="24"/>
  <c r="G2409" i="24"/>
  <c r="C2409" i="24"/>
  <c r="S2408" i="24"/>
  <c r="O2408" i="24"/>
  <c r="K2408" i="24"/>
  <c r="E2408" i="24"/>
  <c r="A2408" i="24"/>
  <c r="Q2407" i="24"/>
  <c r="M2407" i="24"/>
  <c r="G2407" i="24"/>
  <c r="C2407" i="24"/>
  <c r="S2406" i="24"/>
  <c r="O2406" i="24"/>
  <c r="K2406" i="24"/>
  <c r="E2406" i="24"/>
  <c r="A2406" i="24"/>
  <c r="Q2405" i="24"/>
  <c r="M2405" i="24"/>
  <c r="G2405" i="24"/>
  <c r="C2405" i="24"/>
  <c r="S2404" i="24"/>
  <c r="O2404" i="24"/>
  <c r="K2404" i="24"/>
  <c r="E2404" i="24"/>
  <c r="L2517" i="24"/>
  <c r="F2517" i="24"/>
  <c r="B2517" i="24"/>
  <c r="R2516" i="24"/>
  <c r="N2516" i="24"/>
  <c r="H2516" i="24"/>
  <c r="D2516" i="24"/>
  <c r="T2515" i="24"/>
  <c r="P2515" i="24"/>
  <c r="L2515" i="24"/>
  <c r="F2515" i="24"/>
  <c r="B2515" i="24"/>
  <c r="R2514" i="24"/>
  <c r="N2514" i="24"/>
  <c r="H2514" i="24"/>
  <c r="D2514" i="24"/>
  <c r="T2513" i="24"/>
  <c r="P2513" i="24"/>
  <c r="L2513" i="24"/>
  <c r="F2513" i="24"/>
  <c r="B2513" i="24"/>
  <c r="R2512" i="24"/>
  <c r="N2512" i="24"/>
  <c r="H2512" i="24"/>
  <c r="D2512" i="24"/>
  <c r="T2511" i="24"/>
  <c r="P2511" i="24"/>
  <c r="L2511" i="24"/>
  <c r="F2511" i="24"/>
  <c r="B2511" i="24"/>
  <c r="R2510" i="24"/>
  <c r="N2510" i="24"/>
  <c r="H2510" i="24"/>
  <c r="D2510" i="24"/>
  <c r="T2509" i="24"/>
  <c r="P2509" i="24"/>
  <c r="L2509" i="24"/>
  <c r="F2509" i="24"/>
  <c r="B2509" i="24"/>
  <c r="R2508" i="24"/>
  <c r="N2508" i="24"/>
  <c r="H2508" i="24"/>
  <c r="D2508" i="24"/>
  <c r="T2507" i="24"/>
  <c r="P2507" i="24"/>
  <c r="L2507" i="24"/>
  <c r="F2507" i="24"/>
  <c r="B2507" i="24"/>
  <c r="R2506" i="24"/>
  <c r="N2506" i="24"/>
  <c r="H2506" i="24"/>
  <c r="D2506" i="24"/>
  <c r="T2505" i="24"/>
  <c r="P2505" i="24"/>
  <c r="L2505" i="24"/>
  <c r="F2505" i="24"/>
  <c r="B2505" i="24"/>
  <c r="R2504" i="24"/>
  <c r="N2504" i="24"/>
  <c r="H2504" i="24"/>
  <c r="D2504" i="24"/>
  <c r="T2503" i="24"/>
  <c r="P2503" i="24"/>
  <c r="L2503" i="24"/>
  <c r="F2503" i="24"/>
  <c r="B2503" i="24"/>
  <c r="R2502" i="24"/>
  <c r="N2502" i="24"/>
  <c r="H2502" i="24"/>
  <c r="D2502" i="24"/>
  <c r="T2501" i="24"/>
  <c r="P2501" i="24"/>
  <c r="L2501" i="24"/>
  <c r="F2501" i="24"/>
  <c r="B2501" i="24"/>
  <c r="R2500" i="24"/>
  <c r="N2500" i="24"/>
  <c r="H2500" i="24"/>
  <c r="D2500" i="24"/>
  <c r="T2499" i="24"/>
  <c r="P2499" i="24"/>
  <c r="L2499" i="24"/>
  <c r="F2499" i="24"/>
  <c r="B2499" i="24"/>
  <c r="R2498" i="24"/>
  <c r="N2498" i="24"/>
  <c r="H2498" i="24"/>
  <c r="D2498" i="24"/>
  <c r="T2497" i="24"/>
  <c r="P2497" i="24"/>
  <c r="L2497" i="24"/>
  <c r="F2497" i="24"/>
  <c r="B2497" i="24"/>
  <c r="R2496" i="24"/>
  <c r="N2496" i="24"/>
  <c r="H2496" i="24"/>
  <c r="D2496" i="24"/>
  <c r="T2495" i="24"/>
  <c r="P2495" i="24"/>
  <c r="L2495" i="24"/>
  <c r="F2495" i="24"/>
  <c r="B2495" i="24"/>
  <c r="R2494" i="24"/>
  <c r="N2494" i="24"/>
  <c r="H2494" i="24"/>
  <c r="D2494" i="24"/>
  <c r="T2493" i="24"/>
  <c r="P2493" i="24"/>
  <c r="L2493" i="24"/>
  <c r="F2493" i="24"/>
  <c r="B2493" i="24"/>
  <c r="R2492" i="24"/>
  <c r="N2492" i="24"/>
  <c r="H2492" i="24"/>
  <c r="D2492" i="24"/>
  <c r="T2491" i="24"/>
  <c r="P2491" i="24"/>
  <c r="L2491" i="24"/>
  <c r="F2491" i="24"/>
  <c r="B2491" i="24"/>
  <c r="R2490" i="24"/>
  <c r="N2490" i="24"/>
  <c r="H2490" i="24"/>
  <c r="D2490" i="24"/>
  <c r="T2489" i="24"/>
  <c r="P2489" i="24"/>
  <c r="L2489" i="24"/>
  <c r="F2489" i="24"/>
  <c r="B2489" i="24"/>
  <c r="R2488" i="24"/>
  <c r="N2488" i="24"/>
  <c r="H2488" i="24"/>
  <c r="D2488" i="24"/>
  <c r="T2487" i="24"/>
  <c r="P2487" i="24"/>
  <c r="L2487" i="24"/>
  <c r="F2487" i="24"/>
  <c r="B2487" i="24"/>
  <c r="R2486" i="24"/>
  <c r="N2486" i="24"/>
  <c r="H2486" i="24"/>
  <c r="D2486" i="24"/>
  <c r="T2485" i="24"/>
  <c r="P2485" i="24"/>
  <c r="L2485" i="24"/>
  <c r="F2485" i="24"/>
  <c r="B2485" i="24"/>
  <c r="R2484" i="24"/>
  <c r="N2484" i="24"/>
  <c r="H2484" i="24"/>
  <c r="D2484" i="24"/>
  <c r="T2483" i="24"/>
  <c r="P2483" i="24"/>
  <c r="L2483" i="24"/>
  <c r="F2483" i="24"/>
  <c r="B2483" i="24"/>
  <c r="R2482" i="24"/>
  <c r="N2482" i="24"/>
  <c r="H2482" i="24"/>
  <c r="D2482" i="24"/>
  <c r="T2481" i="24"/>
  <c r="P2481" i="24"/>
  <c r="L2481" i="24"/>
  <c r="F2481" i="24"/>
  <c r="B2481" i="24"/>
  <c r="R2480" i="24"/>
  <c r="N2480" i="24"/>
  <c r="H2480" i="24"/>
  <c r="D2480" i="24"/>
  <c r="T2479" i="24"/>
  <c r="P2479" i="24"/>
  <c r="L2479" i="24"/>
  <c r="F2479" i="24"/>
  <c r="B2479" i="24"/>
  <c r="R2478" i="24"/>
  <c r="N2478" i="24"/>
  <c r="H2478" i="24"/>
  <c r="D2478" i="24"/>
  <c r="T2477" i="24"/>
  <c r="P2477" i="24"/>
  <c r="L2477" i="24"/>
  <c r="F2477" i="24"/>
  <c r="B2477" i="24"/>
  <c r="R2476" i="24"/>
  <c r="N2476" i="24"/>
  <c r="H2476" i="24"/>
  <c r="D2476" i="24"/>
  <c r="T2475" i="24"/>
  <c r="P2475" i="24"/>
  <c r="L2475" i="24"/>
  <c r="F2475" i="24"/>
  <c r="B2475" i="24"/>
  <c r="R2474" i="24"/>
  <c r="N2474" i="24"/>
  <c r="H2474" i="24"/>
  <c r="D2474" i="24"/>
  <c r="T2473" i="24"/>
  <c r="P2473" i="24"/>
  <c r="L2473" i="24"/>
  <c r="F2473" i="24"/>
  <c r="B2473" i="24"/>
  <c r="R2472" i="24"/>
  <c r="N2472" i="24"/>
  <c r="H2472" i="24"/>
  <c r="D2472" i="24"/>
  <c r="T2471" i="24"/>
  <c r="P2471" i="24"/>
  <c r="L2471" i="24"/>
  <c r="F2471" i="24"/>
  <c r="B2471" i="24"/>
  <c r="R2470" i="24"/>
  <c r="N2470" i="24"/>
  <c r="H2470" i="24"/>
  <c r="D2470" i="24"/>
  <c r="T2469" i="24"/>
  <c r="P2469" i="24"/>
  <c r="L2469" i="24"/>
  <c r="F2469" i="24"/>
  <c r="B2469" i="24"/>
  <c r="R2468" i="24"/>
  <c r="N2468" i="24"/>
  <c r="H2468" i="24"/>
  <c r="D2468" i="24"/>
  <c r="T2467" i="24"/>
  <c r="P2467" i="24"/>
  <c r="L2467" i="24"/>
  <c r="F2467" i="24"/>
  <c r="B2467" i="24"/>
  <c r="R2466" i="24"/>
  <c r="N2466" i="24"/>
  <c r="H2466" i="24"/>
  <c r="D2466" i="24"/>
  <c r="T2465" i="24"/>
  <c r="P2465" i="24"/>
  <c r="L2465" i="24"/>
  <c r="F2465" i="24"/>
  <c r="B2465" i="24"/>
  <c r="R2464" i="24"/>
  <c r="N2464" i="24"/>
  <c r="H2464" i="24"/>
  <c r="D2464" i="24"/>
  <c r="T2463" i="24"/>
  <c r="P2463" i="24"/>
  <c r="L2463" i="24"/>
  <c r="F2463" i="24"/>
  <c r="B2463" i="24"/>
  <c r="R2462" i="24"/>
  <c r="N2462" i="24"/>
  <c r="H2462" i="24"/>
  <c r="D2462" i="24"/>
  <c r="T2461" i="24"/>
  <c r="P2461" i="24"/>
  <c r="L2461" i="24"/>
  <c r="F2461" i="24"/>
  <c r="B2461" i="24"/>
  <c r="R2460" i="24"/>
  <c r="N2460" i="24"/>
  <c r="H2460" i="24"/>
  <c r="D2460" i="24"/>
  <c r="T2459" i="24"/>
  <c r="P2459" i="24"/>
  <c r="L2459" i="24"/>
  <c r="F2459" i="24"/>
  <c r="B2459" i="24"/>
  <c r="R2458" i="24"/>
  <c r="N2458" i="24"/>
  <c r="H2458" i="24"/>
  <c r="D2458" i="24"/>
  <c r="T2457" i="24"/>
  <c r="P2457" i="24"/>
  <c r="L2457" i="24"/>
  <c r="F2457" i="24"/>
  <c r="B2457" i="24"/>
  <c r="R2456" i="24"/>
  <c r="N2456" i="24"/>
  <c r="H2456" i="24"/>
  <c r="D2456" i="24"/>
  <c r="T2455" i="24"/>
  <c r="P2455" i="24"/>
  <c r="L2455" i="24"/>
  <c r="F2455" i="24"/>
  <c r="B2455" i="24"/>
  <c r="R2454" i="24"/>
  <c r="N2454" i="24"/>
  <c r="H2454" i="24"/>
  <c r="D2454" i="24"/>
  <c r="T2453" i="24"/>
  <c r="P2453" i="24"/>
  <c r="L2453" i="24"/>
  <c r="F2453" i="24"/>
  <c r="B2453" i="24"/>
  <c r="R2452" i="24"/>
  <c r="N2452" i="24"/>
  <c r="H2452" i="24"/>
  <c r="D2452" i="24"/>
  <c r="T2451" i="24"/>
  <c r="P2451" i="24"/>
  <c r="L2451" i="24"/>
  <c r="F2451" i="24"/>
  <c r="B2451" i="24"/>
  <c r="R2450" i="24"/>
  <c r="N2450" i="24"/>
  <c r="H2450" i="24"/>
  <c r="D2450" i="24"/>
  <c r="T2449" i="24"/>
  <c r="P2449" i="24"/>
  <c r="L2449" i="24"/>
  <c r="F2449" i="24"/>
  <c r="B2449" i="24"/>
  <c r="R2448" i="24"/>
  <c r="N2448" i="24"/>
  <c r="H2448" i="24"/>
  <c r="D2448" i="24"/>
  <c r="T2447" i="24"/>
  <c r="P2447" i="24"/>
  <c r="L2447" i="24"/>
  <c r="F2447" i="24"/>
  <c r="B2447" i="24"/>
  <c r="R2446" i="24"/>
  <c r="N2446" i="24"/>
  <c r="H2446" i="24"/>
  <c r="D2446" i="24"/>
  <c r="T2445" i="24"/>
  <c r="P2445" i="24"/>
  <c r="L2445" i="24"/>
  <c r="F2445" i="24"/>
  <c r="B2445" i="24"/>
  <c r="R2444" i="24"/>
  <c r="N2444" i="24"/>
  <c r="H2444" i="24"/>
  <c r="D2444" i="24"/>
  <c r="T2443" i="24"/>
  <c r="P2443" i="24"/>
  <c r="L2443" i="24"/>
  <c r="F2443" i="24"/>
  <c r="B2443" i="24"/>
  <c r="R2442" i="24"/>
  <c r="N2442" i="24"/>
  <c r="H2442" i="24"/>
  <c r="D2442" i="24"/>
  <c r="T2441" i="24"/>
  <c r="P2441" i="24"/>
  <c r="L2441" i="24"/>
  <c r="F2441" i="24"/>
  <c r="B2441" i="24"/>
  <c r="R2440" i="24"/>
  <c r="N2440" i="24"/>
  <c r="H2440" i="24"/>
  <c r="D2440" i="24"/>
  <c r="T2439" i="24"/>
  <c r="P2439" i="24"/>
  <c r="L2439" i="24"/>
  <c r="F2439" i="24"/>
  <c r="B2439" i="24"/>
  <c r="R2438" i="24"/>
  <c r="N2438" i="24"/>
  <c r="H2438" i="24"/>
  <c r="D2438" i="24"/>
  <c r="T2437" i="24"/>
  <c r="P2437" i="24"/>
  <c r="L2437" i="24"/>
  <c r="F2437" i="24"/>
  <c r="B2437" i="24"/>
  <c r="R2436" i="24"/>
  <c r="N2436" i="24"/>
  <c r="H2436" i="24"/>
  <c r="D2436" i="24"/>
  <c r="T2435" i="24"/>
  <c r="P2435" i="24"/>
  <c r="L2435" i="24"/>
  <c r="F2435" i="24"/>
  <c r="B2435" i="24"/>
  <c r="R2434" i="24"/>
  <c r="N2434" i="24"/>
  <c r="H2434" i="24"/>
  <c r="D2434" i="24"/>
  <c r="T2433" i="24"/>
  <c r="P2433" i="24"/>
  <c r="L2433" i="24"/>
  <c r="F2433" i="24"/>
  <c r="B2433" i="24"/>
  <c r="R2432" i="24"/>
  <c r="N2432" i="24"/>
  <c r="H2432" i="24"/>
  <c r="D2432" i="24"/>
  <c r="T2431" i="24"/>
  <c r="P2431" i="24"/>
  <c r="L2431" i="24"/>
  <c r="F2431" i="24"/>
  <c r="B2431" i="24"/>
  <c r="R2430" i="24"/>
  <c r="N2430" i="24"/>
  <c r="H2430" i="24"/>
  <c r="D2430" i="24"/>
  <c r="T2429" i="24"/>
  <c r="P2429" i="24"/>
  <c r="L2429" i="24"/>
  <c r="F2429" i="24"/>
  <c r="B2429" i="24"/>
  <c r="R2428" i="24"/>
  <c r="N2428" i="24"/>
  <c r="H2428" i="24"/>
  <c r="D2428" i="24"/>
  <c r="T2427" i="24"/>
  <c r="P2427" i="24"/>
  <c r="L2427" i="24"/>
  <c r="F2427" i="24"/>
  <c r="B2427" i="24"/>
  <c r="R2426" i="24"/>
  <c r="N2426" i="24"/>
  <c r="H2426" i="24"/>
  <c r="D2426" i="24"/>
  <c r="T2425" i="24"/>
  <c r="P2425" i="24"/>
  <c r="L2425" i="24"/>
  <c r="F2425" i="24"/>
  <c r="B2425" i="24"/>
  <c r="R2424" i="24"/>
  <c r="N2424" i="24"/>
  <c r="H2424" i="24"/>
  <c r="D2424" i="24"/>
  <c r="T2423" i="24"/>
  <c r="P2423" i="24"/>
  <c r="L2423" i="24"/>
  <c r="F2423" i="24"/>
  <c r="B2423" i="24"/>
  <c r="R2422" i="24"/>
  <c r="N2422" i="24"/>
  <c r="H2422" i="24"/>
  <c r="D2422" i="24"/>
  <c r="T2421" i="24"/>
  <c r="P2421" i="24"/>
  <c r="L2421" i="24"/>
  <c r="F2421" i="24"/>
  <c r="B2421" i="24"/>
  <c r="R2420" i="24"/>
  <c r="N2420" i="24"/>
  <c r="H2420" i="24"/>
  <c r="D2420" i="24"/>
  <c r="T2419" i="24"/>
  <c r="P2419" i="24"/>
  <c r="L2419" i="24"/>
  <c r="F2419" i="24"/>
  <c r="B2419" i="24"/>
  <c r="R2418" i="24"/>
  <c r="N2418" i="24"/>
  <c r="H2418" i="24"/>
  <c r="D2418" i="24"/>
  <c r="T2417" i="24"/>
  <c r="P2417" i="24"/>
  <c r="L2417" i="24"/>
  <c r="F2417" i="24"/>
  <c r="B2417" i="24"/>
  <c r="R2416" i="24"/>
  <c r="N2416" i="24"/>
  <c r="H2416" i="24"/>
  <c r="D2416" i="24"/>
  <c r="T2415" i="24"/>
  <c r="P2415" i="24"/>
  <c r="L2415" i="24"/>
  <c r="F2415" i="24"/>
  <c r="B2415" i="24"/>
  <c r="R2414" i="24"/>
  <c r="N2414" i="24"/>
  <c r="H2414" i="24"/>
  <c r="D2414" i="24"/>
  <c r="T2413" i="24"/>
  <c r="P2413" i="24"/>
  <c r="L2413" i="24"/>
  <c r="F2413" i="24"/>
  <c r="B2413" i="24"/>
  <c r="R2412" i="24"/>
  <c r="N2412" i="24"/>
  <c r="H2412" i="24"/>
  <c r="D2412" i="24"/>
  <c r="T2411" i="24"/>
  <c r="P2411" i="24"/>
  <c r="R2410" i="24"/>
  <c r="T2409" i="24"/>
  <c r="B2409" i="24"/>
  <c r="D2408" i="24"/>
  <c r="F2407" i="24"/>
  <c r="H2406" i="24"/>
  <c r="L2405" i="24"/>
  <c r="N2404" i="24"/>
  <c r="T2403" i="24"/>
  <c r="O2403" i="24"/>
  <c r="K2403" i="24"/>
  <c r="E2403" i="24"/>
  <c r="A2403" i="24"/>
  <c r="Q2402" i="24"/>
  <c r="M2402" i="24"/>
  <c r="G2402" i="24"/>
  <c r="C2402" i="24"/>
  <c r="S2401" i="24"/>
  <c r="O2401" i="24"/>
  <c r="K2401" i="24"/>
  <c r="E2401" i="24"/>
  <c r="A2401" i="24"/>
  <c r="Q2400" i="24"/>
  <c r="M2400" i="24"/>
  <c r="G2400" i="24"/>
  <c r="C2400" i="24"/>
  <c r="S2399" i="24"/>
  <c r="O2399" i="24"/>
  <c r="K2399" i="24"/>
  <c r="E2399" i="24"/>
  <c r="A2399" i="24"/>
  <c r="Q2398" i="24"/>
  <c r="M2398" i="24"/>
  <c r="G2398" i="24"/>
  <c r="C2398" i="24"/>
  <c r="S2397" i="24"/>
  <c r="O2397" i="24"/>
  <c r="K2397" i="24"/>
  <c r="E2397" i="24"/>
  <c r="A2397" i="24"/>
  <c r="Q2396" i="24"/>
  <c r="M2396" i="24"/>
  <c r="G2396" i="24"/>
  <c r="C2396" i="24"/>
  <c r="S2395" i="24"/>
  <c r="O2395" i="24"/>
  <c r="K2395" i="24"/>
  <c r="E2395" i="24"/>
  <c r="A2395" i="24"/>
  <c r="Q2394" i="24"/>
  <c r="M2394" i="24"/>
  <c r="G2394" i="24"/>
  <c r="C2394" i="24"/>
  <c r="S2393" i="24"/>
  <c r="O2393" i="24"/>
  <c r="K2393" i="24"/>
  <c r="E2393" i="24"/>
  <c r="A2393" i="24"/>
  <c r="Q2392" i="24"/>
  <c r="M2392" i="24"/>
  <c r="G2392" i="24"/>
  <c r="C2392" i="24"/>
  <c r="S2391" i="24"/>
  <c r="O2391" i="24"/>
  <c r="K2391" i="24"/>
  <c r="E2391" i="24"/>
  <c r="A2391" i="24"/>
  <c r="Q2390" i="24"/>
  <c r="M2390" i="24"/>
  <c r="G2390" i="24"/>
  <c r="C2390" i="24"/>
  <c r="S2389" i="24"/>
  <c r="O2389" i="24"/>
  <c r="K2389" i="24"/>
  <c r="E2389" i="24"/>
  <c r="A2389" i="24"/>
  <c r="Q2388" i="24"/>
  <c r="M2388" i="24"/>
  <c r="G2388" i="24"/>
  <c r="C2388" i="24"/>
  <c r="S2387" i="24"/>
  <c r="O2387" i="24"/>
  <c r="K2387" i="24"/>
  <c r="E2387" i="24"/>
  <c r="A2387" i="24"/>
  <c r="Q2386" i="24"/>
  <c r="M2386" i="24"/>
  <c r="G2386" i="24"/>
  <c r="C2386" i="24"/>
  <c r="S2385" i="24"/>
  <c r="O2385" i="24"/>
  <c r="K2385" i="24"/>
  <c r="E2385" i="24"/>
  <c r="A2385" i="24"/>
  <c r="Q2384" i="24"/>
  <c r="M2384" i="24"/>
  <c r="G2384" i="24"/>
  <c r="C2384" i="24"/>
  <c r="S2383" i="24"/>
  <c r="O2383" i="24"/>
  <c r="K2383" i="24"/>
  <c r="E2383" i="24"/>
  <c r="A2383" i="24"/>
  <c r="Q2382" i="24"/>
  <c r="M2382" i="24"/>
  <c r="G2382" i="24"/>
  <c r="C2382" i="24"/>
  <c r="S2381" i="24"/>
  <c r="O2381" i="24"/>
  <c r="K2381" i="24"/>
  <c r="E2381" i="24"/>
  <c r="A2381" i="24"/>
  <c r="Q2380" i="24"/>
  <c r="M2380" i="24"/>
  <c r="G2380" i="24"/>
  <c r="C2380" i="24"/>
  <c r="S2379" i="24"/>
  <c r="O2379" i="24"/>
  <c r="K2379" i="24"/>
  <c r="E2379" i="24"/>
  <c r="A2379" i="24"/>
  <c r="Q2378" i="24"/>
  <c r="M2378" i="24"/>
  <c r="G2378" i="24"/>
  <c r="C2378" i="24"/>
  <c r="S2377" i="24"/>
  <c r="O2377" i="24"/>
  <c r="K2377" i="24"/>
  <c r="E2377" i="24"/>
  <c r="A2377" i="24"/>
  <c r="Q2376" i="24"/>
  <c r="M2376" i="24"/>
  <c r="G2376" i="24"/>
  <c r="C2376" i="24"/>
  <c r="S2375" i="24"/>
  <c r="O2375" i="24"/>
  <c r="K2375" i="24"/>
  <c r="E2375" i="24"/>
  <c r="A2375" i="24"/>
  <c r="Q2374" i="24"/>
  <c r="M2374" i="24"/>
  <c r="G2374" i="24"/>
  <c r="C2374" i="24"/>
  <c r="S2373" i="24"/>
  <c r="O2373" i="24"/>
  <c r="K2373" i="24"/>
  <c r="E2373" i="24"/>
  <c r="A2373" i="24"/>
  <c r="Q2372" i="24"/>
  <c r="M2372" i="24"/>
  <c r="G2372" i="24"/>
  <c r="C2372" i="24"/>
  <c r="S2371" i="24"/>
  <c r="O2371" i="24"/>
  <c r="K2371" i="24"/>
  <c r="E2371" i="24"/>
  <c r="A2371" i="24"/>
  <c r="Q2370" i="24"/>
  <c r="M2370" i="24"/>
  <c r="G2370" i="24"/>
  <c r="C2370" i="24"/>
  <c r="S2369" i="24"/>
  <c r="O2369" i="24"/>
  <c r="K2369" i="24"/>
  <c r="E2369" i="24"/>
  <c r="A2369" i="24"/>
  <c r="Q2368" i="24"/>
  <c r="M2368" i="24"/>
  <c r="G2368" i="24"/>
  <c r="C2368" i="24"/>
  <c r="S2367" i="24"/>
  <c r="O2367" i="24"/>
  <c r="K2367" i="24"/>
  <c r="E2367" i="24"/>
  <c r="A2367" i="24"/>
  <c r="Q2366" i="24"/>
  <c r="M2366" i="24"/>
  <c r="G2366" i="24"/>
  <c r="C2366" i="24"/>
  <c r="S2365" i="24"/>
  <c r="O2365" i="24"/>
  <c r="K2365" i="24"/>
  <c r="E2365" i="24"/>
  <c r="A2365" i="24"/>
  <c r="Q2364" i="24"/>
  <c r="M2364" i="24"/>
  <c r="G2364" i="24"/>
  <c r="C2364" i="24"/>
  <c r="S2363" i="24"/>
  <c r="O2363" i="24"/>
  <c r="K2363" i="24"/>
  <c r="E2363" i="24"/>
  <c r="A2363" i="24"/>
  <c r="Q2362" i="24"/>
  <c r="M2362" i="24"/>
  <c r="G2362" i="24"/>
  <c r="C2362" i="24"/>
  <c r="S2361" i="24"/>
  <c r="O2361" i="24"/>
  <c r="K2361" i="24"/>
  <c r="E2361" i="24"/>
  <c r="A2361" i="24"/>
  <c r="Q2360" i="24"/>
  <c r="M2360" i="24"/>
  <c r="G2360" i="24"/>
  <c r="C2360" i="24"/>
  <c r="S2359" i="24"/>
  <c r="O2359" i="24"/>
  <c r="K2359" i="24"/>
  <c r="E2359" i="24"/>
  <c r="A2359" i="24"/>
  <c r="Q2358" i="24"/>
  <c r="M2358" i="24"/>
  <c r="G2358" i="24"/>
  <c r="C2358" i="24"/>
  <c r="S2357" i="24"/>
  <c r="O2357" i="24"/>
  <c r="K2357" i="24"/>
  <c r="E2357" i="24"/>
  <c r="A2357" i="24"/>
  <c r="Q2356" i="24"/>
  <c r="M2356" i="24"/>
  <c r="G2356" i="24"/>
  <c r="C2356" i="24"/>
  <c r="S2355" i="24"/>
  <c r="O2355" i="24"/>
  <c r="K2355" i="24"/>
  <c r="E2355" i="24"/>
  <c r="A2355" i="24"/>
  <c r="Q2354" i="24"/>
  <c r="M2354" i="24"/>
  <c r="G2354" i="24"/>
  <c r="C2354" i="24"/>
  <c r="S2353" i="24"/>
  <c r="O2353" i="24"/>
  <c r="K2353" i="24"/>
  <c r="E2353" i="24"/>
  <c r="A2353" i="24"/>
  <c r="Q2352" i="24"/>
  <c r="M2352" i="24"/>
  <c r="G2352" i="24"/>
  <c r="C2352" i="24"/>
  <c r="S2351" i="24"/>
  <c r="O2351" i="24"/>
  <c r="K2351" i="24"/>
  <c r="E2351" i="24"/>
  <c r="A2351" i="24"/>
  <c r="Q2350" i="24"/>
  <c r="M2350" i="24"/>
  <c r="G2350" i="24"/>
  <c r="C2350" i="24"/>
  <c r="S2349" i="24"/>
  <c r="O2349" i="24"/>
  <c r="K2349" i="24"/>
  <c r="E2349" i="24"/>
  <c r="A2349" i="24"/>
  <c r="Q2348" i="24"/>
  <c r="M2348" i="24"/>
  <c r="G2348" i="24"/>
  <c r="C2348" i="24"/>
  <c r="S2347" i="24"/>
  <c r="O2347" i="24"/>
  <c r="K2347" i="24"/>
  <c r="E2347" i="24"/>
  <c r="A2347" i="24"/>
  <c r="Q2346" i="24"/>
  <c r="M2346" i="24"/>
  <c r="G2346" i="24"/>
  <c r="C2346" i="24"/>
  <c r="S2345" i="24"/>
  <c r="O2345" i="24"/>
  <c r="K2345" i="24"/>
  <c r="E2345" i="24"/>
  <c r="A2345" i="24"/>
  <c r="Q2344" i="24"/>
  <c r="M2344" i="24"/>
  <c r="G2344" i="24"/>
  <c r="C2344" i="24"/>
  <c r="S2343" i="24"/>
  <c r="O2343" i="24"/>
  <c r="K2343" i="24"/>
  <c r="E2343" i="24"/>
  <c r="A2343" i="24"/>
  <c r="Q2342" i="24"/>
  <c r="M2342" i="24"/>
  <c r="G2342" i="24"/>
  <c r="C2342" i="24"/>
  <c r="S2341" i="24"/>
  <c r="O2341" i="24"/>
  <c r="K2341" i="24"/>
  <c r="E2341" i="24"/>
  <c r="A2341" i="24"/>
  <c r="Q2340" i="24"/>
  <c r="M2340" i="24"/>
  <c r="G2340" i="24"/>
  <c r="C2340" i="24"/>
  <c r="S2339" i="24"/>
  <c r="O2339" i="24"/>
  <c r="K2339" i="24"/>
  <c r="E2339" i="24"/>
  <c r="A2339" i="24"/>
  <c r="Q2338" i="24"/>
  <c r="M2338" i="24"/>
  <c r="G2338" i="24"/>
  <c r="C2338" i="24"/>
  <c r="S2337" i="24"/>
  <c r="O2337" i="24"/>
  <c r="K2337" i="24"/>
  <c r="E2337" i="24"/>
  <c r="A2337" i="24"/>
  <c r="Q2336" i="24"/>
  <c r="M2336" i="24"/>
  <c r="G2336" i="24"/>
  <c r="C2336" i="24"/>
  <c r="S2335" i="24"/>
  <c r="O2335" i="24"/>
  <c r="K2335" i="24"/>
  <c r="E2335" i="24"/>
  <c r="A2335" i="24"/>
  <c r="Q2334" i="24"/>
  <c r="M2334" i="24"/>
  <c r="G2334" i="24"/>
  <c r="C2334" i="24"/>
  <c r="S2333" i="24"/>
  <c r="O2333" i="24"/>
  <c r="K2333" i="24"/>
  <c r="E2333" i="24"/>
  <c r="A2333" i="24"/>
  <c r="Q2332" i="24"/>
  <c r="M2332" i="24"/>
  <c r="G2332" i="24"/>
  <c r="C2332" i="24"/>
  <c r="S2331" i="24"/>
  <c r="O2331" i="24"/>
  <c r="K2331" i="24"/>
  <c r="E2331" i="24"/>
  <c r="A2331" i="24"/>
  <c r="Q2330" i="24"/>
  <c r="M2330" i="24"/>
  <c r="G2330" i="24"/>
  <c r="C2330" i="24"/>
  <c r="S2329" i="24"/>
  <c r="O2329" i="24"/>
  <c r="K2329" i="24"/>
  <c r="E2329" i="24"/>
  <c r="A2329" i="24"/>
  <c r="Q2328" i="24"/>
  <c r="M2328" i="24"/>
  <c r="G2328" i="24"/>
  <c r="C2328" i="24"/>
  <c r="S2327" i="24"/>
  <c r="O2327" i="24"/>
  <c r="K2327" i="24"/>
  <c r="E2327" i="24"/>
  <c r="A2327" i="24"/>
  <c r="Q2326" i="24"/>
  <c r="M2326" i="24"/>
  <c r="G2326" i="24"/>
  <c r="C2326" i="24"/>
  <c r="S2325" i="24"/>
  <c r="O2325" i="24"/>
  <c r="K2325" i="24"/>
  <c r="E2325" i="24"/>
  <c r="A2325" i="24"/>
  <c r="Q2324" i="24"/>
  <c r="M2324" i="24"/>
  <c r="G2324" i="24"/>
  <c r="C2324" i="24"/>
  <c r="S2323" i="24"/>
  <c r="O2323" i="24"/>
  <c r="K2323" i="24"/>
  <c r="E2323" i="24"/>
  <c r="A2323" i="24"/>
  <c r="Q2322" i="24"/>
  <c r="M2322" i="24"/>
  <c r="G2322" i="24"/>
  <c r="C2322" i="24"/>
  <c r="S2321" i="24"/>
  <c r="O2321" i="24"/>
  <c r="K2321" i="24"/>
  <c r="E2321" i="24"/>
  <c r="A2321" i="24"/>
  <c r="Q2320" i="24"/>
  <c r="M2320" i="24"/>
  <c r="G2320" i="24"/>
  <c r="C2320" i="24"/>
  <c r="S2319" i="24"/>
  <c r="O2319" i="24"/>
  <c r="K2319" i="24"/>
  <c r="E2319" i="24"/>
  <c r="A2319" i="24"/>
  <c r="Q2318" i="24"/>
  <c r="M2318" i="24"/>
  <c r="G2318" i="24"/>
  <c r="C2318" i="24"/>
  <c r="S2317" i="24"/>
  <c r="O2317" i="24"/>
  <c r="K2317" i="24"/>
  <c r="E2317" i="24"/>
  <c r="A2317" i="24"/>
  <c r="Q2316" i="24"/>
  <c r="M2316" i="24"/>
  <c r="G2316" i="24"/>
  <c r="C2316" i="24"/>
  <c r="S2315" i="24"/>
  <c r="O2315" i="24"/>
  <c r="K2315" i="24"/>
  <c r="E2315" i="24"/>
  <c r="A2315" i="24"/>
  <c r="Q2314" i="24"/>
  <c r="M2314" i="24"/>
  <c r="G2314" i="24"/>
  <c r="C2314" i="24"/>
  <c r="S2313" i="24"/>
  <c r="O2313" i="24"/>
  <c r="K2313" i="24"/>
  <c r="E2313" i="24"/>
  <c r="A2313" i="24"/>
  <c r="Q2312" i="24"/>
  <c r="M2312" i="24"/>
  <c r="G2312" i="24"/>
  <c r="C2312" i="24"/>
  <c r="S2311" i="24"/>
  <c r="O2311" i="24"/>
  <c r="K2311" i="24"/>
  <c r="E2311" i="24"/>
  <c r="A2311" i="24"/>
  <c r="Q2310" i="24"/>
  <c r="M2310" i="24"/>
  <c r="G2310" i="24"/>
  <c r="C2310" i="24"/>
  <c r="S2309" i="24"/>
  <c r="O2309" i="24"/>
  <c r="K2309" i="24"/>
  <c r="E2309" i="24"/>
  <c r="A2309" i="24"/>
  <c r="Q2308" i="24"/>
  <c r="M2308" i="24"/>
  <c r="G2308" i="24"/>
  <c r="C2308" i="24"/>
  <c r="S2307" i="24"/>
  <c r="O2307" i="24"/>
  <c r="K2307" i="24"/>
  <c r="E2307" i="24"/>
  <c r="A2307" i="24"/>
  <c r="Q2306" i="24"/>
  <c r="M2306" i="24"/>
  <c r="G2306" i="24"/>
  <c r="C2306" i="24"/>
  <c r="S2305" i="24"/>
  <c r="O2305" i="24"/>
  <c r="K2305" i="24"/>
  <c r="E2305" i="24"/>
  <c r="A2305" i="24"/>
  <c r="Q2304" i="24"/>
  <c r="M2304" i="24"/>
  <c r="G2304" i="24"/>
  <c r="C2304" i="24"/>
  <c r="S2303" i="24"/>
  <c r="O2303" i="24"/>
  <c r="K2303" i="24"/>
  <c r="E2303" i="24"/>
  <c r="A2303" i="24"/>
  <c r="Q2302" i="24"/>
  <c r="M2302" i="24"/>
  <c r="G2302" i="24"/>
  <c r="C2302" i="24"/>
  <c r="S2301" i="24"/>
  <c r="O2301" i="24"/>
  <c r="K2301" i="24"/>
  <c r="E2301" i="24"/>
  <c r="A2301" i="24"/>
  <c r="Q2300" i="24"/>
  <c r="M2300" i="24"/>
  <c r="G2300" i="24"/>
  <c r="C2300" i="24"/>
  <c r="S2299" i="24"/>
  <c r="O2299" i="24"/>
  <c r="K2299" i="24"/>
  <c r="E2299" i="24"/>
  <c r="A2299" i="24"/>
  <c r="Q2298" i="24"/>
  <c r="M2298" i="24"/>
  <c r="G2298" i="24"/>
  <c r="C2298" i="24"/>
  <c r="S2297" i="24"/>
  <c r="O2297" i="24"/>
  <c r="K2297" i="24"/>
  <c r="E2297" i="24"/>
  <c r="A2297" i="24"/>
  <c r="Q2296" i="24"/>
  <c r="M2296" i="24"/>
  <c r="G2296" i="24"/>
  <c r="C2296" i="24"/>
  <c r="S2295" i="24"/>
  <c r="O2295" i="24"/>
  <c r="K2295" i="24"/>
  <c r="E2295" i="24"/>
  <c r="A2295" i="24"/>
  <c r="Q2294" i="24"/>
  <c r="M2294" i="24"/>
  <c r="G2294" i="24"/>
  <c r="C2294" i="24"/>
  <c r="S2293" i="24"/>
  <c r="O2293" i="24"/>
  <c r="K2293" i="24"/>
  <c r="E2293" i="24"/>
  <c r="A2293" i="24"/>
  <c r="Q2292" i="24"/>
  <c r="M2292" i="24"/>
  <c r="G2292" i="24"/>
  <c r="C2292" i="24"/>
  <c r="S2291" i="24"/>
  <c r="L2411" i="24"/>
  <c r="N2410" i="24"/>
  <c r="P2409" i="24"/>
  <c r="R2408" i="24"/>
  <c r="T2407" i="24"/>
  <c r="B2407" i="24"/>
  <c r="D2406" i="24"/>
  <c r="F2405" i="24"/>
  <c r="H2404" i="24"/>
  <c r="R2403" i="24"/>
  <c r="N2403" i="24"/>
  <c r="H2403" i="24"/>
  <c r="D2403" i="24"/>
  <c r="T2402" i="24"/>
  <c r="P2402" i="24"/>
  <c r="L2402" i="24"/>
  <c r="F2402" i="24"/>
  <c r="B2402" i="24"/>
  <c r="R2401" i="24"/>
  <c r="N2401" i="24"/>
  <c r="H2401" i="24"/>
  <c r="D2401" i="24"/>
  <c r="T2400" i="24"/>
  <c r="P2400" i="24"/>
  <c r="L2400" i="24"/>
  <c r="F2400" i="24"/>
  <c r="B2400" i="24"/>
  <c r="R2399" i="24"/>
  <c r="N2399" i="24"/>
  <c r="H2399" i="24"/>
  <c r="D2399" i="24"/>
  <c r="T2398" i="24"/>
  <c r="P2398" i="24"/>
  <c r="L2398" i="24"/>
  <c r="F2398" i="24"/>
  <c r="B2398" i="24"/>
  <c r="R2397" i="24"/>
  <c r="N2397" i="24"/>
  <c r="H2397" i="24"/>
  <c r="D2397" i="24"/>
  <c r="T2396" i="24"/>
  <c r="P2396" i="24"/>
  <c r="L2396" i="24"/>
  <c r="F2396" i="24"/>
  <c r="B2396" i="24"/>
  <c r="R2395" i="24"/>
  <c r="N2395" i="24"/>
  <c r="H2395" i="24"/>
  <c r="D2395" i="24"/>
  <c r="T2394" i="24"/>
  <c r="P2394" i="24"/>
  <c r="L2394" i="24"/>
  <c r="F2394" i="24"/>
  <c r="B2394" i="24"/>
  <c r="R2393" i="24"/>
  <c r="N2393" i="24"/>
  <c r="H2393" i="24"/>
  <c r="D2393" i="24"/>
  <c r="T2392" i="24"/>
  <c r="P2392" i="24"/>
  <c r="L2392" i="24"/>
  <c r="F2392" i="24"/>
  <c r="B2392" i="24"/>
  <c r="R2391" i="24"/>
  <c r="N2391" i="24"/>
  <c r="H2391" i="24"/>
  <c r="D2391" i="24"/>
  <c r="T2390" i="24"/>
  <c r="P2390" i="24"/>
  <c r="L2390" i="24"/>
  <c r="F2390" i="24"/>
  <c r="B2390" i="24"/>
  <c r="R2389" i="24"/>
  <c r="N2389" i="24"/>
  <c r="H2389" i="24"/>
  <c r="D2389" i="24"/>
  <c r="T2388" i="24"/>
  <c r="P2388" i="24"/>
  <c r="L2388" i="24"/>
  <c r="F2388" i="24"/>
  <c r="B2388" i="24"/>
  <c r="R2387" i="24"/>
  <c r="N2387" i="24"/>
  <c r="H2387" i="24"/>
  <c r="D2387" i="24"/>
  <c r="T2386" i="24"/>
  <c r="P2386" i="24"/>
  <c r="L2386" i="24"/>
  <c r="F2386" i="24"/>
  <c r="B2386" i="24"/>
  <c r="R2385" i="24"/>
  <c r="N2385" i="24"/>
  <c r="H2385" i="24"/>
  <c r="D2385" i="24"/>
  <c r="T2384" i="24"/>
  <c r="P2384" i="24"/>
  <c r="L2384" i="24"/>
  <c r="F2384" i="24"/>
  <c r="B2384" i="24"/>
  <c r="R2383" i="24"/>
  <c r="N2383" i="24"/>
  <c r="H2383" i="24"/>
  <c r="D2383" i="24"/>
  <c r="T2382" i="24"/>
  <c r="P2382" i="24"/>
  <c r="L2382" i="24"/>
  <c r="F2382" i="24"/>
  <c r="B2382" i="24"/>
  <c r="R2381" i="24"/>
  <c r="N2381" i="24"/>
  <c r="H2381" i="24"/>
  <c r="D2381" i="24"/>
  <c r="T2380" i="24"/>
  <c r="P2380" i="24"/>
  <c r="L2380" i="24"/>
  <c r="F2380" i="24"/>
  <c r="B2380" i="24"/>
  <c r="R2379" i="24"/>
  <c r="N2379" i="24"/>
  <c r="H2379" i="24"/>
  <c r="D2379" i="24"/>
  <c r="T2378" i="24"/>
  <c r="P2378" i="24"/>
  <c r="L2378" i="24"/>
  <c r="F2378" i="24"/>
  <c r="B2378" i="24"/>
  <c r="R2377" i="24"/>
  <c r="N2377" i="24"/>
  <c r="H2377" i="24"/>
  <c r="D2377" i="24"/>
  <c r="T2376" i="24"/>
  <c r="P2376" i="24"/>
  <c r="L2376" i="24"/>
  <c r="F2376" i="24"/>
  <c r="B2376" i="24"/>
  <c r="R2375" i="24"/>
  <c r="N2375" i="24"/>
  <c r="H2375" i="24"/>
  <c r="D2375" i="24"/>
  <c r="T2374" i="24"/>
  <c r="P2374" i="24"/>
  <c r="L2374" i="24"/>
  <c r="F2374" i="24"/>
  <c r="B2374" i="24"/>
  <c r="R2373" i="24"/>
  <c r="N2373" i="24"/>
  <c r="H2373" i="24"/>
  <c r="D2373" i="24"/>
  <c r="T2372" i="24"/>
  <c r="P2372" i="24"/>
  <c r="L2372" i="24"/>
  <c r="F2372" i="24"/>
  <c r="B2372" i="24"/>
  <c r="R2371" i="24"/>
  <c r="N2371" i="24"/>
  <c r="H2371" i="24"/>
  <c r="D2371" i="24"/>
  <c r="T2370" i="24"/>
  <c r="P2370" i="24"/>
  <c r="L2370" i="24"/>
  <c r="F2370" i="24"/>
  <c r="B2370" i="24"/>
  <c r="R2369" i="24"/>
  <c r="N2369" i="24"/>
  <c r="H2369" i="24"/>
  <c r="D2369" i="24"/>
  <c r="T2368" i="24"/>
  <c r="P2368" i="24"/>
  <c r="L2368" i="24"/>
  <c r="F2368" i="24"/>
  <c r="B2368" i="24"/>
  <c r="R2367" i="24"/>
  <c r="N2367" i="24"/>
  <c r="H2367" i="24"/>
  <c r="D2367" i="24"/>
  <c r="T2366" i="24"/>
  <c r="P2366" i="24"/>
  <c r="L2366" i="24"/>
  <c r="F2366" i="24"/>
  <c r="B2366" i="24"/>
  <c r="R2365" i="24"/>
  <c r="N2365" i="24"/>
  <c r="H2365" i="24"/>
  <c r="D2365" i="24"/>
  <c r="T2364" i="24"/>
  <c r="P2364" i="24"/>
  <c r="L2364" i="24"/>
  <c r="F2364" i="24"/>
  <c r="B2364" i="24"/>
  <c r="R2363" i="24"/>
  <c r="N2363" i="24"/>
  <c r="H2363" i="24"/>
  <c r="D2363" i="24"/>
  <c r="T2362" i="24"/>
  <c r="F2411" i="24"/>
  <c r="H2410" i="24"/>
  <c r="L2409" i="24"/>
  <c r="N2408" i="24"/>
  <c r="P2407" i="24"/>
  <c r="R2406" i="24"/>
  <c r="T2405" i="24"/>
  <c r="B2405" i="24"/>
  <c r="D2404" i="24"/>
  <c r="Q2403" i="24"/>
  <c r="M2403" i="24"/>
  <c r="G2403" i="24"/>
  <c r="C2403" i="24"/>
  <c r="S2402" i="24"/>
  <c r="O2402" i="24"/>
  <c r="K2402" i="24"/>
  <c r="E2402" i="24"/>
  <c r="A2402" i="24"/>
  <c r="Q2401" i="24"/>
  <c r="M2401" i="24"/>
  <c r="G2401" i="24"/>
  <c r="C2401" i="24"/>
  <c r="S2400" i="24"/>
  <c r="O2400" i="24"/>
  <c r="K2400" i="24"/>
  <c r="E2400" i="24"/>
  <c r="A2400" i="24"/>
  <c r="Q2399" i="24"/>
  <c r="M2399" i="24"/>
  <c r="G2399" i="24"/>
  <c r="C2399" i="24"/>
  <c r="S2398" i="24"/>
  <c r="O2398" i="24"/>
  <c r="K2398" i="24"/>
  <c r="E2398" i="24"/>
  <c r="A2398" i="24"/>
  <c r="Q2397" i="24"/>
  <c r="M2397" i="24"/>
  <c r="G2397" i="24"/>
  <c r="C2397" i="24"/>
  <c r="S2396" i="24"/>
  <c r="O2396" i="24"/>
  <c r="K2396" i="24"/>
  <c r="E2396" i="24"/>
  <c r="A2396" i="24"/>
  <c r="Q2395" i="24"/>
  <c r="M2395" i="24"/>
  <c r="G2395" i="24"/>
  <c r="C2395" i="24"/>
  <c r="S2394" i="24"/>
  <c r="O2394" i="24"/>
  <c r="K2394" i="24"/>
  <c r="E2394" i="24"/>
  <c r="A2394" i="24"/>
  <c r="Q2393" i="24"/>
  <c r="M2393" i="24"/>
  <c r="G2393" i="24"/>
  <c r="C2393" i="24"/>
  <c r="S2392" i="24"/>
  <c r="O2392" i="24"/>
  <c r="K2392" i="24"/>
  <c r="E2392" i="24"/>
  <c r="A2392" i="24"/>
  <c r="Q2391" i="24"/>
  <c r="M2391" i="24"/>
  <c r="G2391" i="24"/>
  <c r="C2391" i="24"/>
  <c r="S2390" i="24"/>
  <c r="O2390" i="24"/>
  <c r="K2390" i="24"/>
  <c r="E2390" i="24"/>
  <c r="A2390" i="24"/>
  <c r="Q2389" i="24"/>
  <c r="M2389" i="24"/>
  <c r="G2389" i="24"/>
  <c r="C2389" i="24"/>
  <c r="S2388" i="24"/>
  <c r="O2388" i="24"/>
  <c r="K2388" i="24"/>
  <c r="E2388" i="24"/>
  <c r="A2388" i="24"/>
  <c r="Q2387" i="24"/>
  <c r="M2387" i="24"/>
  <c r="G2387" i="24"/>
  <c r="C2387" i="24"/>
  <c r="S2386" i="24"/>
  <c r="O2386" i="24"/>
  <c r="K2386" i="24"/>
  <c r="E2386" i="24"/>
  <c r="A2386" i="24"/>
  <c r="Q2385" i="24"/>
  <c r="M2385" i="24"/>
  <c r="G2385" i="24"/>
  <c r="C2385" i="24"/>
  <c r="S2384" i="24"/>
  <c r="O2384" i="24"/>
  <c r="K2384" i="24"/>
  <c r="E2384" i="24"/>
  <c r="A2384" i="24"/>
  <c r="Q2383" i="24"/>
  <c r="M2383" i="24"/>
  <c r="G2383" i="24"/>
  <c r="C2383" i="24"/>
  <c r="S2382" i="24"/>
  <c r="O2382" i="24"/>
  <c r="K2382" i="24"/>
  <c r="E2382" i="24"/>
  <c r="A2382" i="24"/>
  <c r="Q2381" i="24"/>
  <c r="M2381" i="24"/>
  <c r="G2381" i="24"/>
  <c r="C2381" i="24"/>
  <c r="S2380" i="24"/>
  <c r="O2380" i="24"/>
  <c r="K2380" i="24"/>
  <c r="E2380" i="24"/>
  <c r="A2380" i="24"/>
  <c r="Q2379" i="24"/>
  <c r="M2379" i="24"/>
  <c r="G2379" i="24"/>
  <c r="C2379" i="24"/>
  <c r="S2378" i="24"/>
  <c r="O2378" i="24"/>
  <c r="K2378" i="24"/>
  <c r="E2378" i="24"/>
  <c r="A2378" i="24"/>
  <c r="Q2377" i="24"/>
  <c r="M2377" i="24"/>
  <c r="G2377" i="24"/>
  <c r="C2377" i="24"/>
  <c r="S2376" i="24"/>
  <c r="O2376" i="24"/>
  <c r="K2376" i="24"/>
  <c r="E2376" i="24"/>
  <c r="A2376" i="24"/>
  <c r="Q2375" i="24"/>
  <c r="M2375" i="24"/>
  <c r="G2375" i="24"/>
  <c r="C2375" i="24"/>
  <c r="S2374" i="24"/>
  <c r="O2374" i="24"/>
  <c r="K2374" i="24"/>
  <c r="E2374" i="24"/>
  <c r="A2374" i="24"/>
  <c r="Q2373" i="24"/>
  <c r="M2373" i="24"/>
  <c r="G2373" i="24"/>
  <c r="C2373" i="24"/>
  <c r="S2372" i="24"/>
  <c r="O2372" i="24"/>
  <c r="K2372" i="24"/>
  <c r="E2372" i="24"/>
  <c r="A2372" i="24"/>
  <c r="Q2371" i="24"/>
  <c r="M2371" i="24"/>
  <c r="G2371" i="24"/>
  <c r="C2371" i="24"/>
  <c r="S2370" i="24"/>
  <c r="O2370" i="24"/>
  <c r="K2370" i="24"/>
  <c r="E2370" i="24"/>
  <c r="A2370" i="24"/>
  <c r="Q2369" i="24"/>
  <c r="M2369" i="24"/>
  <c r="G2369" i="24"/>
  <c r="C2369" i="24"/>
  <c r="S2368" i="24"/>
  <c r="O2368" i="24"/>
  <c r="K2368" i="24"/>
  <c r="E2368" i="24"/>
  <c r="A2368" i="24"/>
  <c r="Q2367" i="24"/>
  <c r="M2367" i="24"/>
  <c r="G2367" i="24"/>
  <c r="C2367" i="24"/>
  <c r="S2366" i="24"/>
  <c r="O2366" i="24"/>
  <c r="K2366" i="24"/>
  <c r="E2366" i="24"/>
  <c r="A2366" i="24"/>
  <c r="Q2365" i="24"/>
  <c r="M2365" i="24"/>
  <c r="G2365" i="24"/>
  <c r="C2365" i="24"/>
  <c r="S2364" i="24"/>
  <c r="O2364" i="24"/>
  <c r="K2364" i="24"/>
  <c r="E2364" i="24"/>
  <c r="A2364" i="24"/>
  <c r="Q2363" i="24"/>
  <c r="M2363" i="24"/>
  <c r="G2363" i="24"/>
  <c r="C2363" i="24"/>
  <c r="S2362" i="24"/>
  <c r="O2362" i="24"/>
  <c r="K2362" i="24"/>
  <c r="E2362" i="24"/>
  <c r="A2362" i="24"/>
  <c r="Q2361" i="24"/>
  <c r="M2361" i="24"/>
  <c r="G2361" i="24"/>
  <c r="C2361" i="24"/>
  <c r="S2360" i="24"/>
  <c r="O2360" i="24"/>
  <c r="K2360" i="24"/>
  <c r="E2360" i="24"/>
  <c r="A2360" i="24"/>
  <c r="Q2359" i="24"/>
  <c r="M2359" i="24"/>
  <c r="G2359" i="24"/>
  <c r="C2359" i="24"/>
  <c r="S2358" i="24"/>
  <c r="O2358" i="24"/>
  <c r="K2358" i="24"/>
  <c r="E2358" i="24"/>
  <c r="A2358" i="24"/>
  <c r="Q2357" i="24"/>
  <c r="M2357" i="24"/>
  <c r="G2357" i="24"/>
  <c r="C2357" i="24"/>
  <c r="S2356" i="24"/>
  <c r="O2356" i="24"/>
  <c r="K2356" i="24"/>
  <c r="E2356" i="24"/>
  <c r="A2356" i="24"/>
  <c r="Q2355" i="24"/>
  <c r="M2355" i="24"/>
  <c r="G2355" i="24"/>
  <c r="C2355" i="24"/>
  <c r="S2354" i="24"/>
  <c r="O2354" i="24"/>
  <c r="K2354" i="24"/>
  <c r="E2354" i="24"/>
  <c r="A2354" i="24"/>
  <c r="Q2353" i="24"/>
  <c r="M2353" i="24"/>
  <c r="G2353" i="24"/>
  <c r="C2353" i="24"/>
  <c r="S2352" i="24"/>
  <c r="O2352" i="24"/>
  <c r="K2352" i="24"/>
  <c r="E2352" i="24"/>
  <c r="A2352" i="24"/>
  <c r="Q2351" i="24"/>
  <c r="M2351" i="24"/>
  <c r="G2351" i="24"/>
  <c r="C2351" i="24"/>
  <c r="S2350" i="24"/>
  <c r="O2350" i="24"/>
  <c r="K2350" i="24"/>
  <c r="E2350" i="24"/>
  <c r="A2350" i="24"/>
  <c r="Q2349" i="24"/>
  <c r="M2349" i="24"/>
  <c r="G2349" i="24"/>
  <c r="C2349" i="24"/>
  <c r="S2348" i="24"/>
  <c r="O2348" i="24"/>
  <c r="K2348" i="24"/>
  <c r="E2348" i="24"/>
  <c r="A2348" i="24"/>
  <c r="Q2347" i="24"/>
  <c r="M2347" i="24"/>
  <c r="G2347" i="24"/>
  <c r="C2347" i="24"/>
  <c r="S2346" i="24"/>
  <c r="O2346" i="24"/>
  <c r="K2346" i="24"/>
  <c r="E2346" i="24"/>
  <c r="A2346" i="24"/>
  <c r="Q2345" i="24"/>
  <c r="M2345" i="24"/>
  <c r="G2345" i="24"/>
  <c r="C2345" i="24"/>
  <c r="S2344" i="24"/>
  <c r="O2344" i="24"/>
  <c r="K2344" i="24"/>
  <c r="E2344" i="24"/>
  <c r="A2344" i="24"/>
  <c r="Q2343" i="24"/>
  <c r="M2343" i="24"/>
  <c r="G2343" i="24"/>
  <c r="C2343" i="24"/>
  <c r="S2342" i="24"/>
  <c r="O2342" i="24"/>
  <c r="K2342" i="24"/>
  <c r="E2342" i="24"/>
  <c r="A2342" i="24"/>
  <c r="Q2341" i="24"/>
  <c r="M2341" i="24"/>
  <c r="G2341" i="24"/>
  <c r="C2341" i="24"/>
  <c r="S2340" i="24"/>
  <c r="O2340" i="24"/>
  <c r="K2340" i="24"/>
  <c r="E2340" i="24"/>
  <c r="A2340" i="24"/>
  <c r="Q2339" i="24"/>
  <c r="M2339" i="24"/>
  <c r="G2339" i="24"/>
  <c r="C2339" i="24"/>
  <c r="S2338" i="24"/>
  <c r="O2338" i="24"/>
  <c r="K2338" i="24"/>
  <c r="E2338" i="24"/>
  <c r="A2338" i="24"/>
  <c r="Q2337" i="24"/>
  <c r="M2337" i="24"/>
  <c r="G2337" i="24"/>
  <c r="C2337" i="24"/>
  <c r="S2336" i="24"/>
  <c r="O2336" i="24"/>
  <c r="K2336" i="24"/>
  <c r="E2336" i="24"/>
  <c r="A2336" i="24"/>
  <c r="Q2335" i="24"/>
  <c r="M2335" i="24"/>
  <c r="G2335" i="24"/>
  <c r="C2335" i="24"/>
  <c r="S2334" i="24"/>
  <c r="O2334" i="24"/>
  <c r="K2334" i="24"/>
  <c r="E2334" i="24"/>
  <c r="A2334" i="24"/>
  <c r="Q2333" i="24"/>
  <c r="M2333" i="24"/>
  <c r="G2333" i="24"/>
  <c r="C2333" i="24"/>
  <c r="S2332" i="24"/>
  <c r="O2332" i="24"/>
  <c r="K2332" i="24"/>
  <c r="E2332" i="24"/>
  <c r="A2332" i="24"/>
  <c r="Q2331" i="24"/>
  <c r="M2331" i="24"/>
  <c r="G2331" i="24"/>
  <c r="C2331" i="24"/>
  <c r="S2330" i="24"/>
  <c r="O2330" i="24"/>
  <c r="K2330" i="24"/>
  <c r="E2330" i="24"/>
  <c r="A2330" i="24"/>
  <c r="Q2329" i="24"/>
  <c r="M2329" i="24"/>
  <c r="G2329" i="24"/>
  <c r="C2329" i="24"/>
  <c r="S2328" i="24"/>
  <c r="O2328" i="24"/>
  <c r="K2328" i="24"/>
  <c r="E2328" i="24"/>
  <c r="A2328" i="24"/>
  <c r="Q2327" i="24"/>
  <c r="M2327" i="24"/>
  <c r="G2327" i="24"/>
  <c r="C2327" i="24"/>
  <c r="S2326" i="24"/>
  <c r="O2326" i="24"/>
  <c r="K2326" i="24"/>
  <c r="E2326" i="24"/>
  <c r="A2326" i="24"/>
  <c r="Q2325" i="24"/>
  <c r="M2325" i="24"/>
  <c r="G2325" i="24"/>
  <c r="C2325" i="24"/>
  <c r="S2324" i="24"/>
  <c r="O2324" i="24"/>
  <c r="K2324" i="24"/>
  <c r="E2324" i="24"/>
  <c r="A2324" i="24"/>
  <c r="Q2323" i="24"/>
  <c r="M2323" i="24"/>
  <c r="G2323" i="24"/>
  <c r="C2323" i="24"/>
  <c r="S2322" i="24"/>
  <c r="O2322" i="24"/>
  <c r="K2322" i="24"/>
  <c r="E2322" i="24"/>
  <c r="A2322" i="24"/>
  <c r="Q2321" i="24"/>
  <c r="M2321" i="24"/>
  <c r="G2321" i="24"/>
  <c r="C2321" i="24"/>
  <c r="S2320" i="24"/>
  <c r="O2320" i="24"/>
  <c r="K2320" i="24"/>
  <c r="E2320" i="24"/>
  <c r="A2320" i="24"/>
  <c r="Q2319" i="24"/>
  <c r="M2319" i="24"/>
  <c r="G2319" i="24"/>
  <c r="C2319" i="24"/>
  <c r="S2318" i="24"/>
  <c r="O2318" i="24"/>
  <c r="K2318" i="24"/>
  <c r="E2318" i="24"/>
  <c r="A2318" i="24"/>
  <c r="Q2317" i="24"/>
  <c r="M2317" i="24"/>
  <c r="G2317" i="24"/>
  <c r="C2317" i="24"/>
  <c r="S2316" i="24"/>
  <c r="O2316" i="24"/>
  <c r="K2316" i="24"/>
  <c r="E2316" i="24"/>
  <c r="A2316" i="24"/>
  <c r="Q2315" i="24"/>
  <c r="M2315" i="24"/>
  <c r="G2315" i="24"/>
  <c r="C2315" i="24"/>
  <c r="S2314" i="24"/>
  <c r="O2314" i="24"/>
  <c r="K2314" i="24"/>
  <c r="E2314" i="24"/>
  <c r="A2314" i="24"/>
  <c r="Q2313" i="24"/>
  <c r="M2313" i="24"/>
  <c r="G2313" i="24"/>
  <c r="C2313" i="24"/>
  <c r="S2312" i="24"/>
  <c r="O2312" i="24"/>
  <c r="K2312" i="24"/>
  <c r="E2312" i="24"/>
  <c r="A2312" i="24"/>
  <c r="Q2311" i="24"/>
  <c r="M2311" i="24"/>
  <c r="G2311" i="24"/>
  <c r="C2311" i="24"/>
  <c r="S2310" i="24"/>
  <c r="O2310" i="24"/>
  <c r="K2310" i="24"/>
  <c r="E2310" i="24"/>
  <c r="A2310" i="24"/>
  <c r="Q2309" i="24"/>
  <c r="M2309" i="24"/>
  <c r="G2309" i="24"/>
  <c r="C2309" i="24"/>
  <c r="S2308" i="24"/>
  <c r="O2308" i="24"/>
  <c r="K2308" i="24"/>
  <c r="E2308" i="24"/>
  <c r="A2308" i="24"/>
  <c r="Q2307" i="24"/>
  <c r="M2307" i="24"/>
  <c r="G2307" i="24"/>
  <c r="C2307" i="24"/>
  <c r="S2306" i="24"/>
  <c r="O2306" i="24"/>
  <c r="K2306" i="24"/>
  <c r="E2306" i="24"/>
  <c r="A2306" i="24"/>
  <c r="Q2305" i="24"/>
  <c r="M2305" i="24"/>
  <c r="G2305" i="24"/>
  <c r="C2305" i="24"/>
  <c r="S2304" i="24"/>
  <c r="O2304" i="24"/>
  <c r="K2304" i="24"/>
  <c r="E2304" i="24"/>
  <c r="A2304" i="24"/>
  <c r="Q2303" i="24"/>
  <c r="M2303" i="24"/>
  <c r="G2303" i="24"/>
  <c r="C2303" i="24"/>
  <c r="S2302" i="24"/>
  <c r="O2302" i="24"/>
  <c r="K2302" i="24"/>
  <c r="E2302" i="24"/>
  <c r="A2302" i="24"/>
  <c r="Q2301" i="24"/>
  <c r="M2301" i="24"/>
  <c r="G2301" i="24"/>
  <c r="C2301" i="24"/>
  <c r="S2300" i="24"/>
  <c r="O2300" i="24"/>
  <c r="K2300" i="24"/>
  <c r="E2300" i="24"/>
  <c r="A2300" i="24"/>
  <c r="Q2299" i="24"/>
  <c r="M2299" i="24"/>
  <c r="G2299" i="24"/>
  <c r="C2299" i="24"/>
  <c r="S2298" i="24"/>
  <c r="O2298" i="24"/>
  <c r="K2298" i="24"/>
  <c r="E2298" i="24"/>
  <c r="A2298" i="24"/>
  <c r="Q2297" i="24"/>
  <c r="M2297" i="24"/>
  <c r="G2297" i="24"/>
  <c r="C2297" i="24"/>
  <c r="S2296" i="24"/>
  <c r="O2296" i="24"/>
  <c r="K2296" i="24"/>
  <c r="E2296" i="24"/>
  <c r="A2296" i="24"/>
  <c r="Q2295" i="24"/>
  <c r="M2295" i="24"/>
  <c r="G2295" i="24"/>
  <c r="C2295" i="24"/>
  <c r="S2294" i="24"/>
  <c r="O2294" i="24"/>
  <c r="K2294" i="24"/>
  <c r="E2294" i="24"/>
  <c r="A2294" i="24"/>
  <c r="Q2293" i="24"/>
  <c r="M2293" i="24"/>
  <c r="G2293" i="24"/>
  <c r="C2293" i="24"/>
  <c r="S2292" i="24"/>
  <c r="O2292" i="24"/>
  <c r="K2292" i="24"/>
  <c r="E2292" i="24"/>
  <c r="A2292" i="24"/>
  <c r="B2411" i="24"/>
  <c r="D2410" i="24"/>
  <c r="F2409" i="24"/>
  <c r="H2408" i="24"/>
  <c r="L2407" i="24"/>
  <c r="N2406" i="24"/>
  <c r="P2405" i="24"/>
  <c r="R2404" i="24"/>
  <c r="A2404" i="24"/>
  <c r="P2403" i="24"/>
  <c r="L2403" i="24"/>
  <c r="F2403" i="24"/>
  <c r="B2403" i="24"/>
  <c r="R2402" i="24"/>
  <c r="N2402" i="24"/>
  <c r="H2402" i="24"/>
  <c r="D2402" i="24"/>
  <c r="T2401" i="24"/>
  <c r="P2401" i="24"/>
  <c r="L2401" i="24"/>
  <c r="F2401" i="24"/>
  <c r="B2401" i="24"/>
  <c r="R2400" i="24"/>
  <c r="N2400" i="24"/>
  <c r="H2400" i="24"/>
  <c r="D2400" i="24"/>
  <c r="T2399" i="24"/>
  <c r="P2399" i="24"/>
  <c r="L2399" i="24"/>
  <c r="F2399" i="24"/>
  <c r="B2399" i="24"/>
  <c r="R2398" i="24"/>
  <c r="N2398" i="24"/>
  <c r="H2398" i="24"/>
  <c r="D2398" i="24"/>
  <c r="T2397" i="24"/>
  <c r="P2397" i="24"/>
  <c r="L2397" i="24"/>
  <c r="F2397" i="24"/>
  <c r="B2397" i="24"/>
  <c r="R2396" i="24"/>
  <c r="N2396" i="24"/>
  <c r="H2396" i="24"/>
  <c r="D2396" i="24"/>
  <c r="T2395" i="24"/>
  <c r="P2395" i="24"/>
  <c r="L2395" i="24"/>
  <c r="F2395" i="24"/>
  <c r="B2395" i="24"/>
  <c r="R2394" i="24"/>
  <c r="N2394" i="24"/>
  <c r="H2394" i="24"/>
  <c r="D2394" i="24"/>
  <c r="T2393" i="24"/>
  <c r="P2393" i="24"/>
  <c r="L2393" i="24"/>
  <c r="F2393" i="24"/>
  <c r="B2393" i="24"/>
  <c r="R2392" i="24"/>
  <c r="N2392" i="24"/>
  <c r="H2392" i="24"/>
  <c r="D2392" i="24"/>
  <c r="T2391" i="24"/>
  <c r="P2391" i="24"/>
  <c r="L2391" i="24"/>
  <c r="F2391" i="24"/>
  <c r="B2391" i="24"/>
  <c r="R2390" i="24"/>
  <c r="N2390" i="24"/>
  <c r="H2390" i="24"/>
  <c r="D2390" i="24"/>
  <c r="T2389" i="24"/>
  <c r="P2389" i="24"/>
  <c r="L2389" i="24"/>
  <c r="F2389" i="24"/>
  <c r="B2389" i="24"/>
  <c r="R2388" i="24"/>
  <c r="N2388" i="24"/>
  <c r="H2388" i="24"/>
  <c r="D2388" i="24"/>
  <c r="T2387" i="24"/>
  <c r="P2387" i="24"/>
  <c r="L2387" i="24"/>
  <c r="F2387" i="24"/>
  <c r="B2387" i="24"/>
  <c r="R2386" i="24"/>
  <c r="N2386" i="24"/>
  <c r="H2386" i="24"/>
  <c r="D2386" i="24"/>
  <c r="T2385" i="24"/>
  <c r="P2385" i="24"/>
  <c r="L2385" i="24"/>
  <c r="F2385" i="24"/>
  <c r="B2385" i="24"/>
  <c r="R2384" i="24"/>
  <c r="N2384" i="24"/>
  <c r="H2384" i="24"/>
  <c r="D2384" i="24"/>
  <c r="T2383" i="24"/>
  <c r="P2383" i="24"/>
  <c r="L2383" i="24"/>
  <c r="F2383" i="24"/>
  <c r="B2383" i="24"/>
  <c r="R2382" i="24"/>
  <c r="N2382" i="24"/>
  <c r="H2382" i="24"/>
  <c r="D2382" i="24"/>
  <c r="T2381" i="24"/>
  <c r="P2381" i="24"/>
  <c r="L2381" i="24"/>
  <c r="F2381" i="24"/>
  <c r="B2381" i="24"/>
  <c r="R2380" i="24"/>
  <c r="N2380" i="24"/>
  <c r="H2380" i="24"/>
  <c r="D2380" i="24"/>
  <c r="T2379" i="24"/>
  <c r="P2379" i="24"/>
  <c r="L2379" i="24"/>
  <c r="F2379" i="24"/>
  <c r="B2379" i="24"/>
  <c r="R2378" i="24"/>
  <c r="N2378" i="24"/>
  <c r="H2378" i="24"/>
  <c r="D2378" i="24"/>
  <c r="T2377" i="24"/>
  <c r="P2377" i="24"/>
  <c r="L2377" i="24"/>
  <c r="F2377" i="24"/>
  <c r="B2377" i="24"/>
  <c r="R2376" i="24"/>
  <c r="N2376" i="24"/>
  <c r="H2376" i="24"/>
  <c r="D2376" i="24"/>
  <c r="T2375" i="24"/>
  <c r="P2375" i="24"/>
  <c r="L2375" i="24"/>
  <c r="F2375" i="24"/>
  <c r="B2375" i="24"/>
  <c r="R2374" i="24"/>
  <c r="N2374" i="24"/>
  <c r="H2374" i="24"/>
  <c r="D2374" i="24"/>
  <c r="T2373" i="24"/>
  <c r="P2373" i="24"/>
  <c r="L2373" i="24"/>
  <c r="F2373" i="24"/>
  <c r="B2373" i="24"/>
  <c r="R2372" i="24"/>
  <c r="N2372" i="24"/>
  <c r="H2372" i="24"/>
  <c r="D2372" i="24"/>
  <c r="T2371" i="24"/>
  <c r="P2371" i="24"/>
  <c r="L2371" i="24"/>
  <c r="F2371" i="24"/>
  <c r="B2371" i="24"/>
  <c r="R2370" i="24"/>
  <c r="N2370" i="24"/>
  <c r="H2370" i="24"/>
  <c r="D2370" i="24"/>
  <c r="T2369" i="24"/>
  <c r="P2369" i="24"/>
  <c r="L2369" i="24"/>
  <c r="F2369" i="24"/>
  <c r="B2369" i="24"/>
  <c r="R2368" i="24"/>
  <c r="N2368" i="24"/>
  <c r="H2368" i="24"/>
  <c r="D2368" i="24"/>
  <c r="T2367" i="24"/>
  <c r="P2367" i="24"/>
  <c r="L2367" i="24"/>
  <c r="F2367" i="24"/>
  <c r="B2367" i="24"/>
  <c r="R2366" i="24"/>
  <c r="N2366" i="24"/>
  <c r="H2366" i="24"/>
  <c r="D2366" i="24"/>
  <c r="T2365" i="24"/>
  <c r="P2365" i="24"/>
  <c r="L2365" i="24"/>
  <c r="F2365" i="24"/>
  <c r="B2365" i="24"/>
  <c r="R2364" i="24"/>
  <c r="N2364" i="24"/>
  <c r="H2364" i="24"/>
  <c r="D2364" i="24"/>
  <c r="T2363" i="24"/>
  <c r="P2363" i="24"/>
  <c r="L2363" i="24"/>
  <c r="F2363" i="24"/>
  <c r="B2363" i="24"/>
  <c r="R2362" i="24"/>
  <c r="N2362" i="24"/>
  <c r="H2362" i="24"/>
  <c r="D2362" i="24"/>
  <c r="T2361" i="24"/>
  <c r="P2361" i="24"/>
  <c r="L2361" i="24"/>
  <c r="F2361" i="24"/>
  <c r="B2361" i="24"/>
  <c r="R2360" i="24"/>
  <c r="N2360" i="24"/>
  <c r="H2360" i="24"/>
  <c r="D2360" i="24"/>
  <c r="T2359" i="24"/>
  <c r="P2359" i="24"/>
  <c r="L2359" i="24"/>
  <c r="F2359" i="24"/>
  <c r="B2359" i="24"/>
  <c r="R2358" i="24"/>
  <c r="N2358" i="24"/>
  <c r="H2358" i="24"/>
  <c r="D2358" i="24"/>
  <c r="T2357" i="24"/>
  <c r="P2357" i="24"/>
  <c r="L2357" i="24"/>
  <c r="F2357" i="24"/>
  <c r="B2357" i="24"/>
  <c r="R2356" i="24"/>
  <c r="N2356" i="24"/>
  <c r="H2356" i="24"/>
  <c r="D2356" i="24"/>
  <c r="T2355" i="24"/>
  <c r="P2355" i="24"/>
  <c r="L2355" i="24"/>
  <c r="F2355" i="24"/>
  <c r="B2355" i="24"/>
  <c r="R2354" i="24"/>
  <c r="N2354" i="24"/>
  <c r="H2354" i="24"/>
  <c r="D2354" i="24"/>
  <c r="T2353" i="24"/>
  <c r="P2353" i="24"/>
  <c r="L2353" i="24"/>
  <c r="F2353" i="24"/>
  <c r="B2353" i="24"/>
  <c r="R2352" i="24"/>
  <c r="N2352" i="24"/>
  <c r="H2352" i="24"/>
  <c r="D2352" i="24"/>
  <c r="T2351" i="24"/>
  <c r="P2351" i="24"/>
  <c r="L2351" i="24"/>
  <c r="F2351" i="24"/>
  <c r="B2351" i="24"/>
  <c r="R2350" i="24"/>
  <c r="N2350" i="24"/>
  <c r="H2350" i="24"/>
  <c r="D2350" i="24"/>
  <c r="T2349" i="24"/>
  <c r="P2349" i="24"/>
  <c r="L2349" i="24"/>
  <c r="F2349" i="24"/>
  <c r="B2349" i="24"/>
  <c r="R2348" i="24"/>
  <c r="N2348" i="24"/>
  <c r="H2348" i="24"/>
  <c r="D2348" i="24"/>
  <c r="T2347" i="24"/>
  <c r="P2347" i="24"/>
  <c r="L2347" i="24"/>
  <c r="F2347" i="24"/>
  <c r="B2347" i="24"/>
  <c r="R2346" i="24"/>
  <c r="N2346" i="24"/>
  <c r="H2346" i="24"/>
  <c r="D2346" i="24"/>
  <c r="T2345" i="24"/>
  <c r="P2345" i="24"/>
  <c r="L2345" i="24"/>
  <c r="F2345" i="24"/>
  <c r="B2345" i="24"/>
  <c r="R2344" i="24"/>
  <c r="N2344" i="24"/>
  <c r="H2344" i="24"/>
  <c r="D2344" i="24"/>
  <c r="T2343" i="24"/>
  <c r="P2343" i="24"/>
  <c r="L2343" i="24"/>
  <c r="F2343" i="24"/>
  <c r="B2343" i="24"/>
  <c r="R2342" i="24"/>
  <c r="N2342" i="24"/>
  <c r="H2342" i="24"/>
  <c r="D2342" i="24"/>
  <c r="T2341" i="24"/>
  <c r="P2341" i="24"/>
  <c r="L2341" i="24"/>
  <c r="F2341" i="24"/>
  <c r="B2341" i="24"/>
  <c r="R2340" i="24"/>
  <c r="N2340" i="24"/>
  <c r="H2340" i="24"/>
  <c r="D2340" i="24"/>
  <c r="T2339" i="24"/>
  <c r="P2339" i="24"/>
  <c r="L2339" i="24"/>
  <c r="F2339" i="24"/>
  <c r="B2339" i="24"/>
  <c r="R2338" i="24"/>
  <c r="N2338" i="24"/>
  <c r="H2338" i="24"/>
  <c r="D2338" i="24"/>
  <c r="T2337" i="24"/>
  <c r="P2337" i="24"/>
  <c r="L2337" i="24"/>
  <c r="F2337" i="24"/>
  <c r="B2337" i="24"/>
  <c r="R2336" i="24"/>
  <c r="N2336" i="24"/>
  <c r="H2336" i="24"/>
  <c r="D2336" i="24"/>
  <c r="T2335" i="24"/>
  <c r="P2335" i="24"/>
  <c r="L2335" i="24"/>
  <c r="F2335" i="24"/>
  <c r="B2335" i="24"/>
  <c r="R2334" i="24"/>
  <c r="N2334" i="24"/>
  <c r="H2334" i="24"/>
  <c r="D2334" i="24"/>
  <c r="T2333" i="24"/>
  <c r="P2333" i="24"/>
  <c r="L2333" i="24"/>
  <c r="F2333" i="24"/>
  <c r="B2333" i="24"/>
  <c r="R2332" i="24"/>
  <c r="N2332" i="24"/>
  <c r="H2332" i="24"/>
  <c r="D2332" i="24"/>
  <c r="T2331" i="24"/>
  <c r="P2331" i="24"/>
  <c r="L2331" i="24"/>
  <c r="F2331" i="24"/>
  <c r="B2331" i="24"/>
  <c r="R2330" i="24"/>
  <c r="N2330" i="24"/>
  <c r="H2330" i="24"/>
  <c r="D2330" i="24"/>
  <c r="T2329" i="24"/>
  <c r="P2329" i="24"/>
  <c r="L2329" i="24"/>
  <c r="F2329" i="24"/>
  <c r="B2329" i="24"/>
  <c r="R2328" i="24"/>
  <c r="N2328" i="24"/>
  <c r="H2328" i="24"/>
  <c r="D2328" i="24"/>
  <c r="T2327" i="24"/>
  <c r="P2327" i="24"/>
  <c r="L2327" i="24"/>
  <c r="F2327" i="24"/>
  <c r="B2327" i="24"/>
  <c r="R2326" i="24"/>
  <c r="N2326" i="24"/>
  <c r="H2326" i="24"/>
  <c r="D2326" i="24"/>
  <c r="T2325" i="24"/>
  <c r="P2325" i="24"/>
  <c r="L2325" i="24"/>
  <c r="F2325" i="24"/>
  <c r="B2325" i="24"/>
  <c r="R2324" i="24"/>
  <c r="N2324" i="24"/>
  <c r="H2324" i="24"/>
  <c r="D2324" i="24"/>
  <c r="T2323" i="24"/>
  <c r="P2323" i="24"/>
  <c r="L2323" i="24"/>
  <c r="F2323" i="24"/>
  <c r="B2323" i="24"/>
  <c r="R2322" i="24"/>
  <c r="N2322" i="24"/>
  <c r="H2322" i="24"/>
  <c r="D2322" i="24"/>
  <c r="T2321" i="24"/>
  <c r="P2321" i="24"/>
  <c r="L2321" i="24"/>
  <c r="F2321" i="24"/>
  <c r="B2321" i="24"/>
  <c r="R2320" i="24"/>
  <c r="N2320" i="24"/>
  <c r="H2320" i="24"/>
  <c r="D2320" i="24"/>
  <c r="T2319" i="24"/>
  <c r="P2319" i="24"/>
  <c r="L2319" i="24"/>
  <c r="F2319" i="24"/>
  <c r="B2319" i="24"/>
  <c r="R2318" i="24"/>
  <c r="N2318" i="24"/>
  <c r="H2318" i="24"/>
  <c r="D2318" i="24"/>
  <c r="T2317" i="24"/>
  <c r="P2317" i="24"/>
  <c r="L2317" i="24"/>
  <c r="F2317" i="24"/>
  <c r="B2317" i="24"/>
  <c r="R2316" i="24"/>
  <c r="N2316" i="24"/>
  <c r="H2316" i="24"/>
  <c r="D2316" i="24"/>
  <c r="T2315" i="24"/>
  <c r="P2315" i="24"/>
  <c r="L2315" i="24"/>
  <c r="F2315" i="24"/>
  <c r="B2315" i="24"/>
  <c r="R2314" i="24"/>
  <c r="N2314" i="24"/>
  <c r="H2314" i="24"/>
  <c r="D2314" i="24"/>
  <c r="T2313" i="24"/>
  <c r="P2313" i="24"/>
  <c r="L2313" i="24"/>
  <c r="F2313" i="24"/>
  <c r="B2313" i="24"/>
  <c r="R2312" i="24"/>
  <c r="N2312" i="24"/>
  <c r="H2312" i="24"/>
  <c r="D2312" i="24"/>
  <c r="T2311" i="24"/>
  <c r="P2311" i="24"/>
  <c r="L2311" i="24"/>
  <c r="F2311" i="24"/>
  <c r="B2311" i="24"/>
  <c r="R2310" i="24"/>
  <c r="N2310" i="24"/>
  <c r="H2310" i="24"/>
  <c r="D2310" i="24"/>
  <c r="T2309" i="24"/>
  <c r="P2309" i="24"/>
  <c r="L2309" i="24"/>
  <c r="F2309" i="24"/>
  <c r="B2309" i="24"/>
  <c r="R2308" i="24"/>
  <c r="N2308" i="24"/>
  <c r="H2308" i="24"/>
  <c r="D2308" i="24"/>
  <c r="T2307" i="24"/>
  <c r="P2307" i="24"/>
  <c r="L2307" i="24"/>
  <c r="F2307" i="24"/>
  <c r="B2307" i="24"/>
  <c r="R2306" i="24"/>
  <c r="N2306" i="24"/>
  <c r="H2306" i="24"/>
  <c r="D2306" i="24"/>
  <c r="T2305" i="24"/>
  <c r="P2305" i="24"/>
  <c r="L2305" i="24"/>
  <c r="F2305" i="24"/>
  <c r="B2305" i="24"/>
  <c r="R2304" i="24"/>
  <c r="N2304" i="24"/>
  <c r="H2304" i="24"/>
  <c r="D2304" i="24"/>
  <c r="T2303" i="24"/>
  <c r="P2303" i="24"/>
  <c r="L2303" i="24"/>
  <c r="F2303" i="24"/>
  <c r="B2303" i="24"/>
  <c r="R2302" i="24"/>
  <c r="N2302" i="24"/>
  <c r="H2302" i="24"/>
  <c r="D2302" i="24"/>
  <c r="T2301" i="24"/>
  <c r="P2301" i="24"/>
  <c r="L2301" i="24"/>
  <c r="F2301" i="24"/>
  <c r="B2301" i="24"/>
  <c r="R2300" i="24"/>
  <c r="N2300" i="24"/>
  <c r="H2300" i="24"/>
  <c r="D2300" i="24"/>
  <c r="T2299" i="24"/>
  <c r="P2299" i="24"/>
  <c r="L2299" i="24"/>
  <c r="F2299" i="24"/>
  <c r="B2299" i="24"/>
  <c r="R2298" i="24"/>
  <c r="N2298" i="24"/>
  <c r="H2298" i="24"/>
  <c r="D2298" i="24"/>
  <c r="T2297" i="24"/>
  <c r="P2297" i="24"/>
  <c r="L2297" i="24"/>
  <c r="F2297" i="24"/>
  <c r="B2297" i="24"/>
  <c r="R2296" i="24"/>
  <c r="N2296" i="24"/>
  <c r="H2296" i="24"/>
  <c r="D2296" i="24"/>
  <c r="T2295" i="24"/>
  <c r="P2295" i="24"/>
  <c r="L2295" i="24"/>
  <c r="F2295" i="24"/>
  <c r="B2295" i="24"/>
  <c r="R2294" i="24"/>
  <c r="N2294" i="24"/>
  <c r="H2294" i="24"/>
  <c r="D2294" i="24"/>
  <c r="T2293" i="24"/>
  <c r="P2293" i="24"/>
  <c r="L2293" i="24"/>
  <c r="F2293" i="24"/>
  <c r="B2293" i="24"/>
  <c r="R2292" i="24"/>
  <c r="N2292" i="24"/>
  <c r="H2292" i="24"/>
  <c r="P2362" i="24"/>
  <c r="R2361" i="24"/>
  <c r="T2360" i="24"/>
  <c r="B2360" i="24"/>
  <c r="D2359" i="24"/>
  <c r="F2358" i="24"/>
  <c r="H2357" i="24"/>
  <c r="L2356" i="24"/>
  <c r="N2355" i="24"/>
  <c r="P2354" i="24"/>
  <c r="R2353" i="24"/>
  <c r="T2352" i="24"/>
  <c r="B2352" i="24"/>
  <c r="D2351" i="24"/>
  <c r="F2350" i="24"/>
  <c r="H2349" i="24"/>
  <c r="L2348" i="24"/>
  <c r="N2347" i="24"/>
  <c r="P2346" i="24"/>
  <c r="R2345" i="24"/>
  <c r="T2344" i="24"/>
  <c r="B2344" i="24"/>
  <c r="D2343" i="24"/>
  <c r="F2342" i="24"/>
  <c r="H2341" i="24"/>
  <c r="L2340" i="24"/>
  <c r="N2339" i="24"/>
  <c r="P2338" i="24"/>
  <c r="R2337" i="24"/>
  <c r="T2336" i="24"/>
  <c r="B2336" i="24"/>
  <c r="D2335" i="24"/>
  <c r="F2334" i="24"/>
  <c r="H2333" i="24"/>
  <c r="L2332" i="24"/>
  <c r="N2331" i="24"/>
  <c r="P2330" i="24"/>
  <c r="R2329" i="24"/>
  <c r="T2328" i="24"/>
  <c r="B2328" i="24"/>
  <c r="D2327" i="24"/>
  <c r="F2326" i="24"/>
  <c r="H2325" i="24"/>
  <c r="L2324" i="24"/>
  <c r="N2323" i="24"/>
  <c r="P2322" i="24"/>
  <c r="R2321" i="24"/>
  <c r="T2320" i="24"/>
  <c r="B2320" i="24"/>
  <c r="D2319" i="24"/>
  <c r="F2318" i="24"/>
  <c r="H2317" i="24"/>
  <c r="L2316" i="24"/>
  <c r="N2315" i="24"/>
  <c r="P2314" i="24"/>
  <c r="R2313" i="24"/>
  <c r="T2312" i="24"/>
  <c r="B2312" i="24"/>
  <c r="D2311" i="24"/>
  <c r="F2310" i="24"/>
  <c r="H2309" i="24"/>
  <c r="L2308" i="24"/>
  <c r="N2307" i="24"/>
  <c r="P2306" i="24"/>
  <c r="R2305" i="24"/>
  <c r="T2304" i="24"/>
  <c r="B2304" i="24"/>
  <c r="D2303" i="24"/>
  <c r="F2302" i="24"/>
  <c r="H2301" i="24"/>
  <c r="L2300" i="24"/>
  <c r="N2299" i="24"/>
  <c r="P2298" i="24"/>
  <c r="R2297" i="24"/>
  <c r="T2296" i="24"/>
  <c r="B2296" i="24"/>
  <c r="D2295" i="24"/>
  <c r="F2294" i="24"/>
  <c r="H2293" i="24"/>
  <c r="L2292" i="24"/>
  <c r="T2291" i="24"/>
  <c r="O2291" i="24"/>
  <c r="K2291" i="24"/>
  <c r="E2291" i="24"/>
  <c r="A2291" i="24"/>
  <c r="Q2290" i="24"/>
  <c r="M2290" i="24"/>
  <c r="G2290" i="24"/>
  <c r="C2290" i="24"/>
  <c r="S2289" i="24"/>
  <c r="O2289" i="24"/>
  <c r="K2289" i="24"/>
  <c r="E2289" i="24"/>
  <c r="A2289" i="24"/>
  <c r="Q2288" i="24"/>
  <c r="M2288" i="24"/>
  <c r="G2288" i="24"/>
  <c r="C2288" i="24"/>
  <c r="S2287" i="24"/>
  <c r="O2287" i="24"/>
  <c r="K2287" i="24"/>
  <c r="E2287" i="24"/>
  <c r="A2287" i="24"/>
  <c r="Q2286" i="24"/>
  <c r="M2286" i="24"/>
  <c r="G2286" i="24"/>
  <c r="C2286" i="24"/>
  <c r="S2285" i="24"/>
  <c r="O2285" i="24"/>
  <c r="K2285" i="24"/>
  <c r="E2285" i="24"/>
  <c r="A2285" i="24"/>
  <c r="Q2284" i="24"/>
  <c r="M2284" i="24"/>
  <c r="G2284" i="24"/>
  <c r="C2284" i="24"/>
  <c r="S2283" i="24"/>
  <c r="O2283" i="24"/>
  <c r="K2283" i="24"/>
  <c r="E2283" i="24"/>
  <c r="A2283" i="24"/>
  <c r="Q2282" i="24"/>
  <c r="M2282" i="24"/>
  <c r="G2282" i="24"/>
  <c r="C2282" i="24"/>
  <c r="S2281" i="24"/>
  <c r="O2281" i="24"/>
  <c r="K2281" i="24"/>
  <c r="E2281" i="24"/>
  <c r="A2281" i="24"/>
  <c r="Q2280" i="24"/>
  <c r="M2280" i="24"/>
  <c r="G2280" i="24"/>
  <c r="C2280" i="24"/>
  <c r="S2279" i="24"/>
  <c r="O2279" i="24"/>
  <c r="K2279" i="24"/>
  <c r="E2279" i="24"/>
  <c r="A2279" i="24"/>
  <c r="Q2278" i="24"/>
  <c r="M2278" i="24"/>
  <c r="G2278" i="24"/>
  <c r="C2278" i="24"/>
  <c r="S2277" i="24"/>
  <c r="O2277" i="24"/>
  <c r="K2277" i="24"/>
  <c r="E2277" i="24"/>
  <c r="A2277" i="24"/>
  <c r="Q2276" i="24"/>
  <c r="M2276" i="24"/>
  <c r="G2276" i="24"/>
  <c r="C2276" i="24"/>
  <c r="S2275" i="24"/>
  <c r="O2275" i="24"/>
  <c r="K2275" i="24"/>
  <c r="E2275" i="24"/>
  <c r="A2275" i="24"/>
  <c r="Q2274" i="24"/>
  <c r="M2274" i="24"/>
  <c r="G2274" i="24"/>
  <c r="C2274" i="24"/>
  <c r="S2273" i="24"/>
  <c r="O2273" i="24"/>
  <c r="K2273" i="24"/>
  <c r="E2273" i="24"/>
  <c r="A2273" i="24"/>
  <c r="Q2272" i="24"/>
  <c r="M2272" i="24"/>
  <c r="G2272" i="24"/>
  <c r="C2272" i="24"/>
  <c r="S2271" i="24"/>
  <c r="O2271" i="24"/>
  <c r="K2271" i="24"/>
  <c r="E2271" i="24"/>
  <c r="A2271" i="24"/>
  <c r="Q2270" i="24"/>
  <c r="M2270" i="24"/>
  <c r="G2270" i="24"/>
  <c r="C2270" i="24"/>
  <c r="S2269" i="24"/>
  <c r="O2269" i="24"/>
  <c r="K2269" i="24"/>
  <c r="E2269" i="24"/>
  <c r="A2269" i="24"/>
  <c r="Q2268" i="24"/>
  <c r="M2268" i="24"/>
  <c r="G2268" i="24"/>
  <c r="C2268" i="24"/>
  <c r="S2267" i="24"/>
  <c r="O2267" i="24"/>
  <c r="K2267" i="24"/>
  <c r="E2267" i="24"/>
  <c r="A2267" i="24"/>
  <c r="Q2266" i="24"/>
  <c r="M2266" i="24"/>
  <c r="G2266" i="24"/>
  <c r="C2266" i="24"/>
  <c r="S2265" i="24"/>
  <c r="O2265" i="24"/>
  <c r="K2265" i="24"/>
  <c r="E2265" i="24"/>
  <c r="A2265" i="24"/>
  <c r="Q2264" i="24"/>
  <c r="M2264" i="24"/>
  <c r="G2264" i="24"/>
  <c r="C2264" i="24"/>
  <c r="S2263" i="24"/>
  <c r="O2263" i="24"/>
  <c r="K2263" i="24"/>
  <c r="E2263" i="24"/>
  <c r="A2263" i="24"/>
  <c r="Q2262" i="24"/>
  <c r="M2262" i="24"/>
  <c r="G2262" i="24"/>
  <c r="C2262" i="24"/>
  <c r="S2261" i="24"/>
  <c r="O2261" i="24"/>
  <c r="K2261" i="24"/>
  <c r="E2261" i="24"/>
  <c r="A2261" i="24"/>
  <c r="Q2260" i="24"/>
  <c r="M2260" i="24"/>
  <c r="G2260" i="24"/>
  <c r="C2260" i="24"/>
  <c r="S2259" i="24"/>
  <c r="O2259" i="24"/>
  <c r="K2259" i="24"/>
  <c r="E2259" i="24"/>
  <c r="A2259" i="24"/>
  <c r="Q2258" i="24"/>
  <c r="M2258" i="24"/>
  <c r="G2258" i="24"/>
  <c r="C2258" i="24"/>
  <c r="S2257" i="24"/>
  <c r="O2257" i="24"/>
  <c r="K2257" i="24"/>
  <c r="E2257" i="24"/>
  <c r="A2257" i="24"/>
  <c r="Q2256" i="24"/>
  <c r="M2256" i="24"/>
  <c r="G2256" i="24"/>
  <c r="C2256" i="24"/>
  <c r="S2255" i="24"/>
  <c r="O2255" i="24"/>
  <c r="K2255" i="24"/>
  <c r="E2255" i="24"/>
  <c r="A2255" i="24"/>
  <c r="Q2254" i="24"/>
  <c r="M2254" i="24"/>
  <c r="G2254" i="24"/>
  <c r="C2254" i="24"/>
  <c r="S2253" i="24"/>
  <c r="O2253" i="24"/>
  <c r="K2253" i="24"/>
  <c r="E2253" i="24"/>
  <c r="A2253" i="24"/>
  <c r="Q2252" i="24"/>
  <c r="M2252" i="24"/>
  <c r="G2252" i="24"/>
  <c r="C2252" i="24"/>
  <c r="S2251" i="24"/>
  <c r="O2251" i="24"/>
  <c r="K2251" i="24"/>
  <c r="E2251" i="24"/>
  <c r="A2251" i="24"/>
  <c r="Q2250" i="24"/>
  <c r="M2250" i="24"/>
  <c r="G2250" i="24"/>
  <c r="C2250" i="24"/>
  <c r="S2249" i="24"/>
  <c r="O2249" i="24"/>
  <c r="K2249" i="24"/>
  <c r="E2249" i="24"/>
  <c r="A2249" i="24"/>
  <c r="Q2248" i="24"/>
  <c r="M2248" i="24"/>
  <c r="G2248" i="24"/>
  <c r="C2248" i="24"/>
  <c r="S2247" i="24"/>
  <c r="O2247" i="24"/>
  <c r="K2247" i="24"/>
  <c r="E2247" i="24"/>
  <c r="A2247" i="24"/>
  <c r="Q2246" i="24"/>
  <c r="M2246" i="24"/>
  <c r="G2246" i="24"/>
  <c r="C2246" i="24"/>
  <c r="S2245" i="24"/>
  <c r="O2245" i="24"/>
  <c r="K2245" i="24"/>
  <c r="E2245" i="24"/>
  <c r="A2245" i="24"/>
  <c r="Q2244" i="24"/>
  <c r="M2244" i="24"/>
  <c r="G2244" i="24"/>
  <c r="C2244" i="24"/>
  <c r="S2243" i="24"/>
  <c r="O2243" i="24"/>
  <c r="K2243" i="24"/>
  <c r="E2243" i="24"/>
  <c r="A2243" i="24"/>
  <c r="Q2242" i="24"/>
  <c r="M2242" i="24"/>
  <c r="G2242" i="24"/>
  <c r="C2242" i="24"/>
  <c r="S2241" i="24"/>
  <c r="O2241" i="24"/>
  <c r="K2241" i="24"/>
  <c r="E2241" i="24"/>
  <c r="A2241" i="24"/>
  <c r="Q2240" i="24"/>
  <c r="M2240" i="24"/>
  <c r="G2240" i="24"/>
  <c r="C2240" i="24"/>
  <c r="S2239" i="24"/>
  <c r="O2239" i="24"/>
  <c r="K2239" i="24"/>
  <c r="E2239" i="24"/>
  <c r="A2239" i="24"/>
  <c r="Q2238" i="24"/>
  <c r="M2238" i="24"/>
  <c r="G2238" i="24"/>
  <c r="C2238" i="24"/>
  <c r="S2237" i="24"/>
  <c r="O2237" i="24"/>
  <c r="K2237" i="24"/>
  <c r="E2237" i="24"/>
  <c r="A2237" i="24"/>
  <c r="Q2236" i="24"/>
  <c r="M2236" i="24"/>
  <c r="G2236" i="24"/>
  <c r="C2236" i="24"/>
  <c r="S2235" i="24"/>
  <c r="O2235" i="24"/>
  <c r="K2235" i="24"/>
  <c r="E2235" i="24"/>
  <c r="A2235" i="24"/>
  <c r="Q2234" i="24"/>
  <c r="M2234" i="24"/>
  <c r="G2234" i="24"/>
  <c r="C2234" i="24"/>
  <c r="S2233" i="24"/>
  <c r="O2233" i="24"/>
  <c r="K2233" i="24"/>
  <c r="E2233" i="24"/>
  <c r="A2233" i="24"/>
  <c r="Q2232" i="24"/>
  <c r="M2232" i="24"/>
  <c r="G2232" i="24"/>
  <c r="C2232" i="24"/>
  <c r="S2231" i="24"/>
  <c r="O2231" i="24"/>
  <c r="K2231" i="24"/>
  <c r="E2231" i="24"/>
  <c r="A2231" i="24"/>
  <c r="Q2230" i="24"/>
  <c r="M2230" i="24"/>
  <c r="G2230" i="24"/>
  <c r="C2230" i="24"/>
  <c r="S2229" i="24"/>
  <c r="O2229" i="24"/>
  <c r="K2229" i="24"/>
  <c r="E2229" i="24"/>
  <c r="A2229" i="24"/>
  <c r="Q2228" i="24"/>
  <c r="M2228" i="24"/>
  <c r="G2228" i="24"/>
  <c r="C2228" i="24"/>
  <c r="S2227" i="24"/>
  <c r="O2227" i="24"/>
  <c r="K2227" i="24"/>
  <c r="E2227" i="24"/>
  <c r="A2227" i="24"/>
  <c r="Q2226" i="24"/>
  <c r="M2226" i="24"/>
  <c r="G2226" i="24"/>
  <c r="C2226" i="24"/>
  <c r="S2225" i="24"/>
  <c r="O2225" i="24"/>
  <c r="K2225" i="24"/>
  <c r="E2225" i="24"/>
  <c r="A2225" i="24"/>
  <c r="Q2224" i="24"/>
  <c r="M2224" i="24"/>
  <c r="G2224" i="24"/>
  <c r="C2224" i="24"/>
  <c r="S2223" i="24"/>
  <c r="O2223" i="24"/>
  <c r="K2223" i="24"/>
  <c r="E2223" i="24"/>
  <c r="A2223" i="24"/>
  <c r="Q2222" i="24"/>
  <c r="M2222" i="24"/>
  <c r="G2222" i="24"/>
  <c r="C2222" i="24"/>
  <c r="S2221" i="24"/>
  <c r="O2221" i="24"/>
  <c r="K2221" i="24"/>
  <c r="E2221" i="24"/>
  <c r="A2221" i="24"/>
  <c r="Q2220" i="24"/>
  <c r="M2220" i="24"/>
  <c r="G2220" i="24"/>
  <c r="C2220" i="24"/>
  <c r="S2219" i="24"/>
  <c r="O2219" i="24"/>
  <c r="K2219" i="24"/>
  <c r="E2219" i="24"/>
  <c r="A2219" i="24"/>
  <c r="Q2218" i="24"/>
  <c r="M2218" i="24"/>
  <c r="G2218" i="24"/>
  <c r="C2218" i="24"/>
  <c r="S2217" i="24"/>
  <c r="O2217" i="24"/>
  <c r="K2217" i="24"/>
  <c r="E2217" i="24"/>
  <c r="A2217" i="24"/>
  <c r="Q2216" i="24"/>
  <c r="M2216" i="24"/>
  <c r="G2216" i="24"/>
  <c r="C2216" i="24"/>
  <c r="S2215" i="24"/>
  <c r="O2215" i="24"/>
  <c r="K2215" i="24"/>
  <c r="E2215" i="24"/>
  <c r="A2215" i="24"/>
  <c r="Q2214" i="24"/>
  <c r="M2214" i="24"/>
  <c r="G2214" i="24"/>
  <c r="C2214" i="24"/>
  <c r="S2213" i="24"/>
  <c r="O2213" i="24"/>
  <c r="K2213" i="24"/>
  <c r="E2213" i="24"/>
  <c r="A2213" i="24"/>
  <c r="Q2212" i="24"/>
  <c r="M2212" i="24"/>
  <c r="G2212" i="24"/>
  <c r="C2212" i="24"/>
  <c r="S2211" i="24"/>
  <c r="O2211" i="24"/>
  <c r="K2211" i="24"/>
  <c r="E2211" i="24"/>
  <c r="A2211" i="24"/>
  <c r="Q2210" i="24"/>
  <c r="M2210" i="24"/>
  <c r="G2210" i="24"/>
  <c r="C2210" i="24"/>
  <c r="S2209" i="24"/>
  <c r="O2209" i="24"/>
  <c r="K2209" i="24"/>
  <c r="E2209" i="24"/>
  <c r="A2209" i="24"/>
  <c r="Q2208" i="24"/>
  <c r="M2208" i="24"/>
  <c r="G2208" i="24"/>
  <c r="C2208" i="24"/>
  <c r="S2207" i="24"/>
  <c r="O2207" i="24"/>
  <c r="K2207" i="24"/>
  <c r="E2207" i="24"/>
  <c r="A2207" i="24"/>
  <c r="Q2206" i="24"/>
  <c r="M2206" i="24"/>
  <c r="G2206" i="24"/>
  <c r="C2206" i="24"/>
  <c r="S2205" i="24"/>
  <c r="O2205" i="24"/>
  <c r="K2205" i="24"/>
  <c r="E2205" i="24"/>
  <c r="A2205" i="24"/>
  <c r="Q2204" i="24"/>
  <c r="M2204" i="24"/>
  <c r="G2204" i="24"/>
  <c r="C2204" i="24"/>
  <c r="S2203" i="24"/>
  <c r="O2203" i="24"/>
  <c r="K2203" i="24"/>
  <c r="E2203" i="24"/>
  <c r="A2203" i="24"/>
  <c r="Q2202" i="24"/>
  <c r="M2202" i="24"/>
  <c r="G2202" i="24"/>
  <c r="C2202" i="24"/>
  <c r="S2201" i="24"/>
  <c r="O2201" i="24"/>
  <c r="K2201" i="24"/>
  <c r="E2201" i="24"/>
  <c r="A2201" i="24"/>
  <c r="Q2200" i="24"/>
  <c r="M2200" i="24"/>
  <c r="G2200" i="24"/>
  <c r="C2200" i="24"/>
  <c r="S2199" i="24"/>
  <c r="O2199" i="24"/>
  <c r="K2199" i="24"/>
  <c r="E2199" i="24"/>
  <c r="A2199" i="24"/>
  <c r="Q2198" i="24"/>
  <c r="M2198" i="24"/>
  <c r="G2198" i="24"/>
  <c r="C2198" i="24"/>
  <c r="S2197" i="24"/>
  <c r="O2197" i="24"/>
  <c r="K2197" i="24"/>
  <c r="E2197" i="24"/>
  <c r="A2197" i="24"/>
  <c r="Q2196" i="24"/>
  <c r="M2196" i="24"/>
  <c r="G2196" i="24"/>
  <c r="C2196" i="24"/>
  <c r="S2195" i="24"/>
  <c r="O2195" i="24"/>
  <c r="K2195" i="24"/>
  <c r="E2195" i="24"/>
  <c r="A2195" i="24"/>
  <c r="Q2194" i="24"/>
  <c r="M2194" i="24"/>
  <c r="G2194" i="24"/>
  <c r="C2194" i="24"/>
  <c r="S2193" i="24"/>
  <c r="O2193" i="24"/>
  <c r="K2193" i="24"/>
  <c r="E2193" i="24"/>
  <c r="A2193" i="24"/>
  <c r="Q2192" i="24"/>
  <c r="M2192" i="24"/>
  <c r="G2192" i="24"/>
  <c r="C2192" i="24"/>
  <c r="S2191" i="24"/>
  <c r="O2191" i="24"/>
  <c r="K2191" i="24"/>
  <c r="E2191" i="24"/>
  <c r="A2191" i="24"/>
  <c r="Q2190" i="24"/>
  <c r="M2190" i="24"/>
  <c r="G2190" i="24"/>
  <c r="C2190" i="24"/>
  <c r="S2189" i="24"/>
  <c r="O2189" i="24"/>
  <c r="K2189" i="24"/>
  <c r="E2189" i="24"/>
  <c r="A2189" i="24"/>
  <c r="Q2188" i="24"/>
  <c r="M2188" i="24"/>
  <c r="G2188" i="24"/>
  <c r="C2188" i="24"/>
  <c r="S2187" i="24"/>
  <c r="O2187" i="24"/>
  <c r="K2187" i="24"/>
  <c r="E2187" i="24"/>
  <c r="A2187" i="24"/>
  <c r="Q2186" i="24"/>
  <c r="M2186" i="24"/>
  <c r="G2186" i="24"/>
  <c r="C2186" i="24"/>
  <c r="S2185" i="24"/>
  <c r="O2185" i="24"/>
  <c r="K2185" i="24"/>
  <c r="E2185" i="24"/>
  <c r="A2185" i="24"/>
  <c r="Q2184" i="24"/>
  <c r="M2184" i="24"/>
  <c r="G2184" i="24"/>
  <c r="C2184" i="24"/>
  <c r="S2183" i="24"/>
  <c r="O2183" i="24"/>
  <c r="K2183" i="24"/>
  <c r="E2183" i="24"/>
  <c r="A2183" i="24"/>
  <c r="Q2182" i="24"/>
  <c r="M2182" i="24"/>
  <c r="G2182" i="24"/>
  <c r="C2182" i="24"/>
  <c r="S2181" i="24"/>
  <c r="O2181" i="24"/>
  <c r="K2181" i="24"/>
  <c r="E2181" i="24"/>
  <c r="A2181" i="24"/>
  <c r="Q2180" i="24"/>
  <c r="M2180" i="24"/>
  <c r="G2180" i="24"/>
  <c r="C2180" i="24"/>
  <c r="S2179" i="24"/>
  <c r="O2179" i="24"/>
  <c r="K2179" i="24"/>
  <c r="E2179" i="24"/>
  <c r="A2179" i="24"/>
  <c r="Q2178" i="24"/>
  <c r="M2178" i="24"/>
  <c r="G2178" i="24"/>
  <c r="C2178" i="24"/>
  <c r="S2177" i="24"/>
  <c r="O2177" i="24"/>
  <c r="K2177" i="24"/>
  <c r="E2177" i="24"/>
  <c r="A2177" i="24"/>
  <c r="Q2176" i="24"/>
  <c r="M2176" i="24"/>
  <c r="G2176" i="24"/>
  <c r="C2176" i="24"/>
  <c r="S2175" i="24"/>
  <c r="O2175" i="24"/>
  <c r="K2175" i="24"/>
  <c r="E2175" i="24"/>
  <c r="A2175" i="24"/>
  <c r="Q2174" i="24"/>
  <c r="M2174" i="24"/>
  <c r="G2174" i="24"/>
  <c r="C2174" i="24"/>
  <c r="S2173" i="24"/>
  <c r="O2173" i="24"/>
  <c r="K2173" i="24"/>
  <c r="E2173" i="24"/>
  <c r="A2173" i="24"/>
  <c r="Q2172" i="24"/>
  <c r="M2172" i="24"/>
  <c r="G2172" i="24"/>
  <c r="C2172" i="24"/>
  <c r="S2171" i="24"/>
  <c r="O2171" i="24"/>
  <c r="K2171" i="24"/>
  <c r="E2171" i="24"/>
  <c r="A2171" i="24"/>
  <c r="Q2170" i="24"/>
  <c r="M2170" i="24"/>
  <c r="G2170" i="24"/>
  <c r="C2170" i="24"/>
  <c r="S2169" i="24"/>
  <c r="O2169" i="24"/>
  <c r="K2169" i="24"/>
  <c r="E2169" i="24"/>
  <c r="A2169" i="24"/>
  <c r="Q2168" i="24"/>
  <c r="M2168" i="24"/>
  <c r="G2168" i="24"/>
  <c r="C2168" i="24"/>
  <c r="S2167" i="24"/>
  <c r="O2167" i="24"/>
  <c r="K2167" i="24"/>
  <c r="E2167" i="24"/>
  <c r="A2167" i="24"/>
  <c r="Q2166" i="24"/>
  <c r="M2166" i="24"/>
  <c r="G2166" i="24"/>
  <c r="C2166" i="24"/>
  <c r="S2165" i="24"/>
  <c r="O2165" i="24"/>
  <c r="K2165" i="24"/>
  <c r="E2165" i="24"/>
  <c r="A2165" i="24"/>
  <c r="Q2164" i="24"/>
  <c r="M2164" i="24"/>
  <c r="G2164" i="24"/>
  <c r="C2164" i="24"/>
  <c r="S2163" i="24"/>
  <c r="O2163" i="24"/>
  <c r="K2163" i="24"/>
  <c r="E2163" i="24"/>
  <c r="A2163" i="24"/>
  <c r="Q2162" i="24"/>
  <c r="M2162" i="24"/>
  <c r="G2162" i="24"/>
  <c r="C2162" i="24"/>
  <c r="S2161" i="24"/>
  <c r="O2161" i="24"/>
  <c r="K2161" i="24"/>
  <c r="E2161" i="24"/>
  <c r="A2161" i="24"/>
  <c r="Q2160" i="24"/>
  <c r="M2160" i="24"/>
  <c r="G2160" i="24"/>
  <c r="C2160" i="24"/>
  <c r="S2159" i="24"/>
  <c r="O2159" i="24"/>
  <c r="K2159" i="24"/>
  <c r="E2159" i="24"/>
  <c r="A2159" i="24"/>
  <c r="Q2158" i="24"/>
  <c r="M2158" i="24"/>
  <c r="G2158" i="24"/>
  <c r="C2158" i="24"/>
  <c r="S2157" i="24"/>
  <c r="O2157" i="24"/>
  <c r="K2157" i="24"/>
  <c r="E2157" i="24"/>
  <c r="A2157" i="24"/>
  <c r="Q2156" i="24"/>
  <c r="M2156" i="24"/>
  <c r="G2156" i="24"/>
  <c r="C2156" i="24"/>
  <c r="S2155" i="24"/>
  <c r="O2155" i="24"/>
  <c r="K2155" i="24"/>
  <c r="E2155" i="24"/>
  <c r="A2155" i="24"/>
  <c r="Q2154" i="24"/>
  <c r="M2154" i="24"/>
  <c r="G2154" i="24"/>
  <c r="C2154" i="24"/>
  <c r="S2153" i="24"/>
  <c r="O2153" i="24"/>
  <c r="K2153" i="24"/>
  <c r="E2153" i="24"/>
  <c r="A2153" i="24"/>
  <c r="Q2152" i="24"/>
  <c r="M2152" i="24"/>
  <c r="G2152" i="24"/>
  <c r="C2152" i="24"/>
  <c r="S2151" i="24"/>
  <c r="O2151" i="24"/>
  <c r="K2151" i="24"/>
  <c r="E2151" i="24"/>
  <c r="A2151" i="24"/>
  <c r="Q2150" i="24"/>
  <c r="M2150" i="24"/>
  <c r="G2150" i="24"/>
  <c r="C2150" i="24"/>
  <c r="S2149" i="24"/>
  <c r="O2149" i="24"/>
  <c r="K2149" i="24"/>
  <c r="E2149" i="24"/>
  <c r="A2149" i="24"/>
  <c r="Q2148" i="24"/>
  <c r="M2148" i="24"/>
  <c r="G2148" i="24"/>
  <c r="C2148" i="24"/>
  <c r="S2147" i="24"/>
  <c r="O2147" i="24"/>
  <c r="K2147" i="24"/>
  <c r="E2147" i="24"/>
  <c r="A2147" i="24"/>
  <c r="Q2146" i="24"/>
  <c r="M2146" i="24"/>
  <c r="G2146" i="24"/>
  <c r="C2146" i="24"/>
  <c r="S2145" i="24"/>
  <c r="O2145" i="24"/>
  <c r="K2145" i="24"/>
  <c r="E2145" i="24"/>
  <c r="A2145" i="24"/>
  <c r="Q2144" i="24"/>
  <c r="M2144" i="24"/>
  <c r="G2144" i="24"/>
  <c r="C2144" i="24"/>
  <c r="S2143" i="24"/>
  <c r="O2143" i="24"/>
  <c r="K2143" i="24"/>
  <c r="E2143" i="24"/>
  <c r="A2143" i="24"/>
  <c r="Q2142" i="24"/>
  <c r="M2142" i="24"/>
  <c r="G2142" i="24"/>
  <c r="C2142" i="24"/>
  <c r="S2141" i="24"/>
  <c r="O2141" i="24"/>
  <c r="K2141" i="24"/>
  <c r="E2141" i="24"/>
  <c r="A2141" i="24"/>
  <c r="Q2140" i="24"/>
  <c r="M2140" i="24"/>
  <c r="G2140" i="24"/>
  <c r="C2140" i="24"/>
  <c r="S2139" i="24"/>
  <c r="O2139" i="24"/>
  <c r="K2139" i="24"/>
  <c r="E2139" i="24"/>
  <c r="A2139" i="24"/>
  <c r="Q2138" i="24"/>
  <c r="M2138" i="24"/>
  <c r="G2138" i="24"/>
  <c r="C2138" i="24"/>
  <c r="S2137" i="24"/>
  <c r="O2137" i="24"/>
  <c r="K2137" i="24"/>
  <c r="E2137" i="24"/>
  <c r="A2137" i="24"/>
  <c r="Q2136" i="24"/>
  <c r="M2136" i="24"/>
  <c r="G2136" i="24"/>
  <c r="C2136" i="24"/>
  <c r="S2135" i="24"/>
  <c r="O2135" i="24"/>
  <c r="K2135" i="24"/>
  <c r="E2135" i="24"/>
  <c r="A2135" i="24"/>
  <c r="Q2134" i="24"/>
  <c r="M2134" i="24"/>
  <c r="G2134" i="24"/>
  <c r="C2134" i="24"/>
  <c r="S2133" i="24"/>
  <c r="O2133" i="24"/>
  <c r="K2133" i="24"/>
  <c r="E2133" i="24"/>
  <c r="A2133" i="24"/>
  <c r="Q2132" i="24"/>
  <c r="M2132" i="24"/>
  <c r="G2132" i="24"/>
  <c r="C2132" i="24"/>
  <c r="S2131" i="24"/>
  <c r="O2131" i="24"/>
  <c r="K2131" i="24"/>
  <c r="E2131" i="24"/>
  <c r="A2131" i="24"/>
  <c r="Q2130" i="24"/>
  <c r="M2130" i="24"/>
  <c r="G2130" i="24"/>
  <c r="C2130" i="24"/>
  <c r="S2129" i="24"/>
  <c r="O2129" i="24"/>
  <c r="K2129" i="24"/>
  <c r="E2129" i="24"/>
  <c r="A2129" i="24"/>
  <c r="Q2128" i="24"/>
  <c r="M2128" i="24"/>
  <c r="G2128" i="24"/>
  <c r="C2128" i="24"/>
  <c r="S2127" i="24"/>
  <c r="O2127" i="24"/>
  <c r="K2127" i="24"/>
  <c r="E2127" i="24"/>
  <c r="A2127" i="24"/>
  <c r="Q2126" i="24"/>
  <c r="M2126" i="24"/>
  <c r="G2126" i="24"/>
  <c r="C2126" i="24"/>
  <c r="S2125" i="24"/>
  <c r="O2125" i="24"/>
  <c r="K2125" i="24"/>
  <c r="E2125" i="24"/>
  <c r="A2125" i="24"/>
  <c r="Q2124" i="24"/>
  <c r="M2124" i="24"/>
  <c r="G2124" i="24"/>
  <c r="C2124" i="24"/>
  <c r="S2123" i="24"/>
  <c r="O2123" i="24"/>
  <c r="K2123" i="24"/>
  <c r="E2123" i="24"/>
  <c r="A2123" i="24"/>
  <c r="Q2122" i="24"/>
  <c r="M2122" i="24"/>
  <c r="G2122" i="24"/>
  <c r="C2122" i="24"/>
  <c r="S2121" i="24"/>
  <c r="O2121" i="24"/>
  <c r="K2121" i="24"/>
  <c r="E2121" i="24"/>
  <c r="A2121" i="24"/>
  <c r="Q2120" i="24"/>
  <c r="M2120" i="24"/>
  <c r="G2120" i="24"/>
  <c r="C2120" i="24"/>
  <c r="S2119" i="24"/>
  <c r="O2119" i="24"/>
  <c r="K2119" i="24"/>
  <c r="E2119" i="24"/>
  <c r="A2119" i="24"/>
  <c r="Q2118" i="24"/>
  <c r="M2118" i="24"/>
  <c r="G2118" i="24"/>
  <c r="C2118" i="24"/>
  <c r="S2117" i="24"/>
  <c r="O2117" i="24"/>
  <c r="K2117" i="24"/>
  <c r="E2117" i="24"/>
  <c r="A2117" i="24"/>
  <c r="Q2116" i="24"/>
  <c r="M2116" i="24"/>
  <c r="G2116" i="24"/>
  <c r="C2116" i="24"/>
  <c r="S2115" i="24"/>
  <c r="O2115" i="24"/>
  <c r="K2115" i="24"/>
  <c r="E2115" i="24"/>
  <c r="A2115" i="24"/>
  <c r="Q2114" i="24"/>
  <c r="M2114" i="24"/>
  <c r="G2114" i="24"/>
  <c r="C2114" i="24"/>
  <c r="S2113" i="24"/>
  <c r="O2113" i="24"/>
  <c r="K2113" i="24"/>
  <c r="E2113" i="24"/>
  <c r="A2113" i="24"/>
  <c r="Q2112" i="24"/>
  <c r="M2112" i="24"/>
  <c r="G2112" i="24"/>
  <c r="C2112" i="24"/>
  <c r="S2111" i="24"/>
  <c r="O2111" i="24"/>
  <c r="K2111" i="24"/>
  <c r="E2111" i="24"/>
  <c r="A2111" i="24"/>
  <c r="Q2110" i="24"/>
  <c r="M2110" i="24"/>
  <c r="G2110" i="24"/>
  <c r="C2110" i="24"/>
  <c r="S2109" i="24"/>
  <c r="O2109" i="24"/>
  <c r="K2109" i="24"/>
  <c r="E2109" i="24"/>
  <c r="A2109" i="24"/>
  <c r="Q2108" i="24"/>
  <c r="M2108" i="24"/>
  <c r="G2108" i="24"/>
  <c r="C2108" i="24"/>
  <c r="S2107" i="24"/>
  <c r="O2107" i="24"/>
  <c r="K2107" i="24"/>
  <c r="E2107" i="24"/>
  <c r="A2107" i="24"/>
  <c r="Q2106" i="24"/>
  <c r="M2106" i="24"/>
  <c r="G2106" i="24"/>
  <c r="C2106" i="24"/>
  <c r="S2105" i="24"/>
  <c r="O2105" i="24"/>
  <c r="K2105" i="24"/>
  <c r="E2105" i="24"/>
  <c r="A2105" i="24"/>
  <c r="Q2104" i="24"/>
  <c r="M2104" i="24"/>
  <c r="G2104" i="24"/>
  <c r="C2104" i="24"/>
  <c r="S2103" i="24"/>
  <c r="O2103" i="24"/>
  <c r="K2103" i="24"/>
  <c r="E2103" i="24"/>
  <c r="A2103" i="24"/>
  <c r="Q2102" i="24"/>
  <c r="M2102" i="24"/>
  <c r="G2102" i="24"/>
  <c r="C2102" i="24"/>
  <c r="S2101" i="24"/>
  <c r="O2101" i="24"/>
  <c r="K2101" i="24"/>
  <c r="E2101" i="24"/>
  <c r="A2101" i="24"/>
  <c r="Q2100" i="24"/>
  <c r="M2100" i="24"/>
  <c r="G2100" i="24"/>
  <c r="C2100" i="24"/>
  <c r="S2099" i="24"/>
  <c r="O2099" i="24"/>
  <c r="K2099" i="24"/>
  <c r="E2099" i="24"/>
  <c r="A2099" i="24"/>
  <c r="Q2098" i="24"/>
  <c r="M2098" i="24"/>
  <c r="G2098" i="24"/>
  <c r="C2098" i="24"/>
  <c r="S2097" i="24"/>
  <c r="O2097" i="24"/>
  <c r="K2097" i="24"/>
  <c r="E2097" i="24"/>
  <c r="A2097" i="24"/>
  <c r="Q2096" i="24"/>
  <c r="M2096" i="24"/>
  <c r="G2096" i="24"/>
  <c r="C2096" i="24"/>
  <c r="S2095" i="24"/>
  <c r="O2095" i="24"/>
  <c r="K2095" i="24"/>
  <c r="E2095" i="24"/>
  <c r="A2095" i="24"/>
  <c r="Q2094" i="24"/>
  <c r="M2094" i="24"/>
  <c r="G2094" i="24"/>
  <c r="C2094" i="24"/>
  <c r="S2093" i="24"/>
  <c r="O2093" i="24"/>
  <c r="K2093" i="24"/>
  <c r="E2093" i="24"/>
  <c r="A2093" i="24"/>
  <c r="Q2092" i="24"/>
  <c r="M2092" i="24"/>
  <c r="G2092" i="24"/>
  <c r="C2092" i="24"/>
  <c r="S2091" i="24"/>
  <c r="O2091" i="24"/>
  <c r="K2091" i="24"/>
  <c r="E2091" i="24"/>
  <c r="A2091" i="24"/>
  <c r="Q2090" i="24"/>
  <c r="M2090" i="24"/>
  <c r="G2090" i="24"/>
  <c r="C2090" i="24"/>
  <c r="S2089" i="24"/>
  <c r="O2089" i="24"/>
  <c r="K2089" i="24"/>
  <c r="E2089" i="24"/>
  <c r="A2089" i="24"/>
  <c r="Q2088" i="24"/>
  <c r="M2088" i="24"/>
  <c r="G2088" i="24"/>
  <c r="C2088" i="24"/>
  <c r="S2087" i="24"/>
  <c r="O2087" i="24"/>
  <c r="K2087" i="24"/>
  <c r="E2087" i="24"/>
  <c r="A2087" i="24"/>
  <c r="Q2086" i="24"/>
  <c r="M2086" i="24"/>
  <c r="G2086" i="24"/>
  <c r="C2086" i="24"/>
  <c r="S2085" i="24"/>
  <c r="O2085" i="24"/>
  <c r="K2085" i="24"/>
  <c r="E2085" i="24"/>
  <c r="A2085" i="24"/>
  <c r="Q2084" i="24"/>
  <c r="M2084" i="24"/>
  <c r="G2084" i="24"/>
  <c r="C2084" i="24"/>
  <c r="S2083" i="24"/>
  <c r="O2083" i="24"/>
  <c r="K2083" i="24"/>
  <c r="E2083" i="24"/>
  <c r="A2083" i="24"/>
  <c r="Q2082" i="24"/>
  <c r="M2082" i="24"/>
  <c r="L2362" i="24"/>
  <c r="N2361" i="24"/>
  <c r="P2360" i="24"/>
  <c r="R2359" i="24"/>
  <c r="T2358" i="24"/>
  <c r="B2358" i="24"/>
  <c r="D2357" i="24"/>
  <c r="F2356" i="24"/>
  <c r="H2355" i="24"/>
  <c r="L2354" i="24"/>
  <c r="N2353" i="24"/>
  <c r="P2352" i="24"/>
  <c r="R2351" i="24"/>
  <c r="T2350" i="24"/>
  <c r="B2350" i="24"/>
  <c r="D2349" i="24"/>
  <c r="F2348" i="24"/>
  <c r="H2347" i="24"/>
  <c r="L2346" i="24"/>
  <c r="N2345" i="24"/>
  <c r="P2344" i="24"/>
  <c r="R2343" i="24"/>
  <c r="T2342" i="24"/>
  <c r="B2342" i="24"/>
  <c r="D2341" i="24"/>
  <c r="F2340" i="24"/>
  <c r="H2339" i="24"/>
  <c r="L2338" i="24"/>
  <c r="N2337" i="24"/>
  <c r="P2336" i="24"/>
  <c r="R2335" i="24"/>
  <c r="T2334" i="24"/>
  <c r="B2334" i="24"/>
  <c r="D2333" i="24"/>
  <c r="F2332" i="24"/>
  <c r="H2331" i="24"/>
  <c r="L2330" i="24"/>
  <c r="N2329" i="24"/>
  <c r="P2328" i="24"/>
  <c r="R2327" i="24"/>
  <c r="T2326" i="24"/>
  <c r="B2326" i="24"/>
  <c r="D2325" i="24"/>
  <c r="F2324" i="24"/>
  <c r="H2323" i="24"/>
  <c r="L2322" i="24"/>
  <c r="N2321" i="24"/>
  <c r="P2320" i="24"/>
  <c r="R2319" i="24"/>
  <c r="T2318" i="24"/>
  <c r="B2318" i="24"/>
  <c r="D2317" i="24"/>
  <c r="F2316" i="24"/>
  <c r="H2315" i="24"/>
  <c r="L2314" i="24"/>
  <c r="N2313" i="24"/>
  <c r="P2312" i="24"/>
  <c r="R2311" i="24"/>
  <c r="T2310" i="24"/>
  <c r="B2310" i="24"/>
  <c r="D2309" i="24"/>
  <c r="F2308" i="24"/>
  <c r="H2307" i="24"/>
  <c r="L2306" i="24"/>
  <c r="N2305" i="24"/>
  <c r="P2304" i="24"/>
  <c r="R2303" i="24"/>
  <c r="T2302" i="24"/>
  <c r="B2302" i="24"/>
  <c r="D2301" i="24"/>
  <c r="F2300" i="24"/>
  <c r="H2299" i="24"/>
  <c r="L2298" i="24"/>
  <c r="N2297" i="24"/>
  <c r="P2296" i="24"/>
  <c r="R2295" i="24"/>
  <c r="T2294" i="24"/>
  <c r="B2294" i="24"/>
  <c r="D2293" i="24"/>
  <c r="F2292" i="24"/>
  <c r="R2291" i="24"/>
  <c r="N2291" i="24"/>
  <c r="H2291" i="24"/>
  <c r="D2291" i="24"/>
  <c r="T2290" i="24"/>
  <c r="P2290" i="24"/>
  <c r="L2290" i="24"/>
  <c r="F2290" i="24"/>
  <c r="B2290" i="24"/>
  <c r="R2289" i="24"/>
  <c r="N2289" i="24"/>
  <c r="H2289" i="24"/>
  <c r="D2289" i="24"/>
  <c r="T2288" i="24"/>
  <c r="P2288" i="24"/>
  <c r="L2288" i="24"/>
  <c r="F2288" i="24"/>
  <c r="B2288" i="24"/>
  <c r="R2287" i="24"/>
  <c r="N2287" i="24"/>
  <c r="H2287" i="24"/>
  <c r="D2287" i="24"/>
  <c r="T2286" i="24"/>
  <c r="P2286" i="24"/>
  <c r="L2286" i="24"/>
  <c r="F2286" i="24"/>
  <c r="B2286" i="24"/>
  <c r="R2285" i="24"/>
  <c r="N2285" i="24"/>
  <c r="H2285" i="24"/>
  <c r="D2285" i="24"/>
  <c r="T2284" i="24"/>
  <c r="P2284" i="24"/>
  <c r="L2284" i="24"/>
  <c r="F2284" i="24"/>
  <c r="B2284" i="24"/>
  <c r="R2283" i="24"/>
  <c r="N2283" i="24"/>
  <c r="H2283" i="24"/>
  <c r="D2283" i="24"/>
  <c r="T2282" i="24"/>
  <c r="P2282" i="24"/>
  <c r="L2282" i="24"/>
  <c r="F2282" i="24"/>
  <c r="B2282" i="24"/>
  <c r="R2281" i="24"/>
  <c r="N2281" i="24"/>
  <c r="H2281" i="24"/>
  <c r="D2281" i="24"/>
  <c r="T2280" i="24"/>
  <c r="P2280" i="24"/>
  <c r="L2280" i="24"/>
  <c r="F2280" i="24"/>
  <c r="B2280" i="24"/>
  <c r="R2279" i="24"/>
  <c r="N2279" i="24"/>
  <c r="H2279" i="24"/>
  <c r="D2279" i="24"/>
  <c r="T2278" i="24"/>
  <c r="P2278" i="24"/>
  <c r="L2278" i="24"/>
  <c r="F2278" i="24"/>
  <c r="B2278" i="24"/>
  <c r="R2277" i="24"/>
  <c r="N2277" i="24"/>
  <c r="H2277" i="24"/>
  <c r="D2277" i="24"/>
  <c r="T2276" i="24"/>
  <c r="P2276" i="24"/>
  <c r="L2276" i="24"/>
  <c r="F2276" i="24"/>
  <c r="B2276" i="24"/>
  <c r="R2275" i="24"/>
  <c r="N2275" i="24"/>
  <c r="H2275" i="24"/>
  <c r="D2275" i="24"/>
  <c r="T2274" i="24"/>
  <c r="P2274" i="24"/>
  <c r="L2274" i="24"/>
  <c r="F2274" i="24"/>
  <c r="B2274" i="24"/>
  <c r="R2273" i="24"/>
  <c r="N2273" i="24"/>
  <c r="H2273" i="24"/>
  <c r="D2273" i="24"/>
  <c r="T2272" i="24"/>
  <c r="P2272" i="24"/>
  <c r="L2272" i="24"/>
  <c r="F2272" i="24"/>
  <c r="B2272" i="24"/>
  <c r="R2271" i="24"/>
  <c r="N2271" i="24"/>
  <c r="H2271" i="24"/>
  <c r="D2271" i="24"/>
  <c r="T2270" i="24"/>
  <c r="P2270" i="24"/>
  <c r="L2270" i="24"/>
  <c r="F2270" i="24"/>
  <c r="B2270" i="24"/>
  <c r="R2269" i="24"/>
  <c r="N2269" i="24"/>
  <c r="H2269" i="24"/>
  <c r="D2269" i="24"/>
  <c r="T2268" i="24"/>
  <c r="P2268" i="24"/>
  <c r="L2268" i="24"/>
  <c r="F2268" i="24"/>
  <c r="B2268" i="24"/>
  <c r="R2267" i="24"/>
  <c r="N2267" i="24"/>
  <c r="H2267" i="24"/>
  <c r="D2267" i="24"/>
  <c r="T2266" i="24"/>
  <c r="P2266" i="24"/>
  <c r="L2266" i="24"/>
  <c r="F2266" i="24"/>
  <c r="B2266" i="24"/>
  <c r="R2265" i="24"/>
  <c r="N2265" i="24"/>
  <c r="H2265" i="24"/>
  <c r="D2265" i="24"/>
  <c r="T2264" i="24"/>
  <c r="P2264" i="24"/>
  <c r="L2264" i="24"/>
  <c r="F2264" i="24"/>
  <c r="B2264" i="24"/>
  <c r="R2263" i="24"/>
  <c r="N2263" i="24"/>
  <c r="H2263" i="24"/>
  <c r="D2263" i="24"/>
  <c r="T2262" i="24"/>
  <c r="P2262" i="24"/>
  <c r="L2262" i="24"/>
  <c r="F2262" i="24"/>
  <c r="B2262" i="24"/>
  <c r="R2261" i="24"/>
  <c r="N2261" i="24"/>
  <c r="H2261" i="24"/>
  <c r="D2261" i="24"/>
  <c r="T2260" i="24"/>
  <c r="P2260" i="24"/>
  <c r="L2260" i="24"/>
  <c r="F2260" i="24"/>
  <c r="B2260" i="24"/>
  <c r="R2259" i="24"/>
  <c r="N2259" i="24"/>
  <c r="H2259" i="24"/>
  <c r="D2259" i="24"/>
  <c r="T2258" i="24"/>
  <c r="P2258" i="24"/>
  <c r="L2258" i="24"/>
  <c r="F2258" i="24"/>
  <c r="B2258" i="24"/>
  <c r="R2257" i="24"/>
  <c r="N2257" i="24"/>
  <c r="H2257" i="24"/>
  <c r="D2257" i="24"/>
  <c r="T2256" i="24"/>
  <c r="P2256" i="24"/>
  <c r="L2256" i="24"/>
  <c r="F2256" i="24"/>
  <c r="B2256" i="24"/>
  <c r="R2255" i="24"/>
  <c r="N2255" i="24"/>
  <c r="H2255" i="24"/>
  <c r="D2255" i="24"/>
  <c r="T2254" i="24"/>
  <c r="P2254" i="24"/>
  <c r="L2254" i="24"/>
  <c r="F2254" i="24"/>
  <c r="B2254" i="24"/>
  <c r="R2253" i="24"/>
  <c r="N2253" i="24"/>
  <c r="H2253" i="24"/>
  <c r="D2253" i="24"/>
  <c r="T2252" i="24"/>
  <c r="P2252" i="24"/>
  <c r="L2252" i="24"/>
  <c r="F2252" i="24"/>
  <c r="B2252" i="24"/>
  <c r="R2251" i="24"/>
  <c r="N2251" i="24"/>
  <c r="H2251" i="24"/>
  <c r="D2251" i="24"/>
  <c r="T2250" i="24"/>
  <c r="P2250" i="24"/>
  <c r="L2250" i="24"/>
  <c r="F2250" i="24"/>
  <c r="B2250" i="24"/>
  <c r="R2249" i="24"/>
  <c r="N2249" i="24"/>
  <c r="H2249" i="24"/>
  <c r="D2249" i="24"/>
  <c r="T2248" i="24"/>
  <c r="P2248" i="24"/>
  <c r="L2248" i="24"/>
  <c r="F2248" i="24"/>
  <c r="B2248" i="24"/>
  <c r="R2247" i="24"/>
  <c r="N2247" i="24"/>
  <c r="H2247" i="24"/>
  <c r="D2247" i="24"/>
  <c r="T2246" i="24"/>
  <c r="P2246" i="24"/>
  <c r="L2246" i="24"/>
  <c r="F2246" i="24"/>
  <c r="B2246" i="24"/>
  <c r="R2245" i="24"/>
  <c r="N2245" i="24"/>
  <c r="H2245" i="24"/>
  <c r="D2245" i="24"/>
  <c r="T2244" i="24"/>
  <c r="P2244" i="24"/>
  <c r="L2244" i="24"/>
  <c r="F2244" i="24"/>
  <c r="B2244" i="24"/>
  <c r="R2243" i="24"/>
  <c r="N2243" i="24"/>
  <c r="H2243" i="24"/>
  <c r="D2243" i="24"/>
  <c r="T2242" i="24"/>
  <c r="P2242" i="24"/>
  <c r="L2242" i="24"/>
  <c r="F2242" i="24"/>
  <c r="B2242" i="24"/>
  <c r="R2241" i="24"/>
  <c r="N2241" i="24"/>
  <c r="H2241" i="24"/>
  <c r="D2241" i="24"/>
  <c r="T2240" i="24"/>
  <c r="P2240" i="24"/>
  <c r="L2240" i="24"/>
  <c r="F2240" i="24"/>
  <c r="B2240" i="24"/>
  <c r="R2239" i="24"/>
  <c r="N2239" i="24"/>
  <c r="H2239" i="24"/>
  <c r="D2239" i="24"/>
  <c r="T2238" i="24"/>
  <c r="P2238" i="24"/>
  <c r="L2238" i="24"/>
  <c r="F2238" i="24"/>
  <c r="B2238" i="24"/>
  <c r="R2237" i="24"/>
  <c r="N2237" i="24"/>
  <c r="H2237" i="24"/>
  <c r="D2237" i="24"/>
  <c r="T2236" i="24"/>
  <c r="P2236" i="24"/>
  <c r="L2236" i="24"/>
  <c r="F2236" i="24"/>
  <c r="B2236" i="24"/>
  <c r="R2235" i="24"/>
  <c r="N2235" i="24"/>
  <c r="H2235" i="24"/>
  <c r="D2235" i="24"/>
  <c r="T2234" i="24"/>
  <c r="P2234" i="24"/>
  <c r="L2234" i="24"/>
  <c r="F2234" i="24"/>
  <c r="B2234" i="24"/>
  <c r="R2233" i="24"/>
  <c r="N2233" i="24"/>
  <c r="H2233" i="24"/>
  <c r="D2233" i="24"/>
  <c r="T2232" i="24"/>
  <c r="P2232" i="24"/>
  <c r="L2232" i="24"/>
  <c r="F2232" i="24"/>
  <c r="B2232" i="24"/>
  <c r="R2231" i="24"/>
  <c r="N2231" i="24"/>
  <c r="H2231" i="24"/>
  <c r="D2231" i="24"/>
  <c r="T2230" i="24"/>
  <c r="P2230" i="24"/>
  <c r="L2230" i="24"/>
  <c r="F2230" i="24"/>
  <c r="B2230" i="24"/>
  <c r="R2229" i="24"/>
  <c r="N2229" i="24"/>
  <c r="H2229" i="24"/>
  <c r="D2229" i="24"/>
  <c r="T2228" i="24"/>
  <c r="P2228" i="24"/>
  <c r="L2228" i="24"/>
  <c r="F2228" i="24"/>
  <c r="B2228" i="24"/>
  <c r="R2227" i="24"/>
  <c r="N2227" i="24"/>
  <c r="H2227" i="24"/>
  <c r="D2227" i="24"/>
  <c r="T2226" i="24"/>
  <c r="P2226" i="24"/>
  <c r="L2226" i="24"/>
  <c r="F2226" i="24"/>
  <c r="B2226" i="24"/>
  <c r="R2225" i="24"/>
  <c r="N2225" i="24"/>
  <c r="H2225" i="24"/>
  <c r="D2225" i="24"/>
  <c r="T2224" i="24"/>
  <c r="P2224" i="24"/>
  <c r="L2224" i="24"/>
  <c r="F2224" i="24"/>
  <c r="B2224" i="24"/>
  <c r="R2223" i="24"/>
  <c r="N2223" i="24"/>
  <c r="H2223" i="24"/>
  <c r="D2223" i="24"/>
  <c r="T2222" i="24"/>
  <c r="P2222" i="24"/>
  <c r="L2222" i="24"/>
  <c r="F2222" i="24"/>
  <c r="B2222" i="24"/>
  <c r="R2221" i="24"/>
  <c r="N2221" i="24"/>
  <c r="H2221" i="24"/>
  <c r="D2221" i="24"/>
  <c r="T2220" i="24"/>
  <c r="P2220" i="24"/>
  <c r="L2220" i="24"/>
  <c r="F2220" i="24"/>
  <c r="B2220" i="24"/>
  <c r="R2219" i="24"/>
  <c r="N2219" i="24"/>
  <c r="H2219" i="24"/>
  <c r="D2219" i="24"/>
  <c r="T2218" i="24"/>
  <c r="P2218" i="24"/>
  <c r="L2218" i="24"/>
  <c r="F2218" i="24"/>
  <c r="B2218" i="24"/>
  <c r="R2217" i="24"/>
  <c r="N2217" i="24"/>
  <c r="H2217" i="24"/>
  <c r="D2217" i="24"/>
  <c r="T2216" i="24"/>
  <c r="P2216" i="24"/>
  <c r="L2216" i="24"/>
  <c r="F2216" i="24"/>
  <c r="B2216" i="24"/>
  <c r="R2215" i="24"/>
  <c r="N2215" i="24"/>
  <c r="H2215" i="24"/>
  <c r="D2215" i="24"/>
  <c r="T2214" i="24"/>
  <c r="P2214" i="24"/>
  <c r="L2214" i="24"/>
  <c r="F2214" i="24"/>
  <c r="B2214" i="24"/>
  <c r="R2213" i="24"/>
  <c r="N2213" i="24"/>
  <c r="H2213" i="24"/>
  <c r="D2213" i="24"/>
  <c r="T2212" i="24"/>
  <c r="P2212" i="24"/>
  <c r="L2212" i="24"/>
  <c r="F2212" i="24"/>
  <c r="B2212" i="24"/>
  <c r="R2211" i="24"/>
  <c r="N2211" i="24"/>
  <c r="H2211" i="24"/>
  <c r="D2211" i="24"/>
  <c r="T2210" i="24"/>
  <c r="P2210" i="24"/>
  <c r="L2210" i="24"/>
  <c r="F2210" i="24"/>
  <c r="B2210" i="24"/>
  <c r="R2209" i="24"/>
  <c r="N2209" i="24"/>
  <c r="H2209" i="24"/>
  <c r="D2209" i="24"/>
  <c r="T2208" i="24"/>
  <c r="P2208" i="24"/>
  <c r="L2208" i="24"/>
  <c r="F2208" i="24"/>
  <c r="B2208" i="24"/>
  <c r="R2207" i="24"/>
  <c r="N2207" i="24"/>
  <c r="H2207" i="24"/>
  <c r="D2207" i="24"/>
  <c r="T2206" i="24"/>
  <c r="P2206" i="24"/>
  <c r="L2206" i="24"/>
  <c r="F2206" i="24"/>
  <c r="B2206" i="24"/>
  <c r="R2205" i="24"/>
  <c r="N2205" i="24"/>
  <c r="H2205" i="24"/>
  <c r="D2205" i="24"/>
  <c r="T2204" i="24"/>
  <c r="P2204" i="24"/>
  <c r="L2204" i="24"/>
  <c r="F2204" i="24"/>
  <c r="B2204" i="24"/>
  <c r="R2203" i="24"/>
  <c r="N2203" i="24"/>
  <c r="H2203" i="24"/>
  <c r="D2203" i="24"/>
  <c r="T2202" i="24"/>
  <c r="P2202" i="24"/>
  <c r="L2202" i="24"/>
  <c r="F2202" i="24"/>
  <c r="B2202" i="24"/>
  <c r="R2201" i="24"/>
  <c r="N2201" i="24"/>
  <c r="H2201" i="24"/>
  <c r="D2201" i="24"/>
  <c r="T2200" i="24"/>
  <c r="P2200" i="24"/>
  <c r="L2200" i="24"/>
  <c r="F2200" i="24"/>
  <c r="B2200" i="24"/>
  <c r="R2199" i="24"/>
  <c r="N2199" i="24"/>
  <c r="H2199" i="24"/>
  <c r="D2199" i="24"/>
  <c r="T2198" i="24"/>
  <c r="P2198" i="24"/>
  <c r="L2198" i="24"/>
  <c r="F2198" i="24"/>
  <c r="B2198" i="24"/>
  <c r="R2197" i="24"/>
  <c r="N2197" i="24"/>
  <c r="H2197" i="24"/>
  <c r="D2197" i="24"/>
  <c r="T2196" i="24"/>
  <c r="P2196" i="24"/>
  <c r="L2196" i="24"/>
  <c r="F2196" i="24"/>
  <c r="B2196" i="24"/>
  <c r="R2195" i="24"/>
  <c r="N2195" i="24"/>
  <c r="H2195" i="24"/>
  <c r="D2195" i="24"/>
  <c r="T2194" i="24"/>
  <c r="P2194" i="24"/>
  <c r="L2194" i="24"/>
  <c r="F2194" i="24"/>
  <c r="B2194" i="24"/>
  <c r="R2193" i="24"/>
  <c r="N2193" i="24"/>
  <c r="H2193" i="24"/>
  <c r="D2193" i="24"/>
  <c r="T2192" i="24"/>
  <c r="P2192" i="24"/>
  <c r="L2192" i="24"/>
  <c r="F2192" i="24"/>
  <c r="B2192" i="24"/>
  <c r="R2191" i="24"/>
  <c r="N2191" i="24"/>
  <c r="H2191" i="24"/>
  <c r="D2191" i="24"/>
  <c r="T2190" i="24"/>
  <c r="P2190" i="24"/>
  <c r="L2190" i="24"/>
  <c r="F2190" i="24"/>
  <c r="B2190" i="24"/>
  <c r="R2189" i="24"/>
  <c r="N2189" i="24"/>
  <c r="H2189" i="24"/>
  <c r="D2189" i="24"/>
  <c r="T2188" i="24"/>
  <c r="P2188" i="24"/>
  <c r="L2188" i="24"/>
  <c r="F2188" i="24"/>
  <c r="B2188" i="24"/>
  <c r="R2187" i="24"/>
  <c r="N2187" i="24"/>
  <c r="H2187" i="24"/>
  <c r="D2187" i="24"/>
  <c r="T2186" i="24"/>
  <c r="P2186" i="24"/>
  <c r="L2186" i="24"/>
  <c r="F2186" i="24"/>
  <c r="B2186" i="24"/>
  <c r="R2185" i="24"/>
  <c r="N2185" i="24"/>
  <c r="H2185" i="24"/>
  <c r="D2185" i="24"/>
  <c r="T2184" i="24"/>
  <c r="P2184" i="24"/>
  <c r="L2184" i="24"/>
  <c r="F2184" i="24"/>
  <c r="B2184" i="24"/>
  <c r="R2183" i="24"/>
  <c r="N2183" i="24"/>
  <c r="H2183" i="24"/>
  <c r="D2183" i="24"/>
  <c r="T2182" i="24"/>
  <c r="P2182" i="24"/>
  <c r="L2182" i="24"/>
  <c r="F2182" i="24"/>
  <c r="B2182" i="24"/>
  <c r="R2181" i="24"/>
  <c r="N2181" i="24"/>
  <c r="H2181" i="24"/>
  <c r="D2181" i="24"/>
  <c r="T2180" i="24"/>
  <c r="P2180" i="24"/>
  <c r="L2180" i="24"/>
  <c r="F2180" i="24"/>
  <c r="B2180" i="24"/>
  <c r="R2179" i="24"/>
  <c r="N2179" i="24"/>
  <c r="H2179" i="24"/>
  <c r="D2179" i="24"/>
  <c r="T2178" i="24"/>
  <c r="P2178" i="24"/>
  <c r="L2178" i="24"/>
  <c r="F2178" i="24"/>
  <c r="B2178" i="24"/>
  <c r="R2177" i="24"/>
  <c r="N2177" i="24"/>
  <c r="H2177" i="24"/>
  <c r="D2177" i="24"/>
  <c r="T2176" i="24"/>
  <c r="P2176" i="24"/>
  <c r="L2176" i="24"/>
  <c r="F2176" i="24"/>
  <c r="B2176" i="24"/>
  <c r="R2175" i="24"/>
  <c r="N2175" i="24"/>
  <c r="H2175" i="24"/>
  <c r="D2175" i="24"/>
  <c r="T2174" i="24"/>
  <c r="P2174" i="24"/>
  <c r="L2174" i="24"/>
  <c r="F2174" i="24"/>
  <c r="B2174" i="24"/>
  <c r="R2173" i="24"/>
  <c r="N2173" i="24"/>
  <c r="H2173" i="24"/>
  <c r="D2173" i="24"/>
  <c r="T2172" i="24"/>
  <c r="P2172" i="24"/>
  <c r="L2172" i="24"/>
  <c r="F2172" i="24"/>
  <c r="B2172" i="24"/>
  <c r="R2171" i="24"/>
  <c r="N2171" i="24"/>
  <c r="H2171" i="24"/>
  <c r="D2171" i="24"/>
  <c r="T2170" i="24"/>
  <c r="P2170" i="24"/>
  <c r="L2170" i="24"/>
  <c r="F2170" i="24"/>
  <c r="B2170" i="24"/>
  <c r="R2169" i="24"/>
  <c r="N2169" i="24"/>
  <c r="H2169" i="24"/>
  <c r="D2169" i="24"/>
  <c r="T2168" i="24"/>
  <c r="P2168" i="24"/>
  <c r="L2168" i="24"/>
  <c r="F2168" i="24"/>
  <c r="B2168" i="24"/>
  <c r="R2167" i="24"/>
  <c r="N2167" i="24"/>
  <c r="H2167" i="24"/>
  <c r="D2167" i="24"/>
  <c r="T2166" i="24"/>
  <c r="P2166" i="24"/>
  <c r="L2166" i="24"/>
  <c r="F2166" i="24"/>
  <c r="B2166" i="24"/>
  <c r="R2165" i="24"/>
  <c r="N2165" i="24"/>
  <c r="H2165" i="24"/>
  <c r="D2165" i="24"/>
  <c r="T2164" i="24"/>
  <c r="P2164" i="24"/>
  <c r="L2164" i="24"/>
  <c r="F2164" i="24"/>
  <c r="B2164" i="24"/>
  <c r="R2163" i="24"/>
  <c r="N2163" i="24"/>
  <c r="H2163" i="24"/>
  <c r="D2163" i="24"/>
  <c r="T2162" i="24"/>
  <c r="P2162" i="24"/>
  <c r="L2162" i="24"/>
  <c r="F2162" i="24"/>
  <c r="B2162" i="24"/>
  <c r="R2161" i="24"/>
  <c r="N2161" i="24"/>
  <c r="H2161" i="24"/>
  <c r="D2161" i="24"/>
  <c r="T2160" i="24"/>
  <c r="P2160" i="24"/>
  <c r="L2160" i="24"/>
  <c r="F2160" i="24"/>
  <c r="B2160" i="24"/>
  <c r="R2159" i="24"/>
  <c r="N2159" i="24"/>
  <c r="H2159" i="24"/>
  <c r="D2159" i="24"/>
  <c r="T2158" i="24"/>
  <c r="P2158" i="24"/>
  <c r="L2158" i="24"/>
  <c r="F2158" i="24"/>
  <c r="B2158" i="24"/>
  <c r="R2157" i="24"/>
  <c r="N2157" i="24"/>
  <c r="H2157" i="24"/>
  <c r="D2157" i="24"/>
  <c r="T2156" i="24"/>
  <c r="P2156" i="24"/>
  <c r="L2156" i="24"/>
  <c r="F2156" i="24"/>
  <c r="B2156" i="24"/>
  <c r="R2155" i="24"/>
  <c r="N2155" i="24"/>
  <c r="H2155" i="24"/>
  <c r="D2155" i="24"/>
  <c r="T2154" i="24"/>
  <c r="P2154" i="24"/>
  <c r="L2154" i="24"/>
  <c r="F2154" i="24"/>
  <c r="B2154" i="24"/>
  <c r="R2153" i="24"/>
  <c r="N2153" i="24"/>
  <c r="H2153" i="24"/>
  <c r="D2153" i="24"/>
  <c r="T2152" i="24"/>
  <c r="P2152" i="24"/>
  <c r="L2152" i="24"/>
  <c r="F2152" i="24"/>
  <c r="B2152" i="24"/>
  <c r="R2151" i="24"/>
  <c r="N2151" i="24"/>
  <c r="H2151" i="24"/>
  <c r="D2151" i="24"/>
  <c r="T2150" i="24"/>
  <c r="P2150" i="24"/>
  <c r="L2150" i="24"/>
  <c r="F2150" i="24"/>
  <c r="B2150" i="24"/>
  <c r="R2149" i="24"/>
  <c r="N2149" i="24"/>
  <c r="H2149" i="24"/>
  <c r="D2149" i="24"/>
  <c r="T2148" i="24"/>
  <c r="P2148" i="24"/>
  <c r="L2148" i="24"/>
  <c r="F2148" i="24"/>
  <c r="B2148" i="24"/>
  <c r="R2147" i="24"/>
  <c r="N2147" i="24"/>
  <c r="H2147" i="24"/>
  <c r="D2147" i="24"/>
  <c r="T2146" i="24"/>
  <c r="P2146" i="24"/>
  <c r="L2146" i="24"/>
  <c r="F2146" i="24"/>
  <c r="B2146" i="24"/>
  <c r="R2145" i="24"/>
  <c r="N2145" i="24"/>
  <c r="H2145" i="24"/>
  <c r="D2145" i="24"/>
  <c r="T2144" i="24"/>
  <c r="P2144" i="24"/>
  <c r="L2144" i="24"/>
  <c r="F2144" i="24"/>
  <c r="B2144" i="24"/>
  <c r="R2143" i="24"/>
  <c r="N2143" i="24"/>
  <c r="H2143" i="24"/>
  <c r="D2143" i="24"/>
  <c r="T2142" i="24"/>
  <c r="P2142" i="24"/>
  <c r="L2142" i="24"/>
  <c r="F2142" i="24"/>
  <c r="B2142" i="24"/>
  <c r="R2141" i="24"/>
  <c r="N2141" i="24"/>
  <c r="H2141" i="24"/>
  <c r="D2141" i="24"/>
  <c r="T2140" i="24"/>
  <c r="P2140" i="24"/>
  <c r="L2140" i="24"/>
  <c r="F2140" i="24"/>
  <c r="B2140" i="24"/>
  <c r="R2139" i="24"/>
  <c r="N2139" i="24"/>
  <c r="H2139" i="24"/>
  <c r="D2139" i="24"/>
  <c r="T2138" i="24"/>
  <c r="P2138" i="24"/>
  <c r="L2138" i="24"/>
  <c r="F2138" i="24"/>
  <c r="B2138" i="24"/>
  <c r="R2137" i="24"/>
  <c r="N2137" i="24"/>
  <c r="H2137" i="24"/>
  <c r="D2137" i="24"/>
  <c r="T2136" i="24"/>
  <c r="P2136" i="24"/>
  <c r="L2136" i="24"/>
  <c r="F2136" i="24"/>
  <c r="B2136" i="24"/>
  <c r="R2135" i="24"/>
  <c r="N2135" i="24"/>
  <c r="H2135" i="24"/>
  <c r="D2135" i="24"/>
  <c r="T2134" i="24"/>
  <c r="P2134" i="24"/>
  <c r="L2134" i="24"/>
  <c r="F2134" i="24"/>
  <c r="B2134" i="24"/>
  <c r="R2133" i="24"/>
  <c r="N2133" i="24"/>
  <c r="H2133" i="24"/>
  <c r="D2133" i="24"/>
  <c r="T2132" i="24"/>
  <c r="P2132" i="24"/>
  <c r="L2132" i="24"/>
  <c r="F2132" i="24"/>
  <c r="B2132" i="24"/>
  <c r="R2131" i="24"/>
  <c r="N2131" i="24"/>
  <c r="H2131" i="24"/>
  <c r="D2131" i="24"/>
  <c r="T2130" i="24"/>
  <c r="P2130" i="24"/>
  <c r="L2130" i="24"/>
  <c r="F2130" i="24"/>
  <c r="B2130" i="24"/>
  <c r="R2129" i="24"/>
  <c r="N2129" i="24"/>
  <c r="H2129" i="24"/>
  <c r="D2129" i="24"/>
  <c r="T2128" i="24"/>
  <c r="P2128" i="24"/>
  <c r="L2128" i="24"/>
  <c r="F2128" i="24"/>
  <c r="B2128" i="24"/>
  <c r="R2127" i="24"/>
  <c r="N2127" i="24"/>
  <c r="H2127" i="24"/>
  <c r="D2127" i="24"/>
  <c r="T2126" i="24"/>
  <c r="P2126" i="24"/>
  <c r="L2126" i="24"/>
  <c r="F2126" i="24"/>
  <c r="B2126" i="24"/>
  <c r="R2125" i="24"/>
  <c r="N2125" i="24"/>
  <c r="H2125" i="24"/>
  <c r="D2125" i="24"/>
  <c r="T2124" i="24"/>
  <c r="P2124" i="24"/>
  <c r="L2124" i="24"/>
  <c r="F2124" i="24"/>
  <c r="B2124" i="24"/>
  <c r="R2123" i="24"/>
  <c r="N2123" i="24"/>
  <c r="H2123" i="24"/>
  <c r="D2123" i="24"/>
  <c r="T2122" i="24"/>
  <c r="P2122" i="24"/>
  <c r="L2122" i="24"/>
  <c r="F2122" i="24"/>
  <c r="B2122" i="24"/>
  <c r="R2121" i="24"/>
  <c r="N2121" i="24"/>
  <c r="H2121" i="24"/>
  <c r="D2121" i="24"/>
  <c r="T2120" i="24"/>
  <c r="P2120" i="24"/>
  <c r="L2120" i="24"/>
  <c r="F2120" i="24"/>
  <c r="B2120" i="24"/>
  <c r="R2119" i="24"/>
  <c r="N2119" i="24"/>
  <c r="H2119" i="24"/>
  <c r="D2119" i="24"/>
  <c r="T2118" i="24"/>
  <c r="P2118" i="24"/>
  <c r="L2118" i="24"/>
  <c r="F2118" i="24"/>
  <c r="B2118" i="24"/>
  <c r="R2117" i="24"/>
  <c r="N2117" i="24"/>
  <c r="H2117" i="24"/>
  <c r="D2117" i="24"/>
  <c r="T2116" i="24"/>
  <c r="P2116" i="24"/>
  <c r="L2116" i="24"/>
  <c r="F2116" i="24"/>
  <c r="B2116" i="24"/>
  <c r="R2115" i="24"/>
  <c r="N2115" i="24"/>
  <c r="H2115" i="24"/>
  <c r="D2115" i="24"/>
  <c r="T2114" i="24"/>
  <c r="P2114" i="24"/>
  <c r="L2114" i="24"/>
  <c r="F2114" i="24"/>
  <c r="B2114" i="24"/>
  <c r="R2113" i="24"/>
  <c r="N2113" i="24"/>
  <c r="H2113" i="24"/>
  <c r="D2113" i="24"/>
  <c r="T2112" i="24"/>
  <c r="P2112" i="24"/>
  <c r="L2112" i="24"/>
  <c r="F2112" i="24"/>
  <c r="B2112" i="24"/>
  <c r="R2111" i="24"/>
  <c r="N2111" i="24"/>
  <c r="H2111" i="24"/>
  <c r="D2111" i="24"/>
  <c r="T2110" i="24"/>
  <c r="P2110" i="24"/>
  <c r="L2110" i="24"/>
  <c r="F2110" i="24"/>
  <c r="B2110" i="24"/>
  <c r="R2109" i="24"/>
  <c r="N2109" i="24"/>
  <c r="H2109" i="24"/>
  <c r="D2109" i="24"/>
  <c r="T2108" i="24"/>
  <c r="P2108" i="24"/>
  <c r="L2108" i="24"/>
  <c r="F2108" i="24"/>
  <c r="B2108" i="24"/>
  <c r="R2107" i="24"/>
  <c r="N2107" i="24"/>
  <c r="H2107" i="24"/>
  <c r="D2107" i="24"/>
  <c r="T2106" i="24"/>
  <c r="P2106" i="24"/>
  <c r="L2106" i="24"/>
  <c r="F2106" i="24"/>
  <c r="B2106" i="24"/>
  <c r="R2105" i="24"/>
  <c r="N2105" i="24"/>
  <c r="H2105" i="24"/>
  <c r="D2105" i="24"/>
  <c r="T2104" i="24"/>
  <c r="P2104" i="24"/>
  <c r="L2104" i="24"/>
  <c r="F2104" i="24"/>
  <c r="B2104" i="24"/>
  <c r="R2103" i="24"/>
  <c r="N2103" i="24"/>
  <c r="H2103" i="24"/>
  <c r="D2103" i="24"/>
  <c r="T2102" i="24"/>
  <c r="P2102" i="24"/>
  <c r="L2102" i="24"/>
  <c r="F2102" i="24"/>
  <c r="B2102" i="24"/>
  <c r="R2101" i="24"/>
  <c r="N2101" i="24"/>
  <c r="H2101" i="24"/>
  <c r="D2101" i="24"/>
  <c r="T2100" i="24"/>
  <c r="P2100" i="24"/>
  <c r="L2100" i="24"/>
  <c r="F2100" i="24"/>
  <c r="B2100" i="24"/>
  <c r="R2099" i="24"/>
  <c r="N2099" i="24"/>
  <c r="H2099" i="24"/>
  <c r="D2099" i="24"/>
  <c r="T2098" i="24"/>
  <c r="P2098" i="24"/>
  <c r="L2098" i="24"/>
  <c r="F2098" i="24"/>
  <c r="B2098" i="24"/>
  <c r="R2097" i="24"/>
  <c r="N2097" i="24"/>
  <c r="H2097" i="24"/>
  <c r="D2097" i="24"/>
  <c r="T2096" i="24"/>
  <c r="P2096" i="24"/>
  <c r="L2096" i="24"/>
  <c r="F2096" i="24"/>
  <c r="B2096" i="24"/>
  <c r="R2095" i="24"/>
  <c r="N2095" i="24"/>
  <c r="H2095" i="24"/>
  <c r="D2095" i="24"/>
  <c r="T2094" i="24"/>
  <c r="P2094" i="24"/>
  <c r="L2094" i="24"/>
  <c r="F2094" i="24"/>
  <c r="B2094" i="24"/>
  <c r="R2093" i="24"/>
  <c r="N2093" i="24"/>
  <c r="H2093" i="24"/>
  <c r="D2093" i="24"/>
  <c r="T2092" i="24"/>
  <c r="P2092" i="24"/>
  <c r="L2092" i="24"/>
  <c r="F2092" i="24"/>
  <c r="B2092" i="24"/>
  <c r="R2091" i="24"/>
  <c r="N2091" i="24"/>
  <c r="H2091" i="24"/>
  <c r="D2091" i="24"/>
  <c r="T2090" i="24"/>
  <c r="P2090" i="24"/>
  <c r="L2090" i="24"/>
  <c r="F2090" i="24"/>
  <c r="B2090" i="24"/>
  <c r="R2089" i="24"/>
  <c r="N2089" i="24"/>
  <c r="H2089" i="24"/>
  <c r="D2089" i="24"/>
  <c r="T2088" i="24"/>
  <c r="P2088" i="24"/>
  <c r="L2088" i="24"/>
  <c r="F2088" i="24"/>
  <c r="B2088" i="24"/>
  <c r="R2087" i="24"/>
  <c r="N2087" i="24"/>
  <c r="H2087" i="24"/>
  <c r="D2087" i="24"/>
  <c r="T2086" i="24"/>
  <c r="P2086" i="24"/>
  <c r="L2086" i="24"/>
  <c r="F2086" i="24"/>
  <c r="B2086" i="24"/>
  <c r="R2085" i="24"/>
  <c r="N2085" i="24"/>
  <c r="H2085" i="24"/>
  <c r="D2085" i="24"/>
  <c r="T2084" i="24"/>
  <c r="P2084" i="24"/>
  <c r="L2084" i="24"/>
  <c r="F2084" i="24"/>
  <c r="B2084" i="24"/>
  <c r="R2083" i="24"/>
  <c r="N2083" i="24"/>
  <c r="H2083" i="24"/>
  <c r="D2083" i="24"/>
  <c r="T2082" i="24"/>
  <c r="P2082" i="24"/>
  <c r="L2082" i="24"/>
  <c r="F2362" i="24"/>
  <c r="L2360" i="24"/>
  <c r="P2358" i="24"/>
  <c r="T2356" i="24"/>
  <c r="D2355" i="24"/>
  <c r="H2353" i="24"/>
  <c r="N2351" i="24"/>
  <c r="R2349" i="24"/>
  <c r="B2348" i="24"/>
  <c r="F2346" i="24"/>
  <c r="L2344" i="24"/>
  <c r="P2342" i="24"/>
  <c r="T2340" i="24"/>
  <c r="D2339" i="24"/>
  <c r="H2337" i="24"/>
  <c r="N2335" i="24"/>
  <c r="R2333" i="24"/>
  <c r="B2332" i="24"/>
  <c r="F2330" i="24"/>
  <c r="L2328" i="24"/>
  <c r="P2326" i="24"/>
  <c r="T2324" i="24"/>
  <c r="D2323" i="24"/>
  <c r="H2321" i="24"/>
  <c r="N2319" i="24"/>
  <c r="R2317" i="24"/>
  <c r="B2316" i="24"/>
  <c r="F2314" i="24"/>
  <c r="L2312" i="24"/>
  <c r="P2310" i="24"/>
  <c r="T2308" i="24"/>
  <c r="D2307" i="24"/>
  <c r="H2305" i="24"/>
  <c r="N2303" i="24"/>
  <c r="R2301" i="24"/>
  <c r="B2300" i="24"/>
  <c r="F2298" i="24"/>
  <c r="L2296" i="24"/>
  <c r="P2294" i="24"/>
  <c r="T2292" i="24"/>
  <c r="Q2291" i="24"/>
  <c r="G2291" i="24"/>
  <c r="S2290" i="24"/>
  <c r="K2290" i="24"/>
  <c r="A2290" i="24"/>
  <c r="M2289" i="24"/>
  <c r="C2289" i="24"/>
  <c r="O2288" i="24"/>
  <c r="E2288" i="24"/>
  <c r="Q2287" i="24"/>
  <c r="G2287" i="24"/>
  <c r="S2286" i="24"/>
  <c r="K2286" i="24"/>
  <c r="A2286" i="24"/>
  <c r="M2285" i="24"/>
  <c r="C2285" i="24"/>
  <c r="O2284" i="24"/>
  <c r="E2284" i="24"/>
  <c r="Q2283" i="24"/>
  <c r="G2283" i="24"/>
  <c r="S2282" i="24"/>
  <c r="K2282" i="24"/>
  <c r="A2282" i="24"/>
  <c r="M2281" i="24"/>
  <c r="C2281" i="24"/>
  <c r="O2280" i="24"/>
  <c r="E2280" i="24"/>
  <c r="Q2279" i="24"/>
  <c r="G2279" i="24"/>
  <c r="S2278" i="24"/>
  <c r="K2278" i="24"/>
  <c r="A2278" i="24"/>
  <c r="M2277" i="24"/>
  <c r="C2277" i="24"/>
  <c r="O2276" i="24"/>
  <c r="E2276" i="24"/>
  <c r="Q2275" i="24"/>
  <c r="G2275" i="24"/>
  <c r="S2274" i="24"/>
  <c r="K2274" i="24"/>
  <c r="A2274" i="24"/>
  <c r="M2273" i="24"/>
  <c r="C2273" i="24"/>
  <c r="O2272" i="24"/>
  <c r="E2272" i="24"/>
  <c r="Q2271" i="24"/>
  <c r="G2271" i="24"/>
  <c r="S2270" i="24"/>
  <c r="K2270" i="24"/>
  <c r="A2270" i="24"/>
  <c r="M2269" i="24"/>
  <c r="C2269" i="24"/>
  <c r="O2268" i="24"/>
  <c r="E2268" i="24"/>
  <c r="Q2267" i="24"/>
  <c r="G2267" i="24"/>
  <c r="S2266" i="24"/>
  <c r="K2266" i="24"/>
  <c r="A2266" i="24"/>
  <c r="M2265" i="24"/>
  <c r="C2265" i="24"/>
  <c r="O2264" i="24"/>
  <c r="E2264" i="24"/>
  <c r="Q2263" i="24"/>
  <c r="G2263" i="24"/>
  <c r="S2262" i="24"/>
  <c r="K2262" i="24"/>
  <c r="A2262" i="24"/>
  <c r="M2261" i="24"/>
  <c r="C2261" i="24"/>
  <c r="O2260" i="24"/>
  <c r="E2260" i="24"/>
  <c r="Q2259" i="24"/>
  <c r="G2259" i="24"/>
  <c r="S2258" i="24"/>
  <c r="K2258" i="24"/>
  <c r="A2258" i="24"/>
  <c r="M2257" i="24"/>
  <c r="C2257" i="24"/>
  <c r="O2256" i="24"/>
  <c r="E2256" i="24"/>
  <c r="Q2255" i="24"/>
  <c r="G2255" i="24"/>
  <c r="S2254" i="24"/>
  <c r="K2254" i="24"/>
  <c r="A2254" i="24"/>
  <c r="M2253" i="24"/>
  <c r="C2253" i="24"/>
  <c r="O2252" i="24"/>
  <c r="E2252" i="24"/>
  <c r="Q2251" i="24"/>
  <c r="G2251" i="24"/>
  <c r="S2250" i="24"/>
  <c r="K2250" i="24"/>
  <c r="A2250" i="24"/>
  <c r="M2249" i="24"/>
  <c r="C2249" i="24"/>
  <c r="O2248" i="24"/>
  <c r="E2248" i="24"/>
  <c r="Q2247" i="24"/>
  <c r="G2247" i="24"/>
  <c r="S2246" i="24"/>
  <c r="K2246" i="24"/>
  <c r="A2246" i="24"/>
  <c r="M2245" i="24"/>
  <c r="C2245" i="24"/>
  <c r="O2244" i="24"/>
  <c r="E2244" i="24"/>
  <c r="Q2243" i="24"/>
  <c r="G2243" i="24"/>
  <c r="S2242" i="24"/>
  <c r="K2242" i="24"/>
  <c r="A2242" i="24"/>
  <c r="M2241" i="24"/>
  <c r="C2241" i="24"/>
  <c r="O2240" i="24"/>
  <c r="E2240" i="24"/>
  <c r="Q2239" i="24"/>
  <c r="G2239" i="24"/>
  <c r="S2238" i="24"/>
  <c r="K2238" i="24"/>
  <c r="A2238" i="24"/>
  <c r="M2237" i="24"/>
  <c r="C2237" i="24"/>
  <c r="O2236" i="24"/>
  <c r="E2236" i="24"/>
  <c r="Q2235" i="24"/>
  <c r="G2235" i="24"/>
  <c r="S2234" i="24"/>
  <c r="K2234" i="24"/>
  <c r="A2234" i="24"/>
  <c r="M2233" i="24"/>
  <c r="C2233" i="24"/>
  <c r="O2232" i="24"/>
  <c r="E2232" i="24"/>
  <c r="Q2231" i="24"/>
  <c r="G2231" i="24"/>
  <c r="S2230" i="24"/>
  <c r="K2230" i="24"/>
  <c r="A2230" i="24"/>
  <c r="M2229" i="24"/>
  <c r="C2229" i="24"/>
  <c r="O2228" i="24"/>
  <c r="E2228" i="24"/>
  <c r="Q2227" i="24"/>
  <c r="G2227" i="24"/>
  <c r="S2226" i="24"/>
  <c r="K2226" i="24"/>
  <c r="A2226" i="24"/>
  <c r="M2225" i="24"/>
  <c r="C2225" i="24"/>
  <c r="O2224" i="24"/>
  <c r="E2224" i="24"/>
  <c r="Q2223" i="24"/>
  <c r="G2223" i="24"/>
  <c r="S2222" i="24"/>
  <c r="K2222" i="24"/>
  <c r="A2222" i="24"/>
  <c r="M2221" i="24"/>
  <c r="C2221" i="24"/>
  <c r="O2220" i="24"/>
  <c r="E2220" i="24"/>
  <c r="Q2219" i="24"/>
  <c r="G2219" i="24"/>
  <c r="S2218" i="24"/>
  <c r="K2218" i="24"/>
  <c r="A2218" i="24"/>
  <c r="M2217" i="24"/>
  <c r="C2217" i="24"/>
  <c r="O2216" i="24"/>
  <c r="E2216" i="24"/>
  <c r="Q2215" i="24"/>
  <c r="G2215" i="24"/>
  <c r="S2214" i="24"/>
  <c r="K2214" i="24"/>
  <c r="A2214" i="24"/>
  <c r="M2213" i="24"/>
  <c r="C2213" i="24"/>
  <c r="O2212" i="24"/>
  <c r="E2212" i="24"/>
  <c r="Q2211" i="24"/>
  <c r="G2211" i="24"/>
  <c r="S2210" i="24"/>
  <c r="K2210" i="24"/>
  <c r="A2210" i="24"/>
  <c r="M2209" i="24"/>
  <c r="C2209" i="24"/>
  <c r="O2208" i="24"/>
  <c r="E2208" i="24"/>
  <c r="Q2207" i="24"/>
  <c r="G2207" i="24"/>
  <c r="S2206" i="24"/>
  <c r="K2206" i="24"/>
  <c r="A2206" i="24"/>
  <c r="M2205" i="24"/>
  <c r="C2205" i="24"/>
  <c r="O2204" i="24"/>
  <c r="E2204" i="24"/>
  <c r="Q2203" i="24"/>
  <c r="G2203" i="24"/>
  <c r="S2202" i="24"/>
  <c r="K2202" i="24"/>
  <c r="A2202" i="24"/>
  <c r="M2201" i="24"/>
  <c r="C2201" i="24"/>
  <c r="O2200" i="24"/>
  <c r="E2200" i="24"/>
  <c r="Q2199" i="24"/>
  <c r="G2199" i="24"/>
  <c r="S2198" i="24"/>
  <c r="K2198" i="24"/>
  <c r="A2198" i="24"/>
  <c r="M2197" i="24"/>
  <c r="C2197" i="24"/>
  <c r="O2196" i="24"/>
  <c r="E2196" i="24"/>
  <c r="Q2195" i="24"/>
  <c r="G2195" i="24"/>
  <c r="S2194" i="24"/>
  <c r="K2194" i="24"/>
  <c r="A2194" i="24"/>
  <c r="M2193" i="24"/>
  <c r="C2193" i="24"/>
  <c r="O2192" i="24"/>
  <c r="E2192" i="24"/>
  <c r="Q2191" i="24"/>
  <c r="G2191" i="24"/>
  <c r="S2190" i="24"/>
  <c r="K2190" i="24"/>
  <c r="A2190" i="24"/>
  <c r="M2189" i="24"/>
  <c r="C2189" i="24"/>
  <c r="O2188" i="24"/>
  <c r="E2188" i="24"/>
  <c r="Q2187" i="24"/>
  <c r="G2187" i="24"/>
  <c r="S2186" i="24"/>
  <c r="K2186" i="24"/>
  <c r="A2186" i="24"/>
  <c r="M2185" i="24"/>
  <c r="C2185" i="24"/>
  <c r="O2184" i="24"/>
  <c r="E2184" i="24"/>
  <c r="Q2183" i="24"/>
  <c r="G2183" i="24"/>
  <c r="S2182" i="24"/>
  <c r="K2182" i="24"/>
  <c r="A2182" i="24"/>
  <c r="M2181" i="24"/>
  <c r="C2181" i="24"/>
  <c r="O2180" i="24"/>
  <c r="E2180" i="24"/>
  <c r="Q2179" i="24"/>
  <c r="G2179" i="24"/>
  <c r="S2178" i="24"/>
  <c r="K2178" i="24"/>
  <c r="A2178" i="24"/>
  <c r="M2177" i="24"/>
  <c r="C2177" i="24"/>
  <c r="O2176" i="24"/>
  <c r="E2176" i="24"/>
  <c r="Q2175" i="24"/>
  <c r="G2175" i="24"/>
  <c r="S2174" i="24"/>
  <c r="K2174" i="24"/>
  <c r="A2174" i="24"/>
  <c r="M2173" i="24"/>
  <c r="C2173" i="24"/>
  <c r="O2172" i="24"/>
  <c r="E2172" i="24"/>
  <c r="Q2171" i="24"/>
  <c r="G2171" i="24"/>
  <c r="S2170" i="24"/>
  <c r="K2170" i="24"/>
  <c r="A2170" i="24"/>
  <c r="M2169" i="24"/>
  <c r="C2169" i="24"/>
  <c r="O2168" i="24"/>
  <c r="E2168" i="24"/>
  <c r="Q2167" i="24"/>
  <c r="G2167" i="24"/>
  <c r="S2166" i="24"/>
  <c r="K2166" i="24"/>
  <c r="A2166" i="24"/>
  <c r="M2165" i="24"/>
  <c r="C2165" i="24"/>
  <c r="O2164" i="24"/>
  <c r="E2164" i="24"/>
  <c r="Q2163" i="24"/>
  <c r="G2163" i="24"/>
  <c r="S2162" i="24"/>
  <c r="K2162" i="24"/>
  <c r="A2162" i="24"/>
  <c r="M2161" i="24"/>
  <c r="C2161" i="24"/>
  <c r="O2160" i="24"/>
  <c r="E2160" i="24"/>
  <c r="Q2159" i="24"/>
  <c r="G2159" i="24"/>
  <c r="S2158" i="24"/>
  <c r="K2158" i="24"/>
  <c r="A2158" i="24"/>
  <c r="M2157" i="24"/>
  <c r="C2157" i="24"/>
  <c r="O2156" i="24"/>
  <c r="E2156" i="24"/>
  <c r="Q2155" i="24"/>
  <c r="G2155" i="24"/>
  <c r="S2154" i="24"/>
  <c r="K2154" i="24"/>
  <c r="A2154" i="24"/>
  <c r="M2153" i="24"/>
  <c r="C2153" i="24"/>
  <c r="O2152" i="24"/>
  <c r="E2152" i="24"/>
  <c r="Q2151" i="24"/>
  <c r="G2151" i="24"/>
  <c r="S2150" i="24"/>
  <c r="K2150" i="24"/>
  <c r="A2150" i="24"/>
  <c r="M2149" i="24"/>
  <c r="C2149" i="24"/>
  <c r="O2148" i="24"/>
  <c r="E2148" i="24"/>
  <c r="Q2147" i="24"/>
  <c r="G2147" i="24"/>
  <c r="S2146" i="24"/>
  <c r="K2146" i="24"/>
  <c r="A2146" i="24"/>
  <c r="M2145" i="24"/>
  <c r="C2145" i="24"/>
  <c r="O2144" i="24"/>
  <c r="E2144" i="24"/>
  <c r="Q2143" i="24"/>
  <c r="G2143" i="24"/>
  <c r="S2142" i="24"/>
  <c r="K2142" i="24"/>
  <c r="A2142" i="24"/>
  <c r="M2141" i="24"/>
  <c r="C2141" i="24"/>
  <c r="O2140" i="24"/>
  <c r="E2140" i="24"/>
  <c r="Q2139" i="24"/>
  <c r="G2139" i="24"/>
  <c r="S2138" i="24"/>
  <c r="K2138" i="24"/>
  <c r="A2138" i="24"/>
  <c r="M2137" i="24"/>
  <c r="C2137" i="24"/>
  <c r="O2136" i="24"/>
  <c r="E2136" i="24"/>
  <c r="Q2135" i="24"/>
  <c r="G2135" i="24"/>
  <c r="S2134" i="24"/>
  <c r="K2134" i="24"/>
  <c r="A2134" i="24"/>
  <c r="M2133" i="24"/>
  <c r="C2133" i="24"/>
  <c r="O2132" i="24"/>
  <c r="E2132" i="24"/>
  <c r="Q2131" i="24"/>
  <c r="G2131" i="24"/>
  <c r="S2130" i="24"/>
  <c r="K2130" i="24"/>
  <c r="A2130" i="24"/>
  <c r="M2129" i="24"/>
  <c r="C2129" i="24"/>
  <c r="O2128" i="24"/>
  <c r="E2128" i="24"/>
  <c r="Q2127" i="24"/>
  <c r="G2127" i="24"/>
  <c r="S2126" i="24"/>
  <c r="K2126" i="24"/>
  <c r="A2126" i="24"/>
  <c r="M2125" i="24"/>
  <c r="C2125" i="24"/>
  <c r="O2124" i="24"/>
  <c r="E2124" i="24"/>
  <c r="Q2123" i="24"/>
  <c r="G2123" i="24"/>
  <c r="S2122" i="24"/>
  <c r="K2122" i="24"/>
  <c r="A2122" i="24"/>
  <c r="M2121" i="24"/>
  <c r="C2121" i="24"/>
  <c r="O2120" i="24"/>
  <c r="E2120" i="24"/>
  <c r="Q2119" i="24"/>
  <c r="G2119" i="24"/>
  <c r="S2118" i="24"/>
  <c r="K2118" i="24"/>
  <c r="A2118" i="24"/>
  <c r="M2117" i="24"/>
  <c r="C2117" i="24"/>
  <c r="O2116" i="24"/>
  <c r="E2116" i="24"/>
  <c r="Q2115" i="24"/>
  <c r="G2115" i="24"/>
  <c r="S2114" i="24"/>
  <c r="K2114" i="24"/>
  <c r="A2114" i="24"/>
  <c r="M2113" i="24"/>
  <c r="C2113" i="24"/>
  <c r="O2112" i="24"/>
  <c r="E2112" i="24"/>
  <c r="Q2111" i="24"/>
  <c r="G2111" i="24"/>
  <c r="S2110" i="24"/>
  <c r="K2110" i="24"/>
  <c r="A2110" i="24"/>
  <c r="M2109" i="24"/>
  <c r="C2109" i="24"/>
  <c r="O2108" i="24"/>
  <c r="E2108" i="24"/>
  <c r="Q2107" i="24"/>
  <c r="G2107" i="24"/>
  <c r="S2106" i="24"/>
  <c r="K2106" i="24"/>
  <c r="A2106" i="24"/>
  <c r="M2105" i="24"/>
  <c r="C2105" i="24"/>
  <c r="O2104" i="24"/>
  <c r="E2104" i="24"/>
  <c r="Q2103" i="24"/>
  <c r="G2103" i="24"/>
  <c r="S2102" i="24"/>
  <c r="K2102" i="24"/>
  <c r="A2102" i="24"/>
  <c r="M2101" i="24"/>
  <c r="C2101" i="24"/>
  <c r="O2100" i="24"/>
  <c r="E2100" i="24"/>
  <c r="Q2099" i="24"/>
  <c r="G2099" i="24"/>
  <c r="S2098" i="24"/>
  <c r="K2098" i="24"/>
  <c r="A2098" i="24"/>
  <c r="M2097" i="24"/>
  <c r="C2097" i="24"/>
  <c r="O2096" i="24"/>
  <c r="E2096" i="24"/>
  <c r="Q2095" i="24"/>
  <c r="G2095" i="24"/>
  <c r="S2094" i="24"/>
  <c r="K2094" i="24"/>
  <c r="A2094" i="24"/>
  <c r="M2093" i="24"/>
  <c r="C2093" i="24"/>
  <c r="O2092" i="24"/>
  <c r="E2092" i="24"/>
  <c r="Q2091" i="24"/>
  <c r="G2091" i="24"/>
  <c r="S2090" i="24"/>
  <c r="K2090" i="24"/>
  <c r="A2090" i="24"/>
  <c r="M2089" i="24"/>
  <c r="C2089" i="24"/>
  <c r="O2088" i="24"/>
  <c r="E2088" i="24"/>
  <c r="Q2087" i="24"/>
  <c r="G2087" i="24"/>
  <c r="S2086" i="24"/>
  <c r="K2086" i="24"/>
  <c r="A2086" i="24"/>
  <c r="M2085" i="24"/>
  <c r="C2085" i="24"/>
  <c r="O2084" i="24"/>
  <c r="E2084" i="24"/>
  <c r="Q2083" i="24"/>
  <c r="G2083" i="24"/>
  <c r="S2082" i="24"/>
  <c r="K2082" i="24"/>
  <c r="E2082" i="24"/>
  <c r="A2082" i="24"/>
  <c r="Q2081" i="24"/>
  <c r="M2081" i="24"/>
  <c r="G2081" i="24"/>
  <c r="C2081" i="24"/>
  <c r="S2080" i="24"/>
  <c r="O2080" i="24"/>
  <c r="K2080" i="24"/>
  <c r="E2080" i="24"/>
  <c r="A2080" i="24"/>
  <c r="Q2079" i="24"/>
  <c r="M2079" i="24"/>
  <c r="G2079" i="24"/>
  <c r="C2079" i="24"/>
  <c r="S2078" i="24"/>
  <c r="O2078" i="24"/>
  <c r="K2078" i="24"/>
  <c r="E2078" i="24"/>
  <c r="A2078" i="24"/>
  <c r="Q2077" i="24"/>
  <c r="M2077" i="24"/>
  <c r="G2077" i="24"/>
  <c r="C2077" i="24"/>
  <c r="S2076" i="24"/>
  <c r="O2076" i="24"/>
  <c r="K2076" i="24"/>
  <c r="E2076" i="24"/>
  <c r="A2076" i="24"/>
  <c r="Q2075" i="24"/>
  <c r="M2075" i="24"/>
  <c r="G2075" i="24"/>
  <c r="C2075" i="24"/>
  <c r="S2074" i="24"/>
  <c r="O2074" i="24"/>
  <c r="K2074" i="24"/>
  <c r="E2074" i="24"/>
  <c r="A2074" i="24"/>
  <c r="Q2073" i="24"/>
  <c r="M2073" i="24"/>
  <c r="G2073" i="24"/>
  <c r="C2073" i="24"/>
  <c r="S2072" i="24"/>
  <c r="O2072" i="24"/>
  <c r="K2072" i="24"/>
  <c r="E2072" i="24"/>
  <c r="A2072" i="24"/>
  <c r="Q2071" i="24"/>
  <c r="M2071" i="24"/>
  <c r="G2071" i="24"/>
  <c r="C2071" i="24"/>
  <c r="S2070" i="24"/>
  <c r="O2070" i="24"/>
  <c r="K2070" i="24"/>
  <c r="E2070" i="24"/>
  <c r="A2070" i="24"/>
  <c r="Q2069" i="24"/>
  <c r="M2069" i="24"/>
  <c r="G2069" i="24"/>
  <c r="C2069" i="24"/>
  <c r="S2068" i="24"/>
  <c r="O2068" i="24"/>
  <c r="K2068" i="24"/>
  <c r="E2068" i="24"/>
  <c r="A2068" i="24"/>
  <c r="Q2067" i="24"/>
  <c r="M2067" i="24"/>
  <c r="G2067" i="24"/>
  <c r="C2067" i="24"/>
  <c r="S2066" i="24"/>
  <c r="O2066" i="24"/>
  <c r="K2066" i="24"/>
  <c r="E2066" i="24"/>
  <c r="A2066" i="24"/>
  <c r="Q2065" i="24"/>
  <c r="M2065" i="24"/>
  <c r="G2065" i="24"/>
  <c r="C2065" i="24"/>
  <c r="S2064" i="24"/>
  <c r="O2064" i="24"/>
  <c r="K2064" i="24"/>
  <c r="E2064" i="24"/>
  <c r="A2064" i="24"/>
  <c r="Q2063" i="24"/>
  <c r="M2063" i="24"/>
  <c r="G2063" i="24"/>
  <c r="C2063" i="24"/>
  <c r="S2062" i="24"/>
  <c r="O2062" i="24"/>
  <c r="K2062" i="24"/>
  <c r="E2062" i="24"/>
  <c r="A2062" i="24"/>
  <c r="Q2061" i="24"/>
  <c r="M2061" i="24"/>
  <c r="G2061" i="24"/>
  <c r="C2061" i="24"/>
  <c r="S2060" i="24"/>
  <c r="O2060" i="24"/>
  <c r="K2060" i="24"/>
  <c r="E2060" i="24"/>
  <c r="A2060" i="24"/>
  <c r="Q2059" i="24"/>
  <c r="M2059" i="24"/>
  <c r="G2059" i="24"/>
  <c r="C2059" i="24"/>
  <c r="S2058" i="24"/>
  <c r="O2058" i="24"/>
  <c r="K2058" i="24"/>
  <c r="E2058" i="24"/>
  <c r="A2058" i="24"/>
  <c r="Q2057" i="24"/>
  <c r="M2057" i="24"/>
  <c r="G2057" i="24"/>
  <c r="C2057" i="24"/>
  <c r="S2056" i="24"/>
  <c r="O2056" i="24"/>
  <c r="K2056" i="24"/>
  <c r="E2056" i="24"/>
  <c r="A2056" i="24"/>
  <c r="Q2055" i="24"/>
  <c r="M2055" i="24"/>
  <c r="G2055" i="24"/>
  <c r="C2055" i="24"/>
  <c r="S2054" i="24"/>
  <c r="O2054" i="24"/>
  <c r="K2054" i="24"/>
  <c r="E2054" i="24"/>
  <c r="A2054" i="24"/>
  <c r="Q2053" i="24"/>
  <c r="M2053" i="24"/>
  <c r="G2053" i="24"/>
  <c r="C2053" i="24"/>
  <c r="S2052" i="24"/>
  <c r="O2052" i="24"/>
  <c r="K2052" i="24"/>
  <c r="E2052" i="24"/>
  <c r="A2052" i="24"/>
  <c r="Q2051" i="24"/>
  <c r="M2051" i="24"/>
  <c r="G2051" i="24"/>
  <c r="C2051" i="24"/>
  <c r="S2050" i="24"/>
  <c r="O2050" i="24"/>
  <c r="K2050" i="24"/>
  <c r="E2050" i="24"/>
  <c r="A2050" i="24"/>
  <c r="Q2049" i="24"/>
  <c r="M2049" i="24"/>
  <c r="G2049" i="24"/>
  <c r="C2049" i="24"/>
  <c r="S2048" i="24"/>
  <c r="O2048" i="24"/>
  <c r="K2048" i="24"/>
  <c r="E2048" i="24"/>
  <c r="A2048" i="24"/>
  <c r="Q2047" i="24"/>
  <c r="M2047" i="24"/>
  <c r="G2047" i="24"/>
  <c r="C2047" i="24"/>
  <c r="S2046" i="24"/>
  <c r="O2046" i="24"/>
  <c r="K2046" i="24"/>
  <c r="E2046" i="24"/>
  <c r="A2046" i="24"/>
  <c r="Q2045" i="24"/>
  <c r="M2045" i="24"/>
  <c r="G2045" i="24"/>
  <c r="C2045" i="24"/>
  <c r="S2044" i="24"/>
  <c r="O2044" i="24"/>
  <c r="K2044" i="24"/>
  <c r="E2044" i="24"/>
  <c r="A2044" i="24"/>
  <c r="Q2043" i="24"/>
  <c r="M2043" i="24"/>
  <c r="G2043" i="24"/>
  <c r="C2043" i="24"/>
  <c r="S2042" i="24"/>
  <c r="O2042" i="24"/>
  <c r="K2042" i="24"/>
  <c r="E2042" i="24"/>
  <c r="A2042" i="24"/>
  <c r="Q2041" i="24"/>
  <c r="M2041" i="24"/>
  <c r="G2041" i="24"/>
  <c r="C2041" i="24"/>
  <c r="S2040" i="24"/>
  <c r="O2040" i="24"/>
  <c r="K2040" i="24"/>
  <c r="E2040" i="24"/>
  <c r="A2040" i="24"/>
  <c r="Q2039" i="24"/>
  <c r="M2039" i="24"/>
  <c r="G2039" i="24"/>
  <c r="C2039" i="24"/>
  <c r="S2038" i="24"/>
  <c r="O2038" i="24"/>
  <c r="K2038" i="24"/>
  <c r="E2038" i="24"/>
  <c r="A2038" i="24"/>
  <c r="Q2037" i="24"/>
  <c r="M2037" i="24"/>
  <c r="G2037" i="24"/>
  <c r="C2037" i="24"/>
  <c r="S2036" i="24"/>
  <c r="O2036" i="24"/>
  <c r="K2036" i="24"/>
  <c r="E2036" i="24"/>
  <c r="A2036" i="24"/>
  <c r="Q2035" i="24"/>
  <c r="M2035" i="24"/>
  <c r="G2035" i="24"/>
  <c r="C2035" i="24"/>
  <c r="S2034" i="24"/>
  <c r="O2034" i="24"/>
  <c r="K2034" i="24"/>
  <c r="E2034" i="24"/>
  <c r="A2034" i="24"/>
  <c r="Q2033" i="24"/>
  <c r="M2033" i="24"/>
  <c r="G2033" i="24"/>
  <c r="C2033" i="24"/>
  <c r="S2032" i="24"/>
  <c r="O2032" i="24"/>
  <c r="K2032" i="24"/>
  <c r="E2032" i="24"/>
  <c r="A2032" i="24"/>
  <c r="Q2031" i="24"/>
  <c r="M2031" i="24"/>
  <c r="G2031" i="24"/>
  <c r="C2031" i="24"/>
  <c r="S2030" i="24"/>
  <c r="O2030" i="24"/>
  <c r="K2030" i="24"/>
  <c r="E2030" i="24"/>
  <c r="A2030" i="24"/>
  <c r="Q2029" i="24"/>
  <c r="M2029" i="24"/>
  <c r="G2029" i="24"/>
  <c r="C2029" i="24"/>
  <c r="S2028" i="24"/>
  <c r="O2028" i="24"/>
  <c r="K2028" i="24"/>
  <c r="E2028" i="24"/>
  <c r="A2028" i="24"/>
  <c r="Q2027" i="24"/>
  <c r="M2027" i="24"/>
  <c r="G2027" i="24"/>
  <c r="C2027" i="24"/>
  <c r="S2026" i="24"/>
  <c r="O2026" i="24"/>
  <c r="K2026" i="24"/>
  <c r="E2026" i="24"/>
  <c r="A2026" i="24"/>
  <c r="Q2025" i="24"/>
  <c r="M2025" i="24"/>
  <c r="G2025" i="24"/>
  <c r="C2025" i="24"/>
  <c r="S2024" i="24"/>
  <c r="O2024" i="24"/>
  <c r="K2024" i="24"/>
  <c r="E2024" i="24"/>
  <c r="A2024" i="24"/>
  <c r="Q2023" i="24"/>
  <c r="M2023" i="24"/>
  <c r="G2023" i="24"/>
  <c r="C2023" i="24"/>
  <c r="S2022" i="24"/>
  <c r="O2022" i="24"/>
  <c r="K2022" i="24"/>
  <c r="E2022" i="24"/>
  <c r="A2022" i="24"/>
  <c r="Q2021" i="24"/>
  <c r="M2021" i="24"/>
  <c r="G2021" i="24"/>
  <c r="C2021" i="24"/>
  <c r="S2020" i="24"/>
  <c r="O2020" i="24"/>
  <c r="K2020" i="24"/>
  <c r="E2020" i="24"/>
  <c r="A2020" i="24"/>
  <c r="Q2019" i="24"/>
  <c r="M2019" i="24"/>
  <c r="G2019" i="24"/>
  <c r="C2019" i="24"/>
  <c r="S2018" i="24"/>
  <c r="O2018" i="24"/>
  <c r="K2018" i="24"/>
  <c r="E2018" i="24"/>
  <c r="A2018" i="24"/>
  <c r="Q2017" i="24"/>
  <c r="M2017" i="24"/>
  <c r="G2017" i="24"/>
  <c r="C2017" i="24"/>
  <c r="S2016" i="24"/>
  <c r="O2016" i="24"/>
  <c r="K2016" i="24"/>
  <c r="E2016" i="24"/>
  <c r="A2016" i="24"/>
  <c r="Q2015" i="24"/>
  <c r="M2015" i="24"/>
  <c r="G2015" i="24"/>
  <c r="C2015" i="24"/>
  <c r="S2014" i="24"/>
  <c r="O2014" i="24"/>
  <c r="K2014" i="24"/>
  <c r="E2014" i="24"/>
  <c r="A2014" i="24"/>
  <c r="Q2013" i="24"/>
  <c r="M2013" i="24"/>
  <c r="G2013" i="24"/>
  <c r="C2013" i="24"/>
  <c r="S2012" i="24"/>
  <c r="O2012" i="24"/>
  <c r="K2012" i="24"/>
  <c r="E2012" i="24"/>
  <c r="A2012" i="24"/>
  <c r="Q2011" i="24"/>
  <c r="M2011" i="24"/>
  <c r="G2011" i="24"/>
  <c r="C2011" i="24"/>
  <c r="S2010" i="24"/>
  <c r="O2010" i="24"/>
  <c r="K2010" i="24"/>
  <c r="E2010" i="24"/>
  <c r="A2010" i="24"/>
  <c r="Q2009" i="24"/>
  <c r="M2009" i="24"/>
  <c r="G2009" i="24"/>
  <c r="C2009" i="24"/>
  <c r="S2008" i="24"/>
  <c r="O2008" i="24"/>
  <c r="K2008" i="24"/>
  <c r="E2008" i="24"/>
  <c r="A2008" i="24"/>
  <c r="Q2007" i="24"/>
  <c r="M2007" i="24"/>
  <c r="G2007" i="24"/>
  <c r="C2007" i="24"/>
  <c r="S2006" i="24"/>
  <c r="O2006" i="24"/>
  <c r="K2006" i="24"/>
  <c r="E2006" i="24"/>
  <c r="A2006" i="24"/>
  <c r="Q2005" i="24"/>
  <c r="M2005" i="24"/>
  <c r="G2005" i="24"/>
  <c r="C2005" i="24"/>
  <c r="S2004" i="24"/>
  <c r="O2004" i="24"/>
  <c r="K2004" i="24"/>
  <c r="E2004" i="24"/>
  <c r="A2004" i="24"/>
  <c r="Q2003" i="24"/>
  <c r="M2003" i="24"/>
  <c r="G2003" i="24"/>
  <c r="C2003" i="24"/>
  <c r="S2002" i="24"/>
  <c r="O2002" i="24"/>
  <c r="K2002" i="24"/>
  <c r="E2002" i="24"/>
  <c r="A2002" i="24"/>
  <c r="Q2001" i="24"/>
  <c r="M2001" i="24"/>
  <c r="G2001" i="24"/>
  <c r="C2001" i="24"/>
  <c r="S2000" i="24"/>
  <c r="O2000" i="24"/>
  <c r="K2000" i="24"/>
  <c r="E2000" i="24"/>
  <c r="A2000" i="24"/>
  <c r="Q1999" i="24"/>
  <c r="M1999" i="24"/>
  <c r="G1999" i="24"/>
  <c r="C1999" i="24"/>
  <c r="S1998" i="24"/>
  <c r="O1998" i="24"/>
  <c r="K1998" i="24"/>
  <c r="E1998" i="24"/>
  <c r="A1998" i="24"/>
  <c r="Q1997" i="24"/>
  <c r="M1997" i="24"/>
  <c r="G1997" i="24"/>
  <c r="C1997" i="24"/>
  <c r="S1996" i="24"/>
  <c r="O1996" i="24"/>
  <c r="K1996" i="24"/>
  <c r="E1996" i="24"/>
  <c r="A1996" i="24"/>
  <c r="Q1995" i="24"/>
  <c r="M1995" i="24"/>
  <c r="G1995" i="24"/>
  <c r="C1995" i="24"/>
  <c r="S1994" i="24"/>
  <c r="O1994" i="24"/>
  <c r="K1994" i="24"/>
  <c r="E1994" i="24"/>
  <c r="A1994" i="24"/>
  <c r="Q1993" i="24"/>
  <c r="M1993" i="24"/>
  <c r="G1993" i="24"/>
  <c r="C1993" i="24"/>
  <c r="S1992" i="24"/>
  <c r="O1992" i="24"/>
  <c r="K1992" i="24"/>
  <c r="E1992" i="24"/>
  <c r="A1992" i="24"/>
  <c r="Q1991" i="24"/>
  <c r="M1991" i="24"/>
  <c r="G1991" i="24"/>
  <c r="C1991" i="24"/>
  <c r="S1990" i="24"/>
  <c r="O1990" i="24"/>
  <c r="K1990" i="24"/>
  <c r="E1990" i="24"/>
  <c r="A1990" i="24"/>
  <c r="Q1989" i="24"/>
  <c r="M1989" i="24"/>
  <c r="G1989" i="24"/>
  <c r="C1989" i="24"/>
  <c r="S1988" i="24"/>
  <c r="O1988" i="24"/>
  <c r="K1988" i="24"/>
  <c r="E1988" i="24"/>
  <c r="A1988" i="24"/>
  <c r="Q1987" i="24"/>
  <c r="M1987" i="24"/>
  <c r="G1987" i="24"/>
  <c r="C1987" i="24"/>
  <c r="S1986" i="24"/>
  <c r="O1986" i="24"/>
  <c r="K1986" i="24"/>
  <c r="E1986" i="24"/>
  <c r="A1986" i="24"/>
  <c r="Q1985" i="24"/>
  <c r="M1985" i="24"/>
  <c r="G1985" i="24"/>
  <c r="C1985" i="24"/>
  <c r="S1984" i="24"/>
  <c r="O1984" i="24"/>
  <c r="K1984" i="24"/>
  <c r="E1984" i="24"/>
  <c r="A1984" i="24"/>
  <c r="Q1983" i="24"/>
  <c r="M1983" i="24"/>
  <c r="G1983" i="24"/>
  <c r="C1983" i="24"/>
  <c r="S1982" i="24"/>
  <c r="O1982" i="24"/>
  <c r="K1982" i="24"/>
  <c r="E1982" i="24"/>
  <c r="A1982" i="24"/>
  <c r="Q1981" i="24"/>
  <c r="M1981" i="24"/>
  <c r="G1981" i="24"/>
  <c r="C1981" i="24"/>
  <c r="S1980" i="24"/>
  <c r="O1980" i="24"/>
  <c r="K1980" i="24"/>
  <c r="E1980" i="24"/>
  <c r="A1980" i="24"/>
  <c r="Q1979" i="24"/>
  <c r="M1979" i="24"/>
  <c r="G1979" i="24"/>
  <c r="C1979" i="24"/>
  <c r="S1978" i="24"/>
  <c r="O1978" i="24"/>
  <c r="K1978" i="24"/>
  <c r="E1978" i="24"/>
  <c r="A1978" i="24"/>
  <c r="Q1977" i="24"/>
  <c r="M1977" i="24"/>
  <c r="G1977" i="24"/>
  <c r="C1977" i="24"/>
  <c r="S1976" i="24"/>
  <c r="O1976" i="24"/>
  <c r="K1976" i="24"/>
  <c r="E1976" i="24"/>
  <c r="A1976" i="24"/>
  <c r="Q1975" i="24"/>
  <c r="M1975" i="24"/>
  <c r="G1975" i="24"/>
  <c r="C1975" i="24"/>
  <c r="S1974" i="24"/>
  <c r="O1974" i="24"/>
  <c r="K1974" i="24"/>
  <c r="E1974" i="24"/>
  <c r="A1974" i="24"/>
  <c r="Q1973" i="24"/>
  <c r="M1973" i="24"/>
  <c r="G1973" i="24"/>
  <c r="C1973" i="24"/>
  <c r="S1972" i="24"/>
  <c r="O1972" i="24"/>
  <c r="K1972" i="24"/>
  <c r="E1972" i="24"/>
  <c r="A1972" i="24"/>
  <c r="Q1971" i="24"/>
  <c r="M1971" i="24"/>
  <c r="G1971" i="24"/>
  <c r="C1971" i="24"/>
  <c r="S1970" i="24"/>
  <c r="O1970" i="24"/>
  <c r="K1970" i="24"/>
  <c r="E1970" i="24"/>
  <c r="A1970" i="24"/>
  <c r="Q1969" i="24"/>
  <c r="M1969" i="24"/>
  <c r="G1969" i="24"/>
  <c r="C1969" i="24"/>
  <c r="S1968" i="24"/>
  <c r="O1968" i="24"/>
  <c r="K1968" i="24"/>
  <c r="E1968" i="24"/>
  <c r="B2362" i="24"/>
  <c r="F2360" i="24"/>
  <c r="L2358" i="24"/>
  <c r="P2356" i="24"/>
  <c r="T2354" i="24"/>
  <c r="D2353" i="24"/>
  <c r="H2351" i="24"/>
  <c r="N2349" i="24"/>
  <c r="R2347" i="24"/>
  <c r="B2346" i="24"/>
  <c r="F2344" i="24"/>
  <c r="L2342" i="24"/>
  <c r="P2340" i="24"/>
  <c r="T2338" i="24"/>
  <c r="D2337" i="24"/>
  <c r="H2335" i="24"/>
  <c r="N2333" i="24"/>
  <c r="R2331" i="24"/>
  <c r="B2330" i="24"/>
  <c r="F2328" i="24"/>
  <c r="L2326" i="24"/>
  <c r="P2324" i="24"/>
  <c r="T2322" i="24"/>
  <c r="D2321" i="24"/>
  <c r="H2319" i="24"/>
  <c r="N2317" i="24"/>
  <c r="R2315" i="24"/>
  <c r="B2314" i="24"/>
  <c r="F2312" i="24"/>
  <c r="L2310" i="24"/>
  <c r="P2308" i="24"/>
  <c r="T2306" i="24"/>
  <c r="D2305" i="24"/>
  <c r="H2303" i="24"/>
  <c r="N2301" i="24"/>
  <c r="R2299" i="24"/>
  <c r="B2298" i="24"/>
  <c r="F2296" i="24"/>
  <c r="L2294" i="24"/>
  <c r="P2292" i="24"/>
  <c r="P2291" i="24"/>
  <c r="F2291" i="24"/>
  <c r="R2290" i="24"/>
  <c r="H2290" i="24"/>
  <c r="T2289" i="24"/>
  <c r="L2289" i="24"/>
  <c r="B2289" i="24"/>
  <c r="N2288" i="24"/>
  <c r="D2288" i="24"/>
  <c r="P2287" i="24"/>
  <c r="F2287" i="24"/>
  <c r="R2286" i="24"/>
  <c r="H2286" i="24"/>
  <c r="T2285" i="24"/>
  <c r="L2285" i="24"/>
  <c r="B2285" i="24"/>
  <c r="N2284" i="24"/>
  <c r="D2284" i="24"/>
  <c r="P2283" i="24"/>
  <c r="F2283" i="24"/>
  <c r="R2282" i="24"/>
  <c r="H2282" i="24"/>
  <c r="T2281" i="24"/>
  <c r="L2281" i="24"/>
  <c r="B2281" i="24"/>
  <c r="N2280" i="24"/>
  <c r="D2280" i="24"/>
  <c r="P2279" i="24"/>
  <c r="F2279" i="24"/>
  <c r="R2278" i="24"/>
  <c r="H2278" i="24"/>
  <c r="T2277" i="24"/>
  <c r="L2277" i="24"/>
  <c r="B2277" i="24"/>
  <c r="N2276" i="24"/>
  <c r="D2276" i="24"/>
  <c r="P2275" i="24"/>
  <c r="F2275" i="24"/>
  <c r="R2274" i="24"/>
  <c r="H2274" i="24"/>
  <c r="T2273" i="24"/>
  <c r="L2273" i="24"/>
  <c r="B2273" i="24"/>
  <c r="N2272" i="24"/>
  <c r="D2272" i="24"/>
  <c r="P2271" i="24"/>
  <c r="F2271" i="24"/>
  <c r="R2270" i="24"/>
  <c r="H2270" i="24"/>
  <c r="T2269" i="24"/>
  <c r="L2269" i="24"/>
  <c r="B2269" i="24"/>
  <c r="N2268" i="24"/>
  <c r="D2268" i="24"/>
  <c r="P2267" i="24"/>
  <c r="F2267" i="24"/>
  <c r="R2266" i="24"/>
  <c r="H2266" i="24"/>
  <c r="T2265" i="24"/>
  <c r="L2265" i="24"/>
  <c r="B2265" i="24"/>
  <c r="N2264" i="24"/>
  <c r="D2264" i="24"/>
  <c r="P2263" i="24"/>
  <c r="F2263" i="24"/>
  <c r="R2262" i="24"/>
  <c r="H2262" i="24"/>
  <c r="T2261" i="24"/>
  <c r="L2261" i="24"/>
  <c r="B2261" i="24"/>
  <c r="N2260" i="24"/>
  <c r="D2260" i="24"/>
  <c r="P2259" i="24"/>
  <c r="F2259" i="24"/>
  <c r="R2258" i="24"/>
  <c r="H2258" i="24"/>
  <c r="T2257" i="24"/>
  <c r="L2257" i="24"/>
  <c r="B2257" i="24"/>
  <c r="N2256" i="24"/>
  <c r="D2256" i="24"/>
  <c r="P2255" i="24"/>
  <c r="F2255" i="24"/>
  <c r="R2254" i="24"/>
  <c r="H2254" i="24"/>
  <c r="T2253" i="24"/>
  <c r="L2253" i="24"/>
  <c r="B2253" i="24"/>
  <c r="N2252" i="24"/>
  <c r="D2252" i="24"/>
  <c r="P2251" i="24"/>
  <c r="F2251" i="24"/>
  <c r="R2250" i="24"/>
  <c r="H2250" i="24"/>
  <c r="T2249" i="24"/>
  <c r="L2249" i="24"/>
  <c r="B2249" i="24"/>
  <c r="N2248" i="24"/>
  <c r="D2248" i="24"/>
  <c r="P2247" i="24"/>
  <c r="F2247" i="24"/>
  <c r="R2246" i="24"/>
  <c r="H2246" i="24"/>
  <c r="T2245" i="24"/>
  <c r="L2245" i="24"/>
  <c r="B2245" i="24"/>
  <c r="N2244" i="24"/>
  <c r="D2244" i="24"/>
  <c r="P2243" i="24"/>
  <c r="F2243" i="24"/>
  <c r="R2242" i="24"/>
  <c r="H2242" i="24"/>
  <c r="T2241" i="24"/>
  <c r="L2241" i="24"/>
  <c r="B2241" i="24"/>
  <c r="N2240" i="24"/>
  <c r="D2240" i="24"/>
  <c r="P2239" i="24"/>
  <c r="F2239" i="24"/>
  <c r="R2238" i="24"/>
  <c r="H2238" i="24"/>
  <c r="T2237" i="24"/>
  <c r="L2237" i="24"/>
  <c r="B2237" i="24"/>
  <c r="N2236" i="24"/>
  <c r="D2236" i="24"/>
  <c r="P2235" i="24"/>
  <c r="F2235" i="24"/>
  <c r="R2234" i="24"/>
  <c r="H2234" i="24"/>
  <c r="T2233" i="24"/>
  <c r="L2233" i="24"/>
  <c r="B2233" i="24"/>
  <c r="N2232" i="24"/>
  <c r="D2232" i="24"/>
  <c r="P2231" i="24"/>
  <c r="F2231" i="24"/>
  <c r="R2230" i="24"/>
  <c r="H2230" i="24"/>
  <c r="T2229" i="24"/>
  <c r="L2229" i="24"/>
  <c r="B2229" i="24"/>
  <c r="N2228" i="24"/>
  <c r="D2228" i="24"/>
  <c r="P2227" i="24"/>
  <c r="F2227" i="24"/>
  <c r="R2226" i="24"/>
  <c r="H2226" i="24"/>
  <c r="T2225" i="24"/>
  <c r="L2225" i="24"/>
  <c r="B2225" i="24"/>
  <c r="N2224" i="24"/>
  <c r="D2224" i="24"/>
  <c r="P2223" i="24"/>
  <c r="F2223" i="24"/>
  <c r="R2222" i="24"/>
  <c r="H2222" i="24"/>
  <c r="T2221" i="24"/>
  <c r="L2221" i="24"/>
  <c r="B2221" i="24"/>
  <c r="N2220" i="24"/>
  <c r="D2220" i="24"/>
  <c r="P2219" i="24"/>
  <c r="F2219" i="24"/>
  <c r="R2218" i="24"/>
  <c r="H2218" i="24"/>
  <c r="T2217" i="24"/>
  <c r="L2217" i="24"/>
  <c r="B2217" i="24"/>
  <c r="N2216" i="24"/>
  <c r="D2216" i="24"/>
  <c r="P2215" i="24"/>
  <c r="F2215" i="24"/>
  <c r="R2214" i="24"/>
  <c r="H2214" i="24"/>
  <c r="T2213" i="24"/>
  <c r="L2213" i="24"/>
  <c r="B2213" i="24"/>
  <c r="N2212" i="24"/>
  <c r="D2212" i="24"/>
  <c r="P2211" i="24"/>
  <c r="F2211" i="24"/>
  <c r="R2210" i="24"/>
  <c r="H2210" i="24"/>
  <c r="T2209" i="24"/>
  <c r="L2209" i="24"/>
  <c r="B2209" i="24"/>
  <c r="N2208" i="24"/>
  <c r="D2208" i="24"/>
  <c r="P2207" i="24"/>
  <c r="F2207" i="24"/>
  <c r="R2206" i="24"/>
  <c r="H2206" i="24"/>
  <c r="T2205" i="24"/>
  <c r="L2205" i="24"/>
  <c r="B2205" i="24"/>
  <c r="N2204" i="24"/>
  <c r="D2204" i="24"/>
  <c r="P2203" i="24"/>
  <c r="F2203" i="24"/>
  <c r="R2202" i="24"/>
  <c r="H2202" i="24"/>
  <c r="T2201" i="24"/>
  <c r="L2201" i="24"/>
  <c r="B2201" i="24"/>
  <c r="N2200" i="24"/>
  <c r="D2200" i="24"/>
  <c r="P2199" i="24"/>
  <c r="F2199" i="24"/>
  <c r="R2198" i="24"/>
  <c r="H2198" i="24"/>
  <c r="T2197" i="24"/>
  <c r="L2197" i="24"/>
  <c r="B2197" i="24"/>
  <c r="N2196" i="24"/>
  <c r="D2196" i="24"/>
  <c r="P2195" i="24"/>
  <c r="F2195" i="24"/>
  <c r="R2194" i="24"/>
  <c r="H2194" i="24"/>
  <c r="T2193" i="24"/>
  <c r="L2193" i="24"/>
  <c r="B2193" i="24"/>
  <c r="N2192" i="24"/>
  <c r="D2192" i="24"/>
  <c r="P2191" i="24"/>
  <c r="F2191" i="24"/>
  <c r="R2190" i="24"/>
  <c r="H2190" i="24"/>
  <c r="T2189" i="24"/>
  <c r="L2189" i="24"/>
  <c r="B2189" i="24"/>
  <c r="N2188" i="24"/>
  <c r="D2188" i="24"/>
  <c r="P2187" i="24"/>
  <c r="F2187" i="24"/>
  <c r="R2186" i="24"/>
  <c r="H2186" i="24"/>
  <c r="T2185" i="24"/>
  <c r="L2185" i="24"/>
  <c r="B2185" i="24"/>
  <c r="N2184" i="24"/>
  <c r="D2184" i="24"/>
  <c r="P2183" i="24"/>
  <c r="F2183" i="24"/>
  <c r="R2182" i="24"/>
  <c r="H2182" i="24"/>
  <c r="T2181" i="24"/>
  <c r="L2181" i="24"/>
  <c r="B2181" i="24"/>
  <c r="N2180" i="24"/>
  <c r="D2180" i="24"/>
  <c r="P2179" i="24"/>
  <c r="F2179" i="24"/>
  <c r="R2178" i="24"/>
  <c r="H2178" i="24"/>
  <c r="T2177" i="24"/>
  <c r="L2177" i="24"/>
  <c r="B2177" i="24"/>
  <c r="N2176" i="24"/>
  <c r="D2176" i="24"/>
  <c r="P2175" i="24"/>
  <c r="F2175" i="24"/>
  <c r="R2174" i="24"/>
  <c r="H2174" i="24"/>
  <c r="T2173" i="24"/>
  <c r="L2173" i="24"/>
  <c r="B2173" i="24"/>
  <c r="N2172" i="24"/>
  <c r="D2172" i="24"/>
  <c r="P2171" i="24"/>
  <c r="F2171" i="24"/>
  <c r="R2170" i="24"/>
  <c r="H2170" i="24"/>
  <c r="T2169" i="24"/>
  <c r="L2169" i="24"/>
  <c r="B2169" i="24"/>
  <c r="N2168" i="24"/>
  <c r="D2168" i="24"/>
  <c r="P2167" i="24"/>
  <c r="F2167" i="24"/>
  <c r="R2166" i="24"/>
  <c r="H2166" i="24"/>
  <c r="T2165" i="24"/>
  <c r="L2165" i="24"/>
  <c r="B2165" i="24"/>
  <c r="N2164" i="24"/>
  <c r="D2164" i="24"/>
  <c r="P2163" i="24"/>
  <c r="F2163" i="24"/>
  <c r="R2162" i="24"/>
  <c r="H2162" i="24"/>
  <c r="T2161" i="24"/>
  <c r="L2161" i="24"/>
  <c r="B2161" i="24"/>
  <c r="N2160" i="24"/>
  <c r="D2160" i="24"/>
  <c r="P2159" i="24"/>
  <c r="F2159" i="24"/>
  <c r="R2158" i="24"/>
  <c r="H2158" i="24"/>
  <c r="T2157" i="24"/>
  <c r="L2157" i="24"/>
  <c r="B2157" i="24"/>
  <c r="N2156" i="24"/>
  <c r="D2156" i="24"/>
  <c r="P2155" i="24"/>
  <c r="F2155" i="24"/>
  <c r="R2154" i="24"/>
  <c r="H2154" i="24"/>
  <c r="T2153" i="24"/>
  <c r="L2153" i="24"/>
  <c r="B2153" i="24"/>
  <c r="N2152" i="24"/>
  <c r="D2152" i="24"/>
  <c r="P2151" i="24"/>
  <c r="F2151" i="24"/>
  <c r="R2150" i="24"/>
  <c r="H2150" i="24"/>
  <c r="T2149" i="24"/>
  <c r="L2149" i="24"/>
  <c r="B2149" i="24"/>
  <c r="N2148" i="24"/>
  <c r="D2148" i="24"/>
  <c r="P2147" i="24"/>
  <c r="F2147" i="24"/>
  <c r="R2146" i="24"/>
  <c r="H2146" i="24"/>
  <c r="T2145" i="24"/>
  <c r="L2145" i="24"/>
  <c r="B2145" i="24"/>
  <c r="N2144" i="24"/>
  <c r="D2144" i="24"/>
  <c r="P2143" i="24"/>
  <c r="F2143" i="24"/>
  <c r="R2142" i="24"/>
  <c r="H2142" i="24"/>
  <c r="T2141" i="24"/>
  <c r="L2141" i="24"/>
  <c r="B2141" i="24"/>
  <c r="N2140" i="24"/>
  <c r="D2140" i="24"/>
  <c r="P2139" i="24"/>
  <c r="F2139" i="24"/>
  <c r="R2138" i="24"/>
  <c r="H2138" i="24"/>
  <c r="T2137" i="24"/>
  <c r="L2137" i="24"/>
  <c r="B2137" i="24"/>
  <c r="N2136" i="24"/>
  <c r="D2136" i="24"/>
  <c r="P2135" i="24"/>
  <c r="F2135" i="24"/>
  <c r="R2134" i="24"/>
  <c r="H2134" i="24"/>
  <c r="T2133" i="24"/>
  <c r="L2133" i="24"/>
  <c r="B2133" i="24"/>
  <c r="N2132" i="24"/>
  <c r="D2132" i="24"/>
  <c r="P2131" i="24"/>
  <c r="F2131" i="24"/>
  <c r="R2130" i="24"/>
  <c r="H2130" i="24"/>
  <c r="T2129" i="24"/>
  <c r="L2129" i="24"/>
  <c r="B2129" i="24"/>
  <c r="N2128" i="24"/>
  <c r="D2128" i="24"/>
  <c r="P2127" i="24"/>
  <c r="F2127" i="24"/>
  <c r="R2126" i="24"/>
  <c r="H2126" i="24"/>
  <c r="T2125" i="24"/>
  <c r="L2125" i="24"/>
  <c r="B2125" i="24"/>
  <c r="N2124" i="24"/>
  <c r="D2124" i="24"/>
  <c r="P2123" i="24"/>
  <c r="F2123" i="24"/>
  <c r="R2122" i="24"/>
  <c r="H2122" i="24"/>
  <c r="T2121" i="24"/>
  <c r="L2121" i="24"/>
  <c r="B2121" i="24"/>
  <c r="N2120" i="24"/>
  <c r="D2120" i="24"/>
  <c r="P2119" i="24"/>
  <c r="F2119" i="24"/>
  <c r="R2118" i="24"/>
  <c r="H2118" i="24"/>
  <c r="T2117" i="24"/>
  <c r="L2117" i="24"/>
  <c r="B2117" i="24"/>
  <c r="N2116" i="24"/>
  <c r="D2116" i="24"/>
  <c r="P2115" i="24"/>
  <c r="F2115" i="24"/>
  <c r="R2114" i="24"/>
  <c r="H2114" i="24"/>
  <c r="T2113" i="24"/>
  <c r="L2113" i="24"/>
  <c r="B2113" i="24"/>
  <c r="N2112" i="24"/>
  <c r="D2112" i="24"/>
  <c r="P2111" i="24"/>
  <c r="F2111" i="24"/>
  <c r="R2110" i="24"/>
  <c r="H2110" i="24"/>
  <c r="T2109" i="24"/>
  <c r="L2109" i="24"/>
  <c r="B2109" i="24"/>
  <c r="N2108" i="24"/>
  <c r="D2108" i="24"/>
  <c r="P2107" i="24"/>
  <c r="F2107" i="24"/>
  <c r="R2106" i="24"/>
  <c r="H2106" i="24"/>
  <c r="T2105" i="24"/>
  <c r="L2105" i="24"/>
  <c r="B2105" i="24"/>
  <c r="N2104" i="24"/>
  <c r="D2104" i="24"/>
  <c r="P2103" i="24"/>
  <c r="F2103" i="24"/>
  <c r="R2102" i="24"/>
  <c r="H2102" i="24"/>
  <c r="T2101" i="24"/>
  <c r="L2101" i="24"/>
  <c r="B2101" i="24"/>
  <c r="N2100" i="24"/>
  <c r="D2100" i="24"/>
  <c r="P2099" i="24"/>
  <c r="F2099" i="24"/>
  <c r="R2098" i="24"/>
  <c r="H2098" i="24"/>
  <c r="T2097" i="24"/>
  <c r="L2097" i="24"/>
  <c r="B2097" i="24"/>
  <c r="N2096" i="24"/>
  <c r="D2096" i="24"/>
  <c r="P2095" i="24"/>
  <c r="F2095" i="24"/>
  <c r="R2094" i="24"/>
  <c r="H2094" i="24"/>
  <c r="T2093" i="24"/>
  <c r="L2093" i="24"/>
  <c r="B2093" i="24"/>
  <c r="N2092" i="24"/>
  <c r="D2092" i="24"/>
  <c r="P2091" i="24"/>
  <c r="F2091" i="24"/>
  <c r="R2090" i="24"/>
  <c r="H2090" i="24"/>
  <c r="T2089" i="24"/>
  <c r="L2089" i="24"/>
  <c r="B2089" i="24"/>
  <c r="N2088" i="24"/>
  <c r="D2088" i="24"/>
  <c r="P2087" i="24"/>
  <c r="F2087" i="24"/>
  <c r="R2086" i="24"/>
  <c r="H2086" i="24"/>
  <c r="T2085" i="24"/>
  <c r="L2085" i="24"/>
  <c r="B2085" i="24"/>
  <c r="N2084" i="24"/>
  <c r="D2084" i="24"/>
  <c r="P2083" i="24"/>
  <c r="F2083" i="24"/>
  <c r="R2082" i="24"/>
  <c r="H2082" i="24"/>
  <c r="D2082" i="24"/>
  <c r="T2081" i="24"/>
  <c r="P2081" i="24"/>
  <c r="L2081" i="24"/>
  <c r="F2081" i="24"/>
  <c r="B2081" i="24"/>
  <c r="R2080" i="24"/>
  <c r="N2080" i="24"/>
  <c r="H2080" i="24"/>
  <c r="D2080" i="24"/>
  <c r="T2079" i="24"/>
  <c r="P2079" i="24"/>
  <c r="L2079" i="24"/>
  <c r="F2079" i="24"/>
  <c r="B2079" i="24"/>
  <c r="R2078" i="24"/>
  <c r="N2078" i="24"/>
  <c r="H2078" i="24"/>
  <c r="D2078" i="24"/>
  <c r="T2077" i="24"/>
  <c r="P2077" i="24"/>
  <c r="L2077" i="24"/>
  <c r="F2077" i="24"/>
  <c r="B2077" i="24"/>
  <c r="R2076" i="24"/>
  <c r="N2076" i="24"/>
  <c r="H2076" i="24"/>
  <c r="D2076" i="24"/>
  <c r="T2075" i="24"/>
  <c r="P2075" i="24"/>
  <c r="L2075" i="24"/>
  <c r="F2075" i="24"/>
  <c r="B2075" i="24"/>
  <c r="R2074" i="24"/>
  <c r="N2074" i="24"/>
  <c r="H2074" i="24"/>
  <c r="D2074" i="24"/>
  <c r="T2073" i="24"/>
  <c r="P2073" i="24"/>
  <c r="L2073" i="24"/>
  <c r="F2073" i="24"/>
  <c r="B2073" i="24"/>
  <c r="R2072" i="24"/>
  <c r="N2072" i="24"/>
  <c r="H2072" i="24"/>
  <c r="D2072" i="24"/>
  <c r="T2071" i="24"/>
  <c r="P2071" i="24"/>
  <c r="L2071" i="24"/>
  <c r="F2071" i="24"/>
  <c r="B2071" i="24"/>
  <c r="R2070" i="24"/>
  <c r="N2070" i="24"/>
  <c r="H2070" i="24"/>
  <c r="D2070" i="24"/>
  <c r="T2069" i="24"/>
  <c r="P2069" i="24"/>
  <c r="L2069" i="24"/>
  <c r="F2069" i="24"/>
  <c r="B2069" i="24"/>
  <c r="R2068" i="24"/>
  <c r="N2068" i="24"/>
  <c r="H2068" i="24"/>
  <c r="D2068" i="24"/>
  <c r="T2067" i="24"/>
  <c r="P2067" i="24"/>
  <c r="L2067" i="24"/>
  <c r="F2067" i="24"/>
  <c r="B2067" i="24"/>
  <c r="R2066" i="24"/>
  <c r="N2066" i="24"/>
  <c r="H2066" i="24"/>
  <c r="D2066" i="24"/>
  <c r="T2065" i="24"/>
  <c r="P2065" i="24"/>
  <c r="L2065" i="24"/>
  <c r="F2065" i="24"/>
  <c r="B2065" i="24"/>
  <c r="R2064" i="24"/>
  <c r="N2064" i="24"/>
  <c r="H2064" i="24"/>
  <c r="D2064" i="24"/>
  <c r="T2063" i="24"/>
  <c r="P2063" i="24"/>
  <c r="L2063" i="24"/>
  <c r="F2063" i="24"/>
  <c r="B2063" i="24"/>
  <c r="R2062" i="24"/>
  <c r="N2062" i="24"/>
  <c r="H2062" i="24"/>
  <c r="D2062" i="24"/>
  <c r="T2061" i="24"/>
  <c r="P2061" i="24"/>
  <c r="L2061" i="24"/>
  <c r="F2061" i="24"/>
  <c r="B2061" i="24"/>
  <c r="R2060" i="24"/>
  <c r="N2060" i="24"/>
  <c r="H2060" i="24"/>
  <c r="D2060" i="24"/>
  <c r="T2059" i="24"/>
  <c r="P2059" i="24"/>
  <c r="L2059" i="24"/>
  <c r="F2059" i="24"/>
  <c r="B2059" i="24"/>
  <c r="R2058" i="24"/>
  <c r="N2058" i="24"/>
  <c r="H2058" i="24"/>
  <c r="D2058" i="24"/>
  <c r="T2057" i="24"/>
  <c r="P2057" i="24"/>
  <c r="L2057" i="24"/>
  <c r="F2057" i="24"/>
  <c r="B2057" i="24"/>
  <c r="R2056" i="24"/>
  <c r="N2056" i="24"/>
  <c r="H2056" i="24"/>
  <c r="D2056" i="24"/>
  <c r="T2055" i="24"/>
  <c r="P2055" i="24"/>
  <c r="L2055" i="24"/>
  <c r="F2055" i="24"/>
  <c r="B2055" i="24"/>
  <c r="R2054" i="24"/>
  <c r="N2054" i="24"/>
  <c r="H2054" i="24"/>
  <c r="D2054" i="24"/>
  <c r="T2053" i="24"/>
  <c r="P2053" i="24"/>
  <c r="L2053" i="24"/>
  <c r="F2053" i="24"/>
  <c r="B2053" i="24"/>
  <c r="R2052" i="24"/>
  <c r="N2052" i="24"/>
  <c r="H2052" i="24"/>
  <c r="D2052" i="24"/>
  <c r="T2051" i="24"/>
  <c r="P2051" i="24"/>
  <c r="L2051" i="24"/>
  <c r="F2051" i="24"/>
  <c r="B2051" i="24"/>
  <c r="R2050" i="24"/>
  <c r="N2050" i="24"/>
  <c r="H2050" i="24"/>
  <c r="D2050" i="24"/>
  <c r="T2049" i="24"/>
  <c r="P2049" i="24"/>
  <c r="L2049" i="24"/>
  <c r="F2049" i="24"/>
  <c r="B2049" i="24"/>
  <c r="R2048" i="24"/>
  <c r="N2048" i="24"/>
  <c r="H2048" i="24"/>
  <c r="D2048" i="24"/>
  <c r="T2047" i="24"/>
  <c r="P2047" i="24"/>
  <c r="L2047" i="24"/>
  <c r="F2047" i="24"/>
  <c r="B2047" i="24"/>
  <c r="R2046" i="24"/>
  <c r="N2046" i="24"/>
  <c r="H2046" i="24"/>
  <c r="D2046" i="24"/>
  <c r="T2045" i="24"/>
  <c r="P2045" i="24"/>
  <c r="L2045" i="24"/>
  <c r="F2045" i="24"/>
  <c r="B2045" i="24"/>
  <c r="R2044" i="24"/>
  <c r="N2044" i="24"/>
  <c r="H2044" i="24"/>
  <c r="D2044" i="24"/>
  <c r="T2043" i="24"/>
  <c r="P2043" i="24"/>
  <c r="L2043" i="24"/>
  <c r="F2043" i="24"/>
  <c r="B2043" i="24"/>
  <c r="R2042" i="24"/>
  <c r="N2042" i="24"/>
  <c r="H2042" i="24"/>
  <c r="D2042" i="24"/>
  <c r="T2041" i="24"/>
  <c r="P2041" i="24"/>
  <c r="L2041" i="24"/>
  <c r="F2041" i="24"/>
  <c r="B2041" i="24"/>
  <c r="R2040" i="24"/>
  <c r="N2040" i="24"/>
  <c r="H2040" i="24"/>
  <c r="D2040" i="24"/>
  <c r="T2039" i="24"/>
  <c r="P2039" i="24"/>
  <c r="L2039" i="24"/>
  <c r="F2039" i="24"/>
  <c r="B2039" i="24"/>
  <c r="R2038" i="24"/>
  <c r="N2038" i="24"/>
  <c r="H2038" i="24"/>
  <c r="D2038" i="24"/>
  <c r="T2037" i="24"/>
  <c r="P2037" i="24"/>
  <c r="L2037" i="24"/>
  <c r="F2037" i="24"/>
  <c r="B2037" i="24"/>
  <c r="R2036" i="24"/>
  <c r="N2036" i="24"/>
  <c r="H2036" i="24"/>
  <c r="D2036" i="24"/>
  <c r="T2035" i="24"/>
  <c r="P2035" i="24"/>
  <c r="L2035" i="24"/>
  <c r="F2035" i="24"/>
  <c r="B2035" i="24"/>
  <c r="R2034" i="24"/>
  <c r="N2034" i="24"/>
  <c r="H2034" i="24"/>
  <c r="D2034" i="24"/>
  <c r="T2033" i="24"/>
  <c r="P2033" i="24"/>
  <c r="L2033" i="24"/>
  <c r="F2033" i="24"/>
  <c r="B2033" i="24"/>
  <c r="R2032" i="24"/>
  <c r="N2032" i="24"/>
  <c r="H2032" i="24"/>
  <c r="D2032" i="24"/>
  <c r="T2031" i="24"/>
  <c r="P2031" i="24"/>
  <c r="L2031" i="24"/>
  <c r="F2031" i="24"/>
  <c r="B2031" i="24"/>
  <c r="R2030" i="24"/>
  <c r="N2030" i="24"/>
  <c r="H2030" i="24"/>
  <c r="D2030" i="24"/>
  <c r="T2029" i="24"/>
  <c r="P2029" i="24"/>
  <c r="L2029" i="24"/>
  <c r="F2029" i="24"/>
  <c r="B2029" i="24"/>
  <c r="R2028" i="24"/>
  <c r="N2028" i="24"/>
  <c r="H2028" i="24"/>
  <c r="D2028" i="24"/>
  <c r="T2027" i="24"/>
  <c r="P2027" i="24"/>
  <c r="L2027" i="24"/>
  <c r="F2027" i="24"/>
  <c r="B2027" i="24"/>
  <c r="R2026" i="24"/>
  <c r="N2026" i="24"/>
  <c r="H2026" i="24"/>
  <c r="D2026" i="24"/>
  <c r="T2025" i="24"/>
  <c r="P2025" i="24"/>
  <c r="L2025" i="24"/>
  <c r="F2025" i="24"/>
  <c r="B2025" i="24"/>
  <c r="R2024" i="24"/>
  <c r="N2024" i="24"/>
  <c r="H2024" i="24"/>
  <c r="D2024" i="24"/>
  <c r="T2023" i="24"/>
  <c r="P2023" i="24"/>
  <c r="L2023" i="24"/>
  <c r="F2023" i="24"/>
  <c r="B2023" i="24"/>
  <c r="R2022" i="24"/>
  <c r="N2022" i="24"/>
  <c r="H2022" i="24"/>
  <c r="D2022" i="24"/>
  <c r="T2021" i="24"/>
  <c r="P2021" i="24"/>
  <c r="L2021" i="24"/>
  <c r="F2021" i="24"/>
  <c r="B2021" i="24"/>
  <c r="R2020" i="24"/>
  <c r="N2020" i="24"/>
  <c r="H2020" i="24"/>
  <c r="D2020" i="24"/>
  <c r="T2019" i="24"/>
  <c r="P2019" i="24"/>
  <c r="L2019" i="24"/>
  <c r="F2019" i="24"/>
  <c r="B2019" i="24"/>
  <c r="R2018" i="24"/>
  <c r="N2018" i="24"/>
  <c r="H2018" i="24"/>
  <c r="D2018" i="24"/>
  <c r="T2017" i="24"/>
  <c r="P2017" i="24"/>
  <c r="L2017" i="24"/>
  <c r="F2017" i="24"/>
  <c r="B2017" i="24"/>
  <c r="R2016" i="24"/>
  <c r="N2016" i="24"/>
  <c r="H2016" i="24"/>
  <c r="D2016" i="24"/>
  <c r="T2015" i="24"/>
  <c r="P2015" i="24"/>
  <c r="L2015" i="24"/>
  <c r="F2015" i="24"/>
  <c r="B2015" i="24"/>
  <c r="R2014" i="24"/>
  <c r="N2014" i="24"/>
  <c r="H2014" i="24"/>
  <c r="D2014" i="24"/>
  <c r="T2013" i="24"/>
  <c r="P2013" i="24"/>
  <c r="L2013" i="24"/>
  <c r="F2013" i="24"/>
  <c r="B2013" i="24"/>
  <c r="R2012" i="24"/>
  <c r="N2012" i="24"/>
  <c r="H2012" i="24"/>
  <c r="D2012" i="24"/>
  <c r="T2011" i="24"/>
  <c r="P2011" i="24"/>
  <c r="L2011" i="24"/>
  <c r="F2011" i="24"/>
  <c r="B2011" i="24"/>
  <c r="R2010" i="24"/>
  <c r="N2010" i="24"/>
  <c r="H2010" i="24"/>
  <c r="D2010" i="24"/>
  <c r="T2009" i="24"/>
  <c r="P2009" i="24"/>
  <c r="L2009" i="24"/>
  <c r="F2009" i="24"/>
  <c r="B2009" i="24"/>
  <c r="R2008" i="24"/>
  <c r="N2008" i="24"/>
  <c r="H2008" i="24"/>
  <c r="D2008" i="24"/>
  <c r="T2007" i="24"/>
  <c r="P2007" i="24"/>
  <c r="L2007" i="24"/>
  <c r="F2007" i="24"/>
  <c r="B2007" i="24"/>
  <c r="R2006" i="24"/>
  <c r="N2006" i="24"/>
  <c r="H2006" i="24"/>
  <c r="D2006" i="24"/>
  <c r="T2005" i="24"/>
  <c r="P2005" i="24"/>
  <c r="L2005" i="24"/>
  <c r="F2005" i="24"/>
  <c r="B2005" i="24"/>
  <c r="R2004" i="24"/>
  <c r="N2004" i="24"/>
  <c r="H2004" i="24"/>
  <c r="D2004" i="24"/>
  <c r="T2003" i="24"/>
  <c r="P2003" i="24"/>
  <c r="L2003" i="24"/>
  <c r="F2003" i="24"/>
  <c r="B2003" i="24"/>
  <c r="R2002" i="24"/>
  <c r="N2002" i="24"/>
  <c r="H2002" i="24"/>
  <c r="D2002" i="24"/>
  <c r="T2001" i="24"/>
  <c r="P2001" i="24"/>
  <c r="L2001" i="24"/>
  <c r="F2001" i="24"/>
  <c r="B2001" i="24"/>
  <c r="R2000" i="24"/>
  <c r="N2000" i="24"/>
  <c r="H2000" i="24"/>
  <c r="D2000" i="24"/>
  <c r="T1999" i="24"/>
  <c r="P1999" i="24"/>
  <c r="L1999" i="24"/>
  <c r="F1999" i="24"/>
  <c r="B1999" i="24"/>
  <c r="R1998" i="24"/>
  <c r="N1998" i="24"/>
  <c r="H1998" i="24"/>
  <c r="D1998" i="24"/>
  <c r="T1997" i="24"/>
  <c r="P1997" i="24"/>
  <c r="L1997" i="24"/>
  <c r="F1997" i="24"/>
  <c r="B1997" i="24"/>
  <c r="R1996" i="24"/>
  <c r="N1996" i="24"/>
  <c r="H1996" i="24"/>
  <c r="D1996" i="24"/>
  <c r="T1995" i="24"/>
  <c r="P1995" i="24"/>
  <c r="L1995" i="24"/>
  <c r="F1995" i="24"/>
  <c r="B1995" i="24"/>
  <c r="R1994" i="24"/>
  <c r="N1994" i="24"/>
  <c r="H1994" i="24"/>
  <c r="D1994" i="24"/>
  <c r="T1993" i="24"/>
  <c r="P1993" i="24"/>
  <c r="L1993" i="24"/>
  <c r="F1993" i="24"/>
  <c r="B1993" i="24"/>
  <c r="R1992" i="24"/>
  <c r="N1992" i="24"/>
  <c r="H1992" i="24"/>
  <c r="D1992" i="24"/>
  <c r="T1991" i="24"/>
  <c r="P1991" i="24"/>
  <c r="L1991" i="24"/>
  <c r="F1991" i="24"/>
  <c r="B1991" i="24"/>
  <c r="R1990" i="24"/>
  <c r="N1990" i="24"/>
  <c r="H1990" i="24"/>
  <c r="D1990" i="24"/>
  <c r="T1989" i="24"/>
  <c r="P1989" i="24"/>
  <c r="L1989" i="24"/>
  <c r="F1989" i="24"/>
  <c r="B1989" i="24"/>
  <c r="R1988" i="24"/>
  <c r="N1988" i="24"/>
  <c r="H1988" i="24"/>
  <c r="D1988" i="24"/>
  <c r="T1987" i="24"/>
  <c r="P1987" i="24"/>
  <c r="L1987" i="24"/>
  <c r="F1987" i="24"/>
  <c r="B1987" i="24"/>
  <c r="R1986" i="24"/>
  <c r="N1986" i="24"/>
  <c r="H1986" i="24"/>
  <c r="D1986" i="24"/>
  <c r="T1985" i="24"/>
  <c r="P1985" i="24"/>
  <c r="L1985" i="24"/>
  <c r="F1985" i="24"/>
  <c r="B1985" i="24"/>
  <c r="R1984" i="24"/>
  <c r="N1984" i="24"/>
  <c r="H1984" i="24"/>
  <c r="D1984" i="24"/>
  <c r="T1983" i="24"/>
  <c r="P1983" i="24"/>
  <c r="L1983" i="24"/>
  <c r="F1983" i="24"/>
  <c r="B1983" i="24"/>
  <c r="R1982" i="24"/>
  <c r="N1982" i="24"/>
  <c r="H1982" i="24"/>
  <c r="D1982" i="24"/>
  <c r="T1981" i="24"/>
  <c r="P1981" i="24"/>
  <c r="L1981" i="24"/>
  <c r="F1981" i="24"/>
  <c r="B1981" i="24"/>
  <c r="R1980" i="24"/>
  <c r="N1980" i="24"/>
  <c r="H1980" i="24"/>
  <c r="D1980" i="24"/>
  <c r="T1979" i="24"/>
  <c r="P1979" i="24"/>
  <c r="L1979" i="24"/>
  <c r="F1979" i="24"/>
  <c r="B1979" i="24"/>
  <c r="R1978" i="24"/>
  <c r="N1978" i="24"/>
  <c r="H1978" i="24"/>
  <c r="D1978" i="24"/>
  <c r="T1977" i="24"/>
  <c r="P1977" i="24"/>
  <c r="L1977" i="24"/>
  <c r="F1977" i="24"/>
  <c r="B1977" i="24"/>
  <c r="R1976" i="24"/>
  <c r="N1976" i="24"/>
  <c r="H1976" i="24"/>
  <c r="D1976" i="24"/>
  <c r="T1975" i="24"/>
  <c r="P1975" i="24"/>
  <c r="L1975" i="24"/>
  <c r="F1975" i="24"/>
  <c r="B1975" i="24"/>
  <c r="R1974" i="24"/>
  <c r="N1974" i="24"/>
  <c r="H1974" i="24"/>
  <c r="D1974" i="24"/>
  <c r="T1973" i="24"/>
  <c r="P1973" i="24"/>
  <c r="L1973" i="24"/>
  <c r="F1973" i="24"/>
  <c r="B1973" i="24"/>
  <c r="R1972" i="24"/>
  <c r="N1972" i="24"/>
  <c r="H1972" i="24"/>
  <c r="D1972" i="24"/>
  <c r="T1971" i="24"/>
  <c r="P1971" i="24"/>
  <c r="L1971" i="24"/>
  <c r="F1971" i="24"/>
  <c r="B1971" i="24"/>
  <c r="R1970" i="24"/>
  <c r="N1970" i="24"/>
  <c r="H1970" i="24"/>
  <c r="D1970" i="24"/>
  <c r="T1969" i="24"/>
  <c r="P1969" i="24"/>
  <c r="L1969" i="24"/>
  <c r="F1969" i="24"/>
  <c r="B1969" i="24"/>
  <c r="R1968" i="24"/>
  <c r="H2361" i="24"/>
  <c r="N2359" i="24"/>
  <c r="R2357" i="24"/>
  <c r="B2356" i="24"/>
  <c r="F2354" i="24"/>
  <c r="L2352" i="24"/>
  <c r="P2350" i="24"/>
  <c r="T2348" i="24"/>
  <c r="D2347" i="24"/>
  <c r="H2345" i="24"/>
  <c r="N2343" i="24"/>
  <c r="R2341" i="24"/>
  <c r="B2340" i="24"/>
  <c r="F2338" i="24"/>
  <c r="L2336" i="24"/>
  <c r="P2334" i="24"/>
  <c r="T2332" i="24"/>
  <c r="D2331" i="24"/>
  <c r="H2329" i="24"/>
  <c r="N2327" i="24"/>
  <c r="R2325" i="24"/>
  <c r="B2324" i="24"/>
  <c r="F2322" i="24"/>
  <c r="L2320" i="24"/>
  <c r="P2318" i="24"/>
  <c r="T2316" i="24"/>
  <c r="D2315" i="24"/>
  <c r="H2313" i="24"/>
  <c r="N2311" i="24"/>
  <c r="R2309" i="24"/>
  <c r="B2308" i="24"/>
  <c r="F2306" i="24"/>
  <c r="L2304" i="24"/>
  <c r="P2302" i="24"/>
  <c r="T2300" i="24"/>
  <c r="D2299" i="24"/>
  <c r="H2297" i="24"/>
  <c r="N2295" i="24"/>
  <c r="R2293" i="24"/>
  <c r="D2292" i="24"/>
  <c r="M2291" i="24"/>
  <c r="C2291" i="24"/>
  <c r="O2290" i="24"/>
  <c r="E2290" i="24"/>
  <c r="Q2289" i="24"/>
  <c r="G2289" i="24"/>
  <c r="S2288" i="24"/>
  <c r="K2288" i="24"/>
  <c r="A2288" i="24"/>
  <c r="M2287" i="24"/>
  <c r="C2287" i="24"/>
  <c r="O2286" i="24"/>
  <c r="E2286" i="24"/>
  <c r="Q2285" i="24"/>
  <c r="G2285" i="24"/>
  <c r="S2284" i="24"/>
  <c r="K2284" i="24"/>
  <c r="A2284" i="24"/>
  <c r="M2283" i="24"/>
  <c r="C2283" i="24"/>
  <c r="O2282" i="24"/>
  <c r="E2282" i="24"/>
  <c r="Q2281" i="24"/>
  <c r="G2281" i="24"/>
  <c r="S2280" i="24"/>
  <c r="K2280" i="24"/>
  <c r="A2280" i="24"/>
  <c r="M2279" i="24"/>
  <c r="C2279" i="24"/>
  <c r="O2278" i="24"/>
  <c r="E2278" i="24"/>
  <c r="Q2277" i="24"/>
  <c r="G2277" i="24"/>
  <c r="S2276" i="24"/>
  <c r="K2276" i="24"/>
  <c r="A2276" i="24"/>
  <c r="M2275" i="24"/>
  <c r="C2275" i="24"/>
  <c r="O2274" i="24"/>
  <c r="E2274" i="24"/>
  <c r="Q2273" i="24"/>
  <c r="G2273" i="24"/>
  <c r="S2272" i="24"/>
  <c r="K2272" i="24"/>
  <c r="A2272" i="24"/>
  <c r="M2271" i="24"/>
  <c r="C2271" i="24"/>
  <c r="O2270" i="24"/>
  <c r="E2270" i="24"/>
  <c r="Q2269" i="24"/>
  <c r="G2269" i="24"/>
  <c r="S2268" i="24"/>
  <c r="K2268" i="24"/>
  <c r="A2268" i="24"/>
  <c r="M2267" i="24"/>
  <c r="C2267" i="24"/>
  <c r="O2266" i="24"/>
  <c r="E2266" i="24"/>
  <c r="Q2265" i="24"/>
  <c r="G2265" i="24"/>
  <c r="S2264" i="24"/>
  <c r="K2264" i="24"/>
  <c r="A2264" i="24"/>
  <c r="M2263" i="24"/>
  <c r="C2263" i="24"/>
  <c r="O2262" i="24"/>
  <c r="E2262" i="24"/>
  <c r="Q2261" i="24"/>
  <c r="G2261" i="24"/>
  <c r="S2260" i="24"/>
  <c r="K2260" i="24"/>
  <c r="A2260" i="24"/>
  <c r="M2259" i="24"/>
  <c r="C2259" i="24"/>
  <c r="O2258" i="24"/>
  <c r="E2258" i="24"/>
  <c r="Q2257" i="24"/>
  <c r="G2257" i="24"/>
  <c r="S2256" i="24"/>
  <c r="K2256" i="24"/>
  <c r="A2256" i="24"/>
  <c r="M2255" i="24"/>
  <c r="C2255" i="24"/>
  <c r="O2254" i="24"/>
  <c r="E2254" i="24"/>
  <c r="Q2253" i="24"/>
  <c r="G2253" i="24"/>
  <c r="S2252" i="24"/>
  <c r="K2252" i="24"/>
  <c r="A2252" i="24"/>
  <c r="M2251" i="24"/>
  <c r="C2251" i="24"/>
  <c r="O2250" i="24"/>
  <c r="E2250" i="24"/>
  <c r="Q2249" i="24"/>
  <c r="G2249" i="24"/>
  <c r="S2248" i="24"/>
  <c r="K2248" i="24"/>
  <c r="A2248" i="24"/>
  <c r="M2247" i="24"/>
  <c r="C2247" i="24"/>
  <c r="O2246" i="24"/>
  <c r="E2246" i="24"/>
  <c r="Q2245" i="24"/>
  <c r="G2245" i="24"/>
  <c r="S2244" i="24"/>
  <c r="K2244" i="24"/>
  <c r="A2244" i="24"/>
  <c r="M2243" i="24"/>
  <c r="C2243" i="24"/>
  <c r="O2242" i="24"/>
  <c r="E2242" i="24"/>
  <c r="Q2241" i="24"/>
  <c r="G2241" i="24"/>
  <c r="S2240" i="24"/>
  <c r="K2240" i="24"/>
  <c r="A2240" i="24"/>
  <c r="M2239" i="24"/>
  <c r="C2239" i="24"/>
  <c r="O2238" i="24"/>
  <c r="E2238" i="24"/>
  <c r="Q2237" i="24"/>
  <c r="G2237" i="24"/>
  <c r="S2236" i="24"/>
  <c r="K2236" i="24"/>
  <c r="A2236" i="24"/>
  <c r="M2235" i="24"/>
  <c r="C2235" i="24"/>
  <c r="O2234" i="24"/>
  <c r="E2234" i="24"/>
  <c r="Q2233" i="24"/>
  <c r="G2233" i="24"/>
  <c r="S2232" i="24"/>
  <c r="K2232" i="24"/>
  <c r="A2232" i="24"/>
  <c r="M2231" i="24"/>
  <c r="C2231" i="24"/>
  <c r="O2230" i="24"/>
  <c r="E2230" i="24"/>
  <c r="Q2229" i="24"/>
  <c r="G2229" i="24"/>
  <c r="S2228" i="24"/>
  <c r="K2228" i="24"/>
  <c r="A2228" i="24"/>
  <c r="M2227" i="24"/>
  <c r="C2227" i="24"/>
  <c r="O2226" i="24"/>
  <c r="E2226" i="24"/>
  <c r="Q2225" i="24"/>
  <c r="G2225" i="24"/>
  <c r="S2224" i="24"/>
  <c r="K2224" i="24"/>
  <c r="A2224" i="24"/>
  <c r="M2223" i="24"/>
  <c r="C2223" i="24"/>
  <c r="O2222" i="24"/>
  <c r="E2222" i="24"/>
  <c r="Q2221" i="24"/>
  <c r="G2221" i="24"/>
  <c r="S2220" i="24"/>
  <c r="K2220" i="24"/>
  <c r="A2220" i="24"/>
  <c r="M2219" i="24"/>
  <c r="C2219" i="24"/>
  <c r="O2218" i="24"/>
  <c r="E2218" i="24"/>
  <c r="Q2217" i="24"/>
  <c r="G2217" i="24"/>
  <c r="S2216" i="24"/>
  <c r="K2216" i="24"/>
  <c r="A2216" i="24"/>
  <c r="M2215" i="24"/>
  <c r="C2215" i="24"/>
  <c r="O2214" i="24"/>
  <c r="E2214" i="24"/>
  <c r="Q2213" i="24"/>
  <c r="G2213" i="24"/>
  <c r="S2212" i="24"/>
  <c r="K2212" i="24"/>
  <c r="A2212" i="24"/>
  <c r="M2211" i="24"/>
  <c r="C2211" i="24"/>
  <c r="O2210" i="24"/>
  <c r="E2210" i="24"/>
  <c r="Q2209" i="24"/>
  <c r="G2209" i="24"/>
  <c r="S2208" i="24"/>
  <c r="K2208" i="24"/>
  <c r="A2208" i="24"/>
  <c r="M2207" i="24"/>
  <c r="C2207" i="24"/>
  <c r="O2206" i="24"/>
  <c r="E2206" i="24"/>
  <c r="Q2205" i="24"/>
  <c r="G2205" i="24"/>
  <c r="S2204" i="24"/>
  <c r="K2204" i="24"/>
  <c r="A2204" i="24"/>
  <c r="M2203" i="24"/>
  <c r="C2203" i="24"/>
  <c r="O2202" i="24"/>
  <c r="E2202" i="24"/>
  <c r="Q2201" i="24"/>
  <c r="G2201" i="24"/>
  <c r="S2200" i="24"/>
  <c r="K2200" i="24"/>
  <c r="A2200" i="24"/>
  <c r="M2199" i="24"/>
  <c r="C2199" i="24"/>
  <c r="O2198" i="24"/>
  <c r="E2198" i="24"/>
  <c r="Q2197" i="24"/>
  <c r="G2197" i="24"/>
  <c r="S2196" i="24"/>
  <c r="K2196" i="24"/>
  <c r="A2196" i="24"/>
  <c r="M2195" i="24"/>
  <c r="C2195" i="24"/>
  <c r="O2194" i="24"/>
  <c r="E2194" i="24"/>
  <c r="Q2193" i="24"/>
  <c r="G2193" i="24"/>
  <c r="S2192" i="24"/>
  <c r="K2192" i="24"/>
  <c r="A2192" i="24"/>
  <c r="M2191" i="24"/>
  <c r="C2191" i="24"/>
  <c r="O2190" i="24"/>
  <c r="E2190" i="24"/>
  <c r="Q2189" i="24"/>
  <c r="G2189" i="24"/>
  <c r="S2188" i="24"/>
  <c r="K2188" i="24"/>
  <c r="A2188" i="24"/>
  <c r="M2187" i="24"/>
  <c r="C2187" i="24"/>
  <c r="O2186" i="24"/>
  <c r="E2186" i="24"/>
  <c r="Q2185" i="24"/>
  <c r="G2185" i="24"/>
  <c r="S2184" i="24"/>
  <c r="K2184" i="24"/>
  <c r="A2184" i="24"/>
  <c r="M2183" i="24"/>
  <c r="C2183" i="24"/>
  <c r="O2182" i="24"/>
  <c r="E2182" i="24"/>
  <c r="Q2181" i="24"/>
  <c r="G2181" i="24"/>
  <c r="S2180" i="24"/>
  <c r="K2180" i="24"/>
  <c r="A2180" i="24"/>
  <c r="M2179" i="24"/>
  <c r="C2179" i="24"/>
  <c r="O2178" i="24"/>
  <c r="E2178" i="24"/>
  <c r="Q2177" i="24"/>
  <c r="G2177" i="24"/>
  <c r="S2176" i="24"/>
  <c r="K2176" i="24"/>
  <c r="A2176" i="24"/>
  <c r="M2175" i="24"/>
  <c r="C2175" i="24"/>
  <c r="O2174" i="24"/>
  <c r="E2174" i="24"/>
  <c r="Q2173" i="24"/>
  <c r="G2173" i="24"/>
  <c r="S2172" i="24"/>
  <c r="K2172" i="24"/>
  <c r="A2172" i="24"/>
  <c r="M2171" i="24"/>
  <c r="C2171" i="24"/>
  <c r="O2170" i="24"/>
  <c r="E2170" i="24"/>
  <c r="Q2169" i="24"/>
  <c r="G2169" i="24"/>
  <c r="S2168" i="24"/>
  <c r="K2168" i="24"/>
  <c r="A2168" i="24"/>
  <c r="M2167" i="24"/>
  <c r="C2167" i="24"/>
  <c r="O2166" i="24"/>
  <c r="E2166" i="24"/>
  <c r="Q2165" i="24"/>
  <c r="G2165" i="24"/>
  <c r="S2164" i="24"/>
  <c r="K2164" i="24"/>
  <c r="A2164" i="24"/>
  <c r="M2163" i="24"/>
  <c r="C2163" i="24"/>
  <c r="O2162" i="24"/>
  <c r="E2162" i="24"/>
  <c r="Q2161" i="24"/>
  <c r="G2161" i="24"/>
  <c r="S2160" i="24"/>
  <c r="K2160" i="24"/>
  <c r="A2160" i="24"/>
  <c r="M2159" i="24"/>
  <c r="C2159" i="24"/>
  <c r="O2158" i="24"/>
  <c r="E2158" i="24"/>
  <c r="Q2157" i="24"/>
  <c r="G2157" i="24"/>
  <c r="S2156" i="24"/>
  <c r="K2156" i="24"/>
  <c r="A2156" i="24"/>
  <c r="M2155" i="24"/>
  <c r="C2155" i="24"/>
  <c r="O2154" i="24"/>
  <c r="E2154" i="24"/>
  <c r="Q2153" i="24"/>
  <c r="G2153" i="24"/>
  <c r="S2152" i="24"/>
  <c r="K2152" i="24"/>
  <c r="A2152" i="24"/>
  <c r="M2151" i="24"/>
  <c r="C2151" i="24"/>
  <c r="O2150" i="24"/>
  <c r="E2150" i="24"/>
  <c r="Q2149" i="24"/>
  <c r="G2149" i="24"/>
  <c r="S2148" i="24"/>
  <c r="K2148" i="24"/>
  <c r="A2148" i="24"/>
  <c r="M2147" i="24"/>
  <c r="C2147" i="24"/>
  <c r="O2146" i="24"/>
  <c r="E2146" i="24"/>
  <c r="Q2145" i="24"/>
  <c r="G2145" i="24"/>
  <c r="S2144" i="24"/>
  <c r="K2144" i="24"/>
  <c r="A2144" i="24"/>
  <c r="M2143" i="24"/>
  <c r="C2143" i="24"/>
  <c r="O2142" i="24"/>
  <c r="E2142" i="24"/>
  <c r="Q2141" i="24"/>
  <c r="G2141" i="24"/>
  <c r="S2140" i="24"/>
  <c r="K2140" i="24"/>
  <c r="A2140" i="24"/>
  <c r="M2139" i="24"/>
  <c r="C2139" i="24"/>
  <c r="O2138" i="24"/>
  <c r="E2138" i="24"/>
  <c r="Q2137" i="24"/>
  <c r="G2137" i="24"/>
  <c r="S2136" i="24"/>
  <c r="K2136" i="24"/>
  <c r="A2136" i="24"/>
  <c r="M2135" i="24"/>
  <c r="C2135" i="24"/>
  <c r="O2134" i="24"/>
  <c r="E2134" i="24"/>
  <c r="Q2133" i="24"/>
  <c r="G2133" i="24"/>
  <c r="S2132" i="24"/>
  <c r="K2132" i="24"/>
  <c r="A2132" i="24"/>
  <c r="M2131" i="24"/>
  <c r="C2131" i="24"/>
  <c r="O2130" i="24"/>
  <c r="E2130" i="24"/>
  <c r="Q2129" i="24"/>
  <c r="G2129" i="24"/>
  <c r="S2128" i="24"/>
  <c r="K2128" i="24"/>
  <c r="A2128" i="24"/>
  <c r="M2127" i="24"/>
  <c r="C2127" i="24"/>
  <c r="O2126" i="24"/>
  <c r="E2126" i="24"/>
  <c r="Q2125" i="24"/>
  <c r="G2125" i="24"/>
  <c r="S2124" i="24"/>
  <c r="K2124" i="24"/>
  <c r="A2124" i="24"/>
  <c r="M2123" i="24"/>
  <c r="C2123" i="24"/>
  <c r="O2122" i="24"/>
  <c r="E2122" i="24"/>
  <c r="Q2121" i="24"/>
  <c r="G2121" i="24"/>
  <c r="S2120" i="24"/>
  <c r="K2120" i="24"/>
  <c r="A2120" i="24"/>
  <c r="M2119" i="24"/>
  <c r="C2119" i="24"/>
  <c r="O2118" i="24"/>
  <c r="E2118" i="24"/>
  <c r="Q2117" i="24"/>
  <c r="G2117" i="24"/>
  <c r="S2116" i="24"/>
  <c r="K2116" i="24"/>
  <c r="A2116" i="24"/>
  <c r="M2115" i="24"/>
  <c r="C2115" i="24"/>
  <c r="O2114" i="24"/>
  <c r="E2114" i="24"/>
  <c r="Q2113" i="24"/>
  <c r="G2113" i="24"/>
  <c r="S2112" i="24"/>
  <c r="K2112" i="24"/>
  <c r="A2112" i="24"/>
  <c r="M2111" i="24"/>
  <c r="C2111" i="24"/>
  <c r="O2110" i="24"/>
  <c r="E2110" i="24"/>
  <c r="Q2109" i="24"/>
  <c r="G2109" i="24"/>
  <c r="S2108" i="24"/>
  <c r="K2108" i="24"/>
  <c r="A2108" i="24"/>
  <c r="M2107" i="24"/>
  <c r="C2107" i="24"/>
  <c r="O2106" i="24"/>
  <c r="E2106" i="24"/>
  <c r="Q2105" i="24"/>
  <c r="G2105" i="24"/>
  <c r="S2104" i="24"/>
  <c r="K2104" i="24"/>
  <c r="A2104" i="24"/>
  <c r="M2103" i="24"/>
  <c r="C2103" i="24"/>
  <c r="O2102" i="24"/>
  <c r="E2102" i="24"/>
  <c r="Q2101" i="24"/>
  <c r="G2101" i="24"/>
  <c r="S2100" i="24"/>
  <c r="K2100" i="24"/>
  <c r="A2100" i="24"/>
  <c r="M2099" i="24"/>
  <c r="C2099" i="24"/>
  <c r="O2098" i="24"/>
  <c r="E2098" i="24"/>
  <c r="Q2097" i="24"/>
  <c r="G2097" i="24"/>
  <c r="S2096" i="24"/>
  <c r="K2096" i="24"/>
  <c r="A2096" i="24"/>
  <c r="M2095" i="24"/>
  <c r="C2095" i="24"/>
  <c r="O2094" i="24"/>
  <c r="E2094" i="24"/>
  <c r="Q2093" i="24"/>
  <c r="G2093" i="24"/>
  <c r="S2092" i="24"/>
  <c r="K2092" i="24"/>
  <c r="A2092" i="24"/>
  <c r="M2091" i="24"/>
  <c r="C2091" i="24"/>
  <c r="O2090" i="24"/>
  <c r="E2090" i="24"/>
  <c r="Q2089" i="24"/>
  <c r="G2089" i="24"/>
  <c r="S2088" i="24"/>
  <c r="K2088" i="24"/>
  <c r="A2088" i="24"/>
  <c r="M2087" i="24"/>
  <c r="C2087" i="24"/>
  <c r="O2086" i="24"/>
  <c r="E2086" i="24"/>
  <c r="Q2085" i="24"/>
  <c r="G2085" i="24"/>
  <c r="S2084" i="24"/>
  <c r="K2084" i="24"/>
  <c r="A2084" i="24"/>
  <c r="M2083" i="24"/>
  <c r="C2083" i="24"/>
  <c r="O2082" i="24"/>
  <c r="G2082" i="24"/>
  <c r="C2082" i="24"/>
  <c r="S2081" i="24"/>
  <c r="O2081" i="24"/>
  <c r="K2081" i="24"/>
  <c r="E2081" i="24"/>
  <c r="A2081" i="24"/>
  <c r="Q2080" i="24"/>
  <c r="M2080" i="24"/>
  <c r="G2080" i="24"/>
  <c r="C2080" i="24"/>
  <c r="S2079" i="24"/>
  <c r="O2079" i="24"/>
  <c r="K2079" i="24"/>
  <c r="E2079" i="24"/>
  <c r="A2079" i="24"/>
  <c r="Q2078" i="24"/>
  <c r="M2078" i="24"/>
  <c r="G2078" i="24"/>
  <c r="C2078" i="24"/>
  <c r="S2077" i="24"/>
  <c r="O2077" i="24"/>
  <c r="K2077" i="24"/>
  <c r="E2077" i="24"/>
  <c r="A2077" i="24"/>
  <c r="Q2076" i="24"/>
  <c r="M2076" i="24"/>
  <c r="G2076" i="24"/>
  <c r="C2076" i="24"/>
  <c r="S2075" i="24"/>
  <c r="O2075" i="24"/>
  <c r="K2075" i="24"/>
  <c r="E2075" i="24"/>
  <c r="A2075" i="24"/>
  <c r="Q2074" i="24"/>
  <c r="M2074" i="24"/>
  <c r="G2074" i="24"/>
  <c r="C2074" i="24"/>
  <c r="S2073" i="24"/>
  <c r="O2073" i="24"/>
  <c r="K2073" i="24"/>
  <c r="E2073" i="24"/>
  <c r="A2073" i="24"/>
  <c r="Q2072" i="24"/>
  <c r="M2072" i="24"/>
  <c r="G2072" i="24"/>
  <c r="C2072" i="24"/>
  <c r="S2071" i="24"/>
  <c r="O2071" i="24"/>
  <c r="K2071" i="24"/>
  <c r="E2071" i="24"/>
  <c r="A2071" i="24"/>
  <c r="Q2070" i="24"/>
  <c r="M2070" i="24"/>
  <c r="G2070" i="24"/>
  <c r="C2070" i="24"/>
  <c r="S2069" i="24"/>
  <c r="O2069" i="24"/>
  <c r="K2069" i="24"/>
  <c r="E2069" i="24"/>
  <c r="A2069" i="24"/>
  <c r="Q2068" i="24"/>
  <c r="M2068" i="24"/>
  <c r="G2068" i="24"/>
  <c r="C2068" i="24"/>
  <c r="S2067" i="24"/>
  <c r="O2067" i="24"/>
  <c r="K2067" i="24"/>
  <c r="E2067" i="24"/>
  <c r="A2067" i="24"/>
  <c r="Q2066" i="24"/>
  <c r="M2066" i="24"/>
  <c r="G2066" i="24"/>
  <c r="C2066" i="24"/>
  <c r="S2065" i="24"/>
  <c r="O2065" i="24"/>
  <c r="K2065" i="24"/>
  <c r="E2065" i="24"/>
  <c r="A2065" i="24"/>
  <c r="Q2064" i="24"/>
  <c r="M2064" i="24"/>
  <c r="G2064" i="24"/>
  <c r="C2064" i="24"/>
  <c r="S2063" i="24"/>
  <c r="O2063" i="24"/>
  <c r="K2063" i="24"/>
  <c r="E2063" i="24"/>
  <c r="A2063" i="24"/>
  <c r="Q2062" i="24"/>
  <c r="M2062" i="24"/>
  <c r="G2062" i="24"/>
  <c r="C2062" i="24"/>
  <c r="S2061" i="24"/>
  <c r="O2061" i="24"/>
  <c r="K2061" i="24"/>
  <c r="E2061" i="24"/>
  <c r="A2061" i="24"/>
  <c r="Q2060" i="24"/>
  <c r="M2060" i="24"/>
  <c r="G2060" i="24"/>
  <c r="C2060" i="24"/>
  <c r="S2059" i="24"/>
  <c r="O2059" i="24"/>
  <c r="K2059" i="24"/>
  <c r="E2059" i="24"/>
  <c r="A2059" i="24"/>
  <c r="Q2058" i="24"/>
  <c r="M2058" i="24"/>
  <c r="G2058" i="24"/>
  <c r="C2058" i="24"/>
  <c r="S2057" i="24"/>
  <c r="O2057" i="24"/>
  <c r="K2057" i="24"/>
  <c r="E2057" i="24"/>
  <c r="A2057" i="24"/>
  <c r="Q2056" i="24"/>
  <c r="M2056" i="24"/>
  <c r="G2056" i="24"/>
  <c r="C2056" i="24"/>
  <c r="S2055" i="24"/>
  <c r="O2055" i="24"/>
  <c r="K2055" i="24"/>
  <c r="E2055" i="24"/>
  <c r="A2055" i="24"/>
  <c r="Q2054" i="24"/>
  <c r="M2054" i="24"/>
  <c r="G2054" i="24"/>
  <c r="C2054" i="24"/>
  <c r="S2053" i="24"/>
  <c r="O2053" i="24"/>
  <c r="K2053" i="24"/>
  <c r="E2053" i="24"/>
  <c r="A2053" i="24"/>
  <c r="Q2052" i="24"/>
  <c r="M2052" i="24"/>
  <c r="G2052" i="24"/>
  <c r="C2052" i="24"/>
  <c r="S2051" i="24"/>
  <c r="O2051" i="24"/>
  <c r="K2051" i="24"/>
  <c r="E2051" i="24"/>
  <c r="A2051" i="24"/>
  <c r="Q2050" i="24"/>
  <c r="M2050" i="24"/>
  <c r="G2050" i="24"/>
  <c r="C2050" i="24"/>
  <c r="S2049" i="24"/>
  <c r="O2049" i="24"/>
  <c r="K2049" i="24"/>
  <c r="E2049" i="24"/>
  <c r="A2049" i="24"/>
  <c r="Q2048" i="24"/>
  <c r="M2048" i="24"/>
  <c r="G2048" i="24"/>
  <c r="C2048" i="24"/>
  <c r="S2047" i="24"/>
  <c r="O2047" i="24"/>
  <c r="K2047" i="24"/>
  <c r="E2047" i="24"/>
  <c r="A2047" i="24"/>
  <c r="Q2046" i="24"/>
  <c r="M2046" i="24"/>
  <c r="G2046" i="24"/>
  <c r="C2046" i="24"/>
  <c r="S2045" i="24"/>
  <c r="O2045" i="24"/>
  <c r="K2045" i="24"/>
  <c r="E2045" i="24"/>
  <c r="A2045" i="24"/>
  <c r="Q2044" i="24"/>
  <c r="M2044" i="24"/>
  <c r="G2044" i="24"/>
  <c r="C2044" i="24"/>
  <c r="S2043" i="24"/>
  <c r="O2043" i="24"/>
  <c r="K2043" i="24"/>
  <c r="E2043" i="24"/>
  <c r="A2043" i="24"/>
  <c r="Q2042" i="24"/>
  <c r="M2042" i="24"/>
  <c r="G2042" i="24"/>
  <c r="C2042" i="24"/>
  <c r="S2041" i="24"/>
  <c r="O2041" i="24"/>
  <c r="K2041" i="24"/>
  <c r="E2041" i="24"/>
  <c r="A2041" i="24"/>
  <c r="Q2040" i="24"/>
  <c r="M2040" i="24"/>
  <c r="G2040" i="24"/>
  <c r="C2040" i="24"/>
  <c r="S2039" i="24"/>
  <c r="O2039" i="24"/>
  <c r="K2039" i="24"/>
  <c r="E2039" i="24"/>
  <c r="A2039" i="24"/>
  <c r="Q2038" i="24"/>
  <c r="M2038" i="24"/>
  <c r="G2038" i="24"/>
  <c r="C2038" i="24"/>
  <c r="S2037" i="24"/>
  <c r="O2037" i="24"/>
  <c r="K2037" i="24"/>
  <c r="E2037" i="24"/>
  <c r="A2037" i="24"/>
  <c r="Q2036" i="24"/>
  <c r="M2036" i="24"/>
  <c r="G2036" i="24"/>
  <c r="C2036" i="24"/>
  <c r="S2035" i="24"/>
  <c r="O2035" i="24"/>
  <c r="K2035" i="24"/>
  <c r="E2035" i="24"/>
  <c r="A2035" i="24"/>
  <c r="Q2034" i="24"/>
  <c r="M2034" i="24"/>
  <c r="G2034" i="24"/>
  <c r="C2034" i="24"/>
  <c r="S2033" i="24"/>
  <c r="O2033" i="24"/>
  <c r="K2033" i="24"/>
  <c r="E2033" i="24"/>
  <c r="D2361" i="24"/>
  <c r="B2354" i="24"/>
  <c r="T2346" i="24"/>
  <c r="R2339" i="24"/>
  <c r="P2332" i="24"/>
  <c r="N2325" i="24"/>
  <c r="L2318" i="24"/>
  <c r="H2311" i="24"/>
  <c r="F2304" i="24"/>
  <c r="D2297" i="24"/>
  <c r="L2291" i="24"/>
  <c r="P2289" i="24"/>
  <c r="T2287" i="24"/>
  <c r="D2286" i="24"/>
  <c r="H2284" i="24"/>
  <c r="N2282" i="24"/>
  <c r="R2280" i="24"/>
  <c r="B2279" i="24"/>
  <c r="F2277" i="24"/>
  <c r="L2275" i="24"/>
  <c r="P2273" i="24"/>
  <c r="T2271" i="24"/>
  <c r="D2270" i="24"/>
  <c r="H2268" i="24"/>
  <c r="N2266" i="24"/>
  <c r="R2264" i="24"/>
  <c r="B2263" i="24"/>
  <c r="F2261" i="24"/>
  <c r="L2259" i="24"/>
  <c r="P2257" i="24"/>
  <c r="T2255" i="24"/>
  <c r="D2254" i="24"/>
  <c r="H2252" i="24"/>
  <c r="N2250" i="24"/>
  <c r="R2248" i="24"/>
  <c r="B2247" i="24"/>
  <c r="F2245" i="24"/>
  <c r="L2243" i="24"/>
  <c r="P2241" i="24"/>
  <c r="T2239" i="24"/>
  <c r="D2238" i="24"/>
  <c r="H2236" i="24"/>
  <c r="N2234" i="24"/>
  <c r="R2232" i="24"/>
  <c r="B2231" i="24"/>
  <c r="F2229" i="24"/>
  <c r="L2227" i="24"/>
  <c r="P2225" i="24"/>
  <c r="T2223" i="24"/>
  <c r="D2222" i="24"/>
  <c r="H2220" i="24"/>
  <c r="N2218" i="24"/>
  <c r="R2216" i="24"/>
  <c r="B2215" i="24"/>
  <c r="F2213" i="24"/>
  <c r="L2211" i="24"/>
  <c r="P2209" i="24"/>
  <c r="T2207" i="24"/>
  <c r="D2206" i="24"/>
  <c r="H2204" i="24"/>
  <c r="N2202" i="24"/>
  <c r="R2200" i="24"/>
  <c r="B2199" i="24"/>
  <c r="F2197" i="24"/>
  <c r="L2195" i="24"/>
  <c r="P2193" i="24"/>
  <c r="T2191" i="24"/>
  <c r="D2190" i="24"/>
  <c r="H2188" i="24"/>
  <c r="N2186" i="24"/>
  <c r="R2184" i="24"/>
  <c r="B2183" i="24"/>
  <c r="F2181" i="24"/>
  <c r="L2179" i="24"/>
  <c r="P2177" i="24"/>
  <c r="T2175" i="24"/>
  <c r="D2174" i="24"/>
  <c r="H2172" i="24"/>
  <c r="N2170" i="24"/>
  <c r="R2168" i="24"/>
  <c r="B2167" i="24"/>
  <c r="F2165" i="24"/>
  <c r="L2163" i="24"/>
  <c r="P2161" i="24"/>
  <c r="T2159" i="24"/>
  <c r="D2158" i="24"/>
  <c r="H2156" i="24"/>
  <c r="N2154" i="24"/>
  <c r="R2152" i="24"/>
  <c r="B2151" i="24"/>
  <c r="F2149" i="24"/>
  <c r="L2147" i="24"/>
  <c r="P2145" i="24"/>
  <c r="T2143" i="24"/>
  <c r="D2142" i="24"/>
  <c r="H2140" i="24"/>
  <c r="N2138" i="24"/>
  <c r="R2136" i="24"/>
  <c r="B2135" i="24"/>
  <c r="F2133" i="24"/>
  <c r="L2131" i="24"/>
  <c r="P2129" i="24"/>
  <c r="T2127" i="24"/>
  <c r="D2126" i="24"/>
  <c r="H2124" i="24"/>
  <c r="N2122" i="24"/>
  <c r="R2120" i="24"/>
  <c r="B2119" i="24"/>
  <c r="F2117" i="24"/>
  <c r="L2115" i="24"/>
  <c r="P2113" i="24"/>
  <c r="T2111" i="24"/>
  <c r="D2110" i="24"/>
  <c r="H2108" i="24"/>
  <c r="N2106" i="24"/>
  <c r="R2104" i="24"/>
  <c r="B2103" i="24"/>
  <c r="F2101" i="24"/>
  <c r="L2099" i="24"/>
  <c r="P2097" i="24"/>
  <c r="T2095" i="24"/>
  <c r="D2094" i="24"/>
  <c r="H2092" i="24"/>
  <c r="N2090" i="24"/>
  <c r="R2088" i="24"/>
  <c r="B2087" i="24"/>
  <c r="F2085" i="24"/>
  <c r="L2083" i="24"/>
  <c r="B2082" i="24"/>
  <c r="D2081" i="24"/>
  <c r="F2080" i="24"/>
  <c r="H2079" i="24"/>
  <c r="L2078" i="24"/>
  <c r="N2077" i="24"/>
  <c r="P2076" i="24"/>
  <c r="R2075" i="24"/>
  <c r="T2074" i="24"/>
  <c r="B2074" i="24"/>
  <c r="D2073" i="24"/>
  <c r="F2072" i="24"/>
  <c r="H2071" i="24"/>
  <c r="L2070" i="24"/>
  <c r="N2069" i="24"/>
  <c r="P2068" i="24"/>
  <c r="R2067" i="24"/>
  <c r="T2066" i="24"/>
  <c r="B2066" i="24"/>
  <c r="D2065" i="24"/>
  <c r="F2064" i="24"/>
  <c r="H2063" i="24"/>
  <c r="L2062" i="24"/>
  <c r="N2061" i="24"/>
  <c r="P2060" i="24"/>
  <c r="R2059" i="24"/>
  <c r="T2058" i="24"/>
  <c r="B2058" i="24"/>
  <c r="D2057" i="24"/>
  <c r="F2056" i="24"/>
  <c r="H2055" i="24"/>
  <c r="L2054" i="24"/>
  <c r="N2053" i="24"/>
  <c r="P2052" i="24"/>
  <c r="R2051" i="24"/>
  <c r="T2050" i="24"/>
  <c r="B2050" i="24"/>
  <c r="D2049" i="24"/>
  <c r="F2048" i="24"/>
  <c r="H2047" i="24"/>
  <c r="L2046" i="24"/>
  <c r="N2045" i="24"/>
  <c r="P2044" i="24"/>
  <c r="R2043" i="24"/>
  <c r="T2042" i="24"/>
  <c r="B2042" i="24"/>
  <c r="D2041" i="24"/>
  <c r="F2040" i="24"/>
  <c r="H2039" i="24"/>
  <c r="L2038" i="24"/>
  <c r="N2037" i="24"/>
  <c r="P2036" i="24"/>
  <c r="R2035" i="24"/>
  <c r="T2034" i="24"/>
  <c r="B2034" i="24"/>
  <c r="D2033" i="24"/>
  <c r="P2032" i="24"/>
  <c r="F2032" i="24"/>
  <c r="R2031" i="24"/>
  <c r="H2031" i="24"/>
  <c r="T2030" i="24"/>
  <c r="L2030" i="24"/>
  <c r="B2030" i="24"/>
  <c r="N2029" i="24"/>
  <c r="D2029" i="24"/>
  <c r="P2028" i="24"/>
  <c r="F2028" i="24"/>
  <c r="R2027" i="24"/>
  <c r="H2027" i="24"/>
  <c r="T2026" i="24"/>
  <c r="L2026" i="24"/>
  <c r="B2026" i="24"/>
  <c r="N2025" i="24"/>
  <c r="D2025" i="24"/>
  <c r="P2024" i="24"/>
  <c r="F2024" i="24"/>
  <c r="R2023" i="24"/>
  <c r="H2023" i="24"/>
  <c r="T2022" i="24"/>
  <c r="L2022" i="24"/>
  <c r="B2022" i="24"/>
  <c r="N2021" i="24"/>
  <c r="D2021" i="24"/>
  <c r="P2020" i="24"/>
  <c r="F2020" i="24"/>
  <c r="R2019" i="24"/>
  <c r="H2019" i="24"/>
  <c r="T2018" i="24"/>
  <c r="L2018" i="24"/>
  <c r="B2018" i="24"/>
  <c r="N2017" i="24"/>
  <c r="D2017" i="24"/>
  <c r="P2016" i="24"/>
  <c r="F2016" i="24"/>
  <c r="R2015" i="24"/>
  <c r="H2015" i="24"/>
  <c r="T2014" i="24"/>
  <c r="L2014" i="24"/>
  <c r="B2014" i="24"/>
  <c r="N2013" i="24"/>
  <c r="D2013" i="24"/>
  <c r="P2012" i="24"/>
  <c r="F2012" i="24"/>
  <c r="R2011" i="24"/>
  <c r="H2011" i="24"/>
  <c r="T2010" i="24"/>
  <c r="L2010" i="24"/>
  <c r="B2010" i="24"/>
  <c r="N2009" i="24"/>
  <c r="D2009" i="24"/>
  <c r="P2008" i="24"/>
  <c r="F2008" i="24"/>
  <c r="R2007" i="24"/>
  <c r="H2007" i="24"/>
  <c r="T2006" i="24"/>
  <c r="L2006" i="24"/>
  <c r="B2006" i="24"/>
  <c r="N2005" i="24"/>
  <c r="D2005" i="24"/>
  <c r="P2004" i="24"/>
  <c r="F2004" i="24"/>
  <c r="R2003" i="24"/>
  <c r="H2003" i="24"/>
  <c r="T2002" i="24"/>
  <c r="L2002" i="24"/>
  <c r="B2002" i="24"/>
  <c r="N2001" i="24"/>
  <c r="D2001" i="24"/>
  <c r="P2000" i="24"/>
  <c r="F2000" i="24"/>
  <c r="R1999" i="24"/>
  <c r="H1999" i="24"/>
  <c r="T1998" i="24"/>
  <c r="L1998" i="24"/>
  <c r="B1998" i="24"/>
  <c r="N1997" i="24"/>
  <c r="D1997" i="24"/>
  <c r="P1996" i="24"/>
  <c r="F1996" i="24"/>
  <c r="R1995" i="24"/>
  <c r="H1995" i="24"/>
  <c r="T1994" i="24"/>
  <c r="L1994" i="24"/>
  <c r="B1994" i="24"/>
  <c r="N1993" i="24"/>
  <c r="D1993" i="24"/>
  <c r="P1992" i="24"/>
  <c r="F1992" i="24"/>
  <c r="R1991" i="24"/>
  <c r="H1991" i="24"/>
  <c r="T1990" i="24"/>
  <c r="L1990" i="24"/>
  <c r="B1990" i="24"/>
  <c r="N1989" i="24"/>
  <c r="D1989" i="24"/>
  <c r="P1988" i="24"/>
  <c r="F1988" i="24"/>
  <c r="R1987" i="24"/>
  <c r="H1987" i="24"/>
  <c r="T1986" i="24"/>
  <c r="L1986" i="24"/>
  <c r="B1986" i="24"/>
  <c r="N1985" i="24"/>
  <c r="D1985" i="24"/>
  <c r="P1984" i="24"/>
  <c r="F1984" i="24"/>
  <c r="R1983" i="24"/>
  <c r="H1983" i="24"/>
  <c r="T1982" i="24"/>
  <c r="L1982" i="24"/>
  <c r="B1982" i="24"/>
  <c r="N1981" i="24"/>
  <c r="D1981" i="24"/>
  <c r="P1980" i="24"/>
  <c r="F1980" i="24"/>
  <c r="R1979" i="24"/>
  <c r="H1979" i="24"/>
  <c r="T1978" i="24"/>
  <c r="L1978" i="24"/>
  <c r="B1978" i="24"/>
  <c r="N1977" i="24"/>
  <c r="D1977" i="24"/>
  <c r="P1976" i="24"/>
  <c r="F1976" i="24"/>
  <c r="R1975" i="24"/>
  <c r="H1975" i="24"/>
  <c r="T1974" i="24"/>
  <c r="L1974" i="24"/>
  <c r="B1974" i="24"/>
  <c r="N1973" i="24"/>
  <c r="D1973" i="24"/>
  <c r="P1972" i="24"/>
  <c r="F1972" i="24"/>
  <c r="R1971" i="24"/>
  <c r="H1971" i="24"/>
  <c r="T1970" i="24"/>
  <c r="L1970" i="24"/>
  <c r="B1970" i="24"/>
  <c r="N1969" i="24"/>
  <c r="D1969" i="24"/>
  <c r="P1968" i="24"/>
  <c r="H1968" i="24"/>
  <c r="C1968" i="24"/>
  <c r="S1967" i="24"/>
  <c r="O1967" i="24"/>
  <c r="K1967" i="24"/>
  <c r="E1967" i="24"/>
  <c r="A1967" i="24"/>
  <c r="Q1966" i="24"/>
  <c r="M1966" i="24"/>
  <c r="G1966" i="24"/>
  <c r="C1966" i="24"/>
  <c r="S1965" i="24"/>
  <c r="O1965" i="24"/>
  <c r="K1965" i="24"/>
  <c r="E1965" i="24"/>
  <c r="A1965" i="24"/>
  <c r="Q1964" i="24"/>
  <c r="M1964" i="24"/>
  <c r="G1964" i="24"/>
  <c r="C1964" i="24"/>
  <c r="S1963" i="24"/>
  <c r="O1963" i="24"/>
  <c r="K1963" i="24"/>
  <c r="E1963" i="24"/>
  <c r="A1963" i="24"/>
  <c r="Q1962" i="24"/>
  <c r="M1962" i="24"/>
  <c r="G1962" i="24"/>
  <c r="C1962" i="24"/>
  <c r="S1961" i="24"/>
  <c r="O1961" i="24"/>
  <c r="K1961" i="24"/>
  <c r="E1961" i="24"/>
  <c r="A1961" i="24"/>
  <c r="Q1960" i="24"/>
  <c r="M1960" i="24"/>
  <c r="G1960" i="24"/>
  <c r="C1960" i="24"/>
  <c r="S1959" i="24"/>
  <c r="O1959" i="24"/>
  <c r="K1959" i="24"/>
  <c r="E1959" i="24"/>
  <c r="A1959" i="24"/>
  <c r="Q1958" i="24"/>
  <c r="M1958" i="24"/>
  <c r="G1958" i="24"/>
  <c r="C1958" i="24"/>
  <c r="S1957" i="24"/>
  <c r="O1957" i="24"/>
  <c r="K1957" i="24"/>
  <c r="E1957" i="24"/>
  <c r="A1957" i="24"/>
  <c r="Q1956" i="24"/>
  <c r="M1956" i="24"/>
  <c r="G1956" i="24"/>
  <c r="C1956" i="24"/>
  <c r="S1955" i="24"/>
  <c r="O1955" i="24"/>
  <c r="K1955" i="24"/>
  <c r="E1955" i="24"/>
  <c r="A1955" i="24"/>
  <c r="Q1954" i="24"/>
  <c r="M1954" i="24"/>
  <c r="G1954" i="24"/>
  <c r="C1954" i="24"/>
  <c r="S1953" i="24"/>
  <c r="O1953" i="24"/>
  <c r="K1953" i="24"/>
  <c r="E1953" i="24"/>
  <c r="A1953" i="24"/>
  <c r="Q1952" i="24"/>
  <c r="M1952" i="24"/>
  <c r="G1952" i="24"/>
  <c r="C1952" i="24"/>
  <c r="S1951" i="24"/>
  <c r="O1951" i="24"/>
  <c r="K1951" i="24"/>
  <c r="E1951" i="24"/>
  <c r="A1951" i="24"/>
  <c r="Q1950" i="24"/>
  <c r="M1950" i="24"/>
  <c r="G1950" i="24"/>
  <c r="C1950" i="24"/>
  <c r="S1949" i="24"/>
  <c r="O1949" i="24"/>
  <c r="K1949" i="24"/>
  <c r="E1949" i="24"/>
  <c r="A1949" i="24"/>
  <c r="Q1948" i="24"/>
  <c r="M1948" i="24"/>
  <c r="G1948" i="24"/>
  <c r="C1948" i="24"/>
  <c r="S1947" i="24"/>
  <c r="O1947" i="24"/>
  <c r="K1947" i="24"/>
  <c r="E1947" i="24"/>
  <c r="A1947" i="24"/>
  <c r="Q1946" i="24"/>
  <c r="M1946" i="24"/>
  <c r="G1946" i="24"/>
  <c r="C1946" i="24"/>
  <c r="S1945" i="24"/>
  <c r="O1945" i="24"/>
  <c r="K1945" i="24"/>
  <c r="E1945" i="24"/>
  <c r="A1945" i="24"/>
  <c r="Q1944" i="24"/>
  <c r="M1944" i="24"/>
  <c r="G1944" i="24"/>
  <c r="C1944" i="24"/>
  <c r="S1943" i="24"/>
  <c r="O1943" i="24"/>
  <c r="K1943" i="24"/>
  <c r="E1943" i="24"/>
  <c r="A1943" i="24"/>
  <c r="Q1942" i="24"/>
  <c r="M1942" i="24"/>
  <c r="G1942" i="24"/>
  <c r="C1942" i="24"/>
  <c r="S1941" i="24"/>
  <c r="O1941" i="24"/>
  <c r="K1941" i="24"/>
  <c r="E1941" i="24"/>
  <c r="A1941" i="24"/>
  <c r="Q1940" i="24"/>
  <c r="M1940" i="24"/>
  <c r="G1940" i="24"/>
  <c r="C1940" i="24"/>
  <c r="S1939" i="24"/>
  <c r="O1939" i="24"/>
  <c r="K1939" i="24"/>
  <c r="E1939" i="24"/>
  <c r="A1939" i="24"/>
  <c r="Q1938" i="24"/>
  <c r="M1938" i="24"/>
  <c r="G1938" i="24"/>
  <c r="C1938" i="24"/>
  <c r="S1937" i="24"/>
  <c r="O1937" i="24"/>
  <c r="K1937" i="24"/>
  <c r="E1937" i="24"/>
  <c r="A1937" i="24"/>
  <c r="Q1936" i="24"/>
  <c r="M1936" i="24"/>
  <c r="G1936" i="24"/>
  <c r="C1936" i="24"/>
  <c r="S1935" i="24"/>
  <c r="O1935" i="24"/>
  <c r="K1935" i="24"/>
  <c r="E1935" i="24"/>
  <c r="A1935" i="24"/>
  <c r="Q1934" i="24"/>
  <c r="M1934" i="24"/>
  <c r="G1934" i="24"/>
  <c r="C1934" i="24"/>
  <c r="S1933" i="24"/>
  <c r="O1933" i="24"/>
  <c r="K1933" i="24"/>
  <c r="E1933" i="24"/>
  <c r="A1933" i="24"/>
  <c r="Q1932" i="24"/>
  <c r="M1932" i="24"/>
  <c r="G1932" i="24"/>
  <c r="C1932" i="24"/>
  <c r="S1931" i="24"/>
  <c r="O1931" i="24"/>
  <c r="K1931" i="24"/>
  <c r="E1931" i="24"/>
  <c r="A1931" i="24"/>
  <c r="Q1930" i="24"/>
  <c r="M1930" i="24"/>
  <c r="G1930" i="24"/>
  <c r="C1930" i="24"/>
  <c r="S1929" i="24"/>
  <c r="O1929" i="24"/>
  <c r="K1929" i="24"/>
  <c r="E1929" i="24"/>
  <c r="A1929" i="24"/>
  <c r="Q1928" i="24"/>
  <c r="M1928" i="24"/>
  <c r="G1928" i="24"/>
  <c r="C1928" i="24"/>
  <c r="S1927" i="24"/>
  <c r="O1927" i="24"/>
  <c r="K1927" i="24"/>
  <c r="E1927" i="24"/>
  <c r="A1927" i="24"/>
  <c r="Q1926" i="24"/>
  <c r="M1926" i="24"/>
  <c r="G1926" i="24"/>
  <c r="C1926" i="24"/>
  <c r="S1925" i="24"/>
  <c r="O1925" i="24"/>
  <c r="K1925" i="24"/>
  <c r="E1925" i="24"/>
  <c r="A1925" i="24"/>
  <c r="Q1924" i="24"/>
  <c r="M1924" i="24"/>
  <c r="G1924" i="24"/>
  <c r="C1924" i="24"/>
  <c r="S1923" i="24"/>
  <c r="O1923" i="24"/>
  <c r="K1923" i="24"/>
  <c r="E1923" i="24"/>
  <c r="A1923" i="24"/>
  <c r="Q1922" i="24"/>
  <c r="M1922" i="24"/>
  <c r="G1922" i="24"/>
  <c r="C1922" i="24"/>
  <c r="S1921" i="24"/>
  <c r="O1921" i="24"/>
  <c r="K1921" i="24"/>
  <c r="E1921" i="24"/>
  <c r="A1921" i="24"/>
  <c r="Q1920" i="24"/>
  <c r="M1920" i="24"/>
  <c r="G1920" i="24"/>
  <c r="C1920" i="24"/>
  <c r="S1919" i="24"/>
  <c r="O1919" i="24"/>
  <c r="K1919" i="24"/>
  <c r="E1919" i="24"/>
  <c r="A1919" i="24"/>
  <c r="Q1918" i="24"/>
  <c r="M1918" i="24"/>
  <c r="G1918" i="24"/>
  <c r="C1918" i="24"/>
  <c r="S1917" i="24"/>
  <c r="O1917" i="24"/>
  <c r="K1917" i="24"/>
  <c r="E1917" i="24"/>
  <c r="A1917" i="24"/>
  <c r="Q1916" i="24"/>
  <c r="M1916" i="24"/>
  <c r="G1916" i="24"/>
  <c r="C1916" i="24"/>
  <c r="S1915" i="24"/>
  <c r="O1915" i="24"/>
  <c r="K1915" i="24"/>
  <c r="E1915" i="24"/>
  <c r="A1915" i="24"/>
  <c r="Q1914" i="24"/>
  <c r="M1914" i="24"/>
  <c r="G1914" i="24"/>
  <c r="C1914" i="24"/>
  <c r="S1913" i="24"/>
  <c r="O1913" i="24"/>
  <c r="K1913" i="24"/>
  <c r="E1913" i="24"/>
  <c r="A1913" i="24"/>
  <c r="Q1912" i="24"/>
  <c r="M1912" i="24"/>
  <c r="G1912" i="24"/>
  <c r="C1912" i="24"/>
  <c r="S1911" i="24"/>
  <c r="O1911" i="24"/>
  <c r="K1911" i="24"/>
  <c r="E1911" i="24"/>
  <c r="A1911" i="24"/>
  <c r="Q1910" i="24"/>
  <c r="M1910" i="24"/>
  <c r="G1910" i="24"/>
  <c r="C1910" i="24"/>
  <c r="S1909" i="24"/>
  <c r="O1909" i="24"/>
  <c r="K1909" i="24"/>
  <c r="E1909" i="24"/>
  <c r="A1909" i="24"/>
  <c r="Q1908" i="24"/>
  <c r="M1908" i="24"/>
  <c r="G1908" i="24"/>
  <c r="C1908" i="24"/>
  <c r="S1907" i="24"/>
  <c r="O1907" i="24"/>
  <c r="K1907" i="24"/>
  <c r="E1907" i="24"/>
  <c r="A1907" i="24"/>
  <c r="Q1906" i="24"/>
  <c r="M1906" i="24"/>
  <c r="G1906" i="24"/>
  <c r="C1906" i="24"/>
  <c r="S1905" i="24"/>
  <c r="O1905" i="24"/>
  <c r="K1905" i="24"/>
  <c r="E1905" i="24"/>
  <c r="A1905" i="24"/>
  <c r="Q1904" i="24"/>
  <c r="M1904" i="24"/>
  <c r="G1904" i="24"/>
  <c r="C1904" i="24"/>
  <c r="S1903" i="24"/>
  <c r="O1903" i="24"/>
  <c r="K1903" i="24"/>
  <c r="E1903" i="24"/>
  <c r="A1903" i="24"/>
  <c r="Q1902" i="24"/>
  <c r="M1902" i="24"/>
  <c r="G1902" i="24"/>
  <c r="C1902" i="24"/>
  <c r="S1901" i="24"/>
  <c r="O1901" i="24"/>
  <c r="K1901" i="24"/>
  <c r="E1901" i="24"/>
  <c r="A1901" i="24"/>
  <c r="Q1900" i="24"/>
  <c r="M1900" i="24"/>
  <c r="G1900" i="24"/>
  <c r="C1900" i="24"/>
  <c r="S1899" i="24"/>
  <c r="O1899" i="24"/>
  <c r="K1899" i="24"/>
  <c r="E1899" i="24"/>
  <c r="A1899" i="24"/>
  <c r="Q1898" i="24"/>
  <c r="M1898" i="24"/>
  <c r="G1898" i="24"/>
  <c r="C1898" i="24"/>
  <c r="S1897" i="24"/>
  <c r="O1897" i="24"/>
  <c r="K1897" i="24"/>
  <c r="E1897" i="24"/>
  <c r="A1897" i="24"/>
  <c r="Q1896" i="24"/>
  <c r="M1896" i="24"/>
  <c r="G1896" i="24"/>
  <c r="C1896" i="24"/>
  <c r="S1895" i="24"/>
  <c r="O1895" i="24"/>
  <c r="K1895" i="24"/>
  <c r="E1895" i="24"/>
  <c r="A1895" i="24"/>
  <c r="Q1894" i="24"/>
  <c r="M1894" i="24"/>
  <c r="G1894" i="24"/>
  <c r="C1894" i="24"/>
  <c r="S1893" i="24"/>
  <c r="O1893" i="24"/>
  <c r="K1893" i="24"/>
  <c r="E1893" i="24"/>
  <c r="A1893" i="24"/>
  <c r="Q1892" i="24"/>
  <c r="M1892" i="24"/>
  <c r="G1892" i="24"/>
  <c r="C1892" i="24"/>
  <c r="S1891" i="24"/>
  <c r="O1891" i="24"/>
  <c r="K1891" i="24"/>
  <c r="E1891" i="24"/>
  <c r="A1891" i="24"/>
  <c r="Q1890" i="24"/>
  <c r="M1890" i="24"/>
  <c r="G1890" i="24"/>
  <c r="C1890" i="24"/>
  <c r="S1889" i="24"/>
  <c r="O1889" i="24"/>
  <c r="K1889" i="24"/>
  <c r="E1889" i="24"/>
  <c r="A1889" i="24"/>
  <c r="Q1888" i="24"/>
  <c r="M1888" i="24"/>
  <c r="G1888" i="24"/>
  <c r="C1888" i="24"/>
  <c r="S1887" i="24"/>
  <c r="O1887" i="24"/>
  <c r="K1887" i="24"/>
  <c r="E1887" i="24"/>
  <c r="A1887" i="24"/>
  <c r="Q1886" i="24"/>
  <c r="M1886" i="24"/>
  <c r="G1886" i="24"/>
  <c r="C1886" i="24"/>
  <c r="S1885" i="24"/>
  <c r="O1885" i="24"/>
  <c r="K1885" i="24"/>
  <c r="E1885" i="24"/>
  <c r="A1885" i="24"/>
  <c r="Q1884" i="24"/>
  <c r="M1884" i="24"/>
  <c r="G1884" i="24"/>
  <c r="C1884" i="24"/>
  <c r="S1883" i="24"/>
  <c r="O1883" i="24"/>
  <c r="K1883" i="24"/>
  <c r="E1883" i="24"/>
  <c r="A1883" i="24"/>
  <c r="Q1882" i="24"/>
  <c r="M1882" i="24"/>
  <c r="G1882" i="24"/>
  <c r="C1882" i="24"/>
  <c r="S1881" i="24"/>
  <c r="O1881" i="24"/>
  <c r="K1881" i="24"/>
  <c r="E1881" i="24"/>
  <c r="A1881" i="24"/>
  <c r="Q1880" i="24"/>
  <c r="M1880" i="24"/>
  <c r="G1880" i="24"/>
  <c r="C1880" i="24"/>
  <c r="S1879" i="24"/>
  <c r="O1879" i="24"/>
  <c r="K1879" i="24"/>
  <c r="E1879" i="24"/>
  <c r="A1879" i="24"/>
  <c r="Q1878" i="24"/>
  <c r="M1878" i="24"/>
  <c r="G1878" i="24"/>
  <c r="C1878" i="24"/>
  <c r="S1877" i="24"/>
  <c r="O1877" i="24"/>
  <c r="K1877" i="24"/>
  <c r="E1877" i="24"/>
  <c r="A1877" i="24"/>
  <c r="Q1876" i="24"/>
  <c r="M1876" i="24"/>
  <c r="G1876" i="24"/>
  <c r="C1876" i="24"/>
  <c r="S1875" i="24"/>
  <c r="O1875" i="24"/>
  <c r="K1875" i="24"/>
  <c r="E1875" i="24"/>
  <c r="A1875" i="24"/>
  <c r="Q1874" i="24"/>
  <c r="M1874" i="24"/>
  <c r="G1874" i="24"/>
  <c r="C1874" i="24"/>
  <c r="S1873" i="24"/>
  <c r="O1873" i="24"/>
  <c r="K1873" i="24"/>
  <c r="E1873" i="24"/>
  <c r="A1873" i="24"/>
  <c r="Q1872" i="24"/>
  <c r="M1872" i="24"/>
  <c r="G1872" i="24"/>
  <c r="C1872" i="24"/>
  <c r="S1871" i="24"/>
  <c r="O1871" i="24"/>
  <c r="K1871" i="24"/>
  <c r="E1871" i="24"/>
  <c r="A1871" i="24"/>
  <c r="Q1870" i="24"/>
  <c r="M1870" i="24"/>
  <c r="G1870" i="24"/>
  <c r="C1870" i="24"/>
  <c r="S1869" i="24"/>
  <c r="O1869" i="24"/>
  <c r="K1869" i="24"/>
  <c r="E1869" i="24"/>
  <c r="A1869" i="24"/>
  <c r="Q1868" i="24"/>
  <c r="M1868" i="24"/>
  <c r="G1868" i="24"/>
  <c r="C1868" i="24"/>
  <c r="S1867" i="24"/>
  <c r="O1867" i="24"/>
  <c r="K1867" i="24"/>
  <c r="E1867" i="24"/>
  <c r="A1867" i="24"/>
  <c r="Q1866" i="24"/>
  <c r="M1866" i="24"/>
  <c r="G1866" i="24"/>
  <c r="C1866" i="24"/>
  <c r="S1865" i="24"/>
  <c r="O1865" i="24"/>
  <c r="K1865" i="24"/>
  <c r="E1865" i="24"/>
  <c r="A1865" i="24"/>
  <c r="Q1864" i="24"/>
  <c r="M1864" i="24"/>
  <c r="G1864" i="24"/>
  <c r="C1864" i="24"/>
  <c r="S1863" i="24"/>
  <c r="O1863" i="24"/>
  <c r="K1863" i="24"/>
  <c r="E1863" i="24"/>
  <c r="A1863" i="24"/>
  <c r="Q1862" i="24"/>
  <c r="M1862" i="24"/>
  <c r="G1862" i="24"/>
  <c r="C1862" i="24"/>
  <c r="S1861" i="24"/>
  <c r="O1861" i="24"/>
  <c r="K1861" i="24"/>
  <c r="E1861" i="24"/>
  <c r="A1861" i="24"/>
  <c r="Q1860" i="24"/>
  <c r="M1860" i="24"/>
  <c r="G1860" i="24"/>
  <c r="C1860" i="24"/>
  <c r="S1859" i="24"/>
  <c r="O1859" i="24"/>
  <c r="K1859" i="24"/>
  <c r="E1859" i="24"/>
  <c r="A1859" i="24"/>
  <c r="Q1858" i="24"/>
  <c r="M1858" i="24"/>
  <c r="G1858" i="24"/>
  <c r="C1858" i="24"/>
  <c r="S1857" i="24"/>
  <c r="O1857" i="24"/>
  <c r="K1857" i="24"/>
  <c r="E1857" i="24"/>
  <c r="A1857" i="24"/>
  <c r="Q1856" i="24"/>
  <c r="M1856" i="24"/>
  <c r="G1856" i="24"/>
  <c r="C1856" i="24"/>
  <c r="S1855" i="24"/>
  <c r="O1855" i="24"/>
  <c r="K1855" i="24"/>
  <c r="E1855" i="24"/>
  <c r="A1855" i="24"/>
  <c r="Q1854" i="24"/>
  <c r="M1854" i="24"/>
  <c r="G1854" i="24"/>
  <c r="C1854" i="24"/>
  <c r="S1853" i="24"/>
  <c r="O1853" i="24"/>
  <c r="K1853" i="24"/>
  <c r="E1853" i="24"/>
  <c r="A1853" i="24"/>
  <c r="Q1852" i="24"/>
  <c r="M1852" i="24"/>
  <c r="G1852" i="24"/>
  <c r="C1852" i="24"/>
  <c r="S1851" i="24"/>
  <c r="O1851" i="24"/>
  <c r="K1851" i="24"/>
  <c r="E1851" i="24"/>
  <c r="A1851" i="24"/>
  <c r="Q1850" i="24"/>
  <c r="M1850" i="24"/>
  <c r="G1850" i="24"/>
  <c r="C1850" i="24"/>
  <c r="S1849" i="24"/>
  <c r="O1849" i="24"/>
  <c r="K1849" i="24"/>
  <c r="E1849" i="24"/>
  <c r="A1849" i="24"/>
  <c r="Q1848" i="24"/>
  <c r="M1848" i="24"/>
  <c r="G1848" i="24"/>
  <c r="C1848" i="24"/>
  <c r="S1847" i="24"/>
  <c r="O1847" i="24"/>
  <c r="K1847" i="24"/>
  <c r="E1847" i="24"/>
  <c r="A1847" i="24"/>
  <c r="Q1846" i="24"/>
  <c r="M1846" i="24"/>
  <c r="G1846" i="24"/>
  <c r="C1846" i="24"/>
  <c r="S1845" i="24"/>
  <c r="O1845" i="24"/>
  <c r="K1845" i="24"/>
  <c r="E1845" i="24"/>
  <c r="A1845" i="24"/>
  <c r="Q1844" i="24"/>
  <c r="M1844" i="24"/>
  <c r="G1844" i="24"/>
  <c r="C1844" i="24"/>
  <c r="S1843" i="24"/>
  <c r="O1843" i="24"/>
  <c r="K1843" i="24"/>
  <c r="E1843" i="24"/>
  <c r="A1843" i="24"/>
  <c r="Q1842" i="24"/>
  <c r="M1842" i="24"/>
  <c r="G1842" i="24"/>
  <c r="C1842" i="24"/>
  <c r="S1841" i="24"/>
  <c r="O1841" i="24"/>
  <c r="K1841" i="24"/>
  <c r="E1841" i="24"/>
  <c r="A1841" i="24"/>
  <c r="Q1840" i="24"/>
  <c r="M1840" i="24"/>
  <c r="G1840" i="24"/>
  <c r="C1840" i="24"/>
  <c r="S1839" i="24"/>
  <c r="O1839" i="24"/>
  <c r="K1839" i="24"/>
  <c r="E1839" i="24"/>
  <c r="A1839" i="24"/>
  <c r="Q1838" i="24"/>
  <c r="M1838" i="24"/>
  <c r="G1838" i="24"/>
  <c r="C1838" i="24"/>
  <c r="S1837" i="24"/>
  <c r="O1837" i="24"/>
  <c r="K1837" i="24"/>
  <c r="E1837" i="24"/>
  <c r="A1837" i="24"/>
  <c r="Q1836" i="24"/>
  <c r="M1836" i="24"/>
  <c r="G1836" i="24"/>
  <c r="C1836" i="24"/>
  <c r="S1835" i="24"/>
  <c r="O1835" i="24"/>
  <c r="K1835" i="24"/>
  <c r="E1835" i="24"/>
  <c r="A1835" i="24"/>
  <c r="Q1834" i="24"/>
  <c r="M1834" i="24"/>
  <c r="G1834" i="24"/>
  <c r="C1834" i="24"/>
  <c r="S1833" i="24"/>
  <c r="O1833" i="24"/>
  <c r="K1833" i="24"/>
  <c r="E1833" i="24"/>
  <c r="A1833" i="24"/>
  <c r="Q1832" i="24"/>
  <c r="M1832" i="24"/>
  <c r="G1832" i="24"/>
  <c r="C1832" i="24"/>
  <c r="S1831" i="24"/>
  <c r="O1831" i="24"/>
  <c r="K1831" i="24"/>
  <c r="E1831" i="24"/>
  <c r="A1831" i="24"/>
  <c r="Q1830" i="24"/>
  <c r="M1830" i="24"/>
  <c r="G1830" i="24"/>
  <c r="C1830" i="24"/>
  <c r="S1829" i="24"/>
  <c r="O1829" i="24"/>
  <c r="K1829" i="24"/>
  <c r="E1829" i="24"/>
  <c r="A1829" i="24"/>
  <c r="Q1828" i="24"/>
  <c r="M1828" i="24"/>
  <c r="G1828" i="24"/>
  <c r="C1828" i="24"/>
  <c r="S1827" i="24"/>
  <c r="O1827" i="24"/>
  <c r="K1827" i="24"/>
  <c r="E1827" i="24"/>
  <c r="A1827" i="24"/>
  <c r="Q1826" i="24"/>
  <c r="M1826" i="24"/>
  <c r="G1826" i="24"/>
  <c r="C1826" i="24"/>
  <c r="S1825" i="24"/>
  <c r="O1825" i="24"/>
  <c r="K1825" i="24"/>
  <c r="E1825" i="24"/>
  <c r="A1825" i="24"/>
  <c r="Q1824" i="24"/>
  <c r="M1824" i="24"/>
  <c r="G1824" i="24"/>
  <c r="C1824" i="24"/>
  <c r="S1823" i="24"/>
  <c r="O1823" i="24"/>
  <c r="K1823" i="24"/>
  <c r="E1823" i="24"/>
  <c r="A1823" i="24"/>
  <c r="Q1822" i="24"/>
  <c r="M1822" i="24"/>
  <c r="G1822" i="24"/>
  <c r="C1822" i="24"/>
  <c r="S1821" i="24"/>
  <c r="O1821" i="24"/>
  <c r="K1821" i="24"/>
  <c r="E1821" i="24"/>
  <c r="A1821" i="24"/>
  <c r="Q1820" i="24"/>
  <c r="M1820" i="24"/>
  <c r="G1820" i="24"/>
  <c r="C1820" i="24"/>
  <c r="S1819" i="24"/>
  <c r="O1819" i="24"/>
  <c r="K1819" i="24"/>
  <c r="E1819" i="24"/>
  <c r="A1819" i="24"/>
  <c r="Q1818" i="24"/>
  <c r="M1818" i="24"/>
  <c r="G1818" i="24"/>
  <c r="C1818" i="24"/>
  <c r="S1817" i="24"/>
  <c r="O1817" i="24"/>
  <c r="K1817" i="24"/>
  <c r="E1817" i="24"/>
  <c r="A1817" i="24"/>
  <c r="Q1816" i="24"/>
  <c r="M1816" i="24"/>
  <c r="G1816" i="24"/>
  <c r="C1816" i="24"/>
  <c r="S1815" i="24"/>
  <c r="O1815" i="24"/>
  <c r="K1815" i="24"/>
  <c r="E1815" i="24"/>
  <c r="A1815" i="24"/>
  <c r="Q1814" i="24"/>
  <c r="M1814" i="24"/>
  <c r="G1814" i="24"/>
  <c r="C1814" i="24"/>
  <c r="S1813" i="24"/>
  <c r="O1813" i="24"/>
  <c r="K1813" i="24"/>
  <c r="E1813" i="24"/>
  <c r="A1813" i="24"/>
  <c r="Q1812" i="24"/>
  <c r="M1812" i="24"/>
  <c r="G1812" i="24"/>
  <c r="C1812" i="24"/>
  <c r="S1811" i="24"/>
  <c r="O1811" i="24"/>
  <c r="K1811" i="24"/>
  <c r="E1811" i="24"/>
  <c r="A1811" i="24"/>
  <c r="Q1810" i="24"/>
  <c r="M1810" i="24"/>
  <c r="G1810" i="24"/>
  <c r="C1810" i="24"/>
  <c r="S1809" i="24"/>
  <c r="O1809" i="24"/>
  <c r="K1809" i="24"/>
  <c r="E1809" i="24"/>
  <c r="A1809" i="24"/>
  <c r="Q1808" i="24"/>
  <c r="M1808" i="24"/>
  <c r="G1808" i="24"/>
  <c r="C1808" i="24"/>
  <c r="S1807" i="24"/>
  <c r="O1807" i="24"/>
  <c r="K1807" i="24"/>
  <c r="E1807" i="24"/>
  <c r="A1807" i="24"/>
  <c r="Q1806" i="24"/>
  <c r="M1806" i="24"/>
  <c r="G1806" i="24"/>
  <c r="C1806" i="24"/>
  <c r="S1805" i="24"/>
  <c r="O1805" i="24"/>
  <c r="K1805" i="24"/>
  <c r="E1805" i="24"/>
  <c r="A1805" i="24"/>
  <c r="Q1804" i="24"/>
  <c r="M1804" i="24"/>
  <c r="G1804" i="24"/>
  <c r="C1804" i="24"/>
  <c r="S1803" i="24"/>
  <c r="O1803" i="24"/>
  <c r="K1803" i="24"/>
  <c r="E1803" i="24"/>
  <c r="A1803" i="24"/>
  <c r="Q1802" i="24"/>
  <c r="M1802" i="24"/>
  <c r="G1802" i="24"/>
  <c r="C1802" i="24"/>
  <c r="S1801" i="24"/>
  <c r="O1801" i="24"/>
  <c r="K1801" i="24"/>
  <c r="E1801" i="24"/>
  <c r="A1801" i="24"/>
  <c r="Q1800" i="24"/>
  <c r="M1800" i="24"/>
  <c r="G1800" i="24"/>
  <c r="C1800" i="24"/>
  <c r="S1799" i="24"/>
  <c r="O1799" i="24"/>
  <c r="K1799" i="24"/>
  <c r="E1799" i="24"/>
  <c r="A1799" i="24"/>
  <c r="Q1798" i="24"/>
  <c r="M1798" i="24"/>
  <c r="G1798" i="24"/>
  <c r="C1798" i="24"/>
  <c r="S1797" i="24"/>
  <c r="O1797" i="24"/>
  <c r="K1797" i="24"/>
  <c r="E1797" i="24"/>
  <c r="A1797" i="24"/>
  <c r="Q1796" i="24"/>
  <c r="M1796" i="24"/>
  <c r="G1796" i="24"/>
  <c r="C1796" i="24"/>
  <c r="S1795" i="24"/>
  <c r="O1795" i="24"/>
  <c r="K1795" i="24"/>
  <c r="E1795" i="24"/>
  <c r="A1795" i="24"/>
  <c r="Q1794" i="24"/>
  <c r="M1794" i="24"/>
  <c r="G1794" i="24"/>
  <c r="C1794" i="24"/>
  <c r="S1793" i="24"/>
  <c r="O1793" i="24"/>
  <c r="K1793" i="24"/>
  <c r="E1793" i="24"/>
  <c r="A1793" i="24"/>
  <c r="Q1792" i="24"/>
  <c r="M1792" i="24"/>
  <c r="G1792" i="24"/>
  <c r="C1792" i="24"/>
  <c r="S1791" i="24"/>
  <c r="O1791" i="24"/>
  <c r="K1791" i="24"/>
  <c r="E1791" i="24"/>
  <c r="A1791" i="24"/>
  <c r="Q1790" i="24"/>
  <c r="M1790" i="24"/>
  <c r="G1790" i="24"/>
  <c r="C1790" i="24"/>
  <c r="S1789" i="24"/>
  <c r="O1789" i="24"/>
  <c r="K1789" i="24"/>
  <c r="E1789" i="24"/>
  <c r="A1789" i="24"/>
  <c r="Q1788" i="24"/>
  <c r="M1788" i="24"/>
  <c r="G1788" i="24"/>
  <c r="C1788" i="24"/>
  <c r="S1787" i="24"/>
  <c r="O1787" i="24"/>
  <c r="K1787" i="24"/>
  <c r="E1787" i="24"/>
  <c r="A1787" i="24"/>
  <c r="Q1786" i="24"/>
  <c r="M1786" i="24"/>
  <c r="G1786" i="24"/>
  <c r="C1786" i="24"/>
  <c r="S1785" i="24"/>
  <c r="O1785" i="24"/>
  <c r="K1785" i="24"/>
  <c r="E1785" i="24"/>
  <c r="A1785" i="24"/>
  <c r="Q1784" i="24"/>
  <c r="M1784" i="24"/>
  <c r="G1784" i="24"/>
  <c r="C1784" i="24"/>
  <c r="S1783" i="24"/>
  <c r="O1783" i="24"/>
  <c r="K1783" i="24"/>
  <c r="E1783" i="24"/>
  <c r="A1783" i="24"/>
  <c r="Q1782" i="24"/>
  <c r="M1782" i="24"/>
  <c r="G1782" i="24"/>
  <c r="C1782" i="24"/>
  <c r="S1781" i="24"/>
  <c r="O1781" i="24"/>
  <c r="K1781" i="24"/>
  <c r="E1781" i="24"/>
  <c r="A1781" i="24"/>
  <c r="Q1780" i="24"/>
  <c r="M1780" i="24"/>
  <c r="G1780" i="24"/>
  <c r="C1780" i="24"/>
  <c r="S1779" i="24"/>
  <c r="O1779" i="24"/>
  <c r="K1779" i="24"/>
  <c r="E1779" i="24"/>
  <c r="A1779" i="24"/>
  <c r="Q1778" i="24"/>
  <c r="M1778" i="24"/>
  <c r="G1778" i="24"/>
  <c r="C1778" i="24"/>
  <c r="S1777" i="24"/>
  <c r="O1777" i="24"/>
  <c r="K1777" i="24"/>
  <c r="E1777" i="24"/>
  <c r="A1777" i="24"/>
  <c r="H2359" i="24"/>
  <c r="F2352" i="24"/>
  <c r="D2345" i="24"/>
  <c r="B2338" i="24"/>
  <c r="T2330" i="24"/>
  <c r="R2323" i="24"/>
  <c r="P2316" i="24"/>
  <c r="N2309" i="24"/>
  <c r="L2302" i="24"/>
  <c r="H2295" i="24"/>
  <c r="B2291" i="24"/>
  <c r="F2289" i="24"/>
  <c r="L2287" i="24"/>
  <c r="P2285" i="24"/>
  <c r="T2283" i="24"/>
  <c r="D2282" i="24"/>
  <c r="H2280" i="24"/>
  <c r="N2278" i="24"/>
  <c r="R2276" i="24"/>
  <c r="B2275" i="24"/>
  <c r="F2273" i="24"/>
  <c r="L2271" i="24"/>
  <c r="P2269" i="24"/>
  <c r="T2267" i="24"/>
  <c r="D2266" i="24"/>
  <c r="H2264" i="24"/>
  <c r="N2262" i="24"/>
  <c r="R2260" i="24"/>
  <c r="B2259" i="24"/>
  <c r="F2257" i="24"/>
  <c r="L2255" i="24"/>
  <c r="P2253" i="24"/>
  <c r="T2251" i="24"/>
  <c r="D2250" i="24"/>
  <c r="H2248" i="24"/>
  <c r="N2246" i="24"/>
  <c r="R2244" i="24"/>
  <c r="B2243" i="24"/>
  <c r="F2241" i="24"/>
  <c r="L2239" i="24"/>
  <c r="P2237" i="24"/>
  <c r="T2235" i="24"/>
  <c r="D2234" i="24"/>
  <c r="H2232" i="24"/>
  <c r="N2230" i="24"/>
  <c r="R2228" i="24"/>
  <c r="B2227" i="24"/>
  <c r="F2225" i="24"/>
  <c r="L2223" i="24"/>
  <c r="P2221" i="24"/>
  <c r="T2219" i="24"/>
  <c r="D2218" i="24"/>
  <c r="H2216" i="24"/>
  <c r="N2214" i="24"/>
  <c r="R2212" i="24"/>
  <c r="B2211" i="24"/>
  <c r="F2209" i="24"/>
  <c r="L2207" i="24"/>
  <c r="P2205" i="24"/>
  <c r="T2203" i="24"/>
  <c r="D2202" i="24"/>
  <c r="H2200" i="24"/>
  <c r="N2198" i="24"/>
  <c r="R2196" i="24"/>
  <c r="B2195" i="24"/>
  <c r="F2193" i="24"/>
  <c r="L2191" i="24"/>
  <c r="P2189" i="24"/>
  <c r="T2187" i="24"/>
  <c r="D2186" i="24"/>
  <c r="H2184" i="24"/>
  <c r="N2182" i="24"/>
  <c r="R2180" i="24"/>
  <c r="B2179" i="24"/>
  <c r="F2177" i="24"/>
  <c r="L2175" i="24"/>
  <c r="P2173" i="24"/>
  <c r="T2171" i="24"/>
  <c r="D2170" i="24"/>
  <c r="H2168" i="24"/>
  <c r="N2166" i="24"/>
  <c r="R2164" i="24"/>
  <c r="B2163" i="24"/>
  <c r="F2161" i="24"/>
  <c r="L2159" i="24"/>
  <c r="P2157" i="24"/>
  <c r="T2155" i="24"/>
  <c r="D2154" i="24"/>
  <c r="H2152" i="24"/>
  <c r="N2150" i="24"/>
  <c r="R2148" i="24"/>
  <c r="B2147" i="24"/>
  <c r="F2145" i="24"/>
  <c r="L2143" i="24"/>
  <c r="P2141" i="24"/>
  <c r="T2139" i="24"/>
  <c r="D2138" i="24"/>
  <c r="H2136" i="24"/>
  <c r="N2134" i="24"/>
  <c r="R2132" i="24"/>
  <c r="B2131" i="24"/>
  <c r="F2129" i="24"/>
  <c r="L2127" i="24"/>
  <c r="P2125" i="24"/>
  <c r="T2123" i="24"/>
  <c r="D2122" i="24"/>
  <c r="H2120" i="24"/>
  <c r="N2118" i="24"/>
  <c r="R2116" i="24"/>
  <c r="B2115" i="24"/>
  <c r="F2113" i="24"/>
  <c r="L2111" i="24"/>
  <c r="P2109" i="24"/>
  <c r="T2107" i="24"/>
  <c r="D2106" i="24"/>
  <c r="H2104" i="24"/>
  <c r="N2102" i="24"/>
  <c r="R2100" i="24"/>
  <c r="B2099" i="24"/>
  <c r="F2097" i="24"/>
  <c r="L2095" i="24"/>
  <c r="P2093" i="24"/>
  <c r="T2091" i="24"/>
  <c r="D2090" i="24"/>
  <c r="H2088" i="24"/>
  <c r="N2086" i="24"/>
  <c r="R2084" i="24"/>
  <c r="B2083" i="24"/>
  <c r="R2081" i="24"/>
  <c r="T2080" i="24"/>
  <c r="B2080" i="24"/>
  <c r="D2079" i="24"/>
  <c r="F2078" i="24"/>
  <c r="H2077" i="24"/>
  <c r="L2076" i="24"/>
  <c r="N2075" i="24"/>
  <c r="P2074" i="24"/>
  <c r="R2073" i="24"/>
  <c r="T2072" i="24"/>
  <c r="B2072" i="24"/>
  <c r="D2071" i="24"/>
  <c r="F2070" i="24"/>
  <c r="H2069" i="24"/>
  <c r="L2068" i="24"/>
  <c r="N2067" i="24"/>
  <c r="P2066" i="24"/>
  <c r="R2065" i="24"/>
  <c r="T2064" i="24"/>
  <c r="B2064" i="24"/>
  <c r="D2063" i="24"/>
  <c r="F2062" i="24"/>
  <c r="H2061" i="24"/>
  <c r="L2060" i="24"/>
  <c r="N2059" i="24"/>
  <c r="P2058" i="24"/>
  <c r="R2057" i="24"/>
  <c r="T2056" i="24"/>
  <c r="B2056" i="24"/>
  <c r="D2055" i="24"/>
  <c r="F2054" i="24"/>
  <c r="H2053" i="24"/>
  <c r="L2052" i="24"/>
  <c r="N2051" i="24"/>
  <c r="P2050" i="24"/>
  <c r="R2049" i="24"/>
  <c r="T2048" i="24"/>
  <c r="B2048" i="24"/>
  <c r="D2047" i="24"/>
  <c r="F2046" i="24"/>
  <c r="H2045" i="24"/>
  <c r="L2044" i="24"/>
  <c r="N2043" i="24"/>
  <c r="P2042" i="24"/>
  <c r="R2041" i="24"/>
  <c r="T2040" i="24"/>
  <c r="B2040" i="24"/>
  <c r="D2039" i="24"/>
  <c r="F2038" i="24"/>
  <c r="H2037" i="24"/>
  <c r="L2036" i="24"/>
  <c r="N2035" i="24"/>
  <c r="P2034" i="24"/>
  <c r="R2033" i="24"/>
  <c r="A2033" i="24"/>
  <c r="M2032" i="24"/>
  <c r="C2032" i="24"/>
  <c r="O2031" i="24"/>
  <c r="E2031" i="24"/>
  <c r="Q2030" i="24"/>
  <c r="G2030" i="24"/>
  <c r="S2029" i="24"/>
  <c r="K2029" i="24"/>
  <c r="A2029" i="24"/>
  <c r="M2028" i="24"/>
  <c r="C2028" i="24"/>
  <c r="O2027" i="24"/>
  <c r="E2027" i="24"/>
  <c r="Q2026" i="24"/>
  <c r="G2026" i="24"/>
  <c r="S2025" i="24"/>
  <c r="K2025" i="24"/>
  <c r="A2025" i="24"/>
  <c r="M2024" i="24"/>
  <c r="C2024" i="24"/>
  <c r="O2023" i="24"/>
  <c r="E2023" i="24"/>
  <c r="Q2022" i="24"/>
  <c r="G2022" i="24"/>
  <c r="S2021" i="24"/>
  <c r="K2021" i="24"/>
  <c r="A2021" i="24"/>
  <c r="M2020" i="24"/>
  <c r="C2020" i="24"/>
  <c r="O2019" i="24"/>
  <c r="E2019" i="24"/>
  <c r="Q2018" i="24"/>
  <c r="G2018" i="24"/>
  <c r="S2017" i="24"/>
  <c r="K2017" i="24"/>
  <c r="A2017" i="24"/>
  <c r="M2016" i="24"/>
  <c r="C2016" i="24"/>
  <c r="O2015" i="24"/>
  <c r="E2015" i="24"/>
  <c r="Q2014" i="24"/>
  <c r="G2014" i="24"/>
  <c r="S2013" i="24"/>
  <c r="K2013" i="24"/>
  <c r="A2013" i="24"/>
  <c r="M2012" i="24"/>
  <c r="C2012" i="24"/>
  <c r="O2011" i="24"/>
  <c r="E2011" i="24"/>
  <c r="Q2010" i="24"/>
  <c r="G2010" i="24"/>
  <c r="S2009" i="24"/>
  <c r="K2009" i="24"/>
  <c r="A2009" i="24"/>
  <c r="M2008" i="24"/>
  <c r="C2008" i="24"/>
  <c r="O2007" i="24"/>
  <c r="E2007" i="24"/>
  <c r="Q2006" i="24"/>
  <c r="G2006" i="24"/>
  <c r="S2005" i="24"/>
  <c r="K2005" i="24"/>
  <c r="A2005" i="24"/>
  <c r="M2004" i="24"/>
  <c r="C2004" i="24"/>
  <c r="O2003" i="24"/>
  <c r="E2003" i="24"/>
  <c r="Q2002" i="24"/>
  <c r="G2002" i="24"/>
  <c r="S2001" i="24"/>
  <c r="K2001" i="24"/>
  <c r="A2001" i="24"/>
  <c r="M2000" i="24"/>
  <c r="C2000" i="24"/>
  <c r="O1999" i="24"/>
  <c r="E1999" i="24"/>
  <c r="Q1998" i="24"/>
  <c r="G1998" i="24"/>
  <c r="S1997" i="24"/>
  <c r="K1997" i="24"/>
  <c r="A1997" i="24"/>
  <c r="M1996" i="24"/>
  <c r="C1996" i="24"/>
  <c r="O1995" i="24"/>
  <c r="E1995" i="24"/>
  <c r="Q1994" i="24"/>
  <c r="G1994" i="24"/>
  <c r="S1993" i="24"/>
  <c r="K1993" i="24"/>
  <c r="A1993" i="24"/>
  <c r="M1992" i="24"/>
  <c r="C1992" i="24"/>
  <c r="O1991" i="24"/>
  <c r="E1991" i="24"/>
  <c r="Q1990" i="24"/>
  <c r="G1990" i="24"/>
  <c r="S1989" i="24"/>
  <c r="K1989" i="24"/>
  <c r="A1989" i="24"/>
  <c r="M1988" i="24"/>
  <c r="C1988" i="24"/>
  <c r="O1987" i="24"/>
  <c r="E1987" i="24"/>
  <c r="Q1986" i="24"/>
  <c r="G1986" i="24"/>
  <c r="S1985" i="24"/>
  <c r="K1985" i="24"/>
  <c r="A1985" i="24"/>
  <c r="M1984" i="24"/>
  <c r="C1984" i="24"/>
  <c r="O1983" i="24"/>
  <c r="E1983" i="24"/>
  <c r="Q1982" i="24"/>
  <c r="G1982" i="24"/>
  <c r="S1981" i="24"/>
  <c r="K1981" i="24"/>
  <c r="A1981" i="24"/>
  <c r="M1980" i="24"/>
  <c r="C1980" i="24"/>
  <c r="O1979" i="24"/>
  <c r="E1979" i="24"/>
  <c r="Q1978" i="24"/>
  <c r="G1978" i="24"/>
  <c r="S1977" i="24"/>
  <c r="K1977" i="24"/>
  <c r="A1977" i="24"/>
  <c r="M1976" i="24"/>
  <c r="C1976" i="24"/>
  <c r="O1975" i="24"/>
  <c r="E1975" i="24"/>
  <c r="Q1974" i="24"/>
  <c r="G1974" i="24"/>
  <c r="S1973" i="24"/>
  <c r="K1973" i="24"/>
  <c r="A1973" i="24"/>
  <c r="M1972" i="24"/>
  <c r="C1972" i="24"/>
  <c r="O1971" i="24"/>
  <c r="E1971" i="24"/>
  <c r="Q1970" i="24"/>
  <c r="G1970" i="24"/>
  <c r="S1969" i="24"/>
  <c r="K1969" i="24"/>
  <c r="A1969" i="24"/>
  <c r="N1968" i="24"/>
  <c r="G1968" i="24"/>
  <c r="B1968" i="24"/>
  <c r="R1967" i="24"/>
  <c r="N1967" i="24"/>
  <c r="H1967" i="24"/>
  <c r="D1967" i="24"/>
  <c r="T1966" i="24"/>
  <c r="P1966" i="24"/>
  <c r="L1966" i="24"/>
  <c r="F1966" i="24"/>
  <c r="B1966" i="24"/>
  <c r="R1965" i="24"/>
  <c r="N1965" i="24"/>
  <c r="H1965" i="24"/>
  <c r="D1965" i="24"/>
  <c r="T1964" i="24"/>
  <c r="P1964" i="24"/>
  <c r="L1964" i="24"/>
  <c r="F1964" i="24"/>
  <c r="B1964" i="24"/>
  <c r="R1963" i="24"/>
  <c r="N1963" i="24"/>
  <c r="H1963" i="24"/>
  <c r="D1963" i="24"/>
  <c r="T1962" i="24"/>
  <c r="P1962" i="24"/>
  <c r="L1962" i="24"/>
  <c r="F1962" i="24"/>
  <c r="B1962" i="24"/>
  <c r="R1961" i="24"/>
  <c r="N1961" i="24"/>
  <c r="H1961" i="24"/>
  <c r="D1961" i="24"/>
  <c r="T1960" i="24"/>
  <c r="P1960" i="24"/>
  <c r="L1960" i="24"/>
  <c r="F1960" i="24"/>
  <c r="B1960" i="24"/>
  <c r="R1959" i="24"/>
  <c r="N1959" i="24"/>
  <c r="H1959" i="24"/>
  <c r="D1959" i="24"/>
  <c r="T1958" i="24"/>
  <c r="P1958" i="24"/>
  <c r="L1958" i="24"/>
  <c r="F1958" i="24"/>
  <c r="B1958" i="24"/>
  <c r="R1957" i="24"/>
  <c r="N1957" i="24"/>
  <c r="H1957" i="24"/>
  <c r="D1957" i="24"/>
  <c r="T1956" i="24"/>
  <c r="P1956" i="24"/>
  <c r="L1956" i="24"/>
  <c r="F1956" i="24"/>
  <c r="B1956" i="24"/>
  <c r="R1955" i="24"/>
  <c r="N1955" i="24"/>
  <c r="H1955" i="24"/>
  <c r="D1955" i="24"/>
  <c r="T1954" i="24"/>
  <c r="P1954" i="24"/>
  <c r="L1954" i="24"/>
  <c r="F1954" i="24"/>
  <c r="B1954" i="24"/>
  <c r="R1953" i="24"/>
  <c r="N1953" i="24"/>
  <c r="H1953" i="24"/>
  <c r="D1953" i="24"/>
  <c r="T1952" i="24"/>
  <c r="P1952" i="24"/>
  <c r="L1952" i="24"/>
  <c r="F1952" i="24"/>
  <c r="B1952" i="24"/>
  <c r="R1951" i="24"/>
  <c r="N1951" i="24"/>
  <c r="H1951" i="24"/>
  <c r="D1951" i="24"/>
  <c r="T1950" i="24"/>
  <c r="P1950" i="24"/>
  <c r="L1950" i="24"/>
  <c r="F1950" i="24"/>
  <c r="B1950" i="24"/>
  <c r="R1949" i="24"/>
  <c r="N1949" i="24"/>
  <c r="H1949" i="24"/>
  <c r="D1949" i="24"/>
  <c r="T1948" i="24"/>
  <c r="P1948" i="24"/>
  <c r="L1948" i="24"/>
  <c r="F1948" i="24"/>
  <c r="B1948" i="24"/>
  <c r="R1947" i="24"/>
  <c r="N1947" i="24"/>
  <c r="H1947" i="24"/>
  <c r="D1947" i="24"/>
  <c r="T1946" i="24"/>
  <c r="P1946" i="24"/>
  <c r="L1946" i="24"/>
  <c r="F1946" i="24"/>
  <c r="B1946" i="24"/>
  <c r="R1945" i="24"/>
  <c r="N1945" i="24"/>
  <c r="H1945" i="24"/>
  <c r="D1945" i="24"/>
  <c r="T1944" i="24"/>
  <c r="P1944" i="24"/>
  <c r="L1944" i="24"/>
  <c r="F1944" i="24"/>
  <c r="B1944" i="24"/>
  <c r="R1943" i="24"/>
  <c r="N1943" i="24"/>
  <c r="H1943" i="24"/>
  <c r="D1943" i="24"/>
  <c r="T1942" i="24"/>
  <c r="P1942" i="24"/>
  <c r="L1942" i="24"/>
  <c r="F1942" i="24"/>
  <c r="B1942" i="24"/>
  <c r="R1941" i="24"/>
  <c r="N1941" i="24"/>
  <c r="H1941" i="24"/>
  <c r="D1941" i="24"/>
  <c r="T1940" i="24"/>
  <c r="P1940" i="24"/>
  <c r="L1940" i="24"/>
  <c r="F1940" i="24"/>
  <c r="B1940" i="24"/>
  <c r="R1939" i="24"/>
  <c r="N1939" i="24"/>
  <c r="H1939" i="24"/>
  <c r="D1939" i="24"/>
  <c r="T1938" i="24"/>
  <c r="P1938" i="24"/>
  <c r="L1938" i="24"/>
  <c r="F1938" i="24"/>
  <c r="B1938" i="24"/>
  <c r="R1937" i="24"/>
  <c r="N1937" i="24"/>
  <c r="H1937" i="24"/>
  <c r="D1937" i="24"/>
  <c r="T1936" i="24"/>
  <c r="P1936" i="24"/>
  <c r="L1936" i="24"/>
  <c r="F1936" i="24"/>
  <c r="B1936" i="24"/>
  <c r="R1935" i="24"/>
  <c r="N1935" i="24"/>
  <c r="H1935" i="24"/>
  <c r="D1935" i="24"/>
  <c r="T1934" i="24"/>
  <c r="P1934" i="24"/>
  <c r="L1934" i="24"/>
  <c r="F1934" i="24"/>
  <c r="B1934" i="24"/>
  <c r="R1933" i="24"/>
  <c r="N1933" i="24"/>
  <c r="H1933" i="24"/>
  <c r="D1933" i="24"/>
  <c r="T1932" i="24"/>
  <c r="P1932" i="24"/>
  <c r="L1932" i="24"/>
  <c r="F1932" i="24"/>
  <c r="B1932" i="24"/>
  <c r="R1931" i="24"/>
  <c r="N1931" i="24"/>
  <c r="H1931" i="24"/>
  <c r="D1931" i="24"/>
  <c r="T1930" i="24"/>
  <c r="P1930" i="24"/>
  <c r="L1930" i="24"/>
  <c r="F1930" i="24"/>
  <c r="B1930" i="24"/>
  <c r="R1929" i="24"/>
  <c r="N1929" i="24"/>
  <c r="H1929" i="24"/>
  <c r="D1929" i="24"/>
  <c r="T1928" i="24"/>
  <c r="P1928" i="24"/>
  <c r="L1928" i="24"/>
  <c r="F1928" i="24"/>
  <c r="B1928" i="24"/>
  <c r="R1927" i="24"/>
  <c r="N1927" i="24"/>
  <c r="H1927" i="24"/>
  <c r="D1927" i="24"/>
  <c r="T1926" i="24"/>
  <c r="P1926" i="24"/>
  <c r="L1926" i="24"/>
  <c r="F1926" i="24"/>
  <c r="B1926" i="24"/>
  <c r="R1925" i="24"/>
  <c r="N1925" i="24"/>
  <c r="H1925" i="24"/>
  <c r="D1925" i="24"/>
  <c r="T1924" i="24"/>
  <c r="P1924" i="24"/>
  <c r="L1924" i="24"/>
  <c r="F1924" i="24"/>
  <c r="B1924" i="24"/>
  <c r="R1923" i="24"/>
  <c r="N1923" i="24"/>
  <c r="H1923" i="24"/>
  <c r="D1923" i="24"/>
  <c r="T1922" i="24"/>
  <c r="P1922" i="24"/>
  <c r="L1922" i="24"/>
  <c r="F1922" i="24"/>
  <c r="B1922" i="24"/>
  <c r="R1921" i="24"/>
  <c r="N1921" i="24"/>
  <c r="H1921" i="24"/>
  <c r="D1921" i="24"/>
  <c r="T1920" i="24"/>
  <c r="P1920" i="24"/>
  <c r="L1920" i="24"/>
  <c r="F1920" i="24"/>
  <c r="B1920" i="24"/>
  <c r="R1919" i="24"/>
  <c r="N1919" i="24"/>
  <c r="H1919" i="24"/>
  <c r="D1919" i="24"/>
  <c r="T1918" i="24"/>
  <c r="P1918" i="24"/>
  <c r="L1918" i="24"/>
  <c r="F1918" i="24"/>
  <c r="B1918" i="24"/>
  <c r="R1917" i="24"/>
  <c r="N1917" i="24"/>
  <c r="H1917" i="24"/>
  <c r="D1917" i="24"/>
  <c r="T1916" i="24"/>
  <c r="P1916" i="24"/>
  <c r="L1916" i="24"/>
  <c r="F1916" i="24"/>
  <c r="B1916" i="24"/>
  <c r="R1915" i="24"/>
  <c r="N1915" i="24"/>
  <c r="H1915" i="24"/>
  <c r="D1915" i="24"/>
  <c r="T1914" i="24"/>
  <c r="P1914" i="24"/>
  <c r="L1914" i="24"/>
  <c r="F1914" i="24"/>
  <c r="B1914" i="24"/>
  <c r="R1913" i="24"/>
  <c r="N1913" i="24"/>
  <c r="H1913" i="24"/>
  <c r="D1913" i="24"/>
  <c r="T1912" i="24"/>
  <c r="P1912" i="24"/>
  <c r="L1912" i="24"/>
  <c r="F1912" i="24"/>
  <c r="B1912" i="24"/>
  <c r="R1911" i="24"/>
  <c r="N1911" i="24"/>
  <c r="H1911" i="24"/>
  <c r="D1911" i="24"/>
  <c r="T1910" i="24"/>
  <c r="P1910" i="24"/>
  <c r="L1910" i="24"/>
  <c r="F1910" i="24"/>
  <c r="B1910" i="24"/>
  <c r="R1909" i="24"/>
  <c r="N1909" i="24"/>
  <c r="H1909" i="24"/>
  <c r="D1909" i="24"/>
  <c r="T1908" i="24"/>
  <c r="P1908" i="24"/>
  <c r="L1908" i="24"/>
  <c r="F1908" i="24"/>
  <c r="B1908" i="24"/>
  <c r="R1907" i="24"/>
  <c r="N1907" i="24"/>
  <c r="H1907" i="24"/>
  <c r="D1907" i="24"/>
  <c r="T1906" i="24"/>
  <c r="P1906" i="24"/>
  <c r="L1906" i="24"/>
  <c r="F1906" i="24"/>
  <c r="B1906" i="24"/>
  <c r="R1905" i="24"/>
  <c r="N1905" i="24"/>
  <c r="H1905" i="24"/>
  <c r="D1905" i="24"/>
  <c r="T1904" i="24"/>
  <c r="P1904" i="24"/>
  <c r="L1904" i="24"/>
  <c r="F1904" i="24"/>
  <c r="B1904" i="24"/>
  <c r="R1903" i="24"/>
  <c r="N1903" i="24"/>
  <c r="H1903" i="24"/>
  <c r="D1903" i="24"/>
  <c r="T1902" i="24"/>
  <c r="P1902" i="24"/>
  <c r="L1902" i="24"/>
  <c r="F1902" i="24"/>
  <c r="B1902" i="24"/>
  <c r="R1901" i="24"/>
  <c r="N1901" i="24"/>
  <c r="H1901" i="24"/>
  <c r="D1901" i="24"/>
  <c r="T1900" i="24"/>
  <c r="P1900" i="24"/>
  <c r="L1900" i="24"/>
  <c r="F1900" i="24"/>
  <c r="B1900" i="24"/>
  <c r="R1899" i="24"/>
  <c r="N1899" i="24"/>
  <c r="H1899" i="24"/>
  <c r="D1899" i="24"/>
  <c r="T1898" i="24"/>
  <c r="P1898" i="24"/>
  <c r="L1898" i="24"/>
  <c r="F1898" i="24"/>
  <c r="B1898" i="24"/>
  <c r="R1897" i="24"/>
  <c r="N1897" i="24"/>
  <c r="H1897" i="24"/>
  <c r="D1897" i="24"/>
  <c r="T1896" i="24"/>
  <c r="P1896" i="24"/>
  <c r="L1896" i="24"/>
  <c r="F1896" i="24"/>
  <c r="B1896" i="24"/>
  <c r="R1895" i="24"/>
  <c r="N1895" i="24"/>
  <c r="H1895" i="24"/>
  <c r="D1895" i="24"/>
  <c r="T1894" i="24"/>
  <c r="P1894" i="24"/>
  <c r="L1894" i="24"/>
  <c r="F1894" i="24"/>
  <c r="B1894" i="24"/>
  <c r="R1893" i="24"/>
  <c r="N1893" i="24"/>
  <c r="H1893" i="24"/>
  <c r="D1893" i="24"/>
  <c r="T1892" i="24"/>
  <c r="P1892" i="24"/>
  <c r="L1892" i="24"/>
  <c r="F1892" i="24"/>
  <c r="B1892" i="24"/>
  <c r="R1891" i="24"/>
  <c r="N1891" i="24"/>
  <c r="H1891" i="24"/>
  <c r="D1891" i="24"/>
  <c r="T1890" i="24"/>
  <c r="P1890" i="24"/>
  <c r="L1890" i="24"/>
  <c r="F1890" i="24"/>
  <c r="B1890" i="24"/>
  <c r="R1889" i="24"/>
  <c r="N1889" i="24"/>
  <c r="H1889" i="24"/>
  <c r="D1889" i="24"/>
  <c r="T1888" i="24"/>
  <c r="P1888" i="24"/>
  <c r="L1888" i="24"/>
  <c r="F1888" i="24"/>
  <c r="B1888" i="24"/>
  <c r="R1887" i="24"/>
  <c r="N1887" i="24"/>
  <c r="H1887" i="24"/>
  <c r="D1887" i="24"/>
  <c r="T1886" i="24"/>
  <c r="P1886" i="24"/>
  <c r="L1886" i="24"/>
  <c r="F1886" i="24"/>
  <c r="B1886" i="24"/>
  <c r="R1885" i="24"/>
  <c r="N1885" i="24"/>
  <c r="H1885" i="24"/>
  <c r="D1885" i="24"/>
  <c r="T1884" i="24"/>
  <c r="P1884" i="24"/>
  <c r="L1884" i="24"/>
  <c r="F1884" i="24"/>
  <c r="B1884" i="24"/>
  <c r="R1883" i="24"/>
  <c r="N1883" i="24"/>
  <c r="H1883" i="24"/>
  <c r="D1883" i="24"/>
  <c r="T1882" i="24"/>
  <c r="P1882" i="24"/>
  <c r="L1882" i="24"/>
  <c r="F1882" i="24"/>
  <c r="B1882" i="24"/>
  <c r="R1881" i="24"/>
  <c r="N1881" i="24"/>
  <c r="H1881" i="24"/>
  <c r="D1881" i="24"/>
  <c r="T1880" i="24"/>
  <c r="P1880" i="24"/>
  <c r="L1880" i="24"/>
  <c r="F1880" i="24"/>
  <c r="B1880" i="24"/>
  <c r="R1879" i="24"/>
  <c r="N1879" i="24"/>
  <c r="H1879" i="24"/>
  <c r="D1879" i="24"/>
  <c r="T1878" i="24"/>
  <c r="P1878" i="24"/>
  <c r="L1878" i="24"/>
  <c r="F1878" i="24"/>
  <c r="B1878" i="24"/>
  <c r="R1877" i="24"/>
  <c r="N1877" i="24"/>
  <c r="H1877" i="24"/>
  <c r="D1877" i="24"/>
  <c r="T1876" i="24"/>
  <c r="P1876" i="24"/>
  <c r="L1876" i="24"/>
  <c r="F1876" i="24"/>
  <c r="B1876" i="24"/>
  <c r="R1875" i="24"/>
  <c r="N1875" i="24"/>
  <c r="H1875" i="24"/>
  <c r="D1875" i="24"/>
  <c r="T1874" i="24"/>
  <c r="P1874" i="24"/>
  <c r="L1874" i="24"/>
  <c r="F1874" i="24"/>
  <c r="B1874" i="24"/>
  <c r="R1873" i="24"/>
  <c r="N1873" i="24"/>
  <c r="H1873" i="24"/>
  <c r="D1873" i="24"/>
  <c r="T1872" i="24"/>
  <c r="P1872" i="24"/>
  <c r="L1872" i="24"/>
  <c r="F1872" i="24"/>
  <c r="B1872" i="24"/>
  <c r="R1871" i="24"/>
  <c r="N1871" i="24"/>
  <c r="H1871" i="24"/>
  <c r="D1871" i="24"/>
  <c r="T1870" i="24"/>
  <c r="P1870" i="24"/>
  <c r="L1870" i="24"/>
  <c r="F1870" i="24"/>
  <c r="B1870" i="24"/>
  <c r="R1869" i="24"/>
  <c r="N1869" i="24"/>
  <c r="H1869" i="24"/>
  <c r="D1869" i="24"/>
  <c r="T1868" i="24"/>
  <c r="P1868" i="24"/>
  <c r="L1868" i="24"/>
  <c r="F1868" i="24"/>
  <c r="B1868" i="24"/>
  <c r="R1867" i="24"/>
  <c r="N1867" i="24"/>
  <c r="H1867" i="24"/>
  <c r="D1867" i="24"/>
  <c r="T1866" i="24"/>
  <c r="P1866" i="24"/>
  <c r="L1866" i="24"/>
  <c r="F1866" i="24"/>
  <c r="B1866" i="24"/>
  <c r="R1865" i="24"/>
  <c r="N1865" i="24"/>
  <c r="H1865" i="24"/>
  <c r="D1865" i="24"/>
  <c r="T1864" i="24"/>
  <c r="P1864" i="24"/>
  <c r="L1864" i="24"/>
  <c r="F1864" i="24"/>
  <c r="B1864" i="24"/>
  <c r="R1863" i="24"/>
  <c r="N1863" i="24"/>
  <c r="H1863" i="24"/>
  <c r="D1863" i="24"/>
  <c r="T1862" i="24"/>
  <c r="P1862" i="24"/>
  <c r="L1862" i="24"/>
  <c r="F1862" i="24"/>
  <c r="B1862" i="24"/>
  <c r="R1861" i="24"/>
  <c r="N1861" i="24"/>
  <c r="H1861" i="24"/>
  <c r="D1861" i="24"/>
  <c r="T1860" i="24"/>
  <c r="P1860" i="24"/>
  <c r="L1860" i="24"/>
  <c r="F1860" i="24"/>
  <c r="B1860" i="24"/>
  <c r="R1859" i="24"/>
  <c r="N1859" i="24"/>
  <c r="H1859" i="24"/>
  <c r="D1859" i="24"/>
  <c r="T1858" i="24"/>
  <c r="P1858" i="24"/>
  <c r="L1858" i="24"/>
  <c r="F1858" i="24"/>
  <c r="B1858" i="24"/>
  <c r="R1857" i="24"/>
  <c r="N1857" i="24"/>
  <c r="H1857" i="24"/>
  <c r="D1857" i="24"/>
  <c r="T1856" i="24"/>
  <c r="P1856" i="24"/>
  <c r="L1856" i="24"/>
  <c r="F1856" i="24"/>
  <c r="B1856" i="24"/>
  <c r="R1855" i="24"/>
  <c r="N1855" i="24"/>
  <c r="H1855" i="24"/>
  <c r="D1855" i="24"/>
  <c r="T1854" i="24"/>
  <c r="P1854" i="24"/>
  <c r="L1854" i="24"/>
  <c r="F1854" i="24"/>
  <c r="B1854" i="24"/>
  <c r="R1853" i="24"/>
  <c r="N1853" i="24"/>
  <c r="H1853" i="24"/>
  <c r="D1853" i="24"/>
  <c r="T1852" i="24"/>
  <c r="P1852" i="24"/>
  <c r="L1852" i="24"/>
  <c r="F1852" i="24"/>
  <c r="B1852" i="24"/>
  <c r="R1851" i="24"/>
  <c r="N1851" i="24"/>
  <c r="H1851" i="24"/>
  <c r="D1851" i="24"/>
  <c r="T1850" i="24"/>
  <c r="P1850" i="24"/>
  <c r="L1850" i="24"/>
  <c r="F1850" i="24"/>
  <c r="B1850" i="24"/>
  <c r="R1849" i="24"/>
  <c r="N1849" i="24"/>
  <c r="H1849" i="24"/>
  <c r="D1849" i="24"/>
  <c r="T1848" i="24"/>
  <c r="P1848" i="24"/>
  <c r="L1848" i="24"/>
  <c r="F1848" i="24"/>
  <c r="B1848" i="24"/>
  <c r="R1847" i="24"/>
  <c r="N1847" i="24"/>
  <c r="H1847" i="24"/>
  <c r="D1847" i="24"/>
  <c r="T1846" i="24"/>
  <c r="P1846" i="24"/>
  <c r="L1846" i="24"/>
  <c r="F1846" i="24"/>
  <c r="B1846" i="24"/>
  <c r="R1845" i="24"/>
  <c r="N1845" i="24"/>
  <c r="H1845" i="24"/>
  <c r="D1845" i="24"/>
  <c r="T1844" i="24"/>
  <c r="P1844" i="24"/>
  <c r="L1844" i="24"/>
  <c r="F1844" i="24"/>
  <c r="B1844" i="24"/>
  <c r="R1843" i="24"/>
  <c r="N1843" i="24"/>
  <c r="H1843" i="24"/>
  <c r="D1843" i="24"/>
  <c r="T1842" i="24"/>
  <c r="P1842" i="24"/>
  <c r="L1842" i="24"/>
  <c r="F1842" i="24"/>
  <c r="B1842" i="24"/>
  <c r="R1841" i="24"/>
  <c r="N1841" i="24"/>
  <c r="H1841" i="24"/>
  <c r="D1841" i="24"/>
  <c r="T1840" i="24"/>
  <c r="P1840" i="24"/>
  <c r="L1840" i="24"/>
  <c r="F1840" i="24"/>
  <c r="B1840" i="24"/>
  <c r="R1839" i="24"/>
  <c r="N1839" i="24"/>
  <c r="H1839" i="24"/>
  <c r="D1839" i="24"/>
  <c r="T1838" i="24"/>
  <c r="P1838" i="24"/>
  <c r="L1838" i="24"/>
  <c r="F1838" i="24"/>
  <c r="B1838" i="24"/>
  <c r="R1837" i="24"/>
  <c r="N1837" i="24"/>
  <c r="H1837" i="24"/>
  <c r="D1837" i="24"/>
  <c r="T1836" i="24"/>
  <c r="P1836" i="24"/>
  <c r="L1836" i="24"/>
  <c r="F1836" i="24"/>
  <c r="B1836" i="24"/>
  <c r="R1835" i="24"/>
  <c r="N1835" i="24"/>
  <c r="H1835" i="24"/>
  <c r="D1835" i="24"/>
  <c r="T1834" i="24"/>
  <c r="P1834" i="24"/>
  <c r="L1834" i="24"/>
  <c r="F1834" i="24"/>
  <c r="B1834" i="24"/>
  <c r="R1833" i="24"/>
  <c r="N1833" i="24"/>
  <c r="H1833" i="24"/>
  <c r="D1833" i="24"/>
  <c r="T1832" i="24"/>
  <c r="P1832" i="24"/>
  <c r="L1832" i="24"/>
  <c r="F1832" i="24"/>
  <c r="B1832" i="24"/>
  <c r="R1831" i="24"/>
  <c r="N1831" i="24"/>
  <c r="H1831" i="24"/>
  <c r="D1831" i="24"/>
  <c r="T1830" i="24"/>
  <c r="P1830" i="24"/>
  <c r="L1830" i="24"/>
  <c r="F1830" i="24"/>
  <c r="B1830" i="24"/>
  <c r="R1829" i="24"/>
  <c r="N1829" i="24"/>
  <c r="H1829" i="24"/>
  <c r="D1829" i="24"/>
  <c r="T1828" i="24"/>
  <c r="P1828" i="24"/>
  <c r="L1828" i="24"/>
  <c r="F1828" i="24"/>
  <c r="B1828" i="24"/>
  <c r="R1827" i="24"/>
  <c r="N1827" i="24"/>
  <c r="H1827" i="24"/>
  <c r="D1827" i="24"/>
  <c r="T1826" i="24"/>
  <c r="P1826" i="24"/>
  <c r="L1826" i="24"/>
  <c r="F1826" i="24"/>
  <c r="B1826" i="24"/>
  <c r="R1825" i="24"/>
  <c r="N1825" i="24"/>
  <c r="H1825" i="24"/>
  <c r="D1825" i="24"/>
  <c r="T1824" i="24"/>
  <c r="P1824" i="24"/>
  <c r="L1824" i="24"/>
  <c r="F1824" i="24"/>
  <c r="B1824" i="24"/>
  <c r="R1823" i="24"/>
  <c r="N1823" i="24"/>
  <c r="H1823" i="24"/>
  <c r="D1823" i="24"/>
  <c r="T1822" i="24"/>
  <c r="P1822" i="24"/>
  <c r="L1822" i="24"/>
  <c r="F1822" i="24"/>
  <c r="B1822" i="24"/>
  <c r="R1821" i="24"/>
  <c r="N1821" i="24"/>
  <c r="H1821" i="24"/>
  <c r="D1821" i="24"/>
  <c r="T1820" i="24"/>
  <c r="P1820" i="24"/>
  <c r="L1820" i="24"/>
  <c r="F1820" i="24"/>
  <c r="B1820" i="24"/>
  <c r="R1819" i="24"/>
  <c r="N1819" i="24"/>
  <c r="H1819" i="24"/>
  <c r="D1819" i="24"/>
  <c r="T1818" i="24"/>
  <c r="P1818" i="24"/>
  <c r="L1818" i="24"/>
  <c r="F1818" i="24"/>
  <c r="B1818" i="24"/>
  <c r="R1817" i="24"/>
  <c r="N1817" i="24"/>
  <c r="H1817" i="24"/>
  <c r="D1817" i="24"/>
  <c r="T1816" i="24"/>
  <c r="P1816" i="24"/>
  <c r="L1816" i="24"/>
  <c r="F1816" i="24"/>
  <c r="B1816" i="24"/>
  <c r="R1815" i="24"/>
  <c r="N1815" i="24"/>
  <c r="H1815" i="24"/>
  <c r="D1815" i="24"/>
  <c r="T1814" i="24"/>
  <c r="P1814" i="24"/>
  <c r="L1814" i="24"/>
  <c r="F1814" i="24"/>
  <c r="B1814" i="24"/>
  <c r="R1813" i="24"/>
  <c r="N1813" i="24"/>
  <c r="H1813" i="24"/>
  <c r="D1813" i="24"/>
  <c r="T1812" i="24"/>
  <c r="P1812" i="24"/>
  <c r="L1812" i="24"/>
  <c r="F1812" i="24"/>
  <c r="B1812" i="24"/>
  <c r="R1811" i="24"/>
  <c r="N1811" i="24"/>
  <c r="H1811" i="24"/>
  <c r="D1811" i="24"/>
  <c r="T1810" i="24"/>
  <c r="P1810" i="24"/>
  <c r="L1810" i="24"/>
  <c r="F1810" i="24"/>
  <c r="B1810" i="24"/>
  <c r="R1809" i="24"/>
  <c r="N1809" i="24"/>
  <c r="H1809" i="24"/>
  <c r="D1809" i="24"/>
  <c r="T1808" i="24"/>
  <c r="P1808" i="24"/>
  <c r="L1808" i="24"/>
  <c r="F1808" i="24"/>
  <c r="B1808" i="24"/>
  <c r="R1807" i="24"/>
  <c r="N1807" i="24"/>
  <c r="H1807" i="24"/>
  <c r="D1807" i="24"/>
  <c r="T1806" i="24"/>
  <c r="P1806" i="24"/>
  <c r="L1806" i="24"/>
  <c r="F1806" i="24"/>
  <c r="B1806" i="24"/>
  <c r="R1805" i="24"/>
  <c r="N1805" i="24"/>
  <c r="H1805" i="24"/>
  <c r="D1805" i="24"/>
  <c r="T1804" i="24"/>
  <c r="P1804" i="24"/>
  <c r="L1804" i="24"/>
  <c r="F1804" i="24"/>
  <c r="B1804" i="24"/>
  <c r="R1803" i="24"/>
  <c r="N1803" i="24"/>
  <c r="H1803" i="24"/>
  <c r="D1803" i="24"/>
  <c r="T1802" i="24"/>
  <c r="P1802" i="24"/>
  <c r="L1802" i="24"/>
  <c r="F1802" i="24"/>
  <c r="B1802" i="24"/>
  <c r="R1801" i="24"/>
  <c r="N1801" i="24"/>
  <c r="H1801" i="24"/>
  <c r="D1801" i="24"/>
  <c r="T1800" i="24"/>
  <c r="P1800" i="24"/>
  <c r="L1800" i="24"/>
  <c r="F1800" i="24"/>
  <c r="B1800" i="24"/>
  <c r="R1799" i="24"/>
  <c r="N1799" i="24"/>
  <c r="H1799" i="24"/>
  <c r="D1799" i="24"/>
  <c r="T1798" i="24"/>
  <c r="P1798" i="24"/>
  <c r="L1798" i="24"/>
  <c r="F1798" i="24"/>
  <c r="B1798" i="24"/>
  <c r="R1797" i="24"/>
  <c r="N1797" i="24"/>
  <c r="H1797" i="24"/>
  <c r="D1797" i="24"/>
  <c r="T1796" i="24"/>
  <c r="P1796" i="24"/>
  <c r="L1796" i="24"/>
  <c r="F1796" i="24"/>
  <c r="B1796" i="24"/>
  <c r="R1795" i="24"/>
  <c r="N1795" i="24"/>
  <c r="H1795" i="24"/>
  <c r="D1795" i="24"/>
  <c r="T1794" i="24"/>
  <c r="P1794" i="24"/>
  <c r="L1794" i="24"/>
  <c r="F1794" i="24"/>
  <c r="B1794" i="24"/>
  <c r="R1793" i="24"/>
  <c r="N1793" i="24"/>
  <c r="H1793" i="24"/>
  <c r="D1793" i="24"/>
  <c r="T1792" i="24"/>
  <c r="P1792" i="24"/>
  <c r="L1792" i="24"/>
  <c r="F1792" i="24"/>
  <c r="B1792" i="24"/>
  <c r="R1791" i="24"/>
  <c r="N1791" i="24"/>
  <c r="H1791" i="24"/>
  <c r="D1791" i="24"/>
  <c r="T1790" i="24"/>
  <c r="P1790" i="24"/>
  <c r="L1790" i="24"/>
  <c r="F1790" i="24"/>
  <c r="B1790" i="24"/>
  <c r="R1789" i="24"/>
  <c r="N1789" i="24"/>
  <c r="H1789" i="24"/>
  <c r="D1789" i="24"/>
  <c r="T1788" i="24"/>
  <c r="P1788" i="24"/>
  <c r="L1788" i="24"/>
  <c r="F1788" i="24"/>
  <c r="B1788" i="24"/>
  <c r="R1787" i="24"/>
  <c r="N1787" i="24"/>
  <c r="H1787" i="24"/>
  <c r="D1787" i="24"/>
  <c r="T1786" i="24"/>
  <c r="P1786" i="24"/>
  <c r="L1786" i="24"/>
  <c r="F1786" i="24"/>
  <c r="B1786" i="24"/>
  <c r="R1785" i="24"/>
  <c r="N1785" i="24"/>
  <c r="H1785" i="24"/>
  <c r="D1785" i="24"/>
  <c r="T1784" i="24"/>
  <c r="P1784" i="24"/>
  <c r="L1784" i="24"/>
  <c r="F1784" i="24"/>
  <c r="B1784" i="24"/>
  <c r="R1783" i="24"/>
  <c r="N1783" i="24"/>
  <c r="H1783" i="24"/>
  <c r="D1783" i="24"/>
  <c r="T1782" i="24"/>
  <c r="P1782" i="24"/>
  <c r="L1782" i="24"/>
  <c r="F1782" i="24"/>
  <c r="B1782" i="24"/>
  <c r="R1781" i="24"/>
  <c r="N1781" i="24"/>
  <c r="H1781" i="24"/>
  <c r="D1781" i="24"/>
  <c r="T1780" i="24"/>
  <c r="P1780" i="24"/>
  <c r="L1780" i="24"/>
  <c r="F1780" i="24"/>
  <c r="B1780" i="24"/>
  <c r="R1779" i="24"/>
  <c r="N1779" i="24"/>
  <c r="H1779" i="24"/>
  <c r="D1779" i="24"/>
  <c r="T1778" i="24"/>
  <c r="P1778" i="24"/>
  <c r="L1778" i="24"/>
  <c r="F1778" i="24"/>
  <c r="B1778" i="24"/>
  <c r="R1777" i="24"/>
  <c r="N1777" i="24"/>
  <c r="N2357" i="24"/>
  <c r="L2350" i="24"/>
  <c r="H2343" i="24"/>
  <c r="F2336" i="24"/>
  <c r="D2329" i="24"/>
  <c r="B2322" i="24"/>
  <c r="T2314" i="24"/>
  <c r="R2307" i="24"/>
  <c r="P2300" i="24"/>
  <c r="N2293" i="24"/>
  <c r="N2290" i="24"/>
  <c r="R2288" i="24"/>
  <c r="B2287" i="24"/>
  <c r="F2285" i="24"/>
  <c r="L2283" i="24"/>
  <c r="P2281" i="24"/>
  <c r="T2279" i="24"/>
  <c r="D2278" i="24"/>
  <c r="H2276" i="24"/>
  <c r="N2274" i="24"/>
  <c r="R2272" i="24"/>
  <c r="B2271" i="24"/>
  <c r="F2269" i="24"/>
  <c r="L2267" i="24"/>
  <c r="P2265" i="24"/>
  <c r="T2263" i="24"/>
  <c r="D2262" i="24"/>
  <c r="H2260" i="24"/>
  <c r="N2258" i="24"/>
  <c r="R2256" i="24"/>
  <c r="B2255" i="24"/>
  <c r="F2253" i="24"/>
  <c r="L2251" i="24"/>
  <c r="P2249" i="24"/>
  <c r="T2247" i="24"/>
  <c r="D2246" i="24"/>
  <c r="H2244" i="24"/>
  <c r="N2242" i="24"/>
  <c r="R2240" i="24"/>
  <c r="B2239" i="24"/>
  <c r="F2237" i="24"/>
  <c r="L2235" i="24"/>
  <c r="P2233" i="24"/>
  <c r="T2231" i="24"/>
  <c r="D2230" i="24"/>
  <c r="H2228" i="24"/>
  <c r="N2226" i="24"/>
  <c r="R2224" i="24"/>
  <c r="B2223" i="24"/>
  <c r="F2221" i="24"/>
  <c r="L2219" i="24"/>
  <c r="P2217" i="24"/>
  <c r="T2215" i="24"/>
  <c r="D2214" i="24"/>
  <c r="H2212" i="24"/>
  <c r="N2210" i="24"/>
  <c r="R2208" i="24"/>
  <c r="B2207" i="24"/>
  <c r="F2205" i="24"/>
  <c r="L2203" i="24"/>
  <c r="P2201" i="24"/>
  <c r="T2199" i="24"/>
  <c r="D2198" i="24"/>
  <c r="H2196" i="24"/>
  <c r="N2194" i="24"/>
  <c r="R2192" i="24"/>
  <c r="B2191" i="24"/>
  <c r="F2189" i="24"/>
  <c r="L2187" i="24"/>
  <c r="P2185" i="24"/>
  <c r="T2183" i="24"/>
  <c r="D2182" i="24"/>
  <c r="H2180" i="24"/>
  <c r="N2178" i="24"/>
  <c r="R2176" i="24"/>
  <c r="B2175" i="24"/>
  <c r="F2173" i="24"/>
  <c r="L2171" i="24"/>
  <c r="P2169" i="24"/>
  <c r="T2167" i="24"/>
  <c r="D2166" i="24"/>
  <c r="H2164" i="24"/>
  <c r="N2162" i="24"/>
  <c r="R2160" i="24"/>
  <c r="B2159" i="24"/>
  <c r="F2157" i="24"/>
  <c r="L2155" i="24"/>
  <c r="P2153" i="24"/>
  <c r="T2151" i="24"/>
  <c r="D2150" i="24"/>
  <c r="H2148" i="24"/>
  <c r="N2146" i="24"/>
  <c r="R2144" i="24"/>
  <c r="B2143" i="24"/>
  <c r="F2141" i="24"/>
  <c r="L2139" i="24"/>
  <c r="P2137" i="24"/>
  <c r="T2135" i="24"/>
  <c r="D2134" i="24"/>
  <c r="H2132" i="24"/>
  <c r="N2130" i="24"/>
  <c r="R2128" i="24"/>
  <c r="B2127" i="24"/>
  <c r="F2125" i="24"/>
  <c r="L2123" i="24"/>
  <c r="P2121" i="24"/>
  <c r="T2119" i="24"/>
  <c r="D2118" i="24"/>
  <c r="H2116" i="24"/>
  <c r="N2114" i="24"/>
  <c r="R2112" i="24"/>
  <c r="B2111" i="24"/>
  <c r="F2109" i="24"/>
  <c r="L2107" i="24"/>
  <c r="P2105" i="24"/>
  <c r="T2103" i="24"/>
  <c r="D2102" i="24"/>
  <c r="H2100" i="24"/>
  <c r="N2098" i="24"/>
  <c r="R2096" i="24"/>
  <c r="B2095" i="24"/>
  <c r="F2093" i="24"/>
  <c r="L2091" i="24"/>
  <c r="P2089" i="24"/>
  <c r="T2087" i="24"/>
  <c r="D2086" i="24"/>
  <c r="H2084" i="24"/>
  <c r="N2082" i="24"/>
  <c r="N2081" i="24"/>
  <c r="P2080" i="24"/>
  <c r="R2079" i="24"/>
  <c r="T2078" i="24"/>
  <c r="B2078" i="24"/>
  <c r="D2077" i="24"/>
  <c r="F2076" i="24"/>
  <c r="H2075" i="24"/>
  <c r="L2074" i="24"/>
  <c r="N2073" i="24"/>
  <c r="P2072" i="24"/>
  <c r="R2071" i="24"/>
  <c r="T2070" i="24"/>
  <c r="B2070" i="24"/>
  <c r="D2069" i="24"/>
  <c r="F2068" i="24"/>
  <c r="H2067" i="24"/>
  <c r="L2066" i="24"/>
  <c r="N2065" i="24"/>
  <c r="P2064" i="24"/>
  <c r="R2063" i="24"/>
  <c r="T2062" i="24"/>
  <c r="B2062" i="24"/>
  <c r="D2061" i="24"/>
  <c r="F2060" i="24"/>
  <c r="H2059" i="24"/>
  <c r="L2058" i="24"/>
  <c r="N2057" i="24"/>
  <c r="P2056" i="24"/>
  <c r="R2055" i="24"/>
  <c r="T2054" i="24"/>
  <c r="B2054" i="24"/>
  <c r="D2053" i="24"/>
  <c r="F2052" i="24"/>
  <c r="H2051" i="24"/>
  <c r="L2050" i="24"/>
  <c r="N2049" i="24"/>
  <c r="P2048" i="24"/>
  <c r="R2047" i="24"/>
  <c r="T2046" i="24"/>
  <c r="B2046" i="24"/>
  <c r="D2045" i="24"/>
  <c r="F2044" i="24"/>
  <c r="H2043" i="24"/>
  <c r="L2042" i="24"/>
  <c r="N2041" i="24"/>
  <c r="P2040" i="24"/>
  <c r="R2039" i="24"/>
  <c r="T2038" i="24"/>
  <c r="B2038" i="24"/>
  <c r="D2037" i="24"/>
  <c r="F2036" i="24"/>
  <c r="H2035" i="24"/>
  <c r="L2034" i="24"/>
  <c r="N2033" i="24"/>
  <c r="T2032" i="24"/>
  <c r="L2032" i="24"/>
  <c r="B2032" i="24"/>
  <c r="N2031" i="24"/>
  <c r="D2031" i="24"/>
  <c r="P2030" i="24"/>
  <c r="F2030" i="24"/>
  <c r="R2029" i="24"/>
  <c r="H2029" i="24"/>
  <c r="T2028" i="24"/>
  <c r="L2028" i="24"/>
  <c r="B2028" i="24"/>
  <c r="N2027" i="24"/>
  <c r="D2027" i="24"/>
  <c r="P2026" i="24"/>
  <c r="F2026" i="24"/>
  <c r="R2025" i="24"/>
  <c r="H2025" i="24"/>
  <c r="T2024" i="24"/>
  <c r="L2024" i="24"/>
  <c r="B2024" i="24"/>
  <c r="N2023" i="24"/>
  <c r="D2023" i="24"/>
  <c r="P2022" i="24"/>
  <c r="F2022" i="24"/>
  <c r="R2021" i="24"/>
  <c r="H2021" i="24"/>
  <c r="T2020" i="24"/>
  <c r="L2020" i="24"/>
  <c r="B2020" i="24"/>
  <c r="N2019" i="24"/>
  <c r="D2019" i="24"/>
  <c r="P2018" i="24"/>
  <c r="F2018" i="24"/>
  <c r="R2017" i="24"/>
  <c r="H2017" i="24"/>
  <c r="T2016" i="24"/>
  <c r="L2016" i="24"/>
  <c r="B2016" i="24"/>
  <c r="N2015" i="24"/>
  <c r="D2015" i="24"/>
  <c r="P2014" i="24"/>
  <c r="F2014" i="24"/>
  <c r="R2013" i="24"/>
  <c r="H2013" i="24"/>
  <c r="T2012" i="24"/>
  <c r="L2012" i="24"/>
  <c r="B2012" i="24"/>
  <c r="N2011" i="24"/>
  <c r="D2011" i="24"/>
  <c r="P2010" i="24"/>
  <c r="F2010" i="24"/>
  <c r="R2009" i="24"/>
  <c r="H2009" i="24"/>
  <c r="T2008" i="24"/>
  <c r="L2008" i="24"/>
  <c r="B2008" i="24"/>
  <c r="N2007" i="24"/>
  <c r="D2007" i="24"/>
  <c r="P2006" i="24"/>
  <c r="F2006" i="24"/>
  <c r="R2005" i="24"/>
  <c r="H2005" i="24"/>
  <c r="T2004" i="24"/>
  <c r="L2004" i="24"/>
  <c r="B2004" i="24"/>
  <c r="N2003" i="24"/>
  <c r="D2003" i="24"/>
  <c r="P2002" i="24"/>
  <c r="F2002" i="24"/>
  <c r="R2001" i="24"/>
  <c r="H2001" i="24"/>
  <c r="T2000" i="24"/>
  <c r="L2000" i="24"/>
  <c r="B2000" i="24"/>
  <c r="N1999" i="24"/>
  <c r="D1999" i="24"/>
  <c r="P1998" i="24"/>
  <c r="F1998" i="24"/>
  <c r="R1997" i="24"/>
  <c r="H1997" i="24"/>
  <c r="T1996" i="24"/>
  <c r="L1996" i="24"/>
  <c r="B1996" i="24"/>
  <c r="N1995" i="24"/>
  <c r="D1995" i="24"/>
  <c r="P1994" i="24"/>
  <c r="F1994" i="24"/>
  <c r="R1993" i="24"/>
  <c r="H1993" i="24"/>
  <c r="T1992" i="24"/>
  <c r="L1992" i="24"/>
  <c r="B1992" i="24"/>
  <c r="N1991" i="24"/>
  <c r="D1991" i="24"/>
  <c r="P1990" i="24"/>
  <c r="F1990" i="24"/>
  <c r="R1989" i="24"/>
  <c r="H1989" i="24"/>
  <c r="T1988" i="24"/>
  <c r="L1988" i="24"/>
  <c r="B1988" i="24"/>
  <c r="N1987" i="24"/>
  <c r="D1987" i="24"/>
  <c r="P1986" i="24"/>
  <c r="F1986" i="24"/>
  <c r="R1985" i="24"/>
  <c r="H1985" i="24"/>
  <c r="T1984" i="24"/>
  <c r="L1984" i="24"/>
  <c r="B1984" i="24"/>
  <c r="N1983" i="24"/>
  <c r="D1983" i="24"/>
  <c r="P1982" i="24"/>
  <c r="F1982" i="24"/>
  <c r="R1981" i="24"/>
  <c r="H1981" i="24"/>
  <c r="T1980" i="24"/>
  <c r="L1980" i="24"/>
  <c r="B1980" i="24"/>
  <c r="N1979" i="24"/>
  <c r="D1979" i="24"/>
  <c r="P1978" i="24"/>
  <c r="F1978" i="24"/>
  <c r="R1977" i="24"/>
  <c r="H1977" i="24"/>
  <c r="T1976" i="24"/>
  <c r="L1976" i="24"/>
  <c r="B1976" i="24"/>
  <c r="N1975" i="24"/>
  <c r="D1975" i="24"/>
  <c r="P1974" i="24"/>
  <c r="F1974" i="24"/>
  <c r="R1973" i="24"/>
  <c r="H1973" i="24"/>
  <c r="T1972" i="24"/>
  <c r="L1972" i="24"/>
  <c r="B1972" i="24"/>
  <c r="N1971" i="24"/>
  <c r="D1971" i="24"/>
  <c r="P1970" i="24"/>
  <c r="F1970" i="24"/>
  <c r="R1969" i="24"/>
  <c r="H1969" i="24"/>
  <c r="T1968" i="24"/>
  <c r="M1968" i="24"/>
  <c r="F1968" i="24"/>
  <c r="A1968" i="24"/>
  <c r="Q1967" i="24"/>
  <c r="M1967" i="24"/>
  <c r="G1967" i="24"/>
  <c r="C1967" i="24"/>
  <c r="S1966" i="24"/>
  <c r="O1966" i="24"/>
  <c r="K1966" i="24"/>
  <c r="E1966" i="24"/>
  <c r="A1966" i="24"/>
  <c r="Q1965" i="24"/>
  <c r="M1965" i="24"/>
  <c r="G1965" i="24"/>
  <c r="C1965" i="24"/>
  <c r="S1964" i="24"/>
  <c r="O1964" i="24"/>
  <c r="K1964" i="24"/>
  <c r="E1964" i="24"/>
  <c r="A1964" i="24"/>
  <c r="Q1963" i="24"/>
  <c r="M1963" i="24"/>
  <c r="G1963" i="24"/>
  <c r="C1963" i="24"/>
  <c r="S1962" i="24"/>
  <c r="O1962" i="24"/>
  <c r="K1962" i="24"/>
  <c r="E1962" i="24"/>
  <c r="A1962" i="24"/>
  <c r="Q1961" i="24"/>
  <c r="M1961" i="24"/>
  <c r="G1961" i="24"/>
  <c r="C1961" i="24"/>
  <c r="S1960" i="24"/>
  <c r="O1960" i="24"/>
  <c r="K1960" i="24"/>
  <c r="E1960" i="24"/>
  <c r="A1960" i="24"/>
  <c r="Q1959" i="24"/>
  <c r="M1959" i="24"/>
  <c r="G1959" i="24"/>
  <c r="C1959" i="24"/>
  <c r="S1958" i="24"/>
  <c r="O1958" i="24"/>
  <c r="K1958" i="24"/>
  <c r="E1958" i="24"/>
  <c r="A1958" i="24"/>
  <c r="Q1957" i="24"/>
  <c r="M1957" i="24"/>
  <c r="G1957" i="24"/>
  <c r="C1957" i="24"/>
  <c r="S1956" i="24"/>
  <c r="O1956" i="24"/>
  <c r="K1956" i="24"/>
  <c r="E1956" i="24"/>
  <c r="A1956" i="24"/>
  <c r="Q1955" i="24"/>
  <c r="M1955" i="24"/>
  <c r="G1955" i="24"/>
  <c r="C1955" i="24"/>
  <c r="S1954" i="24"/>
  <c r="O1954" i="24"/>
  <c r="K1954" i="24"/>
  <c r="E1954" i="24"/>
  <c r="A1954" i="24"/>
  <c r="Q1953" i="24"/>
  <c r="M1953" i="24"/>
  <c r="G1953" i="24"/>
  <c r="C1953" i="24"/>
  <c r="S1952" i="24"/>
  <c r="O1952" i="24"/>
  <c r="K1952" i="24"/>
  <c r="E1952" i="24"/>
  <c r="A1952" i="24"/>
  <c r="Q1951" i="24"/>
  <c r="M1951" i="24"/>
  <c r="G1951" i="24"/>
  <c r="C1951" i="24"/>
  <c r="S1950" i="24"/>
  <c r="O1950" i="24"/>
  <c r="K1950" i="24"/>
  <c r="E1950" i="24"/>
  <c r="A1950" i="24"/>
  <c r="Q1949" i="24"/>
  <c r="M1949" i="24"/>
  <c r="G1949" i="24"/>
  <c r="C1949" i="24"/>
  <c r="S1948" i="24"/>
  <c r="O1948" i="24"/>
  <c r="K1948" i="24"/>
  <c r="E1948" i="24"/>
  <c r="A1948" i="24"/>
  <c r="Q1947" i="24"/>
  <c r="M1947" i="24"/>
  <c r="G1947" i="24"/>
  <c r="C1947" i="24"/>
  <c r="S1946" i="24"/>
  <c r="O1946" i="24"/>
  <c r="K1946" i="24"/>
  <c r="E1946" i="24"/>
  <c r="A1946" i="24"/>
  <c r="Q1945" i="24"/>
  <c r="M1945" i="24"/>
  <c r="G1945" i="24"/>
  <c r="C1945" i="24"/>
  <c r="S1944" i="24"/>
  <c r="O1944" i="24"/>
  <c r="K1944" i="24"/>
  <c r="E1944" i="24"/>
  <c r="A1944" i="24"/>
  <c r="Q1943" i="24"/>
  <c r="M1943" i="24"/>
  <c r="G1943" i="24"/>
  <c r="C1943" i="24"/>
  <c r="S1942" i="24"/>
  <c r="O1942" i="24"/>
  <c r="K1942" i="24"/>
  <c r="E1942" i="24"/>
  <c r="A1942" i="24"/>
  <c r="Q1941" i="24"/>
  <c r="M1941" i="24"/>
  <c r="G1941" i="24"/>
  <c r="C1941" i="24"/>
  <c r="S1940" i="24"/>
  <c r="O1940" i="24"/>
  <c r="K1940" i="24"/>
  <c r="E1940" i="24"/>
  <c r="A1940" i="24"/>
  <c r="Q1939" i="24"/>
  <c r="M1939" i="24"/>
  <c r="G1939" i="24"/>
  <c r="C1939" i="24"/>
  <c r="S1938" i="24"/>
  <c r="O1938" i="24"/>
  <c r="K1938" i="24"/>
  <c r="E1938" i="24"/>
  <c r="A1938" i="24"/>
  <c r="Q1937" i="24"/>
  <c r="M1937" i="24"/>
  <c r="G1937" i="24"/>
  <c r="C1937" i="24"/>
  <c r="S1936" i="24"/>
  <c r="O1936" i="24"/>
  <c r="K1936" i="24"/>
  <c r="E1936" i="24"/>
  <c r="A1936" i="24"/>
  <c r="Q1935" i="24"/>
  <c r="M1935" i="24"/>
  <c r="G1935" i="24"/>
  <c r="C1935" i="24"/>
  <c r="S1934" i="24"/>
  <c r="O1934" i="24"/>
  <c r="K1934" i="24"/>
  <c r="E1934" i="24"/>
  <c r="A1934" i="24"/>
  <c r="Q1933" i="24"/>
  <c r="M1933" i="24"/>
  <c r="G1933" i="24"/>
  <c r="C1933" i="24"/>
  <c r="S1932" i="24"/>
  <c r="O1932" i="24"/>
  <c r="K1932" i="24"/>
  <c r="E1932" i="24"/>
  <c r="A1932" i="24"/>
  <c r="Q1931" i="24"/>
  <c r="M1931" i="24"/>
  <c r="G1931" i="24"/>
  <c r="C1931" i="24"/>
  <c r="S1930" i="24"/>
  <c r="O1930" i="24"/>
  <c r="K1930" i="24"/>
  <c r="E1930" i="24"/>
  <c r="A1930" i="24"/>
  <c r="Q1929" i="24"/>
  <c r="M1929" i="24"/>
  <c r="G1929" i="24"/>
  <c r="C1929" i="24"/>
  <c r="S1928" i="24"/>
  <c r="O1928" i="24"/>
  <c r="K1928" i="24"/>
  <c r="E1928" i="24"/>
  <c r="A1928" i="24"/>
  <c r="Q1927" i="24"/>
  <c r="M1927" i="24"/>
  <c r="G1927" i="24"/>
  <c r="C1927" i="24"/>
  <c r="S1926" i="24"/>
  <c r="O1926" i="24"/>
  <c r="K1926" i="24"/>
  <c r="E1926" i="24"/>
  <c r="A1926" i="24"/>
  <c r="Q1925" i="24"/>
  <c r="M1925" i="24"/>
  <c r="G1925" i="24"/>
  <c r="C1925" i="24"/>
  <c r="S1924" i="24"/>
  <c r="O1924" i="24"/>
  <c r="K1924" i="24"/>
  <c r="E1924" i="24"/>
  <c r="A1924" i="24"/>
  <c r="Q1923" i="24"/>
  <c r="M1923" i="24"/>
  <c r="G1923" i="24"/>
  <c r="C1923" i="24"/>
  <c r="S1922" i="24"/>
  <c r="O1922" i="24"/>
  <c r="K1922" i="24"/>
  <c r="E1922" i="24"/>
  <c r="A1922" i="24"/>
  <c r="Q1921" i="24"/>
  <c r="M1921" i="24"/>
  <c r="G1921" i="24"/>
  <c r="C1921" i="24"/>
  <c r="S1920" i="24"/>
  <c r="O1920" i="24"/>
  <c r="K1920" i="24"/>
  <c r="E1920" i="24"/>
  <c r="A1920" i="24"/>
  <c r="Q1919" i="24"/>
  <c r="M1919" i="24"/>
  <c r="G1919" i="24"/>
  <c r="C1919" i="24"/>
  <c r="S1918" i="24"/>
  <c r="O1918" i="24"/>
  <c r="K1918" i="24"/>
  <c r="E1918" i="24"/>
  <c r="A1918" i="24"/>
  <c r="Q1917" i="24"/>
  <c r="M1917" i="24"/>
  <c r="G1917" i="24"/>
  <c r="C1917" i="24"/>
  <c r="S1916" i="24"/>
  <c r="O1916" i="24"/>
  <c r="K1916" i="24"/>
  <c r="E1916" i="24"/>
  <c r="A1916" i="24"/>
  <c r="Q1915" i="24"/>
  <c r="M1915" i="24"/>
  <c r="G1915" i="24"/>
  <c r="C1915" i="24"/>
  <c r="S1914" i="24"/>
  <c r="O1914" i="24"/>
  <c r="K1914" i="24"/>
  <c r="E1914" i="24"/>
  <c r="A1914" i="24"/>
  <c r="Q1913" i="24"/>
  <c r="M1913" i="24"/>
  <c r="G1913" i="24"/>
  <c r="C1913" i="24"/>
  <c r="S1912" i="24"/>
  <c r="O1912" i="24"/>
  <c r="K1912" i="24"/>
  <c r="E1912" i="24"/>
  <c r="A1912" i="24"/>
  <c r="Q1911" i="24"/>
  <c r="M1911" i="24"/>
  <c r="G1911" i="24"/>
  <c r="C1911" i="24"/>
  <c r="S1910" i="24"/>
  <c r="O1910" i="24"/>
  <c r="K1910" i="24"/>
  <c r="E1910" i="24"/>
  <c r="A1910" i="24"/>
  <c r="Q1909" i="24"/>
  <c r="M1909" i="24"/>
  <c r="G1909" i="24"/>
  <c r="C1909" i="24"/>
  <c r="S1908" i="24"/>
  <c r="O1908" i="24"/>
  <c r="K1908" i="24"/>
  <c r="E1908" i="24"/>
  <c r="A1908" i="24"/>
  <c r="Q1907" i="24"/>
  <c r="M1907" i="24"/>
  <c r="G1907" i="24"/>
  <c r="C1907" i="24"/>
  <c r="S1906" i="24"/>
  <c r="O1906" i="24"/>
  <c r="K1906" i="24"/>
  <c r="E1906" i="24"/>
  <c r="A1906" i="24"/>
  <c r="Q1905" i="24"/>
  <c r="M1905" i="24"/>
  <c r="G1905" i="24"/>
  <c r="C1905" i="24"/>
  <c r="S1904" i="24"/>
  <c r="O1904" i="24"/>
  <c r="K1904" i="24"/>
  <c r="E1904" i="24"/>
  <c r="A1904" i="24"/>
  <c r="Q1903" i="24"/>
  <c r="M1903" i="24"/>
  <c r="G1903" i="24"/>
  <c r="C1903" i="24"/>
  <c r="S1902" i="24"/>
  <c r="O1902" i="24"/>
  <c r="K1902" i="24"/>
  <c r="E1902" i="24"/>
  <c r="A1902" i="24"/>
  <c r="Q1901" i="24"/>
  <c r="M1901" i="24"/>
  <c r="G1901" i="24"/>
  <c r="C1901" i="24"/>
  <c r="S1900" i="24"/>
  <c r="O1900" i="24"/>
  <c r="K1900" i="24"/>
  <c r="E1900" i="24"/>
  <c r="A1900" i="24"/>
  <c r="Q1899" i="24"/>
  <c r="M1899" i="24"/>
  <c r="G1899" i="24"/>
  <c r="C1899" i="24"/>
  <c r="S1898" i="24"/>
  <c r="O1898" i="24"/>
  <c r="K1898" i="24"/>
  <c r="E1898" i="24"/>
  <c r="A1898" i="24"/>
  <c r="Q1897" i="24"/>
  <c r="M1897" i="24"/>
  <c r="G1897" i="24"/>
  <c r="C1897" i="24"/>
  <c r="S1896" i="24"/>
  <c r="O1896" i="24"/>
  <c r="K1896" i="24"/>
  <c r="E1896" i="24"/>
  <c r="A1896" i="24"/>
  <c r="Q1895" i="24"/>
  <c r="M1895" i="24"/>
  <c r="G1895" i="24"/>
  <c r="C1895" i="24"/>
  <c r="S1894" i="24"/>
  <c r="O1894" i="24"/>
  <c r="K1894" i="24"/>
  <c r="E1894" i="24"/>
  <c r="A1894" i="24"/>
  <c r="Q1893" i="24"/>
  <c r="M1893" i="24"/>
  <c r="G1893" i="24"/>
  <c r="C1893" i="24"/>
  <c r="S1892" i="24"/>
  <c r="O1892" i="24"/>
  <c r="K1892" i="24"/>
  <c r="E1892" i="24"/>
  <c r="A1892" i="24"/>
  <c r="Q1891" i="24"/>
  <c r="M1891" i="24"/>
  <c r="G1891" i="24"/>
  <c r="C1891" i="24"/>
  <c r="S1890" i="24"/>
  <c r="O1890" i="24"/>
  <c r="K1890" i="24"/>
  <c r="E1890" i="24"/>
  <c r="A1890" i="24"/>
  <c r="Q1889" i="24"/>
  <c r="M1889" i="24"/>
  <c r="G1889" i="24"/>
  <c r="C1889" i="24"/>
  <c r="S1888" i="24"/>
  <c r="O1888" i="24"/>
  <c r="K1888" i="24"/>
  <c r="E1888" i="24"/>
  <c r="A1888" i="24"/>
  <c r="Q1887" i="24"/>
  <c r="M1887" i="24"/>
  <c r="G1887" i="24"/>
  <c r="C1887" i="24"/>
  <c r="S1886" i="24"/>
  <c r="O1886" i="24"/>
  <c r="K1886" i="24"/>
  <c r="E1886" i="24"/>
  <c r="A1886" i="24"/>
  <c r="Q1885" i="24"/>
  <c r="M1885" i="24"/>
  <c r="G1885" i="24"/>
  <c r="C1885" i="24"/>
  <c r="S1884" i="24"/>
  <c r="O1884" i="24"/>
  <c r="K1884" i="24"/>
  <c r="E1884" i="24"/>
  <c r="A1884" i="24"/>
  <c r="Q1883" i="24"/>
  <c r="M1883" i="24"/>
  <c r="G1883" i="24"/>
  <c r="C1883" i="24"/>
  <c r="S1882" i="24"/>
  <c r="O1882" i="24"/>
  <c r="K1882" i="24"/>
  <c r="E1882" i="24"/>
  <c r="A1882" i="24"/>
  <c r="Q1881" i="24"/>
  <c r="M1881" i="24"/>
  <c r="G1881" i="24"/>
  <c r="C1881" i="24"/>
  <c r="S1880" i="24"/>
  <c r="O1880" i="24"/>
  <c r="K1880" i="24"/>
  <c r="E1880" i="24"/>
  <c r="A1880" i="24"/>
  <c r="Q1879" i="24"/>
  <c r="M1879" i="24"/>
  <c r="G1879" i="24"/>
  <c r="C1879" i="24"/>
  <c r="S1878" i="24"/>
  <c r="O1878" i="24"/>
  <c r="K1878" i="24"/>
  <c r="E1878" i="24"/>
  <c r="A1878" i="24"/>
  <c r="Q1877" i="24"/>
  <c r="M1877" i="24"/>
  <c r="G1877" i="24"/>
  <c r="C1877" i="24"/>
  <c r="S1876" i="24"/>
  <c r="O1876" i="24"/>
  <c r="K1876" i="24"/>
  <c r="E1876" i="24"/>
  <c r="A1876" i="24"/>
  <c r="Q1875" i="24"/>
  <c r="M1875" i="24"/>
  <c r="G1875" i="24"/>
  <c r="C1875" i="24"/>
  <c r="S1874" i="24"/>
  <c r="O1874" i="24"/>
  <c r="K1874" i="24"/>
  <c r="E1874" i="24"/>
  <c r="A1874" i="24"/>
  <c r="Q1873" i="24"/>
  <c r="M1873" i="24"/>
  <c r="G1873" i="24"/>
  <c r="C1873" i="24"/>
  <c r="S1872" i="24"/>
  <c r="O1872" i="24"/>
  <c r="K1872" i="24"/>
  <c r="E1872" i="24"/>
  <c r="A1872" i="24"/>
  <c r="Q1871" i="24"/>
  <c r="M1871" i="24"/>
  <c r="G1871" i="24"/>
  <c r="C1871" i="24"/>
  <c r="S1870" i="24"/>
  <c r="O1870" i="24"/>
  <c r="K1870" i="24"/>
  <c r="E1870" i="24"/>
  <c r="A1870" i="24"/>
  <c r="Q1869" i="24"/>
  <c r="M1869" i="24"/>
  <c r="G1869" i="24"/>
  <c r="C1869" i="24"/>
  <c r="S1868" i="24"/>
  <c r="O1868" i="24"/>
  <c r="K1868" i="24"/>
  <c r="E1868" i="24"/>
  <c r="A1868" i="24"/>
  <c r="Q1867" i="24"/>
  <c r="M1867" i="24"/>
  <c r="G1867" i="24"/>
  <c r="C1867" i="24"/>
  <c r="S1866" i="24"/>
  <c r="O1866" i="24"/>
  <c r="K1866" i="24"/>
  <c r="E1866" i="24"/>
  <c r="A1866" i="24"/>
  <c r="Q1865" i="24"/>
  <c r="M1865" i="24"/>
  <c r="G1865" i="24"/>
  <c r="C1865" i="24"/>
  <c r="S1864" i="24"/>
  <c r="O1864" i="24"/>
  <c r="K1864" i="24"/>
  <c r="E1864" i="24"/>
  <c r="A1864" i="24"/>
  <c r="Q1863" i="24"/>
  <c r="M1863" i="24"/>
  <c r="G1863" i="24"/>
  <c r="C1863" i="24"/>
  <c r="S1862" i="24"/>
  <c r="O1862" i="24"/>
  <c r="K1862" i="24"/>
  <c r="E1862" i="24"/>
  <c r="A1862" i="24"/>
  <c r="Q1861" i="24"/>
  <c r="M1861" i="24"/>
  <c r="G1861" i="24"/>
  <c r="C1861" i="24"/>
  <c r="S1860" i="24"/>
  <c r="O1860" i="24"/>
  <c r="K1860" i="24"/>
  <c r="E1860" i="24"/>
  <c r="A1860" i="24"/>
  <c r="Q1859" i="24"/>
  <c r="M1859" i="24"/>
  <c r="G1859" i="24"/>
  <c r="C1859" i="24"/>
  <c r="S1858" i="24"/>
  <c r="O1858" i="24"/>
  <c r="K1858" i="24"/>
  <c r="E1858" i="24"/>
  <c r="A1858" i="24"/>
  <c r="Q1857" i="24"/>
  <c r="M1857" i="24"/>
  <c r="G1857" i="24"/>
  <c r="C1857" i="24"/>
  <c r="S1856" i="24"/>
  <c r="O1856" i="24"/>
  <c r="K1856" i="24"/>
  <c r="E1856" i="24"/>
  <c r="A1856" i="24"/>
  <c r="Q1855" i="24"/>
  <c r="M1855" i="24"/>
  <c r="G1855" i="24"/>
  <c r="C1855" i="24"/>
  <c r="S1854" i="24"/>
  <c r="O1854" i="24"/>
  <c r="K1854" i="24"/>
  <c r="E1854" i="24"/>
  <c r="A1854" i="24"/>
  <c r="Q1853" i="24"/>
  <c r="M1853" i="24"/>
  <c r="G1853" i="24"/>
  <c r="C1853" i="24"/>
  <c r="S1852" i="24"/>
  <c r="O1852" i="24"/>
  <c r="K1852" i="24"/>
  <c r="E1852" i="24"/>
  <c r="A1852" i="24"/>
  <c r="Q1851" i="24"/>
  <c r="M1851" i="24"/>
  <c r="G1851" i="24"/>
  <c r="C1851" i="24"/>
  <c r="S1850" i="24"/>
  <c r="O1850" i="24"/>
  <c r="K1850" i="24"/>
  <c r="E1850" i="24"/>
  <c r="A1850" i="24"/>
  <c r="Q1849" i="24"/>
  <c r="M1849" i="24"/>
  <c r="G1849" i="24"/>
  <c r="C1849" i="24"/>
  <c r="S1848" i="24"/>
  <c r="O1848" i="24"/>
  <c r="K1848" i="24"/>
  <c r="E1848" i="24"/>
  <c r="A1848" i="24"/>
  <c r="Q1847" i="24"/>
  <c r="M1847" i="24"/>
  <c r="G1847" i="24"/>
  <c r="C1847" i="24"/>
  <c r="S1846" i="24"/>
  <c r="O1846" i="24"/>
  <c r="K1846" i="24"/>
  <c r="E1846" i="24"/>
  <c r="A1846" i="24"/>
  <c r="Q1845" i="24"/>
  <c r="M1845" i="24"/>
  <c r="G1845" i="24"/>
  <c r="C1845" i="24"/>
  <c r="S1844" i="24"/>
  <c r="O1844" i="24"/>
  <c r="K1844" i="24"/>
  <c r="E1844" i="24"/>
  <c r="A1844" i="24"/>
  <c r="Q1843" i="24"/>
  <c r="M1843" i="24"/>
  <c r="G1843" i="24"/>
  <c r="C1843" i="24"/>
  <c r="S1842" i="24"/>
  <c r="O1842" i="24"/>
  <c r="K1842" i="24"/>
  <c r="E1842" i="24"/>
  <c r="A1842" i="24"/>
  <c r="Q1841" i="24"/>
  <c r="M1841" i="24"/>
  <c r="G1841" i="24"/>
  <c r="C1841" i="24"/>
  <c r="S1840" i="24"/>
  <c r="O1840" i="24"/>
  <c r="K1840" i="24"/>
  <c r="E1840" i="24"/>
  <c r="A1840" i="24"/>
  <c r="Q1839" i="24"/>
  <c r="M1839" i="24"/>
  <c r="G1839" i="24"/>
  <c r="C1839" i="24"/>
  <c r="S1838" i="24"/>
  <c r="O1838" i="24"/>
  <c r="K1838" i="24"/>
  <c r="E1838" i="24"/>
  <c r="A1838" i="24"/>
  <c r="Q1837" i="24"/>
  <c r="M1837" i="24"/>
  <c r="G1837" i="24"/>
  <c r="C1837" i="24"/>
  <c r="S1836" i="24"/>
  <c r="O1836" i="24"/>
  <c r="K1836" i="24"/>
  <c r="E1836" i="24"/>
  <c r="A1836" i="24"/>
  <c r="Q1835" i="24"/>
  <c r="M1835" i="24"/>
  <c r="G1835" i="24"/>
  <c r="C1835" i="24"/>
  <c r="S1834" i="24"/>
  <c r="O1834" i="24"/>
  <c r="K1834" i="24"/>
  <c r="E1834" i="24"/>
  <c r="A1834" i="24"/>
  <c r="Q1833" i="24"/>
  <c r="M1833" i="24"/>
  <c r="G1833" i="24"/>
  <c r="C1833" i="24"/>
  <c r="S1832" i="24"/>
  <c r="O1832" i="24"/>
  <c r="K1832" i="24"/>
  <c r="E1832" i="24"/>
  <c r="A1832" i="24"/>
  <c r="Q1831" i="24"/>
  <c r="M1831" i="24"/>
  <c r="G1831" i="24"/>
  <c r="C1831" i="24"/>
  <c r="S1830" i="24"/>
  <c r="O1830" i="24"/>
  <c r="K1830" i="24"/>
  <c r="E1830" i="24"/>
  <c r="A1830" i="24"/>
  <c r="Q1829" i="24"/>
  <c r="M1829" i="24"/>
  <c r="G1829" i="24"/>
  <c r="C1829" i="24"/>
  <c r="S1828" i="24"/>
  <c r="O1828" i="24"/>
  <c r="K1828" i="24"/>
  <c r="E1828" i="24"/>
  <c r="A1828" i="24"/>
  <c r="Q1827" i="24"/>
  <c r="M1827" i="24"/>
  <c r="G1827" i="24"/>
  <c r="C1827" i="24"/>
  <c r="S1826" i="24"/>
  <c r="O1826" i="24"/>
  <c r="K1826" i="24"/>
  <c r="E1826" i="24"/>
  <c r="A1826" i="24"/>
  <c r="Q1825" i="24"/>
  <c r="M1825" i="24"/>
  <c r="G1825" i="24"/>
  <c r="C1825" i="24"/>
  <c r="S1824" i="24"/>
  <c r="O1824" i="24"/>
  <c r="K1824" i="24"/>
  <c r="E1824" i="24"/>
  <c r="A1824" i="24"/>
  <c r="Q1823" i="24"/>
  <c r="M1823" i="24"/>
  <c r="G1823" i="24"/>
  <c r="C1823" i="24"/>
  <c r="S1822" i="24"/>
  <c r="O1822" i="24"/>
  <c r="K1822" i="24"/>
  <c r="E1822" i="24"/>
  <c r="A1822" i="24"/>
  <c r="Q1821" i="24"/>
  <c r="M1821" i="24"/>
  <c r="G1821" i="24"/>
  <c r="C1821" i="24"/>
  <c r="S1820" i="24"/>
  <c r="O1820" i="24"/>
  <c r="K1820" i="24"/>
  <c r="E1820" i="24"/>
  <c r="A1820" i="24"/>
  <c r="Q1819" i="24"/>
  <c r="M1819" i="24"/>
  <c r="G1819" i="24"/>
  <c r="C1819" i="24"/>
  <c r="S1818" i="24"/>
  <c r="O1818" i="24"/>
  <c r="K1818" i="24"/>
  <c r="E1818" i="24"/>
  <c r="A1818" i="24"/>
  <c r="Q1817" i="24"/>
  <c r="M1817" i="24"/>
  <c r="G1817" i="24"/>
  <c r="C1817" i="24"/>
  <c r="S1816" i="24"/>
  <c r="O1816" i="24"/>
  <c r="K1816" i="24"/>
  <c r="E1816" i="24"/>
  <c r="A1816" i="24"/>
  <c r="Q1815" i="24"/>
  <c r="M1815" i="24"/>
  <c r="G1815" i="24"/>
  <c r="C1815" i="24"/>
  <c r="S1814" i="24"/>
  <c r="O1814" i="24"/>
  <c r="K1814" i="24"/>
  <c r="E1814" i="24"/>
  <c r="R2355" i="24"/>
  <c r="H2327" i="24"/>
  <c r="T2298" i="24"/>
  <c r="N2286" i="24"/>
  <c r="L2279" i="24"/>
  <c r="H2272" i="24"/>
  <c r="F2265" i="24"/>
  <c r="D2258" i="24"/>
  <c r="B2251" i="24"/>
  <c r="T2243" i="24"/>
  <c r="R2236" i="24"/>
  <c r="P2229" i="24"/>
  <c r="N2222" i="24"/>
  <c r="L2215" i="24"/>
  <c r="H2208" i="24"/>
  <c r="F2201" i="24"/>
  <c r="D2194" i="24"/>
  <c r="B2187" i="24"/>
  <c r="T2179" i="24"/>
  <c r="R2172" i="24"/>
  <c r="P2165" i="24"/>
  <c r="N2158" i="24"/>
  <c r="L2151" i="24"/>
  <c r="H2144" i="24"/>
  <c r="F2137" i="24"/>
  <c r="D2130" i="24"/>
  <c r="B2123" i="24"/>
  <c r="T2115" i="24"/>
  <c r="R2108" i="24"/>
  <c r="P2101" i="24"/>
  <c r="N2094" i="24"/>
  <c r="L2087" i="24"/>
  <c r="H2081" i="24"/>
  <c r="R2077" i="24"/>
  <c r="F2074" i="24"/>
  <c r="P2070" i="24"/>
  <c r="D2067" i="24"/>
  <c r="N2063" i="24"/>
  <c r="B2060" i="24"/>
  <c r="L2056" i="24"/>
  <c r="T2052" i="24"/>
  <c r="H2049" i="24"/>
  <c r="R2045" i="24"/>
  <c r="F2042" i="24"/>
  <c r="P2038" i="24"/>
  <c r="D2035" i="24"/>
  <c r="G2032" i="24"/>
  <c r="M2030" i="24"/>
  <c r="Q2028" i="24"/>
  <c r="A2027" i="24"/>
  <c r="E2025" i="24"/>
  <c r="K2023" i="24"/>
  <c r="O2021" i="24"/>
  <c r="S2019" i="24"/>
  <c r="C2018" i="24"/>
  <c r="G2016" i="24"/>
  <c r="M2014" i="24"/>
  <c r="Q2012" i="24"/>
  <c r="A2011" i="24"/>
  <c r="E2009" i="24"/>
  <c r="K2007" i="24"/>
  <c r="O2005" i="24"/>
  <c r="S2003" i="24"/>
  <c r="C2002" i="24"/>
  <c r="G2000" i="24"/>
  <c r="M1998" i="24"/>
  <c r="Q1996" i="24"/>
  <c r="A1995" i="24"/>
  <c r="E1993" i="24"/>
  <c r="K1991" i="24"/>
  <c r="O1989" i="24"/>
  <c r="S1987" i="24"/>
  <c r="C1986" i="24"/>
  <c r="G1984" i="24"/>
  <c r="M1982" i="24"/>
  <c r="Q1980" i="24"/>
  <c r="A1979" i="24"/>
  <c r="E1977" i="24"/>
  <c r="K1975" i="24"/>
  <c r="O1973" i="24"/>
  <c r="S1971" i="24"/>
  <c r="C1970" i="24"/>
  <c r="L1968" i="24"/>
  <c r="L1967" i="24"/>
  <c r="N1966" i="24"/>
  <c r="P1965" i="24"/>
  <c r="R1964" i="24"/>
  <c r="T1963" i="24"/>
  <c r="B1963" i="24"/>
  <c r="D1962" i="24"/>
  <c r="F1961" i="24"/>
  <c r="H1960" i="24"/>
  <c r="L1959" i="24"/>
  <c r="N1958" i="24"/>
  <c r="P1957" i="24"/>
  <c r="R1956" i="24"/>
  <c r="T1955" i="24"/>
  <c r="B1955" i="24"/>
  <c r="D1954" i="24"/>
  <c r="F1953" i="24"/>
  <c r="H1952" i="24"/>
  <c r="L1951" i="24"/>
  <c r="N1950" i="24"/>
  <c r="P1949" i="24"/>
  <c r="R1948" i="24"/>
  <c r="T1947" i="24"/>
  <c r="B1947" i="24"/>
  <c r="D1946" i="24"/>
  <c r="F1945" i="24"/>
  <c r="H1944" i="24"/>
  <c r="L1943" i="24"/>
  <c r="N1942" i="24"/>
  <c r="P1941" i="24"/>
  <c r="R1940" i="24"/>
  <c r="T1939" i="24"/>
  <c r="B1939" i="24"/>
  <c r="D1938" i="24"/>
  <c r="F1937" i="24"/>
  <c r="H1936" i="24"/>
  <c r="L1935" i="24"/>
  <c r="N1934" i="24"/>
  <c r="P1933" i="24"/>
  <c r="R1932" i="24"/>
  <c r="T1931" i="24"/>
  <c r="B1931" i="24"/>
  <c r="D1930" i="24"/>
  <c r="F1929" i="24"/>
  <c r="H1928" i="24"/>
  <c r="L1927" i="24"/>
  <c r="N1926" i="24"/>
  <c r="P1925" i="24"/>
  <c r="R1924" i="24"/>
  <c r="T1923" i="24"/>
  <c r="B1923" i="24"/>
  <c r="D1922" i="24"/>
  <c r="F1921" i="24"/>
  <c r="H1920" i="24"/>
  <c r="L1919" i="24"/>
  <c r="N1918" i="24"/>
  <c r="P1917" i="24"/>
  <c r="R1916" i="24"/>
  <c r="T1915" i="24"/>
  <c r="B1915" i="24"/>
  <c r="D1914" i="24"/>
  <c r="F1913" i="24"/>
  <c r="H1912" i="24"/>
  <c r="L1911" i="24"/>
  <c r="N1910" i="24"/>
  <c r="P1909" i="24"/>
  <c r="R1908" i="24"/>
  <c r="T1907" i="24"/>
  <c r="B1907" i="24"/>
  <c r="D1906" i="24"/>
  <c r="F1905" i="24"/>
  <c r="H1904" i="24"/>
  <c r="L1903" i="24"/>
  <c r="N1902" i="24"/>
  <c r="P1901" i="24"/>
  <c r="R1900" i="24"/>
  <c r="T1899" i="24"/>
  <c r="B1899" i="24"/>
  <c r="D1898" i="24"/>
  <c r="F1897" i="24"/>
  <c r="H1896" i="24"/>
  <c r="L1895" i="24"/>
  <c r="N1894" i="24"/>
  <c r="P1893" i="24"/>
  <c r="R1892" i="24"/>
  <c r="T1891" i="24"/>
  <c r="B1891" i="24"/>
  <c r="D1890" i="24"/>
  <c r="F1889" i="24"/>
  <c r="H1888" i="24"/>
  <c r="L1887" i="24"/>
  <c r="N1886" i="24"/>
  <c r="P1885" i="24"/>
  <c r="R1884" i="24"/>
  <c r="T1883" i="24"/>
  <c r="B1883" i="24"/>
  <c r="D1882" i="24"/>
  <c r="F1881" i="24"/>
  <c r="H1880" i="24"/>
  <c r="L1879" i="24"/>
  <c r="N1878" i="24"/>
  <c r="P1877" i="24"/>
  <c r="R1876" i="24"/>
  <c r="T1875" i="24"/>
  <c r="B1875" i="24"/>
  <c r="D1874" i="24"/>
  <c r="F1873" i="24"/>
  <c r="H1872" i="24"/>
  <c r="L1871" i="24"/>
  <c r="N1870" i="24"/>
  <c r="P1869" i="24"/>
  <c r="R1868" i="24"/>
  <c r="T1867" i="24"/>
  <c r="B1867" i="24"/>
  <c r="D1866" i="24"/>
  <c r="F1865" i="24"/>
  <c r="H1864" i="24"/>
  <c r="L1863" i="24"/>
  <c r="N1862" i="24"/>
  <c r="P1861" i="24"/>
  <c r="R1860" i="24"/>
  <c r="T1859" i="24"/>
  <c r="B1859" i="24"/>
  <c r="D1858" i="24"/>
  <c r="F1857" i="24"/>
  <c r="H1856" i="24"/>
  <c r="L1855" i="24"/>
  <c r="N1854" i="24"/>
  <c r="P1853" i="24"/>
  <c r="R1852" i="24"/>
  <c r="T1851" i="24"/>
  <c r="B1851" i="24"/>
  <c r="D1850" i="24"/>
  <c r="F1849" i="24"/>
  <c r="H1848" i="24"/>
  <c r="L1847" i="24"/>
  <c r="N1846" i="24"/>
  <c r="P1845" i="24"/>
  <c r="R1844" i="24"/>
  <c r="T1843" i="24"/>
  <c r="B1843" i="24"/>
  <c r="D1842" i="24"/>
  <c r="F1841" i="24"/>
  <c r="H1840" i="24"/>
  <c r="L1839" i="24"/>
  <c r="N1838" i="24"/>
  <c r="P1837" i="24"/>
  <c r="R1836" i="24"/>
  <c r="T1835" i="24"/>
  <c r="B1835" i="24"/>
  <c r="D1834" i="24"/>
  <c r="F1833" i="24"/>
  <c r="H1832" i="24"/>
  <c r="L1831" i="24"/>
  <c r="N1830" i="24"/>
  <c r="P1829" i="24"/>
  <c r="R1828" i="24"/>
  <c r="T1827" i="24"/>
  <c r="B1827" i="24"/>
  <c r="D1826" i="24"/>
  <c r="F1825" i="24"/>
  <c r="H1824" i="24"/>
  <c r="L1823" i="24"/>
  <c r="N1822" i="24"/>
  <c r="P1821" i="24"/>
  <c r="R1820" i="24"/>
  <c r="T1819" i="24"/>
  <c r="B1819" i="24"/>
  <c r="D1818" i="24"/>
  <c r="F1817" i="24"/>
  <c r="H1816" i="24"/>
  <c r="L1815" i="24"/>
  <c r="N1814" i="24"/>
  <c r="T1813" i="24"/>
  <c r="L1813" i="24"/>
  <c r="B1813" i="24"/>
  <c r="N1812" i="24"/>
  <c r="D1812" i="24"/>
  <c r="P1811" i="24"/>
  <c r="F1811" i="24"/>
  <c r="R1810" i="24"/>
  <c r="H1810" i="24"/>
  <c r="T1809" i="24"/>
  <c r="L1809" i="24"/>
  <c r="B1809" i="24"/>
  <c r="N1808" i="24"/>
  <c r="D1808" i="24"/>
  <c r="P1807" i="24"/>
  <c r="F1807" i="24"/>
  <c r="R1806" i="24"/>
  <c r="H1806" i="24"/>
  <c r="T1805" i="24"/>
  <c r="L1805" i="24"/>
  <c r="B1805" i="24"/>
  <c r="N1804" i="24"/>
  <c r="D1804" i="24"/>
  <c r="P1803" i="24"/>
  <c r="F1803" i="24"/>
  <c r="R1802" i="24"/>
  <c r="H1802" i="24"/>
  <c r="T1801" i="24"/>
  <c r="L1801" i="24"/>
  <c r="B1801" i="24"/>
  <c r="N1800" i="24"/>
  <c r="D1800" i="24"/>
  <c r="P1799" i="24"/>
  <c r="F1799" i="24"/>
  <c r="R1798" i="24"/>
  <c r="H1798" i="24"/>
  <c r="T1797" i="24"/>
  <c r="L1797" i="24"/>
  <c r="B1797" i="24"/>
  <c r="N1796" i="24"/>
  <c r="D1796" i="24"/>
  <c r="P1795" i="24"/>
  <c r="F1795" i="24"/>
  <c r="R1794" i="24"/>
  <c r="H1794" i="24"/>
  <c r="T1793" i="24"/>
  <c r="L1793" i="24"/>
  <c r="B1793" i="24"/>
  <c r="N1792" i="24"/>
  <c r="D1792" i="24"/>
  <c r="P1791" i="24"/>
  <c r="F1791" i="24"/>
  <c r="R1790" i="24"/>
  <c r="H1790" i="24"/>
  <c r="T1789" i="24"/>
  <c r="L1789" i="24"/>
  <c r="B1789" i="24"/>
  <c r="N1788" i="24"/>
  <c r="D1788" i="24"/>
  <c r="P1787" i="24"/>
  <c r="F1787" i="24"/>
  <c r="R1786" i="24"/>
  <c r="H1786" i="24"/>
  <c r="T1785" i="24"/>
  <c r="L1785" i="24"/>
  <c r="B1785" i="24"/>
  <c r="N1784" i="24"/>
  <c r="D1784" i="24"/>
  <c r="P1783" i="24"/>
  <c r="F1783" i="24"/>
  <c r="R1782" i="24"/>
  <c r="H1782" i="24"/>
  <c r="T1781" i="24"/>
  <c r="L1781" i="24"/>
  <c r="B1781" i="24"/>
  <c r="N1780" i="24"/>
  <c r="D1780" i="24"/>
  <c r="P1779" i="24"/>
  <c r="F1779" i="24"/>
  <c r="R1778" i="24"/>
  <c r="H1778" i="24"/>
  <c r="T1777" i="24"/>
  <c r="L1777" i="24"/>
  <c r="D1777" i="24"/>
  <c r="S1776" i="24"/>
  <c r="O1776" i="24"/>
  <c r="K1776" i="24"/>
  <c r="E1776" i="24"/>
  <c r="A1776" i="24"/>
  <c r="Q1775" i="24"/>
  <c r="M1775" i="24"/>
  <c r="G1775" i="24"/>
  <c r="C1775" i="24"/>
  <c r="S1774" i="24"/>
  <c r="O1774" i="24"/>
  <c r="K1774" i="24"/>
  <c r="E1774" i="24"/>
  <c r="A1774" i="24"/>
  <c r="Q1773" i="24"/>
  <c r="M1773" i="24"/>
  <c r="G1773" i="24"/>
  <c r="C1773" i="24"/>
  <c r="S1772" i="24"/>
  <c r="O1772" i="24"/>
  <c r="K1772" i="24"/>
  <c r="E1772" i="24"/>
  <c r="A1772" i="24"/>
  <c r="Q1771" i="24"/>
  <c r="M1771" i="24"/>
  <c r="G1771" i="24"/>
  <c r="C1771" i="24"/>
  <c r="S1770" i="24"/>
  <c r="O1770" i="24"/>
  <c r="K1770" i="24"/>
  <c r="E1770" i="24"/>
  <c r="A1770" i="24"/>
  <c r="Q1769" i="24"/>
  <c r="M1769" i="24"/>
  <c r="G1769" i="24"/>
  <c r="C1769" i="24"/>
  <c r="S1768" i="24"/>
  <c r="O1768" i="24"/>
  <c r="K1768" i="24"/>
  <c r="E1768" i="24"/>
  <c r="A1768" i="24"/>
  <c r="Q1767" i="24"/>
  <c r="M1767" i="24"/>
  <c r="G1767" i="24"/>
  <c r="C1767" i="24"/>
  <c r="S1766" i="24"/>
  <c r="O1766" i="24"/>
  <c r="K1766" i="24"/>
  <c r="E1766" i="24"/>
  <c r="A1766" i="24"/>
  <c r="Q1765" i="24"/>
  <c r="M1765" i="24"/>
  <c r="G1765" i="24"/>
  <c r="C1765" i="24"/>
  <c r="S1764" i="24"/>
  <c r="O1764" i="24"/>
  <c r="K1764" i="24"/>
  <c r="E1764" i="24"/>
  <c r="A1764" i="24"/>
  <c r="Q1763" i="24"/>
  <c r="M1763" i="24"/>
  <c r="G1763" i="24"/>
  <c r="C1763" i="24"/>
  <c r="S1762" i="24"/>
  <c r="O1762" i="24"/>
  <c r="K1762" i="24"/>
  <c r="E1762" i="24"/>
  <c r="A1762" i="24"/>
  <c r="Q1761" i="24"/>
  <c r="M1761" i="24"/>
  <c r="G1761" i="24"/>
  <c r="C1761" i="24"/>
  <c r="S1760" i="24"/>
  <c r="O1760" i="24"/>
  <c r="K1760" i="24"/>
  <c r="E1760" i="24"/>
  <c r="A1760" i="24"/>
  <c r="Q1759" i="24"/>
  <c r="M1759" i="24"/>
  <c r="G1759" i="24"/>
  <c r="C1759" i="24"/>
  <c r="S1758" i="24"/>
  <c r="O1758" i="24"/>
  <c r="K1758" i="24"/>
  <c r="E1758" i="24"/>
  <c r="A1758" i="24"/>
  <c r="Q1757" i="24"/>
  <c r="M1757" i="24"/>
  <c r="G1757" i="24"/>
  <c r="C1757" i="24"/>
  <c r="S1756" i="24"/>
  <c r="O1756" i="24"/>
  <c r="K1756" i="24"/>
  <c r="E1756" i="24"/>
  <c r="A1756" i="24"/>
  <c r="Q1755" i="24"/>
  <c r="M1755" i="24"/>
  <c r="G1755" i="24"/>
  <c r="C1755" i="24"/>
  <c r="S1754" i="24"/>
  <c r="O1754" i="24"/>
  <c r="K1754" i="24"/>
  <c r="E1754" i="24"/>
  <c r="A1754" i="24"/>
  <c r="Q1753" i="24"/>
  <c r="M1753" i="24"/>
  <c r="G1753" i="24"/>
  <c r="C1753" i="24"/>
  <c r="S1752" i="24"/>
  <c r="O1752" i="24"/>
  <c r="K1752" i="24"/>
  <c r="E1752" i="24"/>
  <c r="A1752" i="24"/>
  <c r="Q1751" i="24"/>
  <c r="M1751" i="24"/>
  <c r="G1751" i="24"/>
  <c r="C1751" i="24"/>
  <c r="S1750" i="24"/>
  <c r="O1750" i="24"/>
  <c r="K1750" i="24"/>
  <c r="E1750" i="24"/>
  <c r="A1750" i="24"/>
  <c r="Q1749" i="24"/>
  <c r="M1749" i="24"/>
  <c r="G1749" i="24"/>
  <c r="C1749" i="24"/>
  <c r="S1748" i="24"/>
  <c r="O1748" i="24"/>
  <c r="K1748" i="24"/>
  <c r="E1748" i="24"/>
  <c r="A1748" i="24"/>
  <c r="Q1747" i="24"/>
  <c r="M1747" i="24"/>
  <c r="G1747" i="24"/>
  <c r="C1747" i="24"/>
  <c r="S1746" i="24"/>
  <c r="O1746" i="24"/>
  <c r="K1746" i="24"/>
  <c r="E1746" i="24"/>
  <c r="A1746" i="24"/>
  <c r="Q1745" i="24"/>
  <c r="M1745" i="24"/>
  <c r="G1745" i="24"/>
  <c r="C1745" i="24"/>
  <c r="S1744" i="24"/>
  <c r="O1744" i="24"/>
  <c r="K1744" i="24"/>
  <c r="E1744" i="24"/>
  <c r="A1744" i="24"/>
  <c r="Q1743" i="24"/>
  <c r="M1743" i="24"/>
  <c r="G1743" i="24"/>
  <c r="C1743" i="24"/>
  <c r="S1742" i="24"/>
  <c r="O1742" i="24"/>
  <c r="K1742" i="24"/>
  <c r="E1742" i="24"/>
  <c r="A1742" i="24"/>
  <c r="Q1741" i="24"/>
  <c r="M1741" i="24"/>
  <c r="G1741" i="24"/>
  <c r="C1741" i="24"/>
  <c r="S1740" i="24"/>
  <c r="O1740" i="24"/>
  <c r="K1740" i="24"/>
  <c r="E1740" i="24"/>
  <c r="A1740" i="24"/>
  <c r="Q1739" i="24"/>
  <c r="M1739" i="24"/>
  <c r="G1739" i="24"/>
  <c r="C1739" i="24"/>
  <c r="S1738" i="24"/>
  <c r="O1738" i="24"/>
  <c r="K1738" i="24"/>
  <c r="E1738" i="24"/>
  <c r="A1738" i="24"/>
  <c r="Q1737" i="24"/>
  <c r="M1737" i="24"/>
  <c r="G1737" i="24"/>
  <c r="C1737" i="24"/>
  <c r="S1736" i="24"/>
  <c r="O1736" i="24"/>
  <c r="K1736" i="24"/>
  <c r="E1736" i="24"/>
  <c r="A1736" i="24"/>
  <c r="Q1735" i="24"/>
  <c r="M1735" i="24"/>
  <c r="G1735" i="24"/>
  <c r="C1735" i="24"/>
  <c r="S1734" i="24"/>
  <c r="O1734" i="24"/>
  <c r="K1734" i="24"/>
  <c r="E1734" i="24"/>
  <c r="A1734" i="24"/>
  <c r="Q1733" i="24"/>
  <c r="M1733" i="24"/>
  <c r="G1733" i="24"/>
  <c r="C1733" i="24"/>
  <c r="S1732" i="24"/>
  <c r="O1732" i="24"/>
  <c r="K1732" i="24"/>
  <c r="E1732" i="24"/>
  <c r="A1732" i="24"/>
  <c r="Q1731" i="24"/>
  <c r="M1731" i="24"/>
  <c r="G1731" i="24"/>
  <c r="C1731" i="24"/>
  <c r="S1730" i="24"/>
  <c r="O1730" i="24"/>
  <c r="K1730" i="24"/>
  <c r="E1730" i="24"/>
  <c r="A1730" i="24"/>
  <c r="Q1729" i="24"/>
  <c r="M1729" i="24"/>
  <c r="G1729" i="24"/>
  <c r="C1729" i="24"/>
  <c r="S1728" i="24"/>
  <c r="O1728" i="24"/>
  <c r="K1728" i="24"/>
  <c r="E1728" i="24"/>
  <c r="A1728" i="24"/>
  <c r="Q1727" i="24"/>
  <c r="M1727" i="24"/>
  <c r="G1727" i="24"/>
  <c r="C1727" i="24"/>
  <c r="S1726" i="24"/>
  <c r="O1726" i="24"/>
  <c r="K1726" i="24"/>
  <c r="E1726" i="24"/>
  <c r="A1726" i="24"/>
  <c r="Q1725" i="24"/>
  <c r="M1725" i="24"/>
  <c r="G1725" i="24"/>
  <c r="C1725" i="24"/>
  <c r="S1724" i="24"/>
  <c r="O1724" i="24"/>
  <c r="K1724" i="24"/>
  <c r="E1724" i="24"/>
  <c r="A1724" i="24"/>
  <c r="Q1723" i="24"/>
  <c r="M1723" i="24"/>
  <c r="G1723" i="24"/>
  <c r="C1723" i="24"/>
  <c r="S1722" i="24"/>
  <c r="O1722" i="24"/>
  <c r="K1722" i="24"/>
  <c r="E1722" i="24"/>
  <c r="A1722" i="24"/>
  <c r="Q1721" i="24"/>
  <c r="M1721" i="24"/>
  <c r="G1721" i="24"/>
  <c r="C1721" i="24"/>
  <c r="S1720" i="24"/>
  <c r="O1720" i="24"/>
  <c r="K1720" i="24"/>
  <c r="E1720" i="24"/>
  <c r="A1720" i="24"/>
  <c r="Q1719" i="24"/>
  <c r="M1719" i="24"/>
  <c r="G1719" i="24"/>
  <c r="C1719" i="24"/>
  <c r="S1718" i="24"/>
  <c r="O1718" i="24"/>
  <c r="K1718" i="24"/>
  <c r="E1718" i="24"/>
  <c r="A1718" i="24"/>
  <c r="Q1717" i="24"/>
  <c r="M1717" i="24"/>
  <c r="G1717" i="24"/>
  <c r="C1717" i="24"/>
  <c r="S1716" i="24"/>
  <c r="O1716" i="24"/>
  <c r="K1716" i="24"/>
  <c r="E1716" i="24"/>
  <c r="A1716" i="24"/>
  <c r="Q1715" i="24"/>
  <c r="M1715" i="24"/>
  <c r="G1715" i="24"/>
  <c r="C1715" i="24"/>
  <c r="S1714" i="24"/>
  <c r="O1714" i="24"/>
  <c r="K1714" i="24"/>
  <c r="E1714" i="24"/>
  <c r="A1714" i="24"/>
  <c r="Q1713" i="24"/>
  <c r="M1713" i="24"/>
  <c r="G1713" i="24"/>
  <c r="C1713" i="24"/>
  <c r="S1712" i="24"/>
  <c r="O1712" i="24"/>
  <c r="K1712" i="24"/>
  <c r="E1712" i="24"/>
  <c r="A1712" i="24"/>
  <c r="Q1711" i="24"/>
  <c r="M1711" i="24"/>
  <c r="G1711" i="24"/>
  <c r="C1711" i="24"/>
  <c r="S1710" i="24"/>
  <c r="O1710" i="24"/>
  <c r="K1710" i="24"/>
  <c r="E1710" i="24"/>
  <c r="A1710" i="24"/>
  <c r="Q1709" i="24"/>
  <c r="M1709" i="24"/>
  <c r="G1709" i="24"/>
  <c r="C1709" i="24"/>
  <c r="S1708" i="24"/>
  <c r="O1708" i="24"/>
  <c r="K1708" i="24"/>
  <c r="E1708" i="24"/>
  <c r="A1708" i="24"/>
  <c r="Q1707" i="24"/>
  <c r="M1707" i="24"/>
  <c r="G1707" i="24"/>
  <c r="C1707" i="24"/>
  <c r="S1706" i="24"/>
  <c r="O1706" i="24"/>
  <c r="K1706" i="24"/>
  <c r="E1706" i="24"/>
  <c r="A1706" i="24"/>
  <c r="Q1705" i="24"/>
  <c r="M1705" i="24"/>
  <c r="G1705" i="24"/>
  <c r="C1705" i="24"/>
  <c r="S1704" i="24"/>
  <c r="O1704" i="24"/>
  <c r="K1704" i="24"/>
  <c r="E1704" i="24"/>
  <c r="A1704" i="24"/>
  <c r="Q1703" i="24"/>
  <c r="M1703" i="24"/>
  <c r="G1703" i="24"/>
  <c r="C1703" i="24"/>
  <c r="S1702" i="24"/>
  <c r="O1702" i="24"/>
  <c r="K1702" i="24"/>
  <c r="E1702" i="24"/>
  <c r="A1702" i="24"/>
  <c r="Q1701" i="24"/>
  <c r="M1701" i="24"/>
  <c r="G1701" i="24"/>
  <c r="C1701" i="24"/>
  <c r="S1700" i="24"/>
  <c r="O1700" i="24"/>
  <c r="K1700" i="24"/>
  <c r="E1700" i="24"/>
  <c r="A1700" i="24"/>
  <c r="Q1699" i="24"/>
  <c r="M1699" i="24"/>
  <c r="G1699" i="24"/>
  <c r="C1699" i="24"/>
  <c r="S1698" i="24"/>
  <c r="O1698" i="24"/>
  <c r="K1698" i="24"/>
  <c r="E1698" i="24"/>
  <c r="A1698" i="24"/>
  <c r="Q1697" i="24"/>
  <c r="M1697" i="24"/>
  <c r="G1697" i="24"/>
  <c r="C1697" i="24"/>
  <c r="S1696" i="24"/>
  <c r="O1696" i="24"/>
  <c r="K1696" i="24"/>
  <c r="E1696" i="24"/>
  <c r="A1696" i="24"/>
  <c r="Q1695" i="24"/>
  <c r="M1695" i="24"/>
  <c r="G1695" i="24"/>
  <c r="C1695" i="24"/>
  <c r="S1694" i="24"/>
  <c r="O1694" i="24"/>
  <c r="K1694" i="24"/>
  <c r="E1694" i="24"/>
  <c r="A1694" i="24"/>
  <c r="Q1693" i="24"/>
  <c r="M1693" i="24"/>
  <c r="G1693" i="24"/>
  <c r="C1693" i="24"/>
  <c r="S1692" i="24"/>
  <c r="O1692" i="24"/>
  <c r="K1692" i="24"/>
  <c r="E1692" i="24"/>
  <c r="A1692" i="24"/>
  <c r="Q1691" i="24"/>
  <c r="M1691" i="24"/>
  <c r="G1691" i="24"/>
  <c r="C1691" i="24"/>
  <c r="S1690" i="24"/>
  <c r="O1690" i="24"/>
  <c r="K1690" i="24"/>
  <c r="E1690" i="24"/>
  <c r="A1690" i="24"/>
  <c r="Q1689" i="24"/>
  <c r="M1689" i="24"/>
  <c r="G1689" i="24"/>
  <c r="C1689" i="24"/>
  <c r="S1688" i="24"/>
  <c r="O1688" i="24"/>
  <c r="K1688" i="24"/>
  <c r="E1688" i="24"/>
  <c r="A1688" i="24"/>
  <c r="Q1687" i="24"/>
  <c r="M1687" i="24"/>
  <c r="G1687" i="24"/>
  <c r="C1687" i="24"/>
  <c r="S1686" i="24"/>
  <c r="O1686" i="24"/>
  <c r="K1686" i="24"/>
  <c r="E1686" i="24"/>
  <c r="A1686" i="24"/>
  <c r="Q1685" i="24"/>
  <c r="M1685" i="24"/>
  <c r="G1685" i="24"/>
  <c r="C1685" i="24"/>
  <c r="S1684" i="24"/>
  <c r="O1684" i="24"/>
  <c r="K1684" i="24"/>
  <c r="E1684" i="24"/>
  <c r="A1684" i="24"/>
  <c r="Q1683" i="24"/>
  <c r="M1683" i="24"/>
  <c r="G1683" i="24"/>
  <c r="C1683" i="24"/>
  <c r="S1682" i="24"/>
  <c r="O1682" i="24"/>
  <c r="K1682" i="24"/>
  <c r="E1682" i="24"/>
  <c r="A1682" i="24"/>
  <c r="Q1681" i="24"/>
  <c r="M1681" i="24"/>
  <c r="G1681" i="24"/>
  <c r="C1681" i="24"/>
  <c r="S1680" i="24"/>
  <c r="O1680" i="24"/>
  <c r="K1680" i="24"/>
  <c r="E1680" i="24"/>
  <c r="A1680" i="24"/>
  <c r="Q1679" i="24"/>
  <c r="M1679" i="24"/>
  <c r="G1679" i="24"/>
  <c r="C1679" i="24"/>
  <c r="S1678" i="24"/>
  <c r="O1678" i="24"/>
  <c r="K1678" i="24"/>
  <c r="E1678" i="24"/>
  <c r="A1678" i="24"/>
  <c r="Q1677" i="24"/>
  <c r="M1677" i="24"/>
  <c r="G1677" i="24"/>
  <c r="C1677" i="24"/>
  <c r="S1676" i="24"/>
  <c r="O1676" i="24"/>
  <c r="K1676" i="24"/>
  <c r="E1676" i="24"/>
  <c r="A1676" i="24"/>
  <c r="Q1675" i="24"/>
  <c r="M1675" i="24"/>
  <c r="G1675" i="24"/>
  <c r="C1675" i="24"/>
  <c r="S1674" i="24"/>
  <c r="O1674" i="24"/>
  <c r="K1674" i="24"/>
  <c r="E1674" i="24"/>
  <c r="A1674" i="24"/>
  <c r="Q1673" i="24"/>
  <c r="M1673" i="24"/>
  <c r="G1673" i="24"/>
  <c r="C1673" i="24"/>
  <c r="S1672" i="24"/>
  <c r="O1672" i="24"/>
  <c r="K1672" i="24"/>
  <c r="E1672" i="24"/>
  <c r="A1672" i="24"/>
  <c r="Q1671" i="24"/>
  <c r="M1671" i="24"/>
  <c r="G1671" i="24"/>
  <c r="C1671" i="24"/>
  <c r="S1670" i="24"/>
  <c r="O1670" i="24"/>
  <c r="K1670" i="24"/>
  <c r="E1670" i="24"/>
  <c r="A1670" i="24"/>
  <c r="Q1669" i="24"/>
  <c r="M1669" i="24"/>
  <c r="G1669" i="24"/>
  <c r="C1669" i="24"/>
  <c r="S1668" i="24"/>
  <c r="O1668" i="24"/>
  <c r="K1668" i="24"/>
  <c r="E1668" i="24"/>
  <c r="A1668" i="24"/>
  <c r="Q1667" i="24"/>
  <c r="M1667" i="24"/>
  <c r="G1667" i="24"/>
  <c r="C1667" i="24"/>
  <c r="S1666" i="24"/>
  <c r="O1666" i="24"/>
  <c r="K1666" i="24"/>
  <c r="E1666" i="24"/>
  <c r="A1666" i="24"/>
  <c r="Q1665" i="24"/>
  <c r="M1665" i="24"/>
  <c r="G1665" i="24"/>
  <c r="C1665" i="24"/>
  <c r="S1664" i="24"/>
  <c r="O1664" i="24"/>
  <c r="K1664" i="24"/>
  <c r="E1664" i="24"/>
  <c r="A1664" i="24"/>
  <c r="Q1663" i="24"/>
  <c r="M1663" i="24"/>
  <c r="G1663" i="24"/>
  <c r="C1663" i="24"/>
  <c r="S1662" i="24"/>
  <c r="O1662" i="24"/>
  <c r="K1662" i="24"/>
  <c r="E1662" i="24"/>
  <c r="A1662" i="24"/>
  <c r="Q1661" i="24"/>
  <c r="M1661" i="24"/>
  <c r="G1661" i="24"/>
  <c r="C1661" i="24"/>
  <c r="S1660" i="24"/>
  <c r="O1660" i="24"/>
  <c r="K1660" i="24"/>
  <c r="E1660" i="24"/>
  <c r="A1660" i="24"/>
  <c r="Q1659" i="24"/>
  <c r="M1659" i="24"/>
  <c r="G1659" i="24"/>
  <c r="C1659" i="24"/>
  <c r="S1658" i="24"/>
  <c r="O1658" i="24"/>
  <c r="K1658" i="24"/>
  <c r="E1658" i="24"/>
  <c r="A1658" i="24"/>
  <c r="Q1657" i="24"/>
  <c r="M1657" i="24"/>
  <c r="G1657" i="24"/>
  <c r="C1657" i="24"/>
  <c r="S1656" i="24"/>
  <c r="O1656" i="24"/>
  <c r="K1656" i="24"/>
  <c r="E1656" i="24"/>
  <c r="A1656" i="24"/>
  <c r="Q1655" i="24"/>
  <c r="M1655" i="24"/>
  <c r="G1655" i="24"/>
  <c r="C1655" i="24"/>
  <c r="S1654" i="24"/>
  <c r="O1654" i="24"/>
  <c r="K1654" i="24"/>
  <c r="E1654" i="24"/>
  <c r="A1654" i="24"/>
  <c r="Q1653" i="24"/>
  <c r="M1653" i="24"/>
  <c r="G1653" i="24"/>
  <c r="C1653" i="24"/>
  <c r="S1652" i="24"/>
  <c r="O1652" i="24"/>
  <c r="K1652" i="24"/>
  <c r="E1652" i="24"/>
  <c r="A1652" i="24"/>
  <c r="Q1651" i="24"/>
  <c r="M1651" i="24"/>
  <c r="G1651" i="24"/>
  <c r="C1651" i="24"/>
  <c r="S1650" i="24"/>
  <c r="O1650" i="24"/>
  <c r="K1650" i="24"/>
  <c r="E1650" i="24"/>
  <c r="A1650" i="24"/>
  <c r="Q1649" i="24"/>
  <c r="M1649" i="24"/>
  <c r="G1649" i="24"/>
  <c r="C1649" i="24"/>
  <c r="S1648" i="24"/>
  <c r="O1648" i="24"/>
  <c r="K1648" i="24"/>
  <c r="E1648" i="24"/>
  <c r="A1648" i="24"/>
  <c r="Q1647" i="24"/>
  <c r="M1647" i="24"/>
  <c r="G1647" i="24"/>
  <c r="C1647" i="24"/>
  <c r="S1646" i="24"/>
  <c r="O1646" i="24"/>
  <c r="K1646" i="24"/>
  <c r="E1646" i="24"/>
  <c r="A1646" i="24"/>
  <c r="Q1645" i="24"/>
  <c r="M1645" i="24"/>
  <c r="G1645" i="24"/>
  <c r="C1645" i="24"/>
  <c r="S1644" i="24"/>
  <c r="O1644" i="24"/>
  <c r="K1644" i="24"/>
  <c r="E1644" i="24"/>
  <c r="A1644" i="24"/>
  <c r="Q1643" i="24"/>
  <c r="M1643" i="24"/>
  <c r="G1643" i="24"/>
  <c r="C1643" i="24"/>
  <c r="S1642" i="24"/>
  <c r="O1642" i="24"/>
  <c r="K1642" i="24"/>
  <c r="E1642" i="24"/>
  <c r="A1642" i="24"/>
  <c r="Q1641" i="24"/>
  <c r="M1641" i="24"/>
  <c r="G1641" i="24"/>
  <c r="C1641" i="24"/>
  <c r="S1640" i="24"/>
  <c r="O1640" i="24"/>
  <c r="K1640" i="24"/>
  <c r="E1640" i="24"/>
  <c r="A1640" i="24"/>
  <c r="Q1639" i="24"/>
  <c r="M1639" i="24"/>
  <c r="G1639" i="24"/>
  <c r="C1639" i="24"/>
  <c r="S1638" i="24"/>
  <c r="O1638" i="24"/>
  <c r="K1638" i="24"/>
  <c r="E1638" i="24"/>
  <c r="A1638" i="24"/>
  <c r="Q1637" i="24"/>
  <c r="M1637" i="24"/>
  <c r="G1637" i="24"/>
  <c r="C1637" i="24"/>
  <c r="S1636" i="24"/>
  <c r="O1636" i="24"/>
  <c r="K1636" i="24"/>
  <c r="E1636" i="24"/>
  <c r="A1636" i="24"/>
  <c r="Q1635" i="24"/>
  <c r="M1635" i="24"/>
  <c r="G1635" i="24"/>
  <c r="C1635" i="24"/>
  <c r="S1634" i="24"/>
  <c r="O1634" i="24"/>
  <c r="K1634" i="24"/>
  <c r="E1634" i="24"/>
  <c r="A1634" i="24"/>
  <c r="Q1633" i="24"/>
  <c r="M1633" i="24"/>
  <c r="G1633" i="24"/>
  <c r="C1633" i="24"/>
  <c r="S1632" i="24"/>
  <c r="O1632" i="24"/>
  <c r="K1632" i="24"/>
  <c r="E1632" i="24"/>
  <c r="A1632" i="24"/>
  <c r="Q1631" i="24"/>
  <c r="M1631" i="24"/>
  <c r="G1631" i="24"/>
  <c r="C1631" i="24"/>
  <c r="S1630" i="24"/>
  <c r="O1630" i="24"/>
  <c r="K1630" i="24"/>
  <c r="E1630" i="24"/>
  <c r="A1630" i="24"/>
  <c r="Q1629" i="24"/>
  <c r="M1629" i="24"/>
  <c r="G1629" i="24"/>
  <c r="C1629" i="24"/>
  <c r="S1628" i="24"/>
  <c r="O1628" i="24"/>
  <c r="K1628" i="24"/>
  <c r="E1628" i="24"/>
  <c r="A1628" i="24"/>
  <c r="Q1627" i="24"/>
  <c r="M1627" i="24"/>
  <c r="G1627" i="24"/>
  <c r="C1627" i="24"/>
  <c r="S1626" i="24"/>
  <c r="O1626" i="24"/>
  <c r="K1626" i="24"/>
  <c r="E1626" i="24"/>
  <c r="A1626" i="24"/>
  <c r="Q1625" i="24"/>
  <c r="M1625" i="24"/>
  <c r="G1625" i="24"/>
  <c r="C1625" i="24"/>
  <c r="S1624" i="24"/>
  <c r="O1624" i="24"/>
  <c r="K1624" i="24"/>
  <c r="E1624" i="24"/>
  <c r="A1624" i="24"/>
  <c r="Q1623" i="24"/>
  <c r="M1623" i="24"/>
  <c r="G1623" i="24"/>
  <c r="C1623" i="24"/>
  <c r="S1622" i="24"/>
  <c r="O1622" i="24"/>
  <c r="K1622" i="24"/>
  <c r="E1622" i="24"/>
  <c r="A1622" i="24"/>
  <c r="Q1621" i="24"/>
  <c r="M1621" i="24"/>
  <c r="G1621" i="24"/>
  <c r="C1621" i="24"/>
  <c r="S1620" i="24"/>
  <c r="O1620" i="24"/>
  <c r="K1620" i="24"/>
  <c r="E1620" i="24"/>
  <c r="A1620" i="24"/>
  <c r="Q1619" i="24"/>
  <c r="M1619" i="24"/>
  <c r="G1619" i="24"/>
  <c r="C1619" i="24"/>
  <c r="S1618" i="24"/>
  <c r="O1618" i="24"/>
  <c r="K1618" i="24"/>
  <c r="E1618" i="24"/>
  <c r="A1618" i="24"/>
  <c r="Q1617" i="24"/>
  <c r="M1617" i="24"/>
  <c r="G1617" i="24"/>
  <c r="C1617" i="24"/>
  <c r="S1616" i="24"/>
  <c r="O1616" i="24"/>
  <c r="K1616" i="24"/>
  <c r="E1616" i="24"/>
  <c r="A1616" i="24"/>
  <c r="Q1615" i="24"/>
  <c r="M1615" i="24"/>
  <c r="G1615" i="24"/>
  <c r="C1615" i="24"/>
  <c r="S1614" i="24"/>
  <c r="O1614" i="24"/>
  <c r="K1614" i="24"/>
  <c r="E1614" i="24"/>
  <c r="A1614" i="24"/>
  <c r="Q1613" i="24"/>
  <c r="M1613" i="24"/>
  <c r="G1613" i="24"/>
  <c r="C1613" i="24"/>
  <c r="S1612" i="24"/>
  <c r="O1612" i="24"/>
  <c r="K1612" i="24"/>
  <c r="E1612" i="24"/>
  <c r="A1612" i="24"/>
  <c r="Q1611" i="24"/>
  <c r="M1611" i="24"/>
  <c r="G1611" i="24"/>
  <c r="C1611" i="24"/>
  <c r="S1610" i="24"/>
  <c r="O1610" i="24"/>
  <c r="K1610" i="24"/>
  <c r="E1610" i="24"/>
  <c r="A1610" i="24"/>
  <c r="Q1609" i="24"/>
  <c r="M1609" i="24"/>
  <c r="G1609" i="24"/>
  <c r="C1609" i="24"/>
  <c r="S1608" i="24"/>
  <c r="O1608" i="24"/>
  <c r="K1608" i="24"/>
  <c r="E1608" i="24"/>
  <c r="A1608" i="24"/>
  <c r="Q1607" i="24"/>
  <c r="M1607" i="24"/>
  <c r="G1607" i="24"/>
  <c r="C1607" i="24"/>
  <c r="S1606" i="24"/>
  <c r="O1606" i="24"/>
  <c r="K1606" i="24"/>
  <c r="E1606" i="24"/>
  <c r="A1606" i="24"/>
  <c r="Q1605" i="24"/>
  <c r="M1605" i="24"/>
  <c r="G1605" i="24"/>
  <c r="C1605" i="24"/>
  <c r="S1604" i="24"/>
  <c r="O1604" i="24"/>
  <c r="K1604" i="24"/>
  <c r="E1604" i="24"/>
  <c r="A1604" i="24"/>
  <c r="Q1603" i="24"/>
  <c r="M1603" i="24"/>
  <c r="G1603" i="24"/>
  <c r="C1603" i="24"/>
  <c r="S1602" i="24"/>
  <c r="O1602" i="24"/>
  <c r="K1602" i="24"/>
  <c r="E1602" i="24"/>
  <c r="A1602" i="24"/>
  <c r="Q1601" i="24"/>
  <c r="M1601" i="24"/>
  <c r="G1601" i="24"/>
  <c r="C1601" i="24"/>
  <c r="S1600" i="24"/>
  <c r="O1600" i="24"/>
  <c r="K1600" i="24"/>
  <c r="E1600" i="24"/>
  <c r="A1600" i="24"/>
  <c r="Q1599" i="24"/>
  <c r="M1599" i="24"/>
  <c r="G1599" i="24"/>
  <c r="C1599" i="24"/>
  <c r="S1598" i="24"/>
  <c r="O1598" i="24"/>
  <c r="K1598" i="24"/>
  <c r="E1598" i="24"/>
  <c r="A1598" i="24"/>
  <c r="Q1597" i="24"/>
  <c r="M1597" i="24"/>
  <c r="G1597" i="24"/>
  <c r="C1597" i="24"/>
  <c r="S1596" i="24"/>
  <c r="O1596" i="24"/>
  <c r="K1596" i="24"/>
  <c r="E1596" i="24"/>
  <c r="A1596" i="24"/>
  <c r="Q1595" i="24"/>
  <c r="M1595" i="24"/>
  <c r="G1595" i="24"/>
  <c r="C1595" i="24"/>
  <c r="S1594" i="24"/>
  <c r="O1594" i="24"/>
  <c r="K1594" i="24"/>
  <c r="E1594" i="24"/>
  <c r="A1594" i="24"/>
  <c r="Q1593" i="24"/>
  <c r="M1593" i="24"/>
  <c r="G1593" i="24"/>
  <c r="C1593" i="24"/>
  <c r="S1592" i="24"/>
  <c r="O1592" i="24"/>
  <c r="K1592" i="24"/>
  <c r="E1592" i="24"/>
  <c r="A1592" i="24"/>
  <c r="Q1591" i="24"/>
  <c r="M1591" i="24"/>
  <c r="G1591" i="24"/>
  <c r="C1591" i="24"/>
  <c r="S1590" i="24"/>
  <c r="O1590" i="24"/>
  <c r="K1590" i="24"/>
  <c r="E1590" i="24"/>
  <c r="A1590" i="24"/>
  <c r="Q1589" i="24"/>
  <c r="M1589" i="24"/>
  <c r="G1589" i="24"/>
  <c r="C1589" i="24"/>
  <c r="S1588" i="24"/>
  <c r="O1588" i="24"/>
  <c r="K1588" i="24"/>
  <c r="E1588" i="24"/>
  <c r="A1588" i="24"/>
  <c r="Q1587" i="24"/>
  <c r="M1587" i="24"/>
  <c r="G1587" i="24"/>
  <c r="C1587" i="24"/>
  <c r="S1586" i="24"/>
  <c r="O1586" i="24"/>
  <c r="K1586" i="24"/>
  <c r="E1586" i="24"/>
  <c r="A1586" i="24"/>
  <c r="Q1585" i="24"/>
  <c r="M1585" i="24"/>
  <c r="G1585" i="24"/>
  <c r="C1585" i="24"/>
  <c r="S1584" i="24"/>
  <c r="O1584" i="24"/>
  <c r="K1584" i="24"/>
  <c r="E1584" i="24"/>
  <c r="A1584" i="24"/>
  <c r="Q1583" i="24"/>
  <c r="M1583" i="24"/>
  <c r="G1583" i="24"/>
  <c r="C1583" i="24"/>
  <c r="S1582" i="24"/>
  <c r="O1582" i="24"/>
  <c r="K1582" i="24"/>
  <c r="E1582" i="24"/>
  <c r="A1582" i="24"/>
  <c r="Q1581" i="24"/>
  <c r="M1581" i="24"/>
  <c r="G1581" i="24"/>
  <c r="C1581" i="24"/>
  <c r="S1580" i="24"/>
  <c r="O1580" i="24"/>
  <c r="K1580" i="24"/>
  <c r="E1580" i="24"/>
  <c r="A1580" i="24"/>
  <c r="Q1579" i="24"/>
  <c r="M1579" i="24"/>
  <c r="G1579" i="24"/>
  <c r="C1579" i="24"/>
  <c r="S1578" i="24"/>
  <c r="O1578" i="24"/>
  <c r="K1578" i="24"/>
  <c r="E1578" i="24"/>
  <c r="A1578" i="24"/>
  <c r="Q1577" i="24"/>
  <c r="M1577" i="24"/>
  <c r="G1577" i="24"/>
  <c r="C1577" i="24"/>
  <c r="S1576" i="24"/>
  <c r="O1576" i="24"/>
  <c r="K1576" i="24"/>
  <c r="E1576" i="24"/>
  <c r="A1576" i="24"/>
  <c r="Q1575" i="24"/>
  <c r="M1575" i="24"/>
  <c r="G1575" i="24"/>
  <c r="C1575" i="24"/>
  <c r="S1574" i="24"/>
  <c r="O1574" i="24"/>
  <c r="K1574" i="24"/>
  <c r="E1574" i="24"/>
  <c r="A1574" i="24"/>
  <c r="Q1573" i="24"/>
  <c r="M1573" i="24"/>
  <c r="G1573" i="24"/>
  <c r="C1573" i="24"/>
  <c r="S1572" i="24"/>
  <c r="O1572" i="24"/>
  <c r="K1572" i="24"/>
  <c r="E1572" i="24"/>
  <c r="A1572" i="24"/>
  <c r="Q1571" i="24"/>
  <c r="M1571" i="24"/>
  <c r="G1571" i="24"/>
  <c r="C1571" i="24"/>
  <c r="S1570" i="24"/>
  <c r="O1570" i="24"/>
  <c r="K1570" i="24"/>
  <c r="E1570" i="24"/>
  <c r="A1570" i="24"/>
  <c r="Q1569" i="24"/>
  <c r="M1569" i="24"/>
  <c r="G1569" i="24"/>
  <c r="C1569" i="24"/>
  <c r="S1568" i="24"/>
  <c r="O1568" i="24"/>
  <c r="K1568" i="24"/>
  <c r="E1568" i="24"/>
  <c r="A1568" i="24"/>
  <c r="Q1567" i="24"/>
  <c r="M1567" i="24"/>
  <c r="G1567" i="24"/>
  <c r="C1567" i="24"/>
  <c r="S1566" i="24"/>
  <c r="O1566" i="24"/>
  <c r="K1566" i="24"/>
  <c r="E1566" i="24"/>
  <c r="A1566" i="24"/>
  <c r="Q1565" i="24"/>
  <c r="M1565" i="24"/>
  <c r="G1565" i="24"/>
  <c r="C1565" i="24"/>
  <c r="S1564" i="24"/>
  <c r="O1564" i="24"/>
  <c r="K1564" i="24"/>
  <c r="E1564" i="24"/>
  <c r="A1564" i="24"/>
  <c r="Q1563" i="24"/>
  <c r="M1563" i="24"/>
  <c r="G1563" i="24"/>
  <c r="C1563" i="24"/>
  <c r="S1562" i="24"/>
  <c r="O1562" i="24"/>
  <c r="K1562" i="24"/>
  <c r="E1562" i="24"/>
  <c r="A1562" i="24"/>
  <c r="Q1561" i="24"/>
  <c r="M1561" i="24"/>
  <c r="G1561" i="24"/>
  <c r="C1561" i="24"/>
  <c r="S1560" i="24"/>
  <c r="O1560" i="24"/>
  <c r="K1560" i="24"/>
  <c r="E1560" i="24"/>
  <c r="A1560" i="24"/>
  <c r="Q1559" i="24"/>
  <c r="M1559" i="24"/>
  <c r="G1559" i="24"/>
  <c r="C1559" i="24"/>
  <c r="S1558" i="24"/>
  <c r="O1558" i="24"/>
  <c r="K1558" i="24"/>
  <c r="E1558" i="24"/>
  <c r="A1558" i="24"/>
  <c r="Q1557" i="24"/>
  <c r="M1557" i="24"/>
  <c r="G1557" i="24"/>
  <c r="C1557" i="24"/>
  <c r="S1556" i="24"/>
  <c r="O1556" i="24"/>
  <c r="K1556" i="24"/>
  <c r="E1556" i="24"/>
  <c r="A1556" i="24"/>
  <c r="Q1555" i="24"/>
  <c r="M1555" i="24"/>
  <c r="G1555" i="24"/>
  <c r="C1555" i="24"/>
  <c r="S1554" i="24"/>
  <c r="O1554" i="24"/>
  <c r="K1554" i="24"/>
  <c r="E1554" i="24"/>
  <c r="A1554" i="24"/>
  <c r="Q1553" i="24"/>
  <c r="M1553" i="24"/>
  <c r="G1553" i="24"/>
  <c r="C1553" i="24"/>
  <c r="S1552" i="24"/>
  <c r="O1552" i="24"/>
  <c r="K1552" i="24"/>
  <c r="E1552" i="24"/>
  <c r="A1552" i="24"/>
  <c r="Q1551" i="24"/>
  <c r="M1551" i="24"/>
  <c r="G1551" i="24"/>
  <c r="C1551" i="24"/>
  <c r="S1550" i="24"/>
  <c r="O1550" i="24"/>
  <c r="K1550" i="24"/>
  <c r="E1550" i="24"/>
  <c r="A1550" i="24"/>
  <c r="Q1549" i="24"/>
  <c r="M1549" i="24"/>
  <c r="G1549" i="24"/>
  <c r="C1549" i="24"/>
  <c r="S1548" i="24"/>
  <c r="O1548" i="24"/>
  <c r="K1548" i="24"/>
  <c r="E1548" i="24"/>
  <c r="A1548" i="24"/>
  <c r="Q1547" i="24"/>
  <c r="M1547" i="24"/>
  <c r="G1547" i="24"/>
  <c r="C1547" i="24"/>
  <c r="S1546" i="24"/>
  <c r="O1546" i="24"/>
  <c r="K1546" i="24"/>
  <c r="E1546" i="24"/>
  <c r="A1546" i="24"/>
  <c r="Q1545" i="24"/>
  <c r="M1545" i="24"/>
  <c r="G1545" i="24"/>
  <c r="C1545" i="24"/>
  <c r="S1544" i="24"/>
  <c r="O1544" i="24"/>
  <c r="K1544" i="24"/>
  <c r="E1544" i="24"/>
  <c r="A1544" i="24"/>
  <c r="Q1543" i="24"/>
  <c r="M1543" i="24"/>
  <c r="G1543" i="24"/>
  <c r="C1543" i="24"/>
  <c r="S1542" i="24"/>
  <c r="O1542" i="24"/>
  <c r="K1542" i="24"/>
  <c r="E1542" i="24"/>
  <c r="A1542" i="24"/>
  <c r="Q1541" i="24"/>
  <c r="M1541" i="24"/>
  <c r="G1541" i="24"/>
  <c r="C1541" i="24"/>
  <c r="S1540" i="24"/>
  <c r="O1540" i="24"/>
  <c r="K1540" i="24"/>
  <c r="E1540" i="24"/>
  <c r="A1540" i="24"/>
  <c r="Q1539" i="24"/>
  <c r="M1539" i="24"/>
  <c r="G1539" i="24"/>
  <c r="C1539" i="24"/>
  <c r="S1538" i="24"/>
  <c r="O1538" i="24"/>
  <c r="K1538" i="24"/>
  <c r="E1538" i="24"/>
  <c r="A1538" i="24"/>
  <c r="Q1537" i="24"/>
  <c r="M1537" i="24"/>
  <c r="G1537" i="24"/>
  <c r="C1537" i="24"/>
  <c r="S1536" i="24"/>
  <c r="O1536" i="24"/>
  <c r="K1536" i="24"/>
  <c r="E1536" i="24"/>
  <c r="A1536" i="24"/>
  <c r="Q1535" i="24"/>
  <c r="M1535" i="24"/>
  <c r="G1535" i="24"/>
  <c r="C1535" i="24"/>
  <c r="S1534" i="24"/>
  <c r="O1534" i="24"/>
  <c r="K1534" i="24"/>
  <c r="E1534" i="24"/>
  <c r="A1534" i="24"/>
  <c r="Q1533" i="24"/>
  <c r="M1533" i="24"/>
  <c r="G1533" i="24"/>
  <c r="C1533" i="24"/>
  <c r="S1532" i="24"/>
  <c r="O1532" i="24"/>
  <c r="K1532" i="24"/>
  <c r="E1532" i="24"/>
  <c r="A1532" i="24"/>
  <c r="Q1531" i="24"/>
  <c r="M1531" i="24"/>
  <c r="G1531" i="24"/>
  <c r="C1531" i="24"/>
  <c r="S1530" i="24"/>
  <c r="O1530" i="24"/>
  <c r="K1530" i="24"/>
  <c r="E1530" i="24"/>
  <c r="A1530" i="24"/>
  <c r="Q1529" i="24"/>
  <c r="M1529" i="24"/>
  <c r="G1529" i="24"/>
  <c r="C1529" i="24"/>
  <c r="S1528" i="24"/>
  <c r="O1528" i="24"/>
  <c r="K1528" i="24"/>
  <c r="E1528" i="24"/>
  <c r="A1528" i="24"/>
  <c r="Q1527" i="24"/>
  <c r="M1527" i="24"/>
  <c r="G1527" i="24"/>
  <c r="C1527" i="24"/>
  <c r="S1526" i="24"/>
  <c r="O1526" i="24"/>
  <c r="K1526" i="24"/>
  <c r="E1526" i="24"/>
  <c r="A1526" i="24"/>
  <c r="Q1525" i="24"/>
  <c r="M1525" i="24"/>
  <c r="G1525" i="24"/>
  <c r="C1525" i="24"/>
  <c r="S1524" i="24"/>
  <c r="O1524" i="24"/>
  <c r="K1524" i="24"/>
  <c r="E1524" i="24"/>
  <c r="A1524" i="24"/>
  <c r="Q1523" i="24"/>
  <c r="M1523" i="24"/>
  <c r="G1523" i="24"/>
  <c r="C1523" i="24"/>
  <c r="S1522" i="24"/>
  <c r="O1522" i="24"/>
  <c r="K1522" i="24"/>
  <c r="E1522" i="24"/>
  <c r="A1522" i="24"/>
  <c r="Q1521" i="24"/>
  <c r="M1521" i="24"/>
  <c r="G1521" i="24"/>
  <c r="C1521" i="24"/>
  <c r="S1520" i="24"/>
  <c r="O1520" i="24"/>
  <c r="K1520" i="24"/>
  <c r="E1520" i="24"/>
  <c r="A1520" i="24"/>
  <c r="Q1519" i="24"/>
  <c r="M1519" i="24"/>
  <c r="G1519" i="24"/>
  <c r="C1519" i="24"/>
  <c r="S1518" i="24"/>
  <c r="O1518" i="24"/>
  <c r="K1518" i="24"/>
  <c r="E1518" i="24"/>
  <c r="A1518" i="24"/>
  <c r="Q1517" i="24"/>
  <c r="M1517" i="24"/>
  <c r="G1517" i="24"/>
  <c r="C1517" i="24"/>
  <c r="S1516" i="24"/>
  <c r="O1516" i="24"/>
  <c r="K1516" i="24"/>
  <c r="E1516" i="24"/>
  <c r="A1516" i="24"/>
  <c r="Q1515" i="24"/>
  <c r="M1515" i="24"/>
  <c r="G1515" i="24"/>
  <c r="C1515" i="24"/>
  <c r="S1514" i="24"/>
  <c r="O1514" i="24"/>
  <c r="K1514" i="24"/>
  <c r="E1514" i="24"/>
  <c r="A1514" i="24"/>
  <c r="Q1513" i="24"/>
  <c r="M1513" i="24"/>
  <c r="G1513" i="24"/>
  <c r="C1513" i="24"/>
  <c r="S1512" i="24"/>
  <c r="O1512" i="24"/>
  <c r="K1512" i="24"/>
  <c r="E1512" i="24"/>
  <c r="A1512" i="24"/>
  <c r="Q1511" i="24"/>
  <c r="M1511" i="24"/>
  <c r="G1511" i="24"/>
  <c r="C1511" i="24"/>
  <c r="S1510" i="24"/>
  <c r="O1510" i="24"/>
  <c r="K1510" i="24"/>
  <c r="E1510" i="24"/>
  <c r="A1510" i="24"/>
  <c r="Q1509" i="24"/>
  <c r="M1509" i="24"/>
  <c r="G1509" i="24"/>
  <c r="C1509" i="24"/>
  <c r="S1508" i="24"/>
  <c r="O1508" i="24"/>
  <c r="K1508" i="24"/>
  <c r="E1508" i="24"/>
  <c r="A1508" i="24"/>
  <c r="Q1507" i="24"/>
  <c r="M1507" i="24"/>
  <c r="G1507" i="24"/>
  <c r="C1507" i="24"/>
  <c r="S1506" i="24"/>
  <c r="O1506" i="24"/>
  <c r="K1506" i="24"/>
  <c r="E1506" i="24"/>
  <c r="A1506" i="24"/>
  <c r="Q1505" i="24"/>
  <c r="M1505" i="24"/>
  <c r="G1505" i="24"/>
  <c r="C1505" i="24"/>
  <c r="S1504" i="24"/>
  <c r="O1504" i="24"/>
  <c r="K1504" i="24"/>
  <c r="E1504" i="24"/>
  <c r="A1504" i="24"/>
  <c r="Q1503" i="24"/>
  <c r="M1503" i="24"/>
  <c r="G1503" i="24"/>
  <c r="C1503" i="24"/>
  <c r="S1502" i="24"/>
  <c r="O1502" i="24"/>
  <c r="K1502" i="24"/>
  <c r="E1502" i="24"/>
  <c r="A1502" i="24"/>
  <c r="Q1501" i="24"/>
  <c r="M1501" i="24"/>
  <c r="G1501" i="24"/>
  <c r="C1501" i="24"/>
  <c r="S1500" i="24"/>
  <c r="O1500" i="24"/>
  <c r="K1500" i="24"/>
  <c r="E1500" i="24"/>
  <c r="A1500" i="24"/>
  <c r="Q1499" i="24"/>
  <c r="M1499" i="24"/>
  <c r="G1499" i="24"/>
  <c r="C1499" i="24"/>
  <c r="S1498" i="24"/>
  <c r="O1498" i="24"/>
  <c r="K1498" i="24"/>
  <c r="E1498" i="24"/>
  <c r="A1498" i="24"/>
  <c r="Q1497" i="24"/>
  <c r="M1497" i="24"/>
  <c r="G1497" i="24"/>
  <c r="C1497" i="24"/>
  <c r="S1496" i="24"/>
  <c r="O1496" i="24"/>
  <c r="K1496" i="24"/>
  <c r="E1496" i="24"/>
  <c r="A1496" i="24"/>
  <c r="Q1495" i="24"/>
  <c r="M1495" i="24"/>
  <c r="G1495" i="24"/>
  <c r="C1495" i="24"/>
  <c r="S1494" i="24"/>
  <c r="O1494" i="24"/>
  <c r="K1494" i="24"/>
  <c r="E1494" i="24"/>
  <c r="A1494" i="24"/>
  <c r="Q1493" i="24"/>
  <c r="M1493" i="24"/>
  <c r="G1493" i="24"/>
  <c r="C1493" i="24"/>
  <c r="S1492" i="24"/>
  <c r="O1492" i="24"/>
  <c r="K1492" i="24"/>
  <c r="E1492" i="24"/>
  <c r="A1492" i="24"/>
  <c r="Q1491" i="24"/>
  <c r="M1491" i="24"/>
  <c r="G1491" i="24"/>
  <c r="C1491" i="24"/>
  <c r="S1490" i="24"/>
  <c r="O1490" i="24"/>
  <c r="K1490" i="24"/>
  <c r="E1490" i="24"/>
  <c r="A1490" i="24"/>
  <c r="Q1489" i="24"/>
  <c r="M1489" i="24"/>
  <c r="G1489" i="24"/>
  <c r="C1489" i="24"/>
  <c r="S1488" i="24"/>
  <c r="O1488" i="24"/>
  <c r="K1488" i="24"/>
  <c r="E1488" i="24"/>
  <c r="A1488" i="24"/>
  <c r="Q1487" i="24"/>
  <c r="M1487" i="24"/>
  <c r="G1487" i="24"/>
  <c r="C1487" i="24"/>
  <c r="S1486" i="24"/>
  <c r="O1486" i="24"/>
  <c r="K1486" i="24"/>
  <c r="E1486" i="24"/>
  <c r="A1486" i="24"/>
  <c r="Q1485" i="24"/>
  <c r="M1485" i="24"/>
  <c r="G1485" i="24"/>
  <c r="C1485" i="24"/>
  <c r="S1484" i="24"/>
  <c r="O1484" i="24"/>
  <c r="K1484" i="24"/>
  <c r="E1484" i="24"/>
  <c r="A1484" i="24"/>
  <c r="Q1483" i="24"/>
  <c r="M1483" i="24"/>
  <c r="G1483" i="24"/>
  <c r="C1483" i="24"/>
  <c r="S1482" i="24"/>
  <c r="O1482" i="24"/>
  <c r="K1482" i="24"/>
  <c r="E1482" i="24"/>
  <c r="A1482" i="24"/>
  <c r="Q1481" i="24"/>
  <c r="M1481" i="24"/>
  <c r="G1481" i="24"/>
  <c r="C1481" i="24"/>
  <c r="S1480" i="24"/>
  <c r="O1480" i="24"/>
  <c r="K1480" i="24"/>
  <c r="E1480" i="24"/>
  <c r="A1480" i="24"/>
  <c r="Q1479" i="24"/>
  <c r="M1479" i="24"/>
  <c r="G1479" i="24"/>
  <c r="C1479" i="24"/>
  <c r="S1478" i="24"/>
  <c r="O1478" i="24"/>
  <c r="K1478" i="24"/>
  <c r="E1478" i="24"/>
  <c r="A1478" i="24"/>
  <c r="Q1477" i="24"/>
  <c r="M1477" i="24"/>
  <c r="G1477" i="24"/>
  <c r="C1477" i="24"/>
  <c r="S1476" i="24"/>
  <c r="O1476" i="24"/>
  <c r="K1476" i="24"/>
  <c r="E1476" i="24"/>
  <c r="A1476" i="24"/>
  <c r="Q1475" i="24"/>
  <c r="M1475" i="24"/>
  <c r="G1475" i="24"/>
  <c r="C1475" i="24"/>
  <c r="S1474" i="24"/>
  <c r="O1474" i="24"/>
  <c r="K1474" i="24"/>
  <c r="E1474" i="24"/>
  <c r="A1474" i="24"/>
  <c r="Q1473" i="24"/>
  <c r="M1473" i="24"/>
  <c r="G1473" i="24"/>
  <c r="C1473" i="24"/>
  <c r="S1472" i="24"/>
  <c r="O1472" i="24"/>
  <c r="K1472" i="24"/>
  <c r="E1472" i="24"/>
  <c r="A1472" i="24"/>
  <c r="Q1471" i="24"/>
  <c r="M1471" i="24"/>
  <c r="G1471" i="24"/>
  <c r="C1471" i="24"/>
  <c r="S1470" i="24"/>
  <c r="O1470" i="24"/>
  <c r="K1470" i="24"/>
  <c r="E1470" i="24"/>
  <c r="A1470" i="24"/>
  <c r="Q1469" i="24"/>
  <c r="M1469" i="24"/>
  <c r="G1469" i="24"/>
  <c r="C1469" i="24"/>
  <c r="S1468" i="24"/>
  <c r="O1468" i="24"/>
  <c r="K1468" i="24"/>
  <c r="E1468" i="24"/>
  <c r="A1468" i="24"/>
  <c r="Q1467" i="24"/>
  <c r="M1467" i="24"/>
  <c r="G1467" i="24"/>
  <c r="C1467" i="24"/>
  <c r="S1466" i="24"/>
  <c r="O1466" i="24"/>
  <c r="K1466" i="24"/>
  <c r="E1466" i="24"/>
  <c r="A1466" i="24"/>
  <c r="Q1465" i="24"/>
  <c r="M1465" i="24"/>
  <c r="G1465" i="24"/>
  <c r="C1465" i="24"/>
  <c r="S1464" i="24"/>
  <c r="O1464" i="24"/>
  <c r="K1464" i="24"/>
  <c r="E1464" i="24"/>
  <c r="A1464" i="24"/>
  <c r="Q1463" i="24"/>
  <c r="M1463" i="24"/>
  <c r="G1463" i="24"/>
  <c r="C1463" i="24"/>
  <c r="S1462" i="24"/>
  <c r="O1462" i="24"/>
  <c r="K1462" i="24"/>
  <c r="E1462" i="24"/>
  <c r="A1462" i="24"/>
  <c r="Q1461" i="24"/>
  <c r="M1461" i="24"/>
  <c r="G1461" i="24"/>
  <c r="C1461" i="24"/>
  <c r="S1460" i="24"/>
  <c r="O1460" i="24"/>
  <c r="K1460" i="24"/>
  <c r="E1460" i="24"/>
  <c r="A1460" i="24"/>
  <c r="Q1459" i="24"/>
  <c r="M1459" i="24"/>
  <c r="G1459" i="24"/>
  <c r="C1459" i="24"/>
  <c r="S1458" i="24"/>
  <c r="O1458" i="24"/>
  <c r="K1458" i="24"/>
  <c r="E1458" i="24"/>
  <c r="A1458" i="24"/>
  <c r="Q1457" i="24"/>
  <c r="M1457" i="24"/>
  <c r="G1457" i="24"/>
  <c r="C1457" i="24"/>
  <c r="S1456" i="24"/>
  <c r="O1456" i="24"/>
  <c r="K1456" i="24"/>
  <c r="E1456" i="24"/>
  <c r="A1456" i="24"/>
  <c r="Q1455" i="24"/>
  <c r="M1455" i="24"/>
  <c r="G1455" i="24"/>
  <c r="C1455" i="24"/>
  <c r="S1454" i="24"/>
  <c r="O1454" i="24"/>
  <c r="K1454" i="24"/>
  <c r="E1454" i="24"/>
  <c r="A1454" i="24"/>
  <c r="Q1453" i="24"/>
  <c r="M1453" i="24"/>
  <c r="G1453" i="24"/>
  <c r="C1453" i="24"/>
  <c r="S1452" i="24"/>
  <c r="O1452" i="24"/>
  <c r="K1452" i="24"/>
  <c r="E1452" i="24"/>
  <c r="A1452" i="24"/>
  <c r="Q1451" i="24"/>
  <c r="M1451" i="24"/>
  <c r="G1451" i="24"/>
  <c r="C1451" i="24"/>
  <c r="S1450" i="24"/>
  <c r="O1450" i="24"/>
  <c r="K1450" i="24"/>
  <c r="E1450" i="24"/>
  <c r="A1450" i="24"/>
  <c r="Q1449" i="24"/>
  <c r="M1449" i="24"/>
  <c r="G1449" i="24"/>
  <c r="C1449" i="24"/>
  <c r="S1448" i="24"/>
  <c r="O1448" i="24"/>
  <c r="K1448" i="24"/>
  <c r="E1448" i="24"/>
  <c r="A1448" i="24"/>
  <c r="Q1447" i="24"/>
  <c r="M1447" i="24"/>
  <c r="G1447" i="24"/>
  <c r="C1447" i="24"/>
  <c r="S1446" i="24"/>
  <c r="O1446" i="24"/>
  <c r="K1446" i="24"/>
  <c r="E1446" i="24"/>
  <c r="A1446" i="24"/>
  <c r="Q1445" i="24"/>
  <c r="M1445" i="24"/>
  <c r="G1445" i="24"/>
  <c r="C1445" i="24"/>
  <c r="S1444" i="24"/>
  <c r="O1444" i="24"/>
  <c r="K1444" i="24"/>
  <c r="E1444" i="24"/>
  <c r="A1444" i="24"/>
  <c r="Q1443" i="24"/>
  <c r="M1443" i="24"/>
  <c r="G1443" i="24"/>
  <c r="C1443" i="24"/>
  <c r="S1442" i="24"/>
  <c r="O1442" i="24"/>
  <c r="K1442" i="24"/>
  <c r="E1442" i="24"/>
  <c r="A1442" i="24"/>
  <c r="Q1441" i="24"/>
  <c r="M1441" i="24"/>
  <c r="G1441" i="24"/>
  <c r="C1441" i="24"/>
  <c r="S1440" i="24"/>
  <c r="O1440" i="24"/>
  <c r="K1440" i="24"/>
  <c r="E1440" i="24"/>
  <c r="A1440" i="24"/>
  <c r="Q1439" i="24"/>
  <c r="M1439" i="24"/>
  <c r="G1439" i="24"/>
  <c r="C1439" i="24"/>
  <c r="S1438" i="24"/>
  <c r="O1438" i="24"/>
  <c r="K1438" i="24"/>
  <c r="E1438" i="24"/>
  <c r="A1438" i="24"/>
  <c r="Q1437" i="24"/>
  <c r="M1437" i="24"/>
  <c r="G1437" i="24"/>
  <c r="C1437" i="24"/>
  <c r="S1436" i="24"/>
  <c r="O1436" i="24"/>
  <c r="K1436" i="24"/>
  <c r="E1436" i="24"/>
  <c r="A1436" i="24"/>
  <c r="Q1435" i="24"/>
  <c r="M1435" i="24"/>
  <c r="G1435" i="24"/>
  <c r="C1435" i="24"/>
  <c r="S1434" i="24"/>
  <c r="O1434" i="24"/>
  <c r="K1434" i="24"/>
  <c r="E1434" i="24"/>
  <c r="A1434" i="24"/>
  <c r="Q1433" i="24"/>
  <c r="M1433" i="24"/>
  <c r="G1433" i="24"/>
  <c r="C1433" i="24"/>
  <c r="S1432" i="24"/>
  <c r="O1432" i="24"/>
  <c r="K1432" i="24"/>
  <c r="E1432" i="24"/>
  <c r="A1432" i="24"/>
  <c r="Q1431" i="24"/>
  <c r="M1431" i="24"/>
  <c r="G1431" i="24"/>
  <c r="C1431" i="24"/>
  <c r="S1430" i="24"/>
  <c r="O1430" i="24"/>
  <c r="K1430" i="24"/>
  <c r="E1430" i="24"/>
  <c r="A1430" i="24"/>
  <c r="Q1429" i="24"/>
  <c r="M1429" i="24"/>
  <c r="G1429" i="24"/>
  <c r="C1429" i="24"/>
  <c r="S1428" i="24"/>
  <c r="O1428" i="24"/>
  <c r="K1428" i="24"/>
  <c r="E1428" i="24"/>
  <c r="A1428" i="24"/>
  <c r="Q1427" i="24"/>
  <c r="M1427" i="24"/>
  <c r="G1427" i="24"/>
  <c r="C1427" i="24"/>
  <c r="S1426" i="24"/>
  <c r="O1426" i="24"/>
  <c r="K1426" i="24"/>
  <c r="E1426" i="24"/>
  <c r="A1426" i="24"/>
  <c r="Q1425" i="24"/>
  <c r="M1425" i="24"/>
  <c r="G1425" i="24"/>
  <c r="C1425" i="24"/>
  <c r="S1424" i="24"/>
  <c r="O1424" i="24"/>
  <c r="K1424" i="24"/>
  <c r="E1424" i="24"/>
  <c r="A1424" i="24"/>
  <c r="Q1423" i="24"/>
  <c r="M1423" i="24"/>
  <c r="G1423" i="24"/>
  <c r="C1423" i="24"/>
  <c r="S1422" i="24"/>
  <c r="O1422" i="24"/>
  <c r="K1422" i="24"/>
  <c r="E1422" i="24"/>
  <c r="A1422" i="24"/>
  <c r="Q1421" i="24"/>
  <c r="M1421" i="24"/>
  <c r="G1421" i="24"/>
  <c r="C1421" i="24"/>
  <c r="S1420" i="24"/>
  <c r="O1420" i="24"/>
  <c r="K1420" i="24"/>
  <c r="E1420" i="24"/>
  <c r="A1420" i="24"/>
  <c r="Q1419" i="24"/>
  <c r="M1419" i="24"/>
  <c r="G1419" i="24"/>
  <c r="C1419" i="24"/>
  <c r="S1418" i="24"/>
  <c r="O1418" i="24"/>
  <c r="K1418" i="24"/>
  <c r="E1418" i="24"/>
  <c r="A1418" i="24"/>
  <c r="Q1417" i="24"/>
  <c r="M1417" i="24"/>
  <c r="G1417" i="24"/>
  <c r="C1417" i="24"/>
  <c r="S1416" i="24"/>
  <c r="O1416" i="24"/>
  <c r="K1416" i="24"/>
  <c r="E1416" i="24"/>
  <c r="A1416" i="24"/>
  <c r="Q1415" i="24"/>
  <c r="M1415" i="24"/>
  <c r="G1415" i="24"/>
  <c r="C1415" i="24"/>
  <c r="S1414" i="24"/>
  <c r="O1414" i="24"/>
  <c r="K1414" i="24"/>
  <c r="E1414" i="24"/>
  <c r="A1414" i="24"/>
  <c r="Q1413" i="24"/>
  <c r="M1413" i="24"/>
  <c r="G1413" i="24"/>
  <c r="C1413" i="24"/>
  <c r="S1412" i="24"/>
  <c r="O1412" i="24"/>
  <c r="K1412" i="24"/>
  <c r="E1412" i="24"/>
  <c r="A1412" i="24"/>
  <c r="Q1411" i="24"/>
  <c r="M1411" i="24"/>
  <c r="G1411" i="24"/>
  <c r="C1411" i="24"/>
  <c r="S1410" i="24"/>
  <c r="O1410" i="24"/>
  <c r="K1410" i="24"/>
  <c r="E1410" i="24"/>
  <c r="A1410" i="24"/>
  <c r="Q1409" i="24"/>
  <c r="M1409" i="24"/>
  <c r="G1409" i="24"/>
  <c r="C1409" i="24"/>
  <c r="S1408" i="24"/>
  <c r="O1408" i="24"/>
  <c r="K1408" i="24"/>
  <c r="E1408" i="24"/>
  <c r="A1408" i="24"/>
  <c r="Q1407" i="24"/>
  <c r="M1407" i="24"/>
  <c r="G1407" i="24"/>
  <c r="C1407" i="24"/>
  <c r="S1406" i="24"/>
  <c r="O1406" i="24"/>
  <c r="K1406" i="24"/>
  <c r="E1406" i="24"/>
  <c r="A1406" i="24"/>
  <c r="Q1405" i="24"/>
  <c r="M1405" i="24"/>
  <c r="G1405" i="24"/>
  <c r="C1405" i="24"/>
  <c r="S1404" i="24"/>
  <c r="O1404" i="24"/>
  <c r="K1404" i="24"/>
  <c r="E1404" i="24"/>
  <c r="A1404" i="24"/>
  <c r="Q1403" i="24"/>
  <c r="M1403" i="24"/>
  <c r="G1403" i="24"/>
  <c r="C1403" i="24"/>
  <c r="S1402" i="24"/>
  <c r="O1402" i="24"/>
  <c r="K1402" i="24"/>
  <c r="E1402" i="24"/>
  <c r="A1402" i="24"/>
  <c r="Q1401" i="24"/>
  <c r="M1401" i="24"/>
  <c r="G1401" i="24"/>
  <c r="C1401" i="24"/>
  <c r="S1400" i="24"/>
  <c r="O1400" i="24"/>
  <c r="K1400" i="24"/>
  <c r="E1400" i="24"/>
  <c r="A1400" i="24"/>
  <c r="Q1399" i="24"/>
  <c r="M1399" i="24"/>
  <c r="G1399" i="24"/>
  <c r="C1399" i="24"/>
  <c r="S1398" i="24"/>
  <c r="O1398" i="24"/>
  <c r="K1398" i="24"/>
  <c r="E1398" i="24"/>
  <c r="A1398" i="24"/>
  <c r="Q1397" i="24"/>
  <c r="P2348" i="24"/>
  <c r="F2320" i="24"/>
  <c r="B2292" i="24"/>
  <c r="R2284" i="24"/>
  <c r="P2277" i="24"/>
  <c r="N2270" i="24"/>
  <c r="L2263" i="24"/>
  <c r="H2256" i="24"/>
  <c r="F2249" i="24"/>
  <c r="D2242" i="24"/>
  <c r="B2235" i="24"/>
  <c r="T2227" i="24"/>
  <c r="R2220" i="24"/>
  <c r="P2213" i="24"/>
  <c r="N2206" i="24"/>
  <c r="L2199" i="24"/>
  <c r="H2192" i="24"/>
  <c r="F2185" i="24"/>
  <c r="D2178" i="24"/>
  <c r="B2171" i="24"/>
  <c r="T2163" i="24"/>
  <c r="R2156" i="24"/>
  <c r="P2149" i="24"/>
  <c r="N2142" i="24"/>
  <c r="L2135" i="24"/>
  <c r="H2128" i="24"/>
  <c r="F2121" i="24"/>
  <c r="D2114" i="24"/>
  <c r="B2107" i="24"/>
  <c r="T2099" i="24"/>
  <c r="R2092" i="24"/>
  <c r="P2085" i="24"/>
  <c r="L2080" i="24"/>
  <c r="T2076" i="24"/>
  <c r="H2073" i="24"/>
  <c r="R2069" i="24"/>
  <c r="F2066" i="24"/>
  <c r="P2062" i="24"/>
  <c r="D2059" i="24"/>
  <c r="N2055" i="24"/>
  <c r="B2052" i="24"/>
  <c r="L2048" i="24"/>
  <c r="T2044" i="24"/>
  <c r="H2041" i="24"/>
  <c r="R2037" i="24"/>
  <c r="F2034" i="24"/>
  <c r="S2031" i="24"/>
  <c r="C2030" i="24"/>
  <c r="G2028" i="24"/>
  <c r="M2026" i="24"/>
  <c r="Q2024" i="24"/>
  <c r="A2023" i="24"/>
  <c r="E2021" i="24"/>
  <c r="K2019" i="24"/>
  <c r="O2017" i="24"/>
  <c r="S2015" i="24"/>
  <c r="C2014" i="24"/>
  <c r="G2012" i="24"/>
  <c r="M2010" i="24"/>
  <c r="Q2008" i="24"/>
  <c r="A2007" i="24"/>
  <c r="E2005" i="24"/>
  <c r="K2003" i="24"/>
  <c r="O2001" i="24"/>
  <c r="S1999" i="24"/>
  <c r="C1998" i="24"/>
  <c r="G1996" i="24"/>
  <c r="M1994" i="24"/>
  <c r="Q1992" i="24"/>
  <c r="A1991" i="24"/>
  <c r="E1989" i="24"/>
  <c r="K1987" i="24"/>
  <c r="O1985" i="24"/>
  <c r="S1983" i="24"/>
  <c r="C1982" i="24"/>
  <c r="G1980" i="24"/>
  <c r="M1978" i="24"/>
  <c r="Q1976" i="24"/>
  <c r="A1975" i="24"/>
  <c r="E1973" i="24"/>
  <c r="K1971" i="24"/>
  <c r="O1969" i="24"/>
  <c r="D1968" i="24"/>
  <c r="F1967" i="24"/>
  <c r="H1966" i="24"/>
  <c r="L1965" i="24"/>
  <c r="N1964" i="24"/>
  <c r="P1963" i="24"/>
  <c r="R1962" i="24"/>
  <c r="T1961" i="24"/>
  <c r="B1961" i="24"/>
  <c r="D1960" i="24"/>
  <c r="F1959" i="24"/>
  <c r="H1958" i="24"/>
  <c r="L1957" i="24"/>
  <c r="N1956" i="24"/>
  <c r="P1955" i="24"/>
  <c r="R1954" i="24"/>
  <c r="T1953" i="24"/>
  <c r="B1953" i="24"/>
  <c r="D1952" i="24"/>
  <c r="F1951" i="24"/>
  <c r="H1950" i="24"/>
  <c r="L1949" i="24"/>
  <c r="N1948" i="24"/>
  <c r="P1947" i="24"/>
  <c r="R1946" i="24"/>
  <c r="T1945" i="24"/>
  <c r="B1945" i="24"/>
  <c r="D1944" i="24"/>
  <c r="F1943" i="24"/>
  <c r="H1942" i="24"/>
  <c r="L1941" i="24"/>
  <c r="N1940" i="24"/>
  <c r="P1939" i="24"/>
  <c r="R1938" i="24"/>
  <c r="T1937" i="24"/>
  <c r="B1937" i="24"/>
  <c r="D1936" i="24"/>
  <c r="F1935" i="24"/>
  <c r="H1934" i="24"/>
  <c r="L1933" i="24"/>
  <c r="N1932" i="24"/>
  <c r="P1931" i="24"/>
  <c r="R1930" i="24"/>
  <c r="T1929" i="24"/>
  <c r="B1929" i="24"/>
  <c r="D1928" i="24"/>
  <c r="F1927" i="24"/>
  <c r="H1926" i="24"/>
  <c r="L1925" i="24"/>
  <c r="N1924" i="24"/>
  <c r="P1923" i="24"/>
  <c r="R1922" i="24"/>
  <c r="T1921" i="24"/>
  <c r="B1921" i="24"/>
  <c r="D1920" i="24"/>
  <c r="F1919" i="24"/>
  <c r="H1918" i="24"/>
  <c r="L1917" i="24"/>
  <c r="N1916" i="24"/>
  <c r="P1915" i="24"/>
  <c r="R1914" i="24"/>
  <c r="T1913" i="24"/>
  <c r="B1913" i="24"/>
  <c r="D1912" i="24"/>
  <c r="F1911" i="24"/>
  <c r="H1910" i="24"/>
  <c r="L1909" i="24"/>
  <c r="N1908" i="24"/>
  <c r="P1907" i="24"/>
  <c r="R1906" i="24"/>
  <c r="T1905" i="24"/>
  <c r="B1905" i="24"/>
  <c r="D1904" i="24"/>
  <c r="F1903" i="24"/>
  <c r="H1902" i="24"/>
  <c r="L1901" i="24"/>
  <c r="N1900" i="24"/>
  <c r="P1899" i="24"/>
  <c r="R1898" i="24"/>
  <c r="T1897" i="24"/>
  <c r="B1897" i="24"/>
  <c r="D1896" i="24"/>
  <c r="F1895" i="24"/>
  <c r="H1894" i="24"/>
  <c r="L1893" i="24"/>
  <c r="N1892" i="24"/>
  <c r="P1891" i="24"/>
  <c r="R1890" i="24"/>
  <c r="T1889" i="24"/>
  <c r="B1889" i="24"/>
  <c r="D1888" i="24"/>
  <c r="F1887" i="24"/>
  <c r="H1886" i="24"/>
  <c r="L1885" i="24"/>
  <c r="N1884" i="24"/>
  <c r="P1883" i="24"/>
  <c r="R1882" i="24"/>
  <c r="T1881" i="24"/>
  <c r="B1881" i="24"/>
  <c r="D1880" i="24"/>
  <c r="F1879" i="24"/>
  <c r="H1878" i="24"/>
  <c r="L1877" i="24"/>
  <c r="N1876" i="24"/>
  <c r="P1875" i="24"/>
  <c r="R1874" i="24"/>
  <c r="T1873" i="24"/>
  <c r="B1873" i="24"/>
  <c r="D1872" i="24"/>
  <c r="F1871" i="24"/>
  <c r="H1870" i="24"/>
  <c r="L1869" i="24"/>
  <c r="N1868" i="24"/>
  <c r="P1867" i="24"/>
  <c r="R1866" i="24"/>
  <c r="T1865" i="24"/>
  <c r="B1865" i="24"/>
  <c r="D1864" i="24"/>
  <c r="F1863" i="24"/>
  <c r="H1862" i="24"/>
  <c r="L1861" i="24"/>
  <c r="N1860" i="24"/>
  <c r="P1859" i="24"/>
  <c r="R1858" i="24"/>
  <c r="T1857" i="24"/>
  <c r="B1857" i="24"/>
  <c r="D1856" i="24"/>
  <c r="F1855" i="24"/>
  <c r="H1854" i="24"/>
  <c r="L1853" i="24"/>
  <c r="N1852" i="24"/>
  <c r="P1851" i="24"/>
  <c r="R1850" i="24"/>
  <c r="T1849" i="24"/>
  <c r="B1849" i="24"/>
  <c r="D1848" i="24"/>
  <c r="F1847" i="24"/>
  <c r="H1846" i="24"/>
  <c r="L1845" i="24"/>
  <c r="N1844" i="24"/>
  <c r="P1843" i="24"/>
  <c r="R1842" i="24"/>
  <c r="T1841" i="24"/>
  <c r="B1841" i="24"/>
  <c r="D1840" i="24"/>
  <c r="F1839" i="24"/>
  <c r="H1838" i="24"/>
  <c r="L1837" i="24"/>
  <c r="N1836" i="24"/>
  <c r="P1835" i="24"/>
  <c r="R1834" i="24"/>
  <c r="T1833" i="24"/>
  <c r="B1833" i="24"/>
  <c r="D1832" i="24"/>
  <c r="F1831" i="24"/>
  <c r="H1830" i="24"/>
  <c r="L1829" i="24"/>
  <c r="N1828" i="24"/>
  <c r="P1827" i="24"/>
  <c r="R1826" i="24"/>
  <c r="T1825" i="24"/>
  <c r="B1825" i="24"/>
  <c r="D1824" i="24"/>
  <c r="F1823" i="24"/>
  <c r="H1822" i="24"/>
  <c r="L1821" i="24"/>
  <c r="N1820" i="24"/>
  <c r="P1819" i="24"/>
  <c r="R1818" i="24"/>
  <c r="T1817" i="24"/>
  <c r="B1817" i="24"/>
  <c r="D1816" i="24"/>
  <c r="F1815" i="24"/>
  <c r="H1814" i="24"/>
  <c r="Q1813" i="24"/>
  <c r="G1813" i="24"/>
  <c r="S1812" i="24"/>
  <c r="K1812" i="24"/>
  <c r="A1812" i="24"/>
  <c r="M1811" i="24"/>
  <c r="C1811" i="24"/>
  <c r="O1810" i="24"/>
  <c r="E1810" i="24"/>
  <c r="Q1809" i="24"/>
  <c r="G1809" i="24"/>
  <c r="S1808" i="24"/>
  <c r="K1808" i="24"/>
  <c r="A1808" i="24"/>
  <c r="M1807" i="24"/>
  <c r="C1807" i="24"/>
  <c r="O1806" i="24"/>
  <c r="E1806" i="24"/>
  <c r="Q1805" i="24"/>
  <c r="G1805" i="24"/>
  <c r="S1804" i="24"/>
  <c r="K1804" i="24"/>
  <c r="A1804" i="24"/>
  <c r="M1803" i="24"/>
  <c r="C1803" i="24"/>
  <c r="O1802" i="24"/>
  <c r="E1802" i="24"/>
  <c r="Q1801" i="24"/>
  <c r="G1801" i="24"/>
  <c r="S1800" i="24"/>
  <c r="K1800" i="24"/>
  <c r="A1800" i="24"/>
  <c r="M1799" i="24"/>
  <c r="C1799" i="24"/>
  <c r="O1798" i="24"/>
  <c r="E1798" i="24"/>
  <c r="Q1797" i="24"/>
  <c r="G1797" i="24"/>
  <c r="S1796" i="24"/>
  <c r="K1796" i="24"/>
  <c r="A1796" i="24"/>
  <c r="M1795" i="24"/>
  <c r="C1795" i="24"/>
  <c r="O1794" i="24"/>
  <c r="E1794" i="24"/>
  <c r="Q1793" i="24"/>
  <c r="G1793" i="24"/>
  <c r="S1792" i="24"/>
  <c r="K1792" i="24"/>
  <c r="A1792" i="24"/>
  <c r="M1791" i="24"/>
  <c r="C1791" i="24"/>
  <c r="O1790" i="24"/>
  <c r="E1790" i="24"/>
  <c r="Q1789" i="24"/>
  <c r="G1789" i="24"/>
  <c r="S1788" i="24"/>
  <c r="K1788" i="24"/>
  <c r="A1788" i="24"/>
  <c r="M1787" i="24"/>
  <c r="C1787" i="24"/>
  <c r="O1786" i="24"/>
  <c r="E1786" i="24"/>
  <c r="Q1785" i="24"/>
  <c r="G1785" i="24"/>
  <c r="S1784" i="24"/>
  <c r="K1784" i="24"/>
  <c r="A1784" i="24"/>
  <c r="M1783" i="24"/>
  <c r="C1783" i="24"/>
  <c r="O1782" i="24"/>
  <c r="E1782" i="24"/>
  <c r="Q1781" i="24"/>
  <c r="G1781" i="24"/>
  <c r="S1780" i="24"/>
  <c r="K1780" i="24"/>
  <c r="A1780" i="24"/>
  <c r="M1779" i="24"/>
  <c r="C1779" i="24"/>
  <c r="O1778" i="24"/>
  <c r="E1778" i="24"/>
  <c r="Q1777" i="24"/>
  <c r="H1777" i="24"/>
  <c r="C1777" i="24"/>
  <c r="R1776" i="24"/>
  <c r="N1776" i="24"/>
  <c r="H1776" i="24"/>
  <c r="D1776" i="24"/>
  <c r="T1775" i="24"/>
  <c r="P1775" i="24"/>
  <c r="L1775" i="24"/>
  <c r="F1775" i="24"/>
  <c r="B1775" i="24"/>
  <c r="R1774" i="24"/>
  <c r="N1774" i="24"/>
  <c r="H1774" i="24"/>
  <c r="D1774" i="24"/>
  <c r="T1773" i="24"/>
  <c r="P1773" i="24"/>
  <c r="L1773" i="24"/>
  <c r="F1773" i="24"/>
  <c r="B1773" i="24"/>
  <c r="R1772" i="24"/>
  <c r="N1772" i="24"/>
  <c r="H1772" i="24"/>
  <c r="D1772" i="24"/>
  <c r="T1771" i="24"/>
  <c r="P1771" i="24"/>
  <c r="L1771" i="24"/>
  <c r="F1771" i="24"/>
  <c r="B1771" i="24"/>
  <c r="R1770" i="24"/>
  <c r="N1770" i="24"/>
  <c r="H1770" i="24"/>
  <c r="D1770" i="24"/>
  <c r="T1769" i="24"/>
  <c r="P1769" i="24"/>
  <c r="L1769" i="24"/>
  <c r="F1769" i="24"/>
  <c r="B1769" i="24"/>
  <c r="R1768" i="24"/>
  <c r="N1768" i="24"/>
  <c r="H1768" i="24"/>
  <c r="D1768" i="24"/>
  <c r="T1767" i="24"/>
  <c r="P1767" i="24"/>
  <c r="L1767" i="24"/>
  <c r="F1767" i="24"/>
  <c r="B1767" i="24"/>
  <c r="R1766" i="24"/>
  <c r="N1766" i="24"/>
  <c r="H1766" i="24"/>
  <c r="D1766" i="24"/>
  <c r="T1765" i="24"/>
  <c r="P1765" i="24"/>
  <c r="L1765" i="24"/>
  <c r="F1765" i="24"/>
  <c r="B1765" i="24"/>
  <c r="R1764" i="24"/>
  <c r="N1764" i="24"/>
  <c r="H1764" i="24"/>
  <c r="D1764" i="24"/>
  <c r="T1763" i="24"/>
  <c r="P1763" i="24"/>
  <c r="L1763" i="24"/>
  <c r="F1763" i="24"/>
  <c r="B1763" i="24"/>
  <c r="R1762" i="24"/>
  <c r="N1762" i="24"/>
  <c r="H1762" i="24"/>
  <c r="D1762" i="24"/>
  <c r="T1761" i="24"/>
  <c r="P1761" i="24"/>
  <c r="L1761" i="24"/>
  <c r="F1761" i="24"/>
  <c r="B1761" i="24"/>
  <c r="R1760" i="24"/>
  <c r="N1760" i="24"/>
  <c r="H1760" i="24"/>
  <c r="D1760" i="24"/>
  <c r="T1759" i="24"/>
  <c r="P1759" i="24"/>
  <c r="L1759" i="24"/>
  <c r="F1759" i="24"/>
  <c r="B1759" i="24"/>
  <c r="R1758" i="24"/>
  <c r="N1758" i="24"/>
  <c r="H1758" i="24"/>
  <c r="D1758" i="24"/>
  <c r="T1757" i="24"/>
  <c r="P1757" i="24"/>
  <c r="L1757" i="24"/>
  <c r="F1757" i="24"/>
  <c r="B1757" i="24"/>
  <c r="R1756" i="24"/>
  <c r="N1756" i="24"/>
  <c r="H1756" i="24"/>
  <c r="D1756" i="24"/>
  <c r="T1755" i="24"/>
  <c r="P1755" i="24"/>
  <c r="L1755" i="24"/>
  <c r="F1755" i="24"/>
  <c r="B1755" i="24"/>
  <c r="R1754" i="24"/>
  <c r="N1754" i="24"/>
  <c r="H1754" i="24"/>
  <c r="D1754" i="24"/>
  <c r="T1753" i="24"/>
  <c r="P1753" i="24"/>
  <c r="L1753" i="24"/>
  <c r="F1753" i="24"/>
  <c r="B1753" i="24"/>
  <c r="R1752" i="24"/>
  <c r="N1752" i="24"/>
  <c r="H1752" i="24"/>
  <c r="D1752" i="24"/>
  <c r="T1751" i="24"/>
  <c r="P1751" i="24"/>
  <c r="L1751" i="24"/>
  <c r="F1751" i="24"/>
  <c r="B1751" i="24"/>
  <c r="R1750" i="24"/>
  <c r="N1750" i="24"/>
  <c r="H1750" i="24"/>
  <c r="D1750" i="24"/>
  <c r="T1749" i="24"/>
  <c r="P1749" i="24"/>
  <c r="L1749" i="24"/>
  <c r="F1749" i="24"/>
  <c r="B1749" i="24"/>
  <c r="R1748" i="24"/>
  <c r="N1748" i="24"/>
  <c r="H1748" i="24"/>
  <c r="D1748" i="24"/>
  <c r="T1747" i="24"/>
  <c r="P1747" i="24"/>
  <c r="L1747" i="24"/>
  <c r="F1747" i="24"/>
  <c r="B1747" i="24"/>
  <c r="R1746" i="24"/>
  <c r="N1746" i="24"/>
  <c r="H1746" i="24"/>
  <c r="D1746" i="24"/>
  <c r="T1745" i="24"/>
  <c r="P1745" i="24"/>
  <c r="L1745" i="24"/>
  <c r="F1745" i="24"/>
  <c r="B1745" i="24"/>
  <c r="R1744" i="24"/>
  <c r="N1744" i="24"/>
  <c r="H1744" i="24"/>
  <c r="D1744" i="24"/>
  <c r="T1743" i="24"/>
  <c r="P1743" i="24"/>
  <c r="L1743" i="24"/>
  <c r="F1743" i="24"/>
  <c r="B1743" i="24"/>
  <c r="R1742" i="24"/>
  <c r="N1742" i="24"/>
  <c r="H1742" i="24"/>
  <c r="D1742" i="24"/>
  <c r="T1741" i="24"/>
  <c r="P1741" i="24"/>
  <c r="L1741" i="24"/>
  <c r="F1741" i="24"/>
  <c r="B1741" i="24"/>
  <c r="R1740" i="24"/>
  <c r="N1740" i="24"/>
  <c r="H1740" i="24"/>
  <c r="D1740" i="24"/>
  <c r="T1739" i="24"/>
  <c r="P1739" i="24"/>
  <c r="L1739" i="24"/>
  <c r="F1739" i="24"/>
  <c r="B1739" i="24"/>
  <c r="R1738" i="24"/>
  <c r="N1738" i="24"/>
  <c r="H1738" i="24"/>
  <c r="D1738" i="24"/>
  <c r="T1737" i="24"/>
  <c r="P1737" i="24"/>
  <c r="L1737" i="24"/>
  <c r="F1737" i="24"/>
  <c r="B1737" i="24"/>
  <c r="R1736" i="24"/>
  <c r="N1736" i="24"/>
  <c r="H1736" i="24"/>
  <c r="D1736" i="24"/>
  <c r="T1735" i="24"/>
  <c r="P1735" i="24"/>
  <c r="L1735" i="24"/>
  <c r="F1735" i="24"/>
  <c r="B1735" i="24"/>
  <c r="R1734" i="24"/>
  <c r="N1734" i="24"/>
  <c r="H1734" i="24"/>
  <c r="D1734" i="24"/>
  <c r="T1733" i="24"/>
  <c r="P1733" i="24"/>
  <c r="L1733" i="24"/>
  <c r="F1733" i="24"/>
  <c r="B1733" i="24"/>
  <c r="R1732" i="24"/>
  <c r="N1732" i="24"/>
  <c r="H1732" i="24"/>
  <c r="D1732" i="24"/>
  <c r="T1731" i="24"/>
  <c r="P1731" i="24"/>
  <c r="L1731" i="24"/>
  <c r="F1731" i="24"/>
  <c r="B1731" i="24"/>
  <c r="R1730" i="24"/>
  <c r="N1730" i="24"/>
  <c r="H1730" i="24"/>
  <c r="D1730" i="24"/>
  <c r="T1729" i="24"/>
  <c r="P1729" i="24"/>
  <c r="L1729" i="24"/>
  <c r="F1729" i="24"/>
  <c r="B1729" i="24"/>
  <c r="R1728" i="24"/>
  <c r="N1728" i="24"/>
  <c r="H1728" i="24"/>
  <c r="D1728" i="24"/>
  <c r="T1727" i="24"/>
  <c r="P1727" i="24"/>
  <c r="L1727" i="24"/>
  <c r="F1727" i="24"/>
  <c r="B1727" i="24"/>
  <c r="R1726" i="24"/>
  <c r="N1726" i="24"/>
  <c r="H1726" i="24"/>
  <c r="D1726" i="24"/>
  <c r="T1725" i="24"/>
  <c r="P1725" i="24"/>
  <c r="L1725" i="24"/>
  <c r="F1725" i="24"/>
  <c r="B1725" i="24"/>
  <c r="R1724" i="24"/>
  <c r="N1724" i="24"/>
  <c r="H1724" i="24"/>
  <c r="D1724" i="24"/>
  <c r="T1723" i="24"/>
  <c r="P1723" i="24"/>
  <c r="L1723" i="24"/>
  <c r="F1723" i="24"/>
  <c r="B1723" i="24"/>
  <c r="R1722" i="24"/>
  <c r="N1722" i="24"/>
  <c r="H1722" i="24"/>
  <c r="D1722" i="24"/>
  <c r="T1721" i="24"/>
  <c r="P1721" i="24"/>
  <c r="L1721" i="24"/>
  <c r="F1721" i="24"/>
  <c r="B1721" i="24"/>
  <c r="R1720" i="24"/>
  <c r="N1720" i="24"/>
  <c r="H1720" i="24"/>
  <c r="D1720" i="24"/>
  <c r="T1719" i="24"/>
  <c r="P1719" i="24"/>
  <c r="L1719" i="24"/>
  <c r="F1719" i="24"/>
  <c r="B1719" i="24"/>
  <c r="R1718" i="24"/>
  <c r="N1718" i="24"/>
  <c r="H1718" i="24"/>
  <c r="D1718" i="24"/>
  <c r="T1717" i="24"/>
  <c r="P1717" i="24"/>
  <c r="L1717" i="24"/>
  <c r="F1717" i="24"/>
  <c r="B1717" i="24"/>
  <c r="R1716" i="24"/>
  <c r="N1716" i="24"/>
  <c r="H1716" i="24"/>
  <c r="D1716" i="24"/>
  <c r="T1715" i="24"/>
  <c r="P1715" i="24"/>
  <c r="L1715" i="24"/>
  <c r="F1715" i="24"/>
  <c r="B1715" i="24"/>
  <c r="R1714" i="24"/>
  <c r="N1714" i="24"/>
  <c r="H1714" i="24"/>
  <c r="D1714" i="24"/>
  <c r="T1713" i="24"/>
  <c r="P1713" i="24"/>
  <c r="L1713" i="24"/>
  <c r="F1713" i="24"/>
  <c r="B1713" i="24"/>
  <c r="R1712" i="24"/>
  <c r="N1712" i="24"/>
  <c r="H1712" i="24"/>
  <c r="D1712" i="24"/>
  <c r="T1711" i="24"/>
  <c r="P1711" i="24"/>
  <c r="L1711" i="24"/>
  <c r="F1711" i="24"/>
  <c r="B1711" i="24"/>
  <c r="R1710" i="24"/>
  <c r="N1710" i="24"/>
  <c r="H1710" i="24"/>
  <c r="D1710" i="24"/>
  <c r="T1709" i="24"/>
  <c r="P1709" i="24"/>
  <c r="L1709" i="24"/>
  <c r="F1709" i="24"/>
  <c r="B1709" i="24"/>
  <c r="R1708" i="24"/>
  <c r="N1708" i="24"/>
  <c r="H1708" i="24"/>
  <c r="D1708" i="24"/>
  <c r="T1707" i="24"/>
  <c r="P1707" i="24"/>
  <c r="L1707" i="24"/>
  <c r="F1707" i="24"/>
  <c r="B1707" i="24"/>
  <c r="R1706" i="24"/>
  <c r="N1706" i="24"/>
  <c r="H1706" i="24"/>
  <c r="D1706" i="24"/>
  <c r="T1705" i="24"/>
  <c r="P1705" i="24"/>
  <c r="L1705" i="24"/>
  <c r="F1705" i="24"/>
  <c r="B1705" i="24"/>
  <c r="R1704" i="24"/>
  <c r="N1704" i="24"/>
  <c r="H1704" i="24"/>
  <c r="D1704" i="24"/>
  <c r="T1703" i="24"/>
  <c r="P1703" i="24"/>
  <c r="L1703" i="24"/>
  <c r="F1703" i="24"/>
  <c r="B1703" i="24"/>
  <c r="R1702" i="24"/>
  <c r="N1702" i="24"/>
  <c r="H1702" i="24"/>
  <c r="D1702" i="24"/>
  <c r="T1701" i="24"/>
  <c r="P1701" i="24"/>
  <c r="L1701" i="24"/>
  <c r="F1701" i="24"/>
  <c r="B1701" i="24"/>
  <c r="R1700" i="24"/>
  <c r="N1700" i="24"/>
  <c r="H1700" i="24"/>
  <c r="D1700" i="24"/>
  <c r="T1699" i="24"/>
  <c r="P1699" i="24"/>
  <c r="L1699" i="24"/>
  <c r="F1699" i="24"/>
  <c r="B1699" i="24"/>
  <c r="R1698" i="24"/>
  <c r="N1698" i="24"/>
  <c r="H1698" i="24"/>
  <c r="D1698" i="24"/>
  <c r="T1697" i="24"/>
  <c r="P1697" i="24"/>
  <c r="L1697" i="24"/>
  <c r="F1697" i="24"/>
  <c r="B1697" i="24"/>
  <c r="R1696" i="24"/>
  <c r="N1696" i="24"/>
  <c r="H1696" i="24"/>
  <c r="D1696" i="24"/>
  <c r="T1695" i="24"/>
  <c r="P1695" i="24"/>
  <c r="L1695" i="24"/>
  <c r="F1695" i="24"/>
  <c r="B1695" i="24"/>
  <c r="R1694" i="24"/>
  <c r="N1694" i="24"/>
  <c r="H1694" i="24"/>
  <c r="D1694" i="24"/>
  <c r="T1693" i="24"/>
  <c r="P1693" i="24"/>
  <c r="L1693" i="24"/>
  <c r="F1693" i="24"/>
  <c r="B1693" i="24"/>
  <c r="R1692" i="24"/>
  <c r="N1692" i="24"/>
  <c r="H1692" i="24"/>
  <c r="D1692" i="24"/>
  <c r="T1691" i="24"/>
  <c r="P1691" i="24"/>
  <c r="L1691" i="24"/>
  <c r="F1691" i="24"/>
  <c r="B1691" i="24"/>
  <c r="R1690" i="24"/>
  <c r="N1690" i="24"/>
  <c r="H1690" i="24"/>
  <c r="D1690" i="24"/>
  <c r="T1689" i="24"/>
  <c r="P1689" i="24"/>
  <c r="L1689" i="24"/>
  <c r="F1689" i="24"/>
  <c r="B1689" i="24"/>
  <c r="R1688" i="24"/>
  <c r="N1688" i="24"/>
  <c r="H1688" i="24"/>
  <c r="D1688" i="24"/>
  <c r="T1687" i="24"/>
  <c r="P1687" i="24"/>
  <c r="L1687" i="24"/>
  <c r="F1687" i="24"/>
  <c r="B1687" i="24"/>
  <c r="R1686" i="24"/>
  <c r="N1686" i="24"/>
  <c r="H1686" i="24"/>
  <c r="D1686" i="24"/>
  <c r="T1685" i="24"/>
  <c r="P1685" i="24"/>
  <c r="L1685" i="24"/>
  <c r="F1685" i="24"/>
  <c r="B1685" i="24"/>
  <c r="R1684" i="24"/>
  <c r="N1684" i="24"/>
  <c r="H1684" i="24"/>
  <c r="D1684" i="24"/>
  <c r="T1683" i="24"/>
  <c r="P1683" i="24"/>
  <c r="L1683" i="24"/>
  <c r="F1683" i="24"/>
  <c r="B1683" i="24"/>
  <c r="R1682" i="24"/>
  <c r="N1682" i="24"/>
  <c r="H1682" i="24"/>
  <c r="D1682" i="24"/>
  <c r="T1681" i="24"/>
  <c r="P1681" i="24"/>
  <c r="L1681" i="24"/>
  <c r="F1681" i="24"/>
  <c r="B1681" i="24"/>
  <c r="R1680" i="24"/>
  <c r="N1680" i="24"/>
  <c r="H1680" i="24"/>
  <c r="D1680" i="24"/>
  <c r="T1679" i="24"/>
  <c r="P1679" i="24"/>
  <c r="L1679" i="24"/>
  <c r="F1679" i="24"/>
  <c r="B1679" i="24"/>
  <c r="R1678" i="24"/>
  <c r="N1678" i="24"/>
  <c r="H1678" i="24"/>
  <c r="D1678" i="24"/>
  <c r="T1677" i="24"/>
  <c r="P1677" i="24"/>
  <c r="L1677" i="24"/>
  <c r="F1677" i="24"/>
  <c r="B1677" i="24"/>
  <c r="R1676" i="24"/>
  <c r="N1676" i="24"/>
  <c r="H1676" i="24"/>
  <c r="D1676" i="24"/>
  <c r="T1675" i="24"/>
  <c r="P1675" i="24"/>
  <c r="L1675" i="24"/>
  <c r="F1675" i="24"/>
  <c r="B1675" i="24"/>
  <c r="R1674" i="24"/>
  <c r="N1674" i="24"/>
  <c r="H1674" i="24"/>
  <c r="D1674" i="24"/>
  <c r="T1673" i="24"/>
  <c r="P1673" i="24"/>
  <c r="L1673" i="24"/>
  <c r="F1673" i="24"/>
  <c r="B1673" i="24"/>
  <c r="R1672" i="24"/>
  <c r="N1672" i="24"/>
  <c r="H1672" i="24"/>
  <c r="D1672" i="24"/>
  <c r="T1671" i="24"/>
  <c r="P1671" i="24"/>
  <c r="L1671" i="24"/>
  <c r="F1671" i="24"/>
  <c r="B1671" i="24"/>
  <c r="R1670" i="24"/>
  <c r="N1670" i="24"/>
  <c r="H1670" i="24"/>
  <c r="D1670" i="24"/>
  <c r="T1669" i="24"/>
  <c r="P1669" i="24"/>
  <c r="L1669" i="24"/>
  <c r="F1669" i="24"/>
  <c r="B1669" i="24"/>
  <c r="R1668" i="24"/>
  <c r="N1668" i="24"/>
  <c r="H1668" i="24"/>
  <c r="D1668" i="24"/>
  <c r="T1667" i="24"/>
  <c r="P1667" i="24"/>
  <c r="L1667" i="24"/>
  <c r="F1667" i="24"/>
  <c r="B1667" i="24"/>
  <c r="R1666" i="24"/>
  <c r="N1666" i="24"/>
  <c r="H1666" i="24"/>
  <c r="D1666" i="24"/>
  <c r="T1665" i="24"/>
  <c r="P1665" i="24"/>
  <c r="L1665" i="24"/>
  <c r="F1665" i="24"/>
  <c r="B1665" i="24"/>
  <c r="R1664" i="24"/>
  <c r="N1664" i="24"/>
  <c r="H1664" i="24"/>
  <c r="D1664" i="24"/>
  <c r="T1663" i="24"/>
  <c r="P1663" i="24"/>
  <c r="L1663" i="24"/>
  <c r="F1663" i="24"/>
  <c r="B1663" i="24"/>
  <c r="R1662" i="24"/>
  <c r="N1662" i="24"/>
  <c r="H1662" i="24"/>
  <c r="D1662" i="24"/>
  <c r="T1661" i="24"/>
  <c r="P1661" i="24"/>
  <c r="L1661" i="24"/>
  <c r="F1661" i="24"/>
  <c r="B1661" i="24"/>
  <c r="R1660" i="24"/>
  <c r="N1660" i="24"/>
  <c r="H1660" i="24"/>
  <c r="D1660" i="24"/>
  <c r="T1659" i="24"/>
  <c r="P1659" i="24"/>
  <c r="L1659" i="24"/>
  <c r="F1659" i="24"/>
  <c r="B1659" i="24"/>
  <c r="R1658" i="24"/>
  <c r="N1658" i="24"/>
  <c r="H1658" i="24"/>
  <c r="D1658" i="24"/>
  <c r="T1657" i="24"/>
  <c r="P1657" i="24"/>
  <c r="L1657" i="24"/>
  <c r="F1657" i="24"/>
  <c r="B1657" i="24"/>
  <c r="R1656" i="24"/>
  <c r="N1656" i="24"/>
  <c r="H1656" i="24"/>
  <c r="D1656" i="24"/>
  <c r="T1655" i="24"/>
  <c r="P1655" i="24"/>
  <c r="L1655" i="24"/>
  <c r="F1655" i="24"/>
  <c r="B1655" i="24"/>
  <c r="R1654" i="24"/>
  <c r="N1654" i="24"/>
  <c r="H1654" i="24"/>
  <c r="D1654" i="24"/>
  <c r="T1653" i="24"/>
  <c r="P1653" i="24"/>
  <c r="L1653" i="24"/>
  <c r="F1653" i="24"/>
  <c r="B1653" i="24"/>
  <c r="R1652" i="24"/>
  <c r="N1652" i="24"/>
  <c r="H1652" i="24"/>
  <c r="D1652" i="24"/>
  <c r="T1651" i="24"/>
  <c r="P1651" i="24"/>
  <c r="L1651" i="24"/>
  <c r="F1651" i="24"/>
  <c r="B1651" i="24"/>
  <c r="R1650" i="24"/>
  <c r="N1650" i="24"/>
  <c r="H1650" i="24"/>
  <c r="D1650" i="24"/>
  <c r="T1649" i="24"/>
  <c r="P1649" i="24"/>
  <c r="L1649" i="24"/>
  <c r="F1649" i="24"/>
  <c r="B1649" i="24"/>
  <c r="R1648" i="24"/>
  <c r="N1648" i="24"/>
  <c r="H1648" i="24"/>
  <c r="D1648" i="24"/>
  <c r="T1647" i="24"/>
  <c r="P1647" i="24"/>
  <c r="L1647" i="24"/>
  <c r="F1647" i="24"/>
  <c r="B1647" i="24"/>
  <c r="R1646" i="24"/>
  <c r="N1646" i="24"/>
  <c r="H1646" i="24"/>
  <c r="D1646" i="24"/>
  <c r="T1645" i="24"/>
  <c r="P1645" i="24"/>
  <c r="L1645" i="24"/>
  <c r="F1645" i="24"/>
  <c r="B1645" i="24"/>
  <c r="R1644" i="24"/>
  <c r="N1644" i="24"/>
  <c r="H1644" i="24"/>
  <c r="D1644" i="24"/>
  <c r="T1643" i="24"/>
  <c r="P1643" i="24"/>
  <c r="L1643" i="24"/>
  <c r="F1643" i="24"/>
  <c r="B1643" i="24"/>
  <c r="R1642" i="24"/>
  <c r="N1642" i="24"/>
  <c r="H1642" i="24"/>
  <c r="D1642" i="24"/>
  <c r="T1641" i="24"/>
  <c r="P1641" i="24"/>
  <c r="L1641" i="24"/>
  <c r="F1641" i="24"/>
  <c r="B1641" i="24"/>
  <c r="R1640" i="24"/>
  <c r="N1640" i="24"/>
  <c r="H1640" i="24"/>
  <c r="D1640" i="24"/>
  <c r="T1639" i="24"/>
  <c r="P1639" i="24"/>
  <c r="L1639" i="24"/>
  <c r="F1639" i="24"/>
  <c r="B1639" i="24"/>
  <c r="R1638" i="24"/>
  <c r="N1638" i="24"/>
  <c r="H1638" i="24"/>
  <c r="D1638" i="24"/>
  <c r="T1637" i="24"/>
  <c r="P1637" i="24"/>
  <c r="L1637" i="24"/>
  <c r="F1637" i="24"/>
  <c r="B1637" i="24"/>
  <c r="R1636" i="24"/>
  <c r="N1636" i="24"/>
  <c r="H1636" i="24"/>
  <c r="D1636" i="24"/>
  <c r="T1635" i="24"/>
  <c r="P1635" i="24"/>
  <c r="L1635" i="24"/>
  <c r="F1635" i="24"/>
  <c r="B1635" i="24"/>
  <c r="R1634" i="24"/>
  <c r="N1634" i="24"/>
  <c r="H1634" i="24"/>
  <c r="D1634" i="24"/>
  <c r="T1633" i="24"/>
  <c r="P1633" i="24"/>
  <c r="L1633" i="24"/>
  <c r="F1633" i="24"/>
  <c r="B1633" i="24"/>
  <c r="R1632" i="24"/>
  <c r="N1632" i="24"/>
  <c r="H1632" i="24"/>
  <c r="D1632" i="24"/>
  <c r="T1631" i="24"/>
  <c r="P1631" i="24"/>
  <c r="L1631" i="24"/>
  <c r="F1631" i="24"/>
  <c r="B1631" i="24"/>
  <c r="R1630" i="24"/>
  <c r="N1630" i="24"/>
  <c r="H1630" i="24"/>
  <c r="D1630" i="24"/>
  <c r="T1629" i="24"/>
  <c r="P1629" i="24"/>
  <c r="L1629" i="24"/>
  <c r="F1629" i="24"/>
  <c r="B1629" i="24"/>
  <c r="R1628" i="24"/>
  <c r="N1628" i="24"/>
  <c r="H1628" i="24"/>
  <c r="D1628" i="24"/>
  <c r="T1627" i="24"/>
  <c r="P1627" i="24"/>
  <c r="L1627" i="24"/>
  <c r="F1627" i="24"/>
  <c r="B1627" i="24"/>
  <c r="R1626" i="24"/>
  <c r="N1626" i="24"/>
  <c r="H1626" i="24"/>
  <c r="D1626" i="24"/>
  <c r="T1625" i="24"/>
  <c r="P1625" i="24"/>
  <c r="L1625" i="24"/>
  <c r="F1625" i="24"/>
  <c r="B1625" i="24"/>
  <c r="R1624" i="24"/>
  <c r="N1624" i="24"/>
  <c r="H1624" i="24"/>
  <c r="D1624" i="24"/>
  <c r="T1623" i="24"/>
  <c r="P1623" i="24"/>
  <c r="L1623" i="24"/>
  <c r="F1623" i="24"/>
  <c r="B1623" i="24"/>
  <c r="R1622" i="24"/>
  <c r="N1622" i="24"/>
  <c r="H1622" i="24"/>
  <c r="D1622" i="24"/>
  <c r="T1621" i="24"/>
  <c r="P1621" i="24"/>
  <c r="L1621" i="24"/>
  <c r="F1621" i="24"/>
  <c r="B1621" i="24"/>
  <c r="R1620" i="24"/>
  <c r="N1620" i="24"/>
  <c r="H1620" i="24"/>
  <c r="D1620" i="24"/>
  <c r="T1619" i="24"/>
  <c r="P1619" i="24"/>
  <c r="L1619" i="24"/>
  <c r="F1619" i="24"/>
  <c r="B1619" i="24"/>
  <c r="R1618" i="24"/>
  <c r="N1618" i="24"/>
  <c r="H1618" i="24"/>
  <c r="D1618" i="24"/>
  <c r="T1617" i="24"/>
  <c r="P1617" i="24"/>
  <c r="L1617" i="24"/>
  <c r="F1617" i="24"/>
  <c r="B1617" i="24"/>
  <c r="R1616" i="24"/>
  <c r="N1616" i="24"/>
  <c r="H1616" i="24"/>
  <c r="D1616" i="24"/>
  <c r="T1615" i="24"/>
  <c r="P1615" i="24"/>
  <c r="L1615" i="24"/>
  <c r="F1615" i="24"/>
  <c r="B1615" i="24"/>
  <c r="R1614" i="24"/>
  <c r="N1614" i="24"/>
  <c r="H1614" i="24"/>
  <c r="D1614" i="24"/>
  <c r="T1613" i="24"/>
  <c r="P1613" i="24"/>
  <c r="L1613" i="24"/>
  <c r="F1613" i="24"/>
  <c r="B1613" i="24"/>
  <c r="R1612" i="24"/>
  <c r="N1612" i="24"/>
  <c r="H1612" i="24"/>
  <c r="D1612" i="24"/>
  <c r="T1611" i="24"/>
  <c r="P1611" i="24"/>
  <c r="L1611" i="24"/>
  <c r="F1611" i="24"/>
  <c r="B1611" i="24"/>
  <c r="R1610" i="24"/>
  <c r="N1610" i="24"/>
  <c r="H1610" i="24"/>
  <c r="D1610" i="24"/>
  <c r="T1609" i="24"/>
  <c r="P1609" i="24"/>
  <c r="L1609" i="24"/>
  <c r="F1609" i="24"/>
  <c r="B1609" i="24"/>
  <c r="R1608" i="24"/>
  <c r="N1608" i="24"/>
  <c r="H1608" i="24"/>
  <c r="D1608" i="24"/>
  <c r="T1607" i="24"/>
  <c r="P1607" i="24"/>
  <c r="L1607" i="24"/>
  <c r="F1607" i="24"/>
  <c r="B1607" i="24"/>
  <c r="R1606" i="24"/>
  <c r="N1606" i="24"/>
  <c r="H1606" i="24"/>
  <c r="D1606" i="24"/>
  <c r="T1605" i="24"/>
  <c r="P1605" i="24"/>
  <c r="L1605" i="24"/>
  <c r="F1605" i="24"/>
  <c r="B1605" i="24"/>
  <c r="R1604" i="24"/>
  <c r="N1604" i="24"/>
  <c r="H1604" i="24"/>
  <c r="D1604" i="24"/>
  <c r="T1603" i="24"/>
  <c r="P1603" i="24"/>
  <c r="L1603" i="24"/>
  <c r="F1603" i="24"/>
  <c r="B1603" i="24"/>
  <c r="R1602" i="24"/>
  <c r="N1602" i="24"/>
  <c r="H1602" i="24"/>
  <c r="D1602" i="24"/>
  <c r="T1601" i="24"/>
  <c r="P1601" i="24"/>
  <c r="L1601" i="24"/>
  <c r="F1601" i="24"/>
  <c r="B1601" i="24"/>
  <c r="R1600" i="24"/>
  <c r="N1600" i="24"/>
  <c r="H1600" i="24"/>
  <c r="D1600" i="24"/>
  <c r="T1599" i="24"/>
  <c r="P1599" i="24"/>
  <c r="L1599" i="24"/>
  <c r="F1599" i="24"/>
  <c r="B1599" i="24"/>
  <c r="R1598" i="24"/>
  <c r="N1598" i="24"/>
  <c r="H1598" i="24"/>
  <c r="D1598" i="24"/>
  <c r="T1597" i="24"/>
  <c r="P1597" i="24"/>
  <c r="L1597" i="24"/>
  <c r="F1597" i="24"/>
  <c r="B1597" i="24"/>
  <c r="R1596" i="24"/>
  <c r="N1596" i="24"/>
  <c r="H1596" i="24"/>
  <c r="D1596" i="24"/>
  <c r="T1595" i="24"/>
  <c r="P1595" i="24"/>
  <c r="L1595" i="24"/>
  <c r="F1595" i="24"/>
  <c r="B1595" i="24"/>
  <c r="R1594" i="24"/>
  <c r="N1594" i="24"/>
  <c r="H1594" i="24"/>
  <c r="D1594" i="24"/>
  <c r="T1593" i="24"/>
  <c r="P1593" i="24"/>
  <c r="L1593" i="24"/>
  <c r="F1593" i="24"/>
  <c r="B1593" i="24"/>
  <c r="R1592" i="24"/>
  <c r="N1592" i="24"/>
  <c r="H1592" i="24"/>
  <c r="D1592" i="24"/>
  <c r="T1591" i="24"/>
  <c r="P1591" i="24"/>
  <c r="L1591" i="24"/>
  <c r="F1591" i="24"/>
  <c r="B1591" i="24"/>
  <c r="R1590" i="24"/>
  <c r="N1590" i="24"/>
  <c r="H1590" i="24"/>
  <c r="D1590" i="24"/>
  <c r="T1589" i="24"/>
  <c r="P1589" i="24"/>
  <c r="L1589" i="24"/>
  <c r="F1589" i="24"/>
  <c r="B1589" i="24"/>
  <c r="R1588" i="24"/>
  <c r="N1588" i="24"/>
  <c r="H1588" i="24"/>
  <c r="D1588" i="24"/>
  <c r="T1587" i="24"/>
  <c r="P1587" i="24"/>
  <c r="L1587" i="24"/>
  <c r="F1587" i="24"/>
  <c r="B1587" i="24"/>
  <c r="R1586" i="24"/>
  <c r="N1586" i="24"/>
  <c r="H1586" i="24"/>
  <c r="D1586" i="24"/>
  <c r="T1585" i="24"/>
  <c r="P1585" i="24"/>
  <c r="L1585" i="24"/>
  <c r="F1585" i="24"/>
  <c r="B1585" i="24"/>
  <c r="R1584" i="24"/>
  <c r="N1584" i="24"/>
  <c r="H1584" i="24"/>
  <c r="D1584" i="24"/>
  <c r="T1583" i="24"/>
  <c r="P1583" i="24"/>
  <c r="L1583" i="24"/>
  <c r="F1583" i="24"/>
  <c r="B1583" i="24"/>
  <c r="R1582" i="24"/>
  <c r="N1582" i="24"/>
  <c r="H1582" i="24"/>
  <c r="D1582" i="24"/>
  <c r="T1581" i="24"/>
  <c r="P1581" i="24"/>
  <c r="L1581" i="24"/>
  <c r="F1581" i="24"/>
  <c r="B1581" i="24"/>
  <c r="R1580" i="24"/>
  <c r="N1580" i="24"/>
  <c r="H1580" i="24"/>
  <c r="D1580" i="24"/>
  <c r="T1579" i="24"/>
  <c r="P1579" i="24"/>
  <c r="L1579" i="24"/>
  <c r="F1579" i="24"/>
  <c r="B1579" i="24"/>
  <c r="R1578" i="24"/>
  <c r="N1578" i="24"/>
  <c r="H1578" i="24"/>
  <c r="D1578" i="24"/>
  <c r="T1577" i="24"/>
  <c r="P1577" i="24"/>
  <c r="L1577" i="24"/>
  <c r="F1577" i="24"/>
  <c r="B1577" i="24"/>
  <c r="R1576" i="24"/>
  <c r="N1576" i="24"/>
  <c r="H1576" i="24"/>
  <c r="D1576" i="24"/>
  <c r="T1575" i="24"/>
  <c r="P1575" i="24"/>
  <c r="L1575" i="24"/>
  <c r="F1575" i="24"/>
  <c r="B1575" i="24"/>
  <c r="R1574" i="24"/>
  <c r="N1574" i="24"/>
  <c r="H1574" i="24"/>
  <c r="D1574" i="24"/>
  <c r="T1573" i="24"/>
  <c r="P1573" i="24"/>
  <c r="L1573" i="24"/>
  <c r="F1573" i="24"/>
  <c r="B1573" i="24"/>
  <c r="R1572" i="24"/>
  <c r="N1572" i="24"/>
  <c r="H1572" i="24"/>
  <c r="D1572" i="24"/>
  <c r="T1571" i="24"/>
  <c r="P1571" i="24"/>
  <c r="L1571" i="24"/>
  <c r="F1571" i="24"/>
  <c r="B1571" i="24"/>
  <c r="R1570" i="24"/>
  <c r="N1570" i="24"/>
  <c r="H1570" i="24"/>
  <c r="D1570" i="24"/>
  <c r="T1569" i="24"/>
  <c r="P1569" i="24"/>
  <c r="L1569" i="24"/>
  <c r="F1569" i="24"/>
  <c r="B1569" i="24"/>
  <c r="R1568" i="24"/>
  <c r="N1568" i="24"/>
  <c r="H1568" i="24"/>
  <c r="D1568" i="24"/>
  <c r="T1567" i="24"/>
  <c r="P1567" i="24"/>
  <c r="L1567" i="24"/>
  <c r="F1567" i="24"/>
  <c r="B1567" i="24"/>
  <c r="R1566" i="24"/>
  <c r="N1566" i="24"/>
  <c r="H1566" i="24"/>
  <c r="D1566" i="24"/>
  <c r="T1565" i="24"/>
  <c r="P1565" i="24"/>
  <c r="L1565" i="24"/>
  <c r="F1565" i="24"/>
  <c r="B1565" i="24"/>
  <c r="R1564" i="24"/>
  <c r="N1564" i="24"/>
  <c r="H1564" i="24"/>
  <c r="D1564" i="24"/>
  <c r="T1563" i="24"/>
  <c r="P1563" i="24"/>
  <c r="L1563" i="24"/>
  <c r="F1563" i="24"/>
  <c r="B1563" i="24"/>
  <c r="R1562" i="24"/>
  <c r="N1562" i="24"/>
  <c r="H1562" i="24"/>
  <c r="D1562" i="24"/>
  <c r="T1561" i="24"/>
  <c r="P1561" i="24"/>
  <c r="L1561" i="24"/>
  <c r="F1561" i="24"/>
  <c r="B1561" i="24"/>
  <c r="R1560" i="24"/>
  <c r="N1560" i="24"/>
  <c r="H1560" i="24"/>
  <c r="D1560" i="24"/>
  <c r="T1559" i="24"/>
  <c r="P1559" i="24"/>
  <c r="L1559" i="24"/>
  <c r="F1559" i="24"/>
  <c r="B1559" i="24"/>
  <c r="R1558" i="24"/>
  <c r="N1558" i="24"/>
  <c r="H1558" i="24"/>
  <c r="D1558" i="24"/>
  <c r="T1557" i="24"/>
  <c r="P1557" i="24"/>
  <c r="L1557" i="24"/>
  <c r="F1557" i="24"/>
  <c r="B1557" i="24"/>
  <c r="R1556" i="24"/>
  <c r="N1556" i="24"/>
  <c r="H1556" i="24"/>
  <c r="D1556" i="24"/>
  <c r="T1555" i="24"/>
  <c r="P1555" i="24"/>
  <c r="L1555" i="24"/>
  <c r="F1555" i="24"/>
  <c r="B1555" i="24"/>
  <c r="R1554" i="24"/>
  <c r="N1554" i="24"/>
  <c r="H1554" i="24"/>
  <c r="D1554" i="24"/>
  <c r="T1553" i="24"/>
  <c r="P1553" i="24"/>
  <c r="L1553" i="24"/>
  <c r="F1553" i="24"/>
  <c r="B1553" i="24"/>
  <c r="R1552" i="24"/>
  <c r="N1552" i="24"/>
  <c r="H1552" i="24"/>
  <c r="D1552" i="24"/>
  <c r="T1551" i="24"/>
  <c r="P1551" i="24"/>
  <c r="L1551" i="24"/>
  <c r="F1551" i="24"/>
  <c r="B1551" i="24"/>
  <c r="R1550" i="24"/>
  <c r="N1550" i="24"/>
  <c r="H1550" i="24"/>
  <c r="D1550" i="24"/>
  <c r="T1549" i="24"/>
  <c r="P1549" i="24"/>
  <c r="L1549" i="24"/>
  <c r="F1549" i="24"/>
  <c r="B1549" i="24"/>
  <c r="R1548" i="24"/>
  <c r="N1548" i="24"/>
  <c r="H1548" i="24"/>
  <c r="D1548" i="24"/>
  <c r="T1547" i="24"/>
  <c r="P1547" i="24"/>
  <c r="L1547" i="24"/>
  <c r="F1547" i="24"/>
  <c r="B1547" i="24"/>
  <c r="R1546" i="24"/>
  <c r="N1546" i="24"/>
  <c r="H1546" i="24"/>
  <c r="D1546" i="24"/>
  <c r="T1545" i="24"/>
  <c r="P1545" i="24"/>
  <c r="L1545" i="24"/>
  <c r="F1545" i="24"/>
  <c r="B1545" i="24"/>
  <c r="R1544" i="24"/>
  <c r="N1544" i="24"/>
  <c r="H1544" i="24"/>
  <c r="D1544" i="24"/>
  <c r="T1543" i="24"/>
  <c r="P1543" i="24"/>
  <c r="L1543" i="24"/>
  <c r="F1543" i="24"/>
  <c r="B1543" i="24"/>
  <c r="R1542" i="24"/>
  <c r="N1542" i="24"/>
  <c r="H1542" i="24"/>
  <c r="D1542" i="24"/>
  <c r="T1541" i="24"/>
  <c r="P1541" i="24"/>
  <c r="L1541" i="24"/>
  <c r="F1541" i="24"/>
  <c r="B1541" i="24"/>
  <c r="R1540" i="24"/>
  <c r="N1540" i="24"/>
  <c r="H1540" i="24"/>
  <c r="D1540" i="24"/>
  <c r="T1539" i="24"/>
  <c r="P1539" i="24"/>
  <c r="L1539" i="24"/>
  <c r="F1539" i="24"/>
  <c r="B1539" i="24"/>
  <c r="R1538" i="24"/>
  <c r="N1538" i="24"/>
  <c r="H1538" i="24"/>
  <c r="D1538" i="24"/>
  <c r="T1537" i="24"/>
  <c r="P1537" i="24"/>
  <c r="L1537" i="24"/>
  <c r="F1537" i="24"/>
  <c r="B1537" i="24"/>
  <c r="R1536" i="24"/>
  <c r="N1536" i="24"/>
  <c r="H1536" i="24"/>
  <c r="D1536" i="24"/>
  <c r="T1535" i="24"/>
  <c r="P1535" i="24"/>
  <c r="L1535" i="24"/>
  <c r="F1535" i="24"/>
  <c r="B1535" i="24"/>
  <c r="R1534" i="24"/>
  <c r="N1534" i="24"/>
  <c r="H1534" i="24"/>
  <c r="D1534" i="24"/>
  <c r="T1533" i="24"/>
  <c r="P1533" i="24"/>
  <c r="L1533" i="24"/>
  <c r="F1533" i="24"/>
  <c r="B1533" i="24"/>
  <c r="R1532" i="24"/>
  <c r="N1532" i="24"/>
  <c r="H1532" i="24"/>
  <c r="D1532" i="24"/>
  <c r="T1531" i="24"/>
  <c r="P1531" i="24"/>
  <c r="L1531" i="24"/>
  <c r="F1531" i="24"/>
  <c r="B1531" i="24"/>
  <c r="R1530" i="24"/>
  <c r="N1530" i="24"/>
  <c r="H1530" i="24"/>
  <c r="D1530" i="24"/>
  <c r="T1529" i="24"/>
  <c r="P1529" i="24"/>
  <c r="L1529" i="24"/>
  <c r="F1529" i="24"/>
  <c r="B1529" i="24"/>
  <c r="R1528" i="24"/>
  <c r="N1528" i="24"/>
  <c r="H1528" i="24"/>
  <c r="D1528" i="24"/>
  <c r="T1527" i="24"/>
  <c r="P1527" i="24"/>
  <c r="L1527" i="24"/>
  <c r="F1527" i="24"/>
  <c r="B1527" i="24"/>
  <c r="R1526" i="24"/>
  <c r="N1526" i="24"/>
  <c r="H1526" i="24"/>
  <c r="D1526" i="24"/>
  <c r="T1525" i="24"/>
  <c r="P1525" i="24"/>
  <c r="L1525" i="24"/>
  <c r="F1525" i="24"/>
  <c r="B1525" i="24"/>
  <c r="R1524" i="24"/>
  <c r="N1524" i="24"/>
  <c r="H1524" i="24"/>
  <c r="D1524" i="24"/>
  <c r="T1523" i="24"/>
  <c r="P1523" i="24"/>
  <c r="L1523" i="24"/>
  <c r="F1523" i="24"/>
  <c r="B1523" i="24"/>
  <c r="R1522" i="24"/>
  <c r="N1522" i="24"/>
  <c r="H1522" i="24"/>
  <c r="D1522" i="24"/>
  <c r="T1521" i="24"/>
  <c r="P1521" i="24"/>
  <c r="L1521" i="24"/>
  <c r="F1521" i="24"/>
  <c r="B1521" i="24"/>
  <c r="R1520" i="24"/>
  <c r="N1520" i="24"/>
  <c r="H1520" i="24"/>
  <c r="D1520" i="24"/>
  <c r="T1519" i="24"/>
  <c r="P1519" i="24"/>
  <c r="L1519" i="24"/>
  <c r="F1519" i="24"/>
  <c r="B1519" i="24"/>
  <c r="R1518" i="24"/>
  <c r="N1518" i="24"/>
  <c r="H1518" i="24"/>
  <c r="D1518" i="24"/>
  <c r="T1517" i="24"/>
  <c r="P1517" i="24"/>
  <c r="L1517" i="24"/>
  <c r="F1517" i="24"/>
  <c r="B1517" i="24"/>
  <c r="R1516" i="24"/>
  <c r="N1516" i="24"/>
  <c r="H1516" i="24"/>
  <c r="D1516" i="24"/>
  <c r="T1515" i="24"/>
  <c r="P1515" i="24"/>
  <c r="L1515" i="24"/>
  <c r="F1515" i="24"/>
  <c r="B1515" i="24"/>
  <c r="R1514" i="24"/>
  <c r="N1514" i="24"/>
  <c r="H1514" i="24"/>
  <c r="D1514" i="24"/>
  <c r="T1513" i="24"/>
  <c r="P1513" i="24"/>
  <c r="L1513" i="24"/>
  <c r="F1513" i="24"/>
  <c r="B1513" i="24"/>
  <c r="R1512" i="24"/>
  <c r="N1512" i="24"/>
  <c r="H1512" i="24"/>
  <c r="D1512" i="24"/>
  <c r="T1511" i="24"/>
  <c r="P1511" i="24"/>
  <c r="L1511" i="24"/>
  <c r="F1511" i="24"/>
  <c r="B1511" i="24"/>
  <c r="R1510" i="24"/>
  <c r="N1510" i="24"/>
  <c r="H1510" i="24"/>
  <c r="D1510" i="24"/>
  <c r="T1509" i="24"/>
  <c r="P1509" i="24"/>
  <c r="L1509" i="24"/>
  <c r="F1509" i="24"/>
  <c r="B1509" i="24"/>
  <c r="R1508" i="24"/>
  <c r="N1508" i="24"/>
  <c r="H1508" i="24"/>
  <c r="D1508" i="24"/>
  <c r="T1507" i="24"/>
  <c r="P1507" i="24"/>
  <c r="L1507" i="24"/>
  <c r="F1507" i="24"/>
  <c r="B1507" i="24"/>
  <c r="R1506" i="24"/>
  <c r="N1506" i="24"/>
  <c r="H1506" i="24"/>
  <c r="D1506" i="24"/>
  <c r="T1505" i="24"/>
  <c r="P1505" i="24"/>
  <c r="L1505" i="24"/>
  <c r="F1505" i="24"/>
  <c r="B1505" i="24"/>
  <c r="R1504" i="24"/>
  <c r="N1504" i="24"/>
  <c r="H1504" i="24"/>
  <c r="D1504" i="24"/>
  <c r="T1503" i="24"/>
  <c r="P1503" i="24"/>
  <c r="L1503" i="24"/>
  <c r="F1503" i="24"/>
  <c r="B1503" i="24"/>
  <c r="R1502" i="24"/>
  <c r="N1502" i="24"/>
  <c r="H1502" i="24"/>
  <c r="D1502" i="24"/>
  <c r="T1501" i="24"/>
  <c r="P1501" i="24"/>
  <c r="L1501" i="24"/>
  <c r="F1501" i="24"/>
  <c r="B1501" i="24"/>
  <c r="R1500" i="24"/>
  <c r="N1500" i="24"/>
  <c r="H1500" i="24"/>
  <c r="D1500" i="24"/>
  <c r="T1499" i="24"/>
  <c r="P1499" i="24"/>
  <c r="L1499" i="24"/>
  <c r="F1499" i="24"/>
  <c r="B1499" i="24"/>
  <c r="R1498" i="24"/>
  <c r="N1498" i="24"/>
  <c r="H1498" i="24"/>
  <c r="D1498" i="24"/>
  <c r="T1497" i="24"/>
  <c r="P1497" i="24"/>
  <c r="L1497" i="24"/>
  <c r="F1497" i="24"/>
  <c r="B1497" i="24"/>
  <c r="R1496" i="24"/>
  <c r="N1496" i="24"/>
  <c r="H1496" i="24"/>
  <c r="D1496" i="24"/>
  <c r="T1495" i="24"/>
  <c r="P1495" i="24"/>
  <c r="L1495" i="24"/>
  <c r="F1495" i="24"/>
  <c r="B1495" i="24"/>
  <c r="R1494" i="24"/>
  <c r="N1494" i="24"/>
  <c r="H1494" i="24"/>
  <c r="D1494" i="24"/>
  <c r="T1493" i="24"/>
  <c r="P1493" i="24"/>
  <c r="L1493" i="24"/>
  <c r="F1493" i="24"/>
  <c r="B1493" i="24"/>
  <c r="R1492" i="24"/>
  <c r="N1492" i="24"/>
  <c r="H1492" i="24"/>
  <c r="D1492" i="24"/>
  <c r="T1491" i="24"/>
  <c r="P1491" i="24"/>
  <c r="L1491" i="24"/>
  <c r="F1491" i="24"/>
  <c r="B1491" i="24"/>
  <c r="R1490" i="24"/>
  <c r="N1490" i="24"/>
  <c r="H1490" i="24"/>
  <c r="D1490" i="24"/>
  <c r="T1489" i="24"/>
  <c r="P1489" i="24"/>
  <c r="L1489" i="24"/>
  <c r="F1489" i="24"/>
  <c r="B1489" i="24"/>
  <c r="R1488" i="24"/>
  <c r="N1488" i="24"/>
  <c r="H1488" i="24"/>
  <c r="D1488" i="24"/>
  <c r="T1487" i="24"/>
  <c r="P1487" i="24"/>
  <c r="L1487" i="24"/>
  <c r="F1487" i="24"/>
  <c r="B1487" i="24"/>
  <c r="R1486" i="24"/>
  <c r="N1486" i="24"/>
  <c r="H1486" i="24"/>
  <c r="D1486" i="24"/>
  <c r="T1485" i="24"/>
  <c r="P1485" i="24"/>
  <c r="L1485" i="24"/>
  <c r="F1485" i="24"/>
  <c r="B1485" i="24"/>
  <c r="R1484" i="24"/>
  <c r="N1484" i="24"/>
  <c r="H1484" i="24"/>
  <c r="D1484" i="24"/>
  <c r="T1483" i="24"/>
  <c r="P1483" i="24"/>
  <c r="L1483" i="24"/>
  <c r="F1483" i="24"/>
  <c r="B1483" i="24"/>
  <c r="R1482" i="24"/>
  <c r="N1482" i="24"/>
  <c r="H1482" i="24"/>
  <c r="D1482" i="24"/>
  <c r="T1481" i="24"/>
  <c r="P1481" i="24"/>
  <c r="L1481" i="24"/>
  <c r="F1481" i="24"/>
  <c r="B1481" i="24"/>
  <c r="R1480" i="24"/>
  <c r="N1480" i="24"/>
  <c r="H1480" i="24"/>
  <c r="D1480" i="24"/>
  <c r="T1479" i="24"/>
  <c r="P1479" i="24"/>
  <c r="L1479" i="24"/>
  <c r="F1479" i="24"/>
  <c r="B1479" i="24"/>
  <c r="R1478" i="24"/>
  <c r="N1478" i="24"/>
  <c r="H1478" i="24"/>
  <c r="D1478" i="24"/>
  <c r="T1477" i="24"/>
  <c r="P1477" i="24"/>
  <c r="L1477" i="24"/>
  <c r="F1477" i="24"/>
  <c r="B1477" i="24"/>
  <c r="R1476" i="24"/>
  <c r="N1476" i="24"/>
  <c r="H1476" i="24"/>
  <c r="D1476" i="24"/>
  <c r="T1475" i="24"/>
  <c r="P1475" i="24"/>
  <c r="L1475" i="24"/>
  <c r="F1475" i="24"/>
  <c r="B1475" i="24"/>
  <c r="R1474" i="24"/>
  <c r="N1474" i="24"/>
  <c r="H1474" i="24"/>
  <c r="D1474" i="24"/>
  <c r="T1473" i="24"/>
  <c r="P1473" i="24"/>
  <c r="L1473" i="24"/>
  <c r="F1473" i="24"/>
  <c r="B1473" i="24"/>
  <c r="R1472" i="24"/>
  <c r="N1472" i="24"/>
  <c r="H1472" i="24"/>
  <c r="D1472" i="24"/>
  <c r="T1471" i="24"/>
  <c r="P1471" i="24"/>
  <c r="L1471" i="24"/>
  <c r="F1471" i="24"/>
  <c r="B1471" i="24"/>
  <c r="R1470" i="24"/>
  <c r="N1470" i="24"/>
  <c r="H1470" i="24"/>
  <c r="D1470" i="24"/>
  <c r="T1469" i="24"/>
  <c r="P1469" i="24"/>
  <c r="L1469" i="24"/>
  <c r="F1469" i="24"/>
  <c r="B1469" i="24"/>
  <c r="R1468" i="24"/>
  <c r="N1468" i="24"/>
  <c r="H1468" i="24"/>
  <c r="D1468" i="24"/>
  <c r="T1467" i="24"/>
  <c r="P1467" i="24"/>
  <c r="L1467" i="24"/>
  <c r="F1467" i="24"/>
  <c r="B1467" i="24"/>
  <c r="R1466" i="24"/>
  <c r="N1466" i="24"/>
  <c r="H1466" i="24"/>
  <c r="D1466" i="24"/>
  <c r="T1465" i="24"/>
  <c r="P1465" i="24"/>
  <c r="L1465" i="24"/>
  <c r="F1465" i="24"/>
  <c r="B1465" i="24"/>
  <c r="R1464" i="24"/>
  <c r="N1464" i="24"/>
  <c r="H1464" i="24"/>
  <c r="D1464" i="24"/>
  <c r="T1463" i="24"/>
  <c r="P1463" i="24"/>
  <c r="L1463" i="24"/>
  <c r="F1463" i="24"/>
  <c r="B1463" i="24"/>
  <c r="R1462" i="24"/>
  <c r="N1462" i="24"/>
  <c r="H1462" i="24"/>
  <c r="D1462" i="24"/>
  <c r="T1461" i="24"/>
  <c r="P1461" i="24"/>
  <c r="L1461" i="24"/>
  <c r="F1461" i="24"/>
  <c r="B1461" i="24"/>
  <c r="R1460" i="24"/>
  <c r="N1460" i="24"/>
  <c r="H1460" i="24"/>
  <c r="D1460" i="24"/>
  <c r="T1459" i="24"/>
  <c r="P1459" i="24"/>
  <c r="L1459" i="24"/>
  <c r="F1459" i="24"/>
  <c r="B1459" i="24"/>
  <c r="R1458" i="24"/>
  <c r="N1458" i="24"/>
  <c r="H1458" i="24"/>
  <c r="D1458" i="24"/>
  <c r="T1457" i="24"/>
  <c r="P1457" i="24"/>
  <c r="L1457" i="24"/>
  <c r="F1457" i="24"/>
  <c r="B1457" i="24"/>
  <c r="R1456" i="24"/>
  <c r="N1456" i="24"/>
  <c r="H1456" i="24"/>
  <c r="D1456" i="24"/>
  <c r="T1455" i="24"/>
  <c r="P1455" i="24"/>
  <c r="L1455" i="24"/>
  <c r="F1455" i="24"/>
  <c r="B1455" i="24"/>
  <c r="R1454" i="24"/>
  <c r="N1454" i="24"/>
  <c r="H1454" i="24"/>
  <c r="D1454" i="24"/>
  <c r="T1453" i="24"/>
  <c r="P1453" i="24"/>
  <c r="L1453" i="24"/>
  <c r="F1453" i="24"/>
  <c r="B1453" i="24"/>
  <c r="R1452" i="24"/>
  <c r="N1452" i="24"/>
  <c r="H1452" i="24"/>
  <c r="D1452" i="24"/>
  <c r="T1451" i="24"/>
  <c r="P1451" i="24"/>
  <c r="L1451" i="24"/>
  <c r="F1451" i="24"/>
  <c r="B1451" i="24"/>
  <c r="R1450" i="24"/>
  <c r="N1450" i="24"/>
  <c r="H1450" i="24"/>
  <c r="D1450" i="24"/>
  <c r="T1449" i="24"/>
  <c r="P1449" i="24"/>
  <c r="L1449" i="24"/>
  <c r="F1449" i="24"/>
  <c r="B1449" i="24"/>
  <c r="R1448" i="24"/>
  <c r="N1448" i="24"/>
  <c r="H1448" i="24"/>
  <c r="D1448" i="24"/>
  <c r="T1447" i="24"/>
  <c r="P1447" i="24"/>
  <c r="L1447" i="24"/>
  <c r="F1447" i="24"/>
  <c r="B1447" i="24"/>
  <c r="R1446" i="24"/>
  <c r="N1446" i="24"/>
  <c r="H1446" i="24"/>
  <c r="D1446" i="24"/>
  <c r="T1445" i="24"/>
  <c r="P1445" i="24"/>
  <c r="L1445" i="24"/>
  <c r="F1445" i="24"/>
  <c r="B1445" i="24"/>
  <c r="R1444" i="24"/>
  <c r="N1444" i="24"/>
  <c r="H1444" i="24"/>
  <c r="D1444" i="24"/>
  <c r="T1443" i="24"/>
  <c r="P1443" i="24"/>
  <c r="L1443" i="24"/>
  <c r="F1443" i="24"/>
  <c r="B1443" i="24"/>
  <c r="R1442" i="24"/>
  <c r="N1442" i="24"/>
  <c r="H1442" i="24"/>
  <c r="D1442" i="24"/>
  <c r="T1441" i="24"/>
  <c r="P1441" i="24"/>
  <c r="L1441" i="24"/>
  <c r="F1441" i="24"/>
  <c r="B1441" i="24"/>
  <c r="R1440" i="24"/>
  <c r="N1440" i="24"/>
  <c r="H1440" i="24"/>
  <c r="D1440" i="24"/>
  <c r="T1439" i="24"/>
  <c r="P1439" i="24"/>
  <c r="L1439" i="24"/>
  <c r="F1439" i="24"/>
  <c r="B1439" i="24"/>
  <c r="R1438" i="24"/>
  <c r="N1438" i="24"/>
  <c r="H1438" i="24"/>
  <c r="D1438" i="24"/>
  <c r="T1437" i="24"/>
  <c r="P1437" i="24"/>
  <c r="L1437" i="24"/>
  <c r="F1437" i="24"/>
  <c r="B1437" i="24"/>
  <c r="R1436" i="24"/>
  <c r="N1436" i="24"/>
  <c r="H1436" i="24"/>
  <c r="D1436" i="24"/>
  <c r="T1435" i="24"/>
  <c r="P1435" i="24"/>
  <c r="L1435" i="24"/>
  <c r="F1435" i="24"/>
  <c r="B1435" i="24"/>
  <c r="R1434" i="24"/>
  <c r="N1434" i="24"/>
  <c r="H1434" i="24"/>
  <c r="D1434" i="24"/>
  <c r="T1433" i="24"/>
  <c r="P1433" i="24"/>
  <c r="L1433" i="24"/>
  <c r="F1433" i="24"/>
  <c r="B1433" i="24"/>
  <c r="R1432" i="24"/>
  <c r="N1432" i="24"/>
  <c r="H1432" i="24"/>
  <c r="D1432" i="24"/>
  <c r="T1431" i="24"/>
  <c r="P1431" i="24"/>
  <c r="L1431" i="24"/>
  <c r="F1431" i="24"/>
  <c r="B1431" i="24"/>
  <c r="R1430" i="24"/>
  <c r="N1430" i="24"/>
  <c r="H1430" i="24"/>
  <c r="D1430" i="24"/>
  <c r="T1429" i="24"/>
  <c r="P1429" i="24"/>
  <c r="L1429" i="24"/>
  <c r="F1429" i="24"/>
  <c r="B1429" i="24"/>
  <c r="R1428" i="24"/>
  <c r="N1428" i="24"/>
  <c r="H1428" i="24"/>
  <c r="D1428" i="24"/>
  <c r="T1427" i="24"/>
  <c r="P1427" i="24"/>
  <c r="L1427" i="24"/>
  <c r="F1427" i="24"/>
  <c r="B1427" i="24"/>
  <c r="R1426" i="24"/>
  <c r="N1426" i="24"/>
  <c r="H1426" i="24"/>
  <c r="D1426" i="24"/>
  <c r="T1425" i="24"/>
  <c r="P1425" i="24"/>
  <c r="L1425" i="24"/>
  <c r="F1425" i="24"/>
  <c r="B1425" i="24"/>
  <c r="R1424" i="24"/>
  <c r="N1424" i="24"/>
  <c r="H1424" i="24"/>
  <c r="D1424" i="24"/>
  <c r="T1423" i="24"/>
  <c r="P1423" i="24"/>
  <c r="L1423" i="24"/>
  <c r="F1423" i="24"/>
  <c r="B1423" i="24"/>
  <c r="R1422" i="24"/>
  <c r="N1422" i="24"/>
  <c r="H1422" i="24"/>
  <c r="D1422" i="24"/>
  <c r="T1421" i="24"/>
  <c r="P1421" i="24"/>
  <c r="L1421" i="24"/>
  <c r="F1421" i="24"/>
  <c r="B1421" i="24"/>
  <c r="R1420" i="24"/>
  <c r="N1420" i="24"/>
  <c r="H1420" i="24"/>
  <c r="D1420" i="24"/>
  <c r="T1419" i="24"/>
  <c r="P1419" i="24"/>
  <c r="L1419" i="24"/>
  <c r="F1419" i="24"/>
  <c r="B1419" i="24"/>
  <c r="R1418" i="24"/>
  <c r="N1418" i="24"/>
  <c r="H1418" i="24"/>
  <c r="D1418" i="24"/>
  <c r="T1417" i="24"/>
  <c r="P1417" i="24"/>
  <c r="L1417" i="24"/>
  <c r="F1417" i="24"/>
  <c r="B1417" i="24"/>
  <c r="R1416" i="24"/>
  <c r="N1416" i="24"/>
  <c r="H1416" i="24"/>
  <c r="D1416" i="24"/>
  <c r="T1415" i="24"/>
  <c r="P1415" i="24"/>
  <c r="L1415" i="24"/>
  <c r="F1415" i="24"/>
  <c r="B1415" i="24"/>
  <c r="R1414" i="24"/>
  <c r="N1414" i="24"/>
  <c r="H1414" i="24"/>
  <c r="D1414" i="24"/>
  <c r="T1413" i="24"/>
  <c r="P1413" i="24"/>
  <c r="L1413" i="24"/>
  <c r="F1413" i="24"/>
  <c r="B1413" i="24"/>
  <c r="R1412" i="24"/>
  <c r="N1412" i="24"/>
  <c r="H1412" i="24"/>
  <c r="D1412" i="24"/>
  <c r="T1411" i="24"/>
  <c r="P1411" i="24"/>
  <c r="L1411" i="24"/>
  <c r="F1411" i="24"/>
  <c r="B1411" i="24"/>
  <c r="R1410" i="24"/>
  <c r="N1410" i="24"/>
  <c r="H1410" i="24"/>
  <c r="D1410" i="24"/>
  <c r="T1409" i="24"/>
  <c r="P1409" i="24"/>
  <c r="L1409" i="24"/>
  <c r="F1409" i="24"/>
  <c r="B1409" i="24"/>
  <c r="R1408" i="24"/>
  <c r="N1408" i="24"/>
  <c r="H1408" i="24"/>
  <c r="D1408" i="24"/>
  <c r="T1407" i="24"/>
  <c r="P1407" i="24"/>
  <c r="L1407" i="24"/>
  <c r="F1407" i="24"/>
  <c r="B1407" i="24"/>
  <c r="R1406" i="24"/>
  <c r="N1406" i="24"/>
  <c r="H1406" i="24"/>
  <c r="D1406" i="24"/>
  <c r="T1405" i="24"/>
  <c r="P1405" i="24"/>
  <c r="L1405" i="24"/>
  <c r="F1405" i="24"/>
  <c r="B1405" i="24"/>
  <c r="R1404" i="24"/>
  <c r="N1404" i="24"/>
  <c r="H1404" i="24"/>
  <c r="D1404" i="24"/>
  <c r="T1403" i="24"/>
  <c r="P1403" i="24"/>
  <c r="L1403" i="24"/>
  <c r="F1403" i="24"/>
  <c r="B1403" i="24"/>
  <c r="R1402" i="24"/>
  <c r="N1402" i="24"/>
  <c r="H1402" i="24"/>
  <c r="D1402" i="24"/>
  <c r="T1401" i="24"/>
  <c r="P1401" i="24"/>
  <c r="L1401" i="24"/>
  <c r="F1401" i="24"/>
  <c r="B1401" i="24"/>
  <c r="R1400" i="24"/>
  <c r="N1400" i="24"/>
  <c r="H1400" i="24"/>
  <c r="D1400" i="24"/>
  <c r="T1399" i="24"/>
  <c r="P1399" i="24"/>
  <c r="L1399" i="24"/>
  <c r="F1399" i="24"/>
  <c r="B1399" i="24"/>
  <c r="R1398" i="24"/>
  <c r="N1398" i="24"/>
  <c r="H1398" i="24"/>
  <c r="D1398" i="24"/>
  <c r="T1397" i="24"/>
  <c r="P1397" i="24"/>
  <c r="N2341" i="24"/>
  <c r="D2313" i="24"/>
  <c r="D2290" i="24"/>
  <c r="B2283" i="24"/>
  <c r="T2275" i="24"/>
  <c r="R2268" i="24"/>
  <c r="P2261" i="24"/>
  <c r="N2254" i="24"/>
  <c r="L2247" i="24"/>
  <c r="H2240" i="24"/>
  <c r="F2233" i="24"/>
  <c r="D2226" i="24"/>
  <c r="B2219" i="24"/>
  <c r="T2211" i="24"/>
  <c r="R2204" i="24"/>
  <c r="P2197" i="24"/>
  <c r="N2190" i="24"/>
  <c r="L2183" i="24"/>
  <c r="H2176" i="24"/>
  <c r="F2169" i="24"/>
  <c r="D2162" i="24"/>
  <c r="B2155" i="24"/>
  <c r="T2147" i="24"/>
  <c r="R2140" i="24"/>
  <c r="P2133" i="24"/>
  <c r="N2126" i="24"/>
  <c r="L2119" i="24"/>
  <c r="H2112" i="24"/>
  <c r="F2105" i="24"/>
  <c r="D2098" i="24"/>
  <c r="B2091" i="24"/>
  <c r="T2083" i="24"/>
  <c r="N2079" i="24"/>
  <c r="B2076" i="24"/>
  <c r="L2072" i="24"/>
  <c r="T2068" i="24"/>
  <c r="H2065" i="24"/>
  <c r="R2061" i="24"/>
  <c r="F2058" i="24"/>
  <c r="P2054" i="24"/>
  <c r="D2051" i="24"/>
  <c r="N2047" i="24"/>
  <c r="B2044" i="24"/>
  <c r="L2040" i="24"/>
  <c r="T2036" i="24"/>
  <c r="H2033" i="24"/>
  <c r="K2031" i="24"/>
  <c r="O2029" i="24"/>
  <c r="S2027" i="24"/>
  <c r="C2026" i="24"/>
  <c r="G2024" i="24"/>
  <c r="M2022" i="24"/>
  <c r="Q2020" i="24"/>
  <c r="A2019" i="24"/>
  <c r="E2017" i="24"/>
  <c r="K2015" i="24"/>
  <c r="O2013" i="24"/>
  <c r="S2011" i="24"/>
  <c r="C2010" i="24"/>
  <c r="G2008" i="24"/>
  <c r="M2006" i="24"/>
  <c r="Q2004" i="24"/>
  <c r="A2003" i="24"/>
  <c r="E2001" i="24"/>
  <c r="K1999" i="24"/>
  <c r="O1997" i="24"/>
  <c r="S1995" i="24"/>
  <c r="C1994" i="24"/>
  <c r="G1992" i="24"/>
  <c r="M1990" i="24"/>
  <c r="Q1988" i="24"/>
  <c r="A1987" i="24"/>
  <c r="E1985" i="24"/>
  <c r="K1983" i="24"/>
  <c r="O1981" i="24"/>
  <c r="S1979" i="24"/>
  <c r="C1978" i="24"/>
  <c r="G1976" i="24"/>
  <c r="M1974" i="24"/>
  <c r="Q1972" i="24"/>
  <c r="A1971" i="24"/>
  <c r="E1969" i="24"/>
  <c r="T1967" i="24"/>
  <c r="B1967" i="24"/>
  <c r="D1966" i="24"/>
  <c r="F1965" i="24"/>
  <c r="H1964" i="24"/>
  <c r="L1963" i="24"/>
  <c r="N1962" i="24"/>
  <c r="P1961" i="24"/>
  <c r="R1960" i="24"/>
  <c r="T1959" i="24"/>
  <c r="B1959" i="24"/>
  <c r="D1958" i="24"/>
  <c r="F1957" i="24"/>
  <c r="H1956" i="24"/>
  <c r="L1955" i="24"/>
  <c r="N1954" i="24"/>
  <c r="P1953" i="24"/>
  <c r="R1952" i="24"/>
  <c r="T1951" i="24"/>
  <c r="B1951" i="24"/>
  <c r="D1950" i="24"/>
  <c r="F1949" i="24"/>
  <c r="H1948" i="24"/>
  <c r="L1947" i="24"/>
  <c r="N1946" i="24"/>
  <c r="P1945" i="24"/>
  <c r="R1944" i="24"/>
  <c r="T1943" i="24"/>
  <c r="B1943" i="24"/>
  <c r="D1942" i="24"/>
  <c r="F1941" i="24"/>
  <c r="H1940" i="24"/>
  <c r="L1939" i="24"/>
  <c r="N1938" i="24"/>
  <c r="P1937" i="24"/>
  <c r="R1936" i="24"/>
  <c r="T1935" i="24"/>
  <c r="B1935" i="24"/>
  <c r="D1934" i="24"/>
  <c r="F1933" i="24"/>
  <c r="H1932" i="24"/>
  <c r="L1931" i="24"/>
  <c r="N1930" i="24"/>
  <c r="P1929" i="24"/>
  <c r="R1928" i="24"/>
  <c r="T1927" i="24"/>
  <c r="B1927" i="24"/>
  <c r="D1926" i="24"/>
  <c r="F1925" i="24"/>
  <c r="H1924" i="24"/>
  <c r="L1923" i="24"/>
  <c r="N1922" i="24"/>
  <c r="P1921" i="24"/>
  <c r="R1920" i="24"/>
  <c r="T1919" i="24"/>
  <c r="B1919" i="24"/>
  <c r="D1918" i="24"/>
  <c r="F1917" i="24"/>
  <c r="H1916" i="24"/>
  <c r="L1915" i="24"/>
  <c r="N1914" i="24"/>
  <c r="P1913" i="24"/>
  <c r="R1912" i="24"/>
  <c r="T1911" i="24"/>
  <c r="B1911" i="24"/>
  <c r="D1910" i="24"/>
  <c r="F1909" i="24"/>
  <c r="H1908" i="24"/>
  <c r="L1907" i="24"/>
  <c r="N1906" i="24"/>
  <c r="P1905" i="24"/>
  <c r="R1904" i="24"/>
  <c r="T1903" i="24"/>
  <c r="B1903" i="24"/>
  <c r="D1902" i="24"/>
  <c r="F1901" i="24"/>
  <c r="H1900" i="24"/>
  <c r="L1899" i="24"/>
  <c r="N1898" i="24"/>
  <c r="P1897" i="24"/>
  <c r="R1896" i="24"/>
  <c r="T1895" i="24"/>
  <c r="B1895" i="24"/>
  <c r="D1894" i="24"/>
  <c r="F1893" i="24"/>
  <c r="H1892" i="24"/>
  <c r="L1891" i="24"/>
  <c r="N1890" i="24"/>
  <c r="P1889" i="24"/>
  <c r="R1888" i="24"/>
  <c r="T1887" i="24"/>
  <c r="B1887" i="24"/>
  <c r="D1886" i="24"/>
  <c r="F1885" i="24"/>
  <c r="H1884" i="24"/>
  <c r="L1883" i="24"/>
  <c r="N1882" i="24"/>
  <c r="P1881" i="24"/>
  <c r="R1880" i="24"/>
  <c r="T1879" i="24"/>
  <c r="B1879" i="24"/>
  <c r="D1878" i="24"/>
  <c r="F1877" i="24"/>
  <c r="H1876" i="24"/>
  <c r="L1875" i="24"/>
  <c r="N1874" i="24"/>
  <c r="P1873" i="24"/>
  <c r="R1872" i="24"/>
  <c r="T1871" i="24"/>
  <c r="B1871" i="24"/>
  <c r="D1870" i="24"/>
  <c r="F1869" i="24"/>
  <c r="H1868" i="24"/>
  <c r="L1867" i="24"/>
  <c r="N1866" i="24"/>
  <c r="P1865" i="24"/>
  <c r="R1864" i="24"/>
  <c r="T1863" i="24"/>
  <c r="B1863" i="24"/>
  <c r="D1862" i="24"/>
  <c r="F1861" i="24"/>
  <c r="H1860" i="24"/>
  <c r="L1859" i="24"/>
  <c r="N1858" i="24"/>
  <c r="P1857" i="24"/>
  <c r="R1856" i="24"/>
  <c r="T1855" i="24"/>
  <c r="B1855" i="24"/>
  <c r="D1854" i="24"/>
  <c r="F1853" i="24"/>
  <c r="H1852" i="24"/>
  <c r="L1851" i="24"/>
  <c r="N1850" i="24"/>
  <c r="P1849" i="24"/>
  <c r="R1848" i="24"/>
  <c r="T1847" i="24"/>
  <c r="B1847" i="24"/>
  <c r="D1846" i="24"/>
  <c r="F1845" i="24"/>
  <c r="H1844" i="24"/>
  <c r="L1843" i="24"/>
  <c r="N1842" i="24"/>
  <c r="P1841" i="24"/>
  <c r="R1840" i="24"/>
  <c r="T1839" i="24"/>
  <c r="B1839" i="24"/>
  <c r="D1838" i="24"/>
  <c r="F1837" i="24"/>
  <c r="H1836" i="24"/>
  <c r="L1835" i="24"/>
  <c r="N1834" i="24"/>
  <c r="P1833" i="24"/>
  <c r="R1832" i="24"/>
  <c r="T1831" i="24"/>
  <c r="B1831" i="24"/>
  <c r="D1830" i="24"/>
  <c r="F1829" i="24"/>
  <c r="H1828" i="24"/>
  <c r="L1827" i="24"/>
  <c r="N1826" i="24"/>
  <c r="P1825" i="24"/>
  <c r="R1824" i="24"/>
  <c r="T1823" i="24"/>
  <c r="B1823" i="24"/>
  <c r="D1822" i="24"/>
  <c r="F1821" i="24"/>
  <c r="H1820" i="24"/>
  <c r="L1819" i="24"/>
  <c r="N1818" i="24"/>
  <c r="P1817" i="24"/>
  <c r="R1816" i="24"/>
  <c r="T1815" i="24"/>
  <c r="B1815" i="24"/>
  <c r="D1814" i="24"/>
  <c r="P1813" i="24"/>
  <c r="F1813" i="24"/>
  <c r="R1812" i="24"/>
  <c r="H1812" i="24"/>
  <c r="T1811" i="24"/>
  <c r="L1811" i="24"/>
  <c r="B1811" i="24"/>
  <c r="N1810" i="24"/>
  <c r="D1810" i="24"/>
  <c r="P1809" i="24"/>
  <c r="F1809" i="24"/>
  <c r="R1808" i="24"/>
  <c r="H1808" i="24"/>
  <c r="T1807" i="24"/>
  <c r="L1807" i="24"/>
  <c r="B1807" i="24"/>
  <c r="N1806" i="24"/>
  <c r="D1806" i="24"/>
  <c r="P1805" i="24"/>
  <c r="F1805" i="24"/>
  <c r="R1804" i="24"/>
  <c r="H1804" i="24"/>
  <c r="T1803" i="24"/>
  <c r="L1803" i="24"/>
  <c r="B1803" i="24"/>
  <c r="N1802" i="24"/>
  <c r="D1802" i="24"/>
  <c r="P1801" i="24"/>
  <c r="F1801" i="24"/>
  <c r="R1800" i="24"/>
  <c r="H1800" i="24"/>
  <c r="T1799" i="24"/>
  <c r="L1799" i="24"/>
  <c r="B1799" i="24"/>
  <c r="N1798" i="24"/>
  <c r="D1798" i="24"/>
  <c r="P1797" i="24"/>
  <c r="F1797" i="24"/>
  <c r="R1796" i="24"/>
  <c r="H1796" i="24"/>
  <c r="T1795" i="24"/>
  <c r="L1795" i="24"/>
  <c r="B1795" i="24"/>
  <c r="N1794" i="24"/>
  <c r="D1794" i="24"/>
  <c r="P1793" i="24"/>
  <c r="F1793" i="24"/>
  <c r="R1792" i="24"/>
  <c r="H1792" i="24"/>
  <c r="T1791" i="24"/>
  <c r="L1791" i="24"/>
  <c r="B1791" i="24"/>
  <c r="N1790" i="24"/>
  <c r="D1790" i="24"/>
  <c r="P1789" i="24"/>
  <c r="F1789" i="24"/>
  <c r="R1788" i="24"/>
  <c r="H1788" i="24"/>
  <c r="T1787" i="24"/>
  <c r="L1787" i="24"/>
  <c r="B1787" i="24"/>
  <c r="N1786" i="24"/>
  <c r="D1786" i="24"/>
  <c r="P1785" i="24"/>
  <c r="F1785" i="24"/>
  <c r="R1784" i="24"/>
  <c r="H1784" i="24"/>
  <c r="T1783" i="24"/>
  <c r="L1783" i="24"/>
  <c r="B1783" i="24"/>
  <c r="N1782" i="24"/>
  <c r="D1782" i="24"/>
  <c r="P1781" i="24"/>
  <c r="F1781" i="24"/>
  <c r="R1780" i="24"/>
  <c r="H1780" i="24"/>
  <c r="T1779" i="24"/>
  <c r="L1779" i="24"/>
  <c r="B1779" i="24"/>
  <c r="N1778" i="24"/>
  <c r="D1778" i="24"/>
  <c r="P1777" i="24"/>
  <c r="G1777" i="24"/>
  <c r="B1777" i="24"/>
  <c r="Q1776" i="24"/>
  <c r="M1776" i="24"/>
  <c r="G1776" i="24"/>
  <c r="C1776" i="24"/>
  <c r="S1775" i="24"/>
  <c r="O1775" i="24"/>
  <c r="K1775" i="24"/>
  <c r="E1775" i="24"/>
  <c r="A1775" i="24"/>
  <c r="Q1774" i="24"/>
  <c r="M1774" i="24"/>
  <c r="G1774" i="24"/>
  <c r="C1774" i="24"/>
  <c r="S1773" i="24"/>
  <c r="O1773" i="24"/>
  <c r="K1773" i="24"/>
  <c r="E1773" i="24"/>
  <c r="A1773" i="24"/>
  <c r="Q1772" i="24"/>
  <c r="M1772" i="24"/>
  <c r="G1772" i="24"/>
  <c r="C1772" i="24"/>
  <c r="S1771" i="24"/>
  <c r="O1771" i="24"/>
  <c r="K1771" i="24"/>
  <c r="E1771" i="24"/>
  <c r="A1771" i="24"/>
  <c r="Q1770" i="24"/>
  <c r="M1770" i="24"/>
  <c r="G1770" i="24"/>
  <c r="C1770" i="24"/>
  <c r="S1769" i="24"/>
  <c r="O1769" i="24"/>
  <c r="K1769" i="24"/>
  <c r="E1769" i="24"/>
  <c r="A1769" i="24"/>
  <c r="Q1768" i="24"/>
  <c r="M1768" i="24"/>
  <c r="G1768" i="24"/>
  <c r="C1768" i="24"/>
  <c r="S1767" i="24"/>
  <c r="O1767" i="24"/>
  <c r="K1767" i="24"/>
  <c r="E1767" i="24"/>
  <c r="A1767" i="24"/>
  <c r="Q1766" i="24"/>
  <c r="M1766" i="24"/>
  <c r="G1766" i="24"/>
  <c r="C1766" i="24"/>
  <c r="S1765" i="24"/>
  <c r="O1765" i="24"/>
  <c r="K1765" i="24"/>
  <c r="E1765" i="24"/>
  <c r="A1765" i="24"/>
  <c r="Q1764" i="24"/>
  <c r="M1764" i="24"/>
  <c r="G1764" i="24"/>
  <c r="C1764" i="24"/>
  <c r="S1763" i="24"/>
  <c r="O1763" i="24"/>
  <c r="K1763" i="24"/>
  <c r="E1763" i="24"/>
  <c r="A1763" i="24"/>
  <c r="Q1762" i="24"/>
  <c r="M1762" i="24"/>
  <c r="G1762" i="24"/>
  <c r="C1762" i="24"/>
  <c r="S1761" i="24"/>
  <c r="O1761" i="24"/>
  <c r="K1761" i="24"/>
  <c r="E1761" i="24"/>
  <c r="A1761" i="24"/>
  <c r="Q1760" i="24"/>
  <c r="M1760" i="24"/>
  <c r="G1760" i="24"/>
  <c r="C1760" i="24"/>
  <c r="S1759" i="24"/>
  <c r="O1759" i="24"/>
  <c r="K1759" i="24"/>
  <c r="E1759" i="24"/>
  <c r="A1759" i="24"/>
  <c r="Q1758" i="24"/>
  <c r="M1758" i="24"/>
  <c r="G1758" i="24"/>
  <c r="C1758" i="24"/>
  <c r="S1757" i="24"/>
  <c r="O1757" i="24"/>
  <c r="K1757" i="24"/>
  <c r="E1757" i="24"/>
  <c r="A1757" i="24"/>
  <c r="Q1756" i="24"/>
  <c r="M1756" i="24"/>
  <c r="G1756" i="24"/>
  <c r="C1756" i="24"/>
  <c r="S1755" i="24"/>
  <c r="O1755" i="24"/>
  <c r="K1755" i="24"/>
  <c r="E1755" i="24"/>
  <c r="A1755" i="24"/>
  <c r="Q1754" i="24"/>
  <c r="M1754" i="24"/>
  <c r="G1754" i="24"/>
  <c r="C1754" i="24"/>
  <c r="S1753" i="24"/>
  <c r="O1753" i="24"/>
  <c r="K1753" i="24"/>
  <c r="E1753" i="24"/>
  <c r="A1753" i="24"/>
  <c r="Q1752" i="24"/>
  <c r="M1752" i="24"/>
  <c r="G1752" i="24"/>
  <c r="C1752" i="24"/>
  <c r="S1751" i="24"/>
  <c r="O1751" i="24"/>
  <c r="K1751" i="24"/>
  <c r="E1751" i="24"/>
  <c r="A1751" i="24"/>
  <c r="Q1750" i="24"/>
  <c r="M1750" i="24"/>
  <c r="G1750" i="24"/>
  <c r="C1750" i="24"/>
  <c r="S1749" i="24"/>
  <c r="O1749" i="24"/>
  <c r="K1749" i="24"/>
  <c r="E1749" i="24"/>
  <c r="A1749" i="24"/>
  <c r="Q1748" i="24"/>
  <c r="M1748" i="24"/>
  <c r="G1748" i="24"/>
  <c r="C1748" i="24"/>
  <c r="S1747" i="24"/>
  <c r="O1747" i="24"/>
  <c r="K1747" i="24"/>
  <c r="E1747" i="24"/>
  <c r="A1747" i="24"/>
  <c r="Q1746" i="24"/>
  <c r="M1746" i="24"/>
  <c r="G1746" i="24"/>
  <c r="C1746" i="24"/>
  <c r="S1745" i="24"/>
  <c r="O1745" i="24"/>
  <c r="K1745" i="24"/>
  <c r="E1745" i="24"/>
  <c r="A1745" i="24"/>
  <c r="Q1744" i="24"/>
  <c r="M1744" i="24"/>
  <c r="G1744" i="24"/>
  <c r="C1744" i="24"/>
  <c r="S1743" i="24"/>
  <c r="O1743" i="24"/>
  <c r="K1743" i="24"/>
  <c r="E1743" i="24"/>
  <c r="A1743" i="24"/>
  <c r="Q1742" i="24"/>
  <c r="M1742" i="24"/>
  <c r="G1742" i="24"/>
  <c r="C1742" i="24"/>
  <c r="S1741" i="24"/>
  <c r="O1741" i="24"/>
  <c r="K1741" i="24"/>
  <c r="E1741" i="24"/>
  <c r="A1741" i="24"/>
  <c r="Q1740" i="24"/>
  <c r="M1740" i="24"/>
  <c r="G1740" i="24"/>
  <c r="C1740" i="24"/>
  <c r="S1739" i="24"/>
  <c r="O1739" i="24"/>
  <c r="K1739" i="24"/>
  <c r="E1739" i="24"/>
  <c r="A1739" i="24"/>
  <c r="Q1738" i="24"/>
  <c r="M1738" i="24"/>
  <c r="G1738" i="24"/>
  <c r="C1738" i="24"/>
  <c r="S1737" i="24"/>
  <c r="O1737" i="24"/>
  <c r="K1737" i="24"/>
  <c r="E1737" i="24"/>
  <c r="A1737" i="24"/>
  <c r="Q1736" i="24"/>
  <c r="M1736" i="24"/>
  <c r="G1736" i="24"/>
  <c r="C1736" i="24"/>
  <c r="S1735" i="24"/>
  <c r="O1735" i="24"/>
  <c r="K1735" i="24"/>
  <c r="E1735" i="24"/>
  <c r="A1735" i="24"/>
  <c r="Q1734" i="24"/>
  <c r="M1734" i="24"/>
  <c r="G1734" i="24"/>
  <c r="C1734" i="24"/>
  <c r="S1733" i="24"/>
  <c r="O1733" i="24"/>
  <c r="K1733" i="24"/>
  <c r="E1733" i="24"/>
  <c r="A1733" i="24"/>
  <c r="Q1732" i="24"/>
  <c r="M1732" i="24"/>
  <c r="G1732" i="24"/>
  <c r="C1732" i="24"/>
  <c r="S1731" i="24"/>
  <c r="O1731" i="24"/>
  <c r="K1731" i="24"/>
  <c r="E1731" i="24"/>
  <c r="A1731" i="24"/>
  <c r="Q1730" i="24"/>
  <c r="M1730" i="24"/>
  <c r="G1730" i="24"/>
  <c r="C1730" i="24"/>
  <c r="S1729" i="24"/>
  <c r="O1729" i="24"/>
  <c r="K1729" i="24"/>
  <c r="E1729" i="24"/>
  <c r="A1729" i="24"/>
  <c r="Q1728" i="24"/>
  <c r="M1728" i="24"/>
  <c r="G1728" i="24"/>
  <c r="C1728" i="24"/>
  <c r="S1727" i="24"/>
  <c r="O1727" i="24"/>
  <c r="K1727" i="24"/>
  <c r="E1727" i="24"/>
  <c r="A1727" i="24"/>
  <c r="Q1726" i="24"/>
  <c r="M1726" i="24"/>
  <c r="G1726" i="24"/>
  <c r="C1726" i="24"/>
  <c r="S1725" i="24"/>
  <c r="O1725" i="24"/>
  <c r="K1725" i="24"/>
  <c r="E1725" i="24"/>
  <c r="A1725" i="24"/>
  <c r="Q1724" i="24"/>
  <c r="M1724" i="24"/>
  <c r="G1724" i="24"/>
  <c r="C1724" i="24"/>
  <c r="S1723" i="24"/>
  <c r="O1723" i="24"/>
  <c r="K1723" i="24"/>
  <c r="E1723" i="24"/>
  <c r="A1723" i="24"/>
  <c r="Q1722" i="24"/>
  <c r="M1722" i="24"/>
  <c r="G1722" i="24"/>
  <c r="C1722" i="24"/>
  <c r="S1721" i="24"/>
  <c r="O1721" i="24"/>
  <c r="K1721" i="24"/>
  <c r="E1721" i="24"/>
  <c r="A1721" i="24"/>
  <c r="Q1720" i="24"/>
  <c r="M1720" i="24"/>
  <c r="G1720" i="24"/>
  <c r="C1720" i="24"/>
  <c r="S1719" i="24"/>
  <c r="O1719" i="24"/>
  <c r="K1719" i="24"/>
  <c r="E1719" i="24"/>
  <c r="A1719" i="24"/>
  <c r="Q1718" i="24"/>
  <c r="M1718" i="24"/>
  <c r="G1718" i="24"/>
  <c r="C1718" i="24"/>
  <c r="S1717" i="24"/>
  <c r="O1717" i="24"/>
  <c r="K1717" i="24"/>
  <c r="E1717" i="24"/>
  <c r="A1717" i="24"/>
  <c r="Q1716" i="24"/>
  <c r="M1716" i="24"/>
  <c r="G1716" i="24"/>
  <c r="C1716" i="24"/>
  <c r="S1715" i="24"/>
  <c r="O1715" i="24"/>
  <c r="K1715" i="24"/>
  <c r="E1715" i="24"/>
  <c r="A1715" i="24"/>
  <c r="Q1714" i="24"/>
  <c r="M1714" i="24"/>
  <c r="G1714" i="24"/>
  <c r="C1714" i="24"/>
  <c r="S1713" i="24"/>
  <c r="O1713" i="24"/>
  <c r="K1713" i="24"/>
  <c r="E1713" i="24"/>
  <c r="A1713" i="24"/>
  <c r="Q1712" i="24"/>
  <c r="M1712" i="24"/>
  <c r="G1712" i="24"/>
  <c r="C1712" i="24"/>
  <c r="S1711" i="24"/>
  <c r="O1711" i="24"/>
  <c r="K1711" i="24"/>
  <c r="E1711" i="24"/>
  <c r="A1711" i="24"/>
  <c r="Q1710" i="24"/>
  <c r="M1710" i="24"/>
  <c r="G1710" i="24"/>
  <c r="C1710" i="24"/>
  <c r="S1709" i="24"/>
  <c r="O1709" i="24"/>
  <c r="K1709" i="24"/>
  <c r="E1709" i="24"/>
  <c r="A1709" i="24"/>
  <c r="Q1708" i="24"/>
  <c r="M1708" i="24"/>
  <c r="G1708" i="24"/>
  <c r="C1708" i="24"/>
  <c r="S1707" i="24"/>
  <c r="O1707" i="24"/>
  <c r="K1707" i="24"/>
  <c r="E1707" i="24"/>
  <c r="A1707" i="24"/>
  <c r="Q1706" i="24"/>
  <c r="M1706" i="24"/>
  <c r="G1706" i="24"/>
  <c r="C1706" i="24"/>
  <c r="S1705" i="24"/>
  <c r="O1705" i="24"/>
  <c r="K1705" i="24"/>
  <c r="E1705" i="24"/>
  <c r="A1705" i="24"/>
  <c r="Q1704" i="24"/>
  <c r="M1704" i="24"/>
  <c r="G1704" i="24"/>
  <c r="C1704" i="24"/>
  <c r="S1703" i="24"/>
  <c r="O1703" i="24"/>
  <c r="K1703" i="24"/>
  <c r="E1703" i="24"/>
  <c r="A1703" i="24"/>
  <c r="Q1702" i="24"/>
  <c r="M1702" i="24"/>
  <c r="G1702" i="24"/>
  <c r="C1702" i="24"/>
  <c r="S1701" i="24"/>
  <c r="O1701" i="24"/>
  <c r="K1701" i="24"/>
  <c r="E1701" i="24"/>
  <c r="A1701" i="24"/>
  <c r="Q1700" i="24"/>
  <c r="M1700" i="24"/>
  <c r="G1700" i="24"/>
  <c r="C1700" i="24"/>
  <c r="S1699" i="24"/>
  <c r="O1699" i="24"/>
  <c r="K1699" i="24"/>
  <c r="E1699" i="24"/>
  <c r="A1699" i="24"/>
  <c r="Q1698" i="24"/>
  <c r="M1698" i="24"/>
  <c r="G1698" i="24"/>
  <c r="C1698" i="24"/>
  <c r="S1697" i="24"/>
  <c r="O1697" i="24"/>
  <c r="K1697" i="24"/>
  <c r="E1697" i="24"/>
  <c r="A1697" i="24"/>
  <c r="Q1696" i="24"/>
  <c r="M1696" i="24"/>
  <c r="G1696" i="24"/>
  <c r="C1696" i="24"/>
  <c r="S1695" i="24"/>
  <c r="O1695" i="24"/>
  <c r="K1695" i="24"/>
  <c r="E1695" i="24"/>
  <c r="A1695" i="24"/>
  <c r="Q1694" i="24"/>
  <c r="M1694" i="24"/>
  <c r="G1694" i="24"/>
  <c r="C1694" i="24"/>
  <c r="S1693" i="24"/>
  <c r="O1693" i="24"/>
  <c r="K1693" i="24"/>
  <c r="E1693" i="24"/>
  <c r="A1693" i="24"/>
  <c r="Q1692" i="24"/>
  <c r="M1692" i="24"/>
  <c r="G1692" i="24"/>
  <c r="C1692" i="24"/>
  <c r="S1691" i="24"/>
  <c r="O1691" i="24"/>
  <c r="K1691" i="24"/>
  <c r="E1691" i="24"/>
  <c r="A1691" i="24"/>
  <c r="Q1690" i="24"/>
  <c r="M1690" i="24"/>
  <c r="G1690" i="24"/>
  <c r="C1690" i="24"/>
  <c r="S1689" i="24"/>
  <c r="O1689" i="24"/>
  <c r="K1689" i="24"/>
  <c r="E1689" i="24"/>
  <c r="A1689" i="24"/>
  <c r="Q1688" i="24"/>
  <c r="M1688" i="24"/>
  <c r="G1688" i="24"/>
  <c r="C1688" i="24"/>
  <c r="S1687" i="24"/>
  <c r="O1687" i="24"/>
  <c r="K1687" i="24"/>
  <c r="E1687" i="24"/>
  <c r="A1687" i="24"/>
  <c r="Q1686" i="24"/>
  <c r="M1686" i="24"/>
  <c r="G1686" i="24"/>
  <c r="C1686" i="24"/>
  <c r="S1685" i="24"/>
  <c r="O1685" i="24"/>
  <c r="K1685" i="24"/>
  <c r="E1685" i="24"/>
  <c r="A1685" i="24"/>
  <c r="Q1684" i="24"/>
  <c r="M1684" i="24"/>
  <c r="G1684" i="24"/>
  <c r="C1684" i="24"/>
  <c r="S1683" i="24"/>
  <c r="O1683" i="24"/>
  <c r="K1683" i="24"/>
  <c r="E1683" i="24"/>
  <c r="A1683" i="24"/>
  <c r="Q1682" i="24"/>
  <c r="M1682" i="24"/>
  <c r="G1682" i="24"/>
  <c r="C1682" i="24"/>
  <c r="S1681" i="24"/>
  <c r="O1681" i="24"/>
  <c r="K1681" i="24"/>
  <c r="E1681" i="24"/>
  <c r="A1681" i="24"/>
  <c r="Q1680" i="24"/>
  <c r="M1680" i="24"/>
  <c r="G1680" i="24"/>
  <c r="C1680" i="24"/>
  <c r="S1679" i="24"/>
  <c r="O1679" i="24"/>
  <c r="K1679" i="24"/>
  <c r="E1679" i="24"/>
  <c r="A1679" i="24"/>
  <c r="Q1678" i="24"/>
  <c r="M1678" i="24"/>
  <c r="G1678" i="24"/>
  <c r="C1678" i="24"/>
  <c r="S1677" i="24"/>
  <c r="O1677" i="24"/>
  <c r="K1677" i="24"/>
  <c r="E1677" i="24"/>
  <c r="A1677" i="24"/>
  <c r="Q1676" i="24"/>
  <c r="M1676" i="24"/>
  <c r="G1676" i="24"/>
  <c r="C1676" i="24"/>
  <c r="S1675" i="24"/>
  <c r="O1675" i="24"/>
  <c r="K1675" i="24"/>
  <c r="E1675" i="24"/>
  <c r="A1675" i="24"/>
  <c r="Q1674" i="24"/>
  <c r="M1674" i="24"/>
  <c r="G1674" i="24"/>
  <c r="C1674" i="24"/>
  <c r="S1673" i="24"/>
  <c r="O1673" i="24"/>
  <c r="K1673" i="24"/>
  <c r="E1673" i="24"/>
  <c r="A1673" i="24"/>
  <c r="Q1672" i="24"/>
  <c r="M1672" i="24"/>
  <c r="G1672" i="24"/>
  <c r="C1672" i="24"/>
  <c r="S1671" i="24"/>
  <c r="O1671" i="24"/>
  <c r="K1671" i="24"/>
  <c r="E1671" i="24"/>
  <c r="A1671" i="24"/>
  <c r="Q1670" i="24"/>
  <c r="M1670" i="24"/>
  <c r="G1670" i="24"/>
  <c r="C1670" i="24"/>
  <c r="S1669" i="24"/>
  <c r="O1669" i="24"/>
  <c r="K1669" i="24"/>
  <c r="E1669" i="24"/>
  <c r="A1669" i="24"/>
  <c r="Q1668" i="24"/>
  <c r="M1668" i="24"/>
  <c r="G1668" i="24"/>
  <c r="C1668" i="24"/>
  <c r="S1667" i="24"/>
  <c r="O1667" i="24"/>
  <c r="K1667" i="24"/>
  <c r="E1667" i="24"/>
  <c r="A1667" i="24"/>
  <c r="Q1666" i="24"/>
  <c r="M1666" i="24"/>
  <c r="G1666" i="24"/>
  <c r="C1666" i="24"/>
  <c r="S1665" i="24"/>
  <c r="O1665" i="24"/>
  <c r="K1665" i="24"/>
  <c r="E1665" i="24"/>
  <c r="A1665" i="24"/>
  <c r="Q1664" i="24"/>
  <c r="M1664" i="24"/>
  <c r="G1664" i="24"/>
  <c r="C1664" i="24"/>
  <c r="S1663" i="24"/>
  <c r="O1663" i="24"/>
  <c r="K1663" i="24"/>
  <c r="E1663" i="24"/>
  <c r="A1663" i="24"/>
  <c r="Q1662" i="24"/>
  <c r="M1662" i="24"/>
  <c r="G1662" i="24"/>
  <c r="C1662" i="24"/>
  <c r="S1661" i="24"/>
  <c r="O1661" i="24"/>
  <c r="K1661" i="24"/>
  <c r="E1661" i="24"/>
  <c r="A1661" i="24"/>
  <c r="Q1660" i="24"/>
  <c r="M1660" i="24"/>
  <c r="G1660" i="24"/>
  <c r="C1660" i="24"/>
  <c r="S1659" i="24"/>
  <c r="O1659" i="24"/>
  <c r="K1659" i="24"/>
  <c r="E1659" i="24"/>
  <c r="A1659" i="24"/>
  <c r="Q1658" i="24"/>
  <c r="M1658" i="24"/>
  <c r="G1658" i="24"/>
  <c r="C1658" i="24"/>
  <c r="S1657" i="24"/>
  <c r="O1657" i="24"/>
  <c r="K1657" i="24"/>
  <c r="E1657" i="24"/>
  <c r="A1657" i="24"/>
  <c r="Q1656" i="24"/>
  <c r="M1656" i="24"/>
  <c r="G1656" i="24"/>
  <c r="C1656" i="24"/>
  <c r="S1655" i="24"/>
  <c r="O1655" i="24"/>
  <c r="K1655" i="24"/>
  <c r="E1655" i="24"/>
  <c r="A1655" i="24"/>
  <c r="Q1654" i="24"/>
  <c r="M1654" i="24"/>
  <c r="G1654" i="24"/>
  <c r="C1654" i="24"/>
  <c r="S1653" i="24"/>
  <c r="O1653" i="24"/>
  <c r="K1653" i="24"/>
  <c r="E1653" i="24"/>
  <c r="A1653" i="24"/>
  <c r="Q1652" i="24"/>
  <c r="M1652" i="24"/>
  <c r="G1652" i="24"/>
  <c r="C1652" i="24"/>
  <c r="S1651" i="24"/>
  <c r="O1651" i="24"/>
  <c r="K1651" i="24"/>
  <c r="E1651" i="24"/>
  <c r="A1651" i="24"/>
  <c r="Q1650" i="24"/>
  <c r="M1650" i="24"/>
  <c r="G1650" i="24"/>
  <c r="C1650" i="24"/>
  <c r="S1649" i="24"/>
  <c r="O1649" i="24"/>
  <c r="K1649" i="24"/>
  <c r="E1649" i="24"/>
  <c r="A1649" i="24"/>
  <c r="Q1648" i="24"/>
  <c r="M1648" i="24"/>
  <c r="G1648" i="24"/>
  <c r="C1648" i="24"/>
  <c r="S1647" i="24"/>
  <c r="O1647" i="24"/>
  <c r="K1647" i="24"/>
  <c r="E1647" i="24"/>
  <c r="A1647" i="24"/>
  <c r="Q1646" i="24"/>
  <c r="M1646" i="24"/>
  <c r="G1646" i="24"/>
  <c r="C1646" i="24"/>
  <c r="S1645" i="24"/>
  <c r="O1645" i="24"/>
  <c r="K1645" i="24"/>
  <c r="E1645" i="24"/>
  <c r="A1645" i="24"/>
  <c r="Q1644" i="24"/>
  <c r="M1644" i="24"/>
  <c r="G1644" i="24"/>
  <c r="C1644" i="24"/>
  <c r="S1643" i="24"/>
  <c r="O1643" i="24"/>
  <c r="K1643" i="24"/>
  <c r="E1643" i="24"/>
  <c r="A1643" i="24"/>
  <c r="Q1642" i="24"/>
  <c r="M1642" i="24"/>
  <c r="G1642" i="24"/>
  <c r="C1642" i="24"/>
  <c r="S1641" i="24"/>
  <c r="O1641" i="24"/>
  <c r="K1641" i="24"/>
  <c r="E1641" i="24"/>
  <c r="A1641" i="24"/>
  <c r="Q1640" i="24"/>
  <c r="M1640" i="24"/>
  <c r="G1640" i="24"/>
  <c r="C1640" i="24"/>
  <c r="S1639" i="24"/>
  <c r="O1639" i="24"/>
  <c r="K1639" i="24"/>
  <c r="E1639" i="24"/>
  <c r="A1639" i="24"/>
  <c r="Q1638" i="24"/>
  <c r="M1638" i="24"/>
  <c r="G1638" i="24"/>
  <c r="C1638" i="24"/>
  <c r="S1637" i="24"/>
  <c r="O1637" i="24"/>
  <c r="K1637" i="24"/>
  <c r="E1637" i="24"/>
  <c r="A1637" i="24"/>
  <c r="Q1636" i="24"/>
  <c r="M1636" i="24"/>
  <c r="G1636" i="24"/>
  <c r="C1636" i="24"/>
  <c r="S1635" i="24"/>
  <c r="O1635" i="24"/>
  <c r="K1635" i="24"/>
  <c r="E1635" i="24"/>
  <c r="A1635" i="24"/>
  <c r="Q1634" i="24"/>
  <c r="M1634" i="24"/>
  <c r="G1634" i="24"/>
  <c r="C1634" i="24"/>
  <c r="S1633" i="24"/>
  <c r="O1633" i="24"/>
  <c r="K1633" i="24"/>
  <c r="E1633" i="24"/>
  <c r="A1633" i="24"/>
  <c r="Q1632" i="24"/>
  <c r="M1632" i="24"/>
  <c r="G1632" i="24"/>
  <c r="C1632" i="24"/>
  <c r="S1631" i="24"/>
  <c r="O1631" i="24"/>
  <c r="K1631" i="24"/>
  <c r="E1631" i="24"/>
  <c r="A1631" i="24"/>
  <c r="Q1630" i="24"/>
  <c r="M1630" i="24"/>
  <c r="G1630" i="24"/>
  <c r="C1630" i="24"/>
  <c r="S1629" i="24"/>
  <c r="O1629" i="24"/>
  <c r="K1629" i="24"/>
  <c r="E1629" i="24"/>
  <c r="A1629" i="24"/>
  <c r="Q1628" i="24"/>
  <c r="M1628" i="24"/>
  <c r="G1628" i="24"/>
  <c r="C1628" i="24"/>
  <c r="S1627" i="24"/>
  <c r="O1627" i="24"/>
  <c r="K1627" i="24"/>
  <c r="E1627" i="24"/>
  <c r="A1627" i="24"/>
  <c r="Q1626" i="24"/>
  <c r="M1626" i="24"/>
  <c r="G1626" i="24"/>
  <c r="C1626" i="24"/>
  <c r="S1625" i="24"/>
  <c r="O1625" i="24"/>
  <c r="K1625" i="24"/>
  <c r="E1625" i="24"/>
  <c r="A1625" i="24"/>
  <c r="Q1624" i="24"/>
  <c r="M1624" i="24"/>
  <c r="G1624" i="24"/>
  <c r="C1624" i="24"/>
  <c r="S1623" i="24"/>
  <c r="O1623" i="24"/>
  <c r="K1623" i="24"/>
  <c r="E1623" i="24"/>
  <c r="A1623" i="24"/>
  <c r="Q1622" i="24"/>
  <c r="M1622" i="24"/>
  <c r="G1622" i="24"/>
  <c r="C1622" i="24"/>
  <c r="S1621" i="24"/>
  <c r="O1621" i="24"/>
  <c r="K1621" i="24"/>
  <c r="E1621" i="24"/>
  <c r="A1621" i="24"/>
  <c r="Q1620" i="24"/>
  <c r="M1620" i="24"/>
  <c r="G1620" i="24"/>
  <c r="C1620" i="24"/>
  <c r="S1619" i="24"/>
  <c r="O1619" i="24"/>
  <c r="K1619" i="24"/>
  <c r="E1619" i="24"/>
  <c r="A1619" i="24"/>
  <c r="Q1618" i="24"/>
  <c r="M1618" i="24"/>
  <c r="G1618" i="24"/>
  <c r="C1618" i="24"/>
  <c r="S1617" i="24"/>
  <c r="O1617" i="24"/>
  <c r="K1617" i="24"/>
  <c r="E1617" i="24"/>
  <c r="A1617" i="24"/>
  <c r="Q1616" i="24"/>
  <c r="M1616" i="24"/>
  <c r="G1616" i="24"/>
  <c r="C1616" i="24"/>
  <c r="S1615" i="24"/>
  <c r="O1615" i="24"/>
  <c r="K1615" i="24"/>
  <c r="E1615" i="24"/>
  <c r="A1615" i="24"/>
  <c r="Q1614" i="24"/>
  <c r="M1614" i="24"/>
  <c r="G1614" i="24"/>
  <c r="C1614" i="24"/>
  <c r="S1613" i="24"/>
  <c r="O1613" i="24"/>
  <c r="K1613" i="24"/>
  <c r="E1613" i="24"/>
  <c r="A1613" i="24"/>
  <c r="Q1612" i="24"/>
  <c r="M1612" i="24"/>
  <c r="G1612" i="24"/>
  <c r="C1612" i="24"/>
  <c r="S1611" i="24"/>
  <c r="O1611" i="24"/>
  <c r="K1611" i="24"/>
  <c r="E1611" i="24"/>
  <c r="A1611" i="24"/>
  <c r="Q1610" i="24"/>
  <c r="M1610" i="24"/>
  <c r="G1610" i="24"/>
  <c r="C1610" i="24"/>
  <c r="S1609" i="24"/>
  <c r="O1609" i="24"/>
  <c r="K1609" i="24"/>
  <c r="E1609" i="24"/>
  <c r="A1609" i="24"/>
  <c r="Q1608" i="24"/>
  <c r="M1608" i="24"/>
  <c r="G1608" i="24"/>
  <c r="C1608" i="24"/>
  <c r="S1607" i="24"/>
  <c r="O1607" i="24"/>
  <c r="K1607" i="24"/>
  <c r="E1607" i="24"/>
  <c r="A1607" i="24"/>
  <c r="Q1606" i="24"/>
  <c r="M1606" i="24"/>
  <c r="G1606" i="24"/>
  <c r="C1606" i="24"/>
  <c r="S1605" i="24"/>
  <c r="O1605" i="24"/>
  <c r="K1605" i="24"/>
  <c r="E1605" i="24"/>
  <c r="A1605" i="24"/>
  <c r="Q1604" i="24"/>
  <c r="M1604" i="24"/>
  <c r="G1604" i="24"/>
  <c r="C1604" i="24"/>
  <c r="S1603" i="24"/>
  <c r="O1603" i="24"/>
  <c r="K1603" i="24"/>
  <c r="E1603" i="24"/>
  <c r="A1603" i="24"/>
  <c r="Q1602" i="24"/>
  <c r="M1602" i="24"/>
  <c r="G1602" i="24"/>
  <c r="C1602" i="24"/>
  <c r="S1601" i="24"/>
  <c r="O1601" i="24"/>
  <c r="K1601" i="24"/>
  <c r="E1601" i="24"/>
  <c r="A1601" i="24"/>
  <c r="Q1600" i="24"/>
  <c r="M1600" i="24"/>
  <c r="G1600" i="24"/>
  <c r="C1600" i="24"/>
  <c r="S1599" i="24"/>
  <c r="O1599" i="24"/>
  <c r="K1599" i="24"/>
  <c r="E1599" i="24"/>
  <c r="A1599" i="24"/>
  <c r="Q1598" i="24"/>
  <c r="M1598" i="24"/>
  <c r="G1598" i="24"/>
  <c r="C1598" i="24"/>
  <c r="S1597" i="24"/>
  <c r="O1597" i="24"/>
  <c r="K1597" i="24"/>
  <c r="E1597" i="24"/>
  <c r="A1597" i="24"/>
  <c r="Q1596" i="24"/>
  <c r="M1596" i="24"/>
  <c r="G1596" i="24"/>
  <c r="C1596" i="24"/>
  <c r="S1595" i="24"/>
  <c r="O1595" i="24"/>
  <c r="K1595" i="24"/>
  <c r="E1595" i="24"/>
  <c r="A1595" i="24"/>
  <c r="Q1594" i="24"/>
  <c r="M1594" i="24"/>
  <c r="G1594" i="24"/>
  <c r="C1594" i="24"/>
  <c r="S1593" i="24"/>
  <c r="O1593" i="24"/>
  <c r="K1593" i="24"/>
  <c r="E1593" i="24"/>
  <c r="A1593" i="24"/>
  <c r="Q1592" i="24"/>
  <c r="M1592" i="24"/>
  <c r="G1592" i="24"/>
  <c r="C1592" i="24"/>
  <c r="S1591" i="24"/>
  <c r="O1591" i="24"/>
  <c r="K1591" i="24"/>
  <c r="E1591" i="24"/>
  <c r="A1591" i="24"/>
  <c r="Q1590" i="24"/>
  <c r="M1590" i="24"/>
  <c r="G1590" i="24"/>
  <c r="C1590" i="24"/>
  <c r="S1589" i="24"/>
  <c r="O1589" i="24"/>
  <c r="K1589" i="24"/>
  <c r="E1589" i="24"/>
  <c r="A1589" i="24"/>
  <c r="Q1588" i="24"/>
  <c r="M1588" i="24"/>
  <c r="G1588" i="24"/>
  <c r="C1588" i="24"/>
  <c r="S1587" i="24"/>
  <c r="O1587" i="24"/>
  <c r="K1587" i="24"/>
  <c r="E1587" i="24"/>
  <c r="A1587" i="24"/>
  <c r="Q1586" i="24"/>
  <c r="M1586" i="24"/>
  <c r="G1586" i="24"/>
  <c r="C1586" i="24"/>
  <c r="S1585" i="24"/>
  <c r="O1585" i="24"/>
  <c r="K1585" i="24"/>
  <c r="E1585" i="24"/>
  <c r="A1585" i="24"/>
  <c r="Q1584" i="24"/>
  <c r="M1584" i="24"/>
  <c r="G1584" i="24"/>
  <c r="C1584" i="24"/>
  <c r="S1583" i="24"/>
  <c r="O1583" i="24"/>
  <c r="K1583" i="24"/>
  <c r="E1583" i="24"/>
  <c r="A1583" i="24"/>
  <c r="Q1582" i="24"/>
  <c r="M1582" i="24"/>
  <c r="G1582" i="24"/>
  <c r="C1582" i="24"/>
  <c r="S1581" i="24"/>
  <c r="O1581" i="24"/>
  <c r="K1581" i="24"/>
  <c r="E1581" i="24"/>
  <c r="A1581" i="24"/>
  <c r="Q1580" i="24"/>
  <c r="M1580" i="24"/>
  <c r="G1580" i="24"/>
  <c r="C1580" i="24"/>
  <c r="S1579" i="24"/>
  <c r="O1579" i="24"/>
  <c r="K1579" i="24"/>
  <c r="E1579" i="24"/>
  <c r="A1579" i="24"/>
  <c r="Q1578" i="24"/>
  <c r="M1578" i="24"/>
  <c r="G1578" i="24"/>
  <c r="C1578" i="24"/>
  <c r="S1577" i="24"/>
  <c r="O1577" i="24"/>
  <c r="K1577" i="24"/>
  <c r="E1577" i="24"/>
  <c r="A1577" i="24"/>
  <c r="Q1576" i="24"/>
  <c r="M1576" i="24"/>
  <c r="G1576" i="24"/>
  <c r="C1576" i="24"/>
  <c r="S1575" i="24"/>
  <c r="O1575" i="24"/>
  <c r="K1575" i="24"/>
  <c r="E1575" i="24"/>
  <c r="A1575" i="24"/>
  <c r="Q1574" i="24"/>
  <c r="M1574" i="24"/>
  <c r="G1574" i="24"/>
  <c r="C1574" i="24"/>
  <c r="S1573" i="24"/>
  <c r="O1573" i="24"/>
  <c r="K1573" i="24"/>
  <c r="E1573" i="24"/>
  <c r="A1573" i="24"/>
  <c r="Q1572" i="24"/>
  <c r="M1572" i="24"/>
  <c r="G1572" i="24"/>
  <c r="C1572" i="24"/>
  <c r="S1571" i="24"/>
  <c r="O1571" i="24"/>
  <c r="K1571" i="24"/>
  <c r="E1571" i="24"/>
  <c r="A1571" i="24"/>
  <c r="Q1570" i="24"/>
  <c r="M1570" i="24"/>
  <c r="G1570" i="24"/>
  <c r="C1570" i="24"/>
  <c r="S1569" i="24"/>
  <c r="O1569" i="24"/>
  <c r="K1569" i="24"/>
  <c r="E1569" i="24"/>
  <c r="A1569" i="24"/>
  <c r="Q1568" i="24"/>
  <c r="M1568" i="24"/>
  <c r="G1568" i="24"/>
  <c r="C1568" i="24"/>
  <c r="S1567" i="24"/>
  <c r="O1567" i="24"/>
  <c r="K1567" i="24"/>
  <c r="E1567" i="24"/>
  <c r="A1567" i="24"/>
  <c r="Q1566" i="24"/>
  <c r="M1566" i="24"/>
  <c r="G1566" i="24"/>
  <c r="C1566" i="24"/>
  <c r="S1565" i="24"/>
  <c r="O1565" i="24"/>
  <c r="K1565" i="24"/>
  <c r="E1565" i="24"/>
  <c r="A1565" i="24"/>
  <c r="Q1564" i="24"/>
  <c r="M1564" i="24"/>
  <c r="G1564" i="24"/>
  <c r="C1564" i="24"/>
  <c r="S1563" i="24"/>
  <c r="O1563" i="24"/>
  <c r="K1563" i="24"/>
  <c r="E1563" i="24"/>
  <c r="A1563" i="24"/>
  <c r="Q1562" i="24"/>
  <c r="M1562" i="24"/>
  <c r="G1562" i="24"/>
  <c r="C1562" i="24"/>
  <c r="S1561" i="24"/>
  <c r="O1561" i="24"/>
  <c r="K1561" i="24"/>
  <c r="E1561" i="24"/>
  <c r="A1561" i="24"/>
  <c r="Q1560" i="24"/>
  <c r="M1560" i="24"/>
  <c r="G1560" i="24"/>
  <c r="C1560" i="24"/>
  <c r="S1559" i="24"/>
  <c r="O1559" i="24"/>
  <c r="K1559" i="24"/>
  <c r="E1559" i="24"/>
  <c r="A1559" i="24"/>
  <c r="Q1558" i="24"/>
  <c r="M1558" i="24"/>
  <c r="G1558" i="24"/>
  <c r="C1558" i="24"/>
  <c r="S1557" i="24"/>
  <c r="O1557" i="24"/>
  <c r="K1557" i="24"/>
  <c r="E1557" i="24"/>
  <c r="A1557" i="24"/>
  <c r="Q1556" i="24"/>
  <c r="M1556" i="24"/>
  <c r="G1556" i="24"/>
  <c r="C1556" i="24"/>
  <c r="S1555" i="24"/>
  <c r="O1555" i="24"/>
  <c r="K1555" i="24"/>
  <c r="E1555" i="24"/>
  <c r="A1555" i="24"/>
  <c r="Q1554" i="24"/>
  <c r="M1554" i="24"/>
  <c r="G1554" i="24"/>
  <c r="C1554" i="24"/>
  <c r="S1553" i="24"/>
  <c r="O1553" i="24"/>
  <c r="K1553" i="24"/>
  <c r="E1553" i="24"/>
  <c r="A1553" i="24"/>
  <c r="Q1552" i="24"/>
  <c r="M1552" i="24"/>
  <c r="G1552" i="24"/>
  <c r="C1552" i="24"/>
  <c r="S1551" i="24"/>
  <c r="O1551" i="24"/>
  <c r="K1551" i="24"/>
  <c r="E1551" i="24"/>
  <c r="A1551" i="24"/>
  <c r="Q1550" i="24"/>
  <c r="M1550" i="24"/>
  <c r="G1550" i="24"/>
  <c r="C1550" i="24"/>
  <c r="S1549" i="24"/>
  <c r="O1549" i="24"/>
  <c r="K1549" i="24"/>
  <c r="E1549" i="24"/>
  <c r="A1549" i="24"/>
  <c r="Q1548" i="24"/>
  <c r="M1548" i="24"/>
  <c r="G1548" i="24"/>
  <c r="C1548" i="24"/>
  <c r="S1547" i="24"/>
  <c r="O1547" i="24"/>
  <c r="K1547" i="24"/>
  <c r="E1547" i="24"/>
  <c r="A1547" i="24"/>
  <c r="Q1546" i="24"/>
  <c r="M1546" i="24"/>
  <c r="G1546" i="24"/>
  <c r="C1546" i="24"/>
  <c r="S1545" i="24"/>
  <c r="O1545" i="24"/>
  <c r="K1545" i="24"/>
  <c r="E1545" i="24"/>
  <c r="A1545" i="24"/>
  <c r="Q1544" i="24"/>
  <c r="M1544" i="24"/>
  <c r="G1544" i="24"/>
  <c r="C1544" i="24"/>
  <c r="S1543" i="24"/>
  <c r="O1543" i="24"/>
  <c r="K1543" i="24"/>
  <c r="E1543" i="24"/>
  <c r="A1543" i="24"/>
  <c r="Q1542" i="24"/>
  <c r="M1542" i="24"/>
  <c r="G1542" i="24"/>
  <c r="C1542" i="24"/>
  <c r="S1541" i="24"/>
  <c r="O1541" i="24"/>
  <c r="K1541" i="24"/>
  <c r="E1541" i="24"/>
  <c r="A1541" i="24"/>
  <c r="Q1540" i="24"/>
  <c r="M1540" i="24"/>
  <c r="G1540" i="24"/>
  <c r="C1540" i="24"/>
  <c r="S1539" i="24"/>
  <c r="O1539" i="24"/>
  <c r="K1539" i="24"/>
  <c r="E1539" i="24"/>
  <c r="A1539" i="24"/>
  <c r="Q1538" i="24"/>
  <c r="M1538" i="24"/>
  <c r="G1538" i="24"/>
  <c r="C1538" i="24"/>
  <c r="S1537" i="24"/>
  <c r="O1537" i="24"/>
  <c r="K1537" i="24"/>
  <c r="E1537" i="24"/>
  <c r="A1537" i="24"/>
  <c r="Q1536" i="24"/>
  <c r="M1536" i="24"/>
  <c r="G1536" i="24"/>
  <c r="C1536" i="24"/>
  <c r="S1535" i="24"/>
  <c r="O1535" i="24"/>
  <c r="K1535" i="24"/>
  <c r="E1535" i="24"/>
  <c r="A1535" i="24"/>
  <c r="Q1534" i="24"/>
  <c r="M1534" i="24"/>
  <c r="G1534" i="24"/>
  <c r="C1534" i="24"/>
  <c r="S1533" i="24"/>
  <c r="O1533" i="24"/>
  <c r="K1533" i="24"/>
  <c r="E1533" i="24"/>
  <c r="A1533" i="24"/>
  <c r="Q1532" i="24"/>
  <c r="M1532" i="24"/>
  <c r="G1532" i="24"/>
  <c r="C1532" i="24"/>
  <c r="S1531" i="24"/>
  <c r="O1531" i="24"/>
  <c r="K1531" i="24"/>
  <c r="E1531" i="24"/>
  <c r="A1531" i="24"/>
  <c r="Q1530" i="24"/>
  <c r="M1530" i="24"/>
  <c r="G1530" i="24"/>
  <c r="C1530" i="24"/>
  <c r="S1529" i="24"/>
  <c r="O1529" i="24"/>
  <c r="K1529" i="24"/>
  <c r="E1529" i="24"/>
  <c r="A1529" i="24"/>
  <c r="Q1528" i="24"/>
  <c r="M1528" i="24"/>
  <c r="G1528" i="24"/>
  <c r="C1528" i="24"/>
  <c r="S1527" i="24"/>
  <c r="O1527" i="24"/>
  <c r="K1527" i="24"/>
  <c r="E1527" i="24"/>
  <c r="A1527" i="24"/>
  <c r="Q1526" i="24"/>
  <c r="M1526" i="24"/>
  <c r="G1526" i="24"/>
  <c r="C1526" i="24"/>
  <c r="S1525" i="24"/>
  <c r="O1525" i="24"/>
  <c r="K1525" i="24"/>
  <c r="E1525" i="24"/>
  <c r="A1525" i="24"/>
  <c r="Q1524" i="24"/>
  <c r="M1524" i="24"/>
  <c r="G1524" i="24"/>
  <c r="C1524" i="24"/>
  <c r="S1523" i="24"/>
  <c r="O1523" i="24"/>
  <c r="K1523" i="24"/>
  <c r="E1523" i="24"/>
  <c r="A1523" i="24"/>
  <c r="Q1522" i="24"/>
  <c r="M1522" i="24"/>
  <c r="G1522" i="24"/>
  <c r="C1522" i="24"/>
  <c r="S1521" i="24"/>
  <c r="O1521" i="24"/>
  <c r="K1521" i="24"/>
  <c r="E1521" i="24"/>
  <c r="A1521" i="24"/>
  <c r="Q1520" i="24"/>
  <c r="M1520" i="24"/>
  <c r="G1520" i="24"/>
  <c r="C1520" i="24"/>
  <c r="S1519" i="24"/>
  <c r="O1519" i="24"/>
  <c r="K1519" i="24"/>
  <c r="E1519" i="24"/>
  <c r="A1519" i="24"/>
  <c r="Q1518" i="24"/>
  <c r="M1518" i="24"/>
  <c r="G1518" i="24"/>
  <c r="C1518" i="24"/>
  <c r="S1517" i="24"/>
  <c r="O1517" i="24"/>
  <c r="K1517" i="24"/>
  <c r="E1517" i="24"/>
  <c r="A1517" i="24"/>
  <c r="Q1516" i="24"/>
  <c r="M1516" i="24"/>
  <c r="G1516" i="24"/>
  <c r="C1516" i="24"/>
  <c r="S1515" i="24"/>
  <c r="O1515" i="24"/>
  <c r="K1515" i="24"/>
  <c r="E1515" i="24"/>
  <c r="A1515" i="24"/>
  <c r="Q1514" i="24"/>
  <c r="M1514" i="24"/>
  <c r="G1514" i="24"/>
  <c r="C1514" i="24"/>
  <c r="S1513" i="24"/>
  <c r="O1513" i="24"/>
  <c r="K1513" i="24"/>
  <c r="E1513" i="24"/>
  <c r="A1513" i="24"/>
  <c r="Q1512" i="24"/>
  <c r="M1512" i="24"/>
  <c r="G1512" i="24"/>
  <c r="C1512" i="24"/>
  <c r="S1511" i="24"/>
  <c r="O1511" i="24"/>
  <c r="K1511" i="24"/>
  <c r="E1511" i="24"/>
  <c r="A1511" i="24"/>
  <c r="Q1510" i="24"/>
  <c r="M1510" i="24"/>
  <c r="G1510" i="24"/>
  <c r="C1510" i="24"/>
  <c r="S1509" i="24"/>
  <c r="O1509" i="24"/>
  <c r="K1509" i="24"/>
  <c r="E1509" i="24"/>
  <c r="A1509" i="24"/>
  <c r="Q1508" i="24"/>
  <c r="M1508" i="24"/>
  <c r="G1508" i="24"/>
  <c r="C1508" i="24"/>
  <c r="S1507" i="24"/>
  <c r="O1507" i="24"/>
  <c r="K1507" i="24"/>
  <c r="E1507" i="24"/>
  <c r="A1507" i="24"/>
  <c r="Q1506" i="24"/>
  <c r="M1506" i="24"/>
  <c r="G1506" i="24"/>
  <c r="C1506" i="24"/>
  <c r="S1505" i="24"/>
  <c r="O1505" i="24"/>
  <c r="K1505" i="24"/>
  <c r="E1505" i="24"/>
  <c r="A1505" i="24"/>
  <c r="Q1504" i="24"/>
  <c r="M1504" i="24"/>
  <c r="G1504" i="24"/>
  <c r="C1504" i="24"/>
  <c r="S1503" i="24"/>
  <c r="O1503" i="24"/>
  <c r="K1503" i="24"/>
  <c r="E1503" i="24"/>
  <c r="A1503" i="24"/>
  <c r="Q1502" i="24"/>
  <c r="M1502" i="24"/>
  <c r="G1502" i="24"/>
  <c r="C1502" i="24"/>
  <c r="S1501" i="24"/>
  <c r="O1501" i="24"/>
  <c r="K1501" i="24"/>
  <c r="E1501" i="24"/>
  <c r="A1501" i="24"/>
  <c r="Q1500" i="24"/>
  <c r="M1500" i="24"/>
  <c r="G1500" i="24"/>
  <c r="C1500" i="24"/>
  <c r="S1499" i="24"/>
  <c r="O1499" i="24"/>
  <c r="K1499" i="24"/>
  <c r="E1499" i="24"/>
  <c r="A1499" i="24"/>
  <c r="Q1498" i="24"/>
  <c r="M1498" i="24"/>
  <c r="G1498" i="24"/>
  <c r="C1498" i="24"/>
  <c r="S1497" i="24"/>
  <c r="O1497" i="24"/>
  <c r="K1497" i="24"/>
  <c r="E1497" i="24"/>
  <c r="A1497" i="24"/>
  <c r="Q1496" i="24"/>
  <c r="M1496" i="24"/>
  <c r="G1496" i="24"/>
  <c r="C1496" i="24"/>
  <c r="S1495" i="24"/>
  <c r="O1495" i="24"/>
  <c r="K1495" i="24"/>
  <c r="E1495" i="24"/>
  <c r="A1495" i="24"/>
  <c r="Q1494" i="24"/>
  <c r="M1494" i="24"/>
  <c r="G1494" i="24"/>
  <c r="C1494" i="24"/>
  <c r="S1493" i="24"/>
  <c r="O1493" i="24"/>
  <c r="K1493" i="24"/>
  <c r="E1493" i="24"/>
  <c r="A1493" i="24"/>
  <c r="Q1492" i="24"/>
  <c r="M1492" i="24"/>
  <c r="G1492" i="24"/>
  <c r="C1492" i="24"/>
  <c r="S1491" i="24"/>
  <c r="O1491" i="24"/>
  <c r="K1491" i="24"/>
  <c r="E1491" i="24"/>
  <c r="A1491" i="24"/>
  <c r="Q1490" i="24"/>
  <c r="M1490" i="24"/>
  <c r="G1490" i="24"/>
  <c r="C1490" i="24"/>
  <c r="S1489" i="24"/>
  <c r="O1489" i="24"/>
  <c r="K1489" i="24"/>
  <c r="E1489" i="24"/>
  <c r="A1489" i="24"/>
  <c r="Q1488" i="24"/>
  <c r="M1488" i="24"/>
  <c r="G1488" i="24"/>
  <c r="C1488" i="24"/>
  <c r="S1487" i="24"/>
  <c r="O1487" i="24"/>
  <c r="K1487" i="24"/>
  <c r="E1487" i="24"/>
  <c r="A1487" i="24"/>
  <c r="Q1486" i="24"/>
  <c r="M1486" i="24"/>
  <c r="G1486" i="24"/>
  <c r="C1486" i="24"/>
  <c r="S1485" i="24"/>
  <c r="O1485" i="24"/>
  <c r="K1485" i="24"/>
  <c r="E1485" i="24"/>
  <c r="A1485" i="24"/>
  <c r="Q1484" i="24"/>
  <c r="M1484" i="24"/>
  <c r="G1484" i="24"/>
  <c r="C1484" i="24"/>
  <c r="S1483" i="24"/>
  <c r="O1483" i="24"/>
  <c r="K1483" i="24"/>
  <c r="E1483" i="24"/>
  <c r="A1483" i="24"/>
  <c r="Q1482" i="24"/>
  <c r="M1482" i="24"/>
  <c r="G1482" i="24"/>
  <c r="C1482" i="24"/>
  <c r="S1481" i="24"/>
  <c r="O1481" i="24"/>
  <c r="K1481" i="24"/>
  <c r="E1481" i="24"/>
  <c r="A1481" i="24"/>
  <c r="Q1480" i="24"/>
  <c r="M1480" i="24"/>
  <c r="G1480" i="24"/>
  <c r="C1480" i="24"/>
  <c r="S1479" i="24"/>
  <c r="O1479" i="24"/>
  <c r="K1479" i="24"/>
  <c r="E1479" i="24"/>
  <c r="A1479" i="24"/>
  <c r="Q1478" i="24"/>
  <c r="M1478" i="24"/>
  <c r="G1478" i="24"/>
  <c r="C1478" i="24"/>
  <c r="S1477" i="24"/>
  <c r="O1477" i="24"/>
  <c r="K1477" i="24"/>
  <c r="E1477" i="24"/>
  <c r="A1477" i="24"/>
  <c r="Q1476" i="24"/>
  <c r="M1476" i="24"/>
  <c r="G1476" i="24"/>
  <c r="C1476" i="24"/>
  <c r="S1475" i="24"/>
  <c r="O1475" i="24"/>
  <c r="K1475" i="24"/>
  <c r="E1475" i="24"/>
  <c r="A1475" i="24"/>
  <c r="Q1474" i="24"/>
  <c r="M1474" i="24"/>
  <c r="G1474" i="24"/>
  <c r="C1474" i="24"/>
  <c r="S1473" i="24"/>
  <c r="O1473" i="24"/>
  <c r="K1473" i="24"/>
  <c r="E1473" i="24"/>
  <c r="A1473" i="24"/>
  <c r="Q1472" i="24"/>
  <c r="M1472" i="24"/>
  <c r="G1472" i="24"/>
  <c r="C1472" i="24"/>
  <c r="S1471" i="24"/>
  <c r="O1471" i="24"/>
  <c r="K1471" i="24"/>
  <c r="E1471" i="24"/>
  <c r="A1471" i="24"/>
  <c r="Q1470" i="24"/>
  <c r="M1470" i="24"/>
  <c r="G1470" i="24"/>
  <c r="C1470" i="24"/>
  <c r="S1469" i="24"/>
  <c r="O1469" i="24"/>
  <c r="K1469" i="24"/>
  <c r="E1469" i="24"/>
  <c r="A1469" i="24"/>
  <c r="Q1468" i="24"/>
  <c r="M1468" i="24"/>
  <c r="G1468" i="24"/>
  <c r="C1468" i="24"/>
  <c r="S1467" i="24"/>
  <c r="O1467" i="24"/>
  <c r="K1467" i="24"/>
  <c r="E1467" i="24"/>
  <c r="A1467" i="24"/>
  <c r="Q1466" i="24"/>
  <c r="M1466" i="24"/>
  <c r="G1466" i="24"/>
  <c r="C1466" i="24"/>
  <c r="S1465" i="24"/>
  <c r="O1465" i="24"/>
  <c r="K1465" i="24"/>
  <c r="E1465" i="24"/>
  <c r="A1465" i="24"/>
  <c r="Q1464" i="24"/>
  <c r="M1464" i="24"/>
  <c r="G1464" i="24"/>
  <c r="C1464" i="24"/>
  <c r="S1463" i="24"/>
  <c r="O1463" i="24"/>
  <c r="K1463" i="24"/>
  <c r="E1463" i="24"/>
  <c r="A1463" i="24"/>
  <c r="Q1462" i="24"/>
  <c r="M1462" i="24"/>
  <c r="G1462" i="24"/>
  <c r="C1462" i="24"/>
  <c r="S1461" i="24"/>
  <c r="O1461" i="24"/>
  <c r="K1461" i="24"/>
  <c r="E1461" i="24"/>
  <c r="A1461" i="24"/>
  <c r="Q1460" i="24"/>
  <c r="M1460" i="24"/>
  <c r="G1460" i="24"/>
  <c r="C1460" i="24"/>
  <c r="S1459" i="24"/>
  <c r="O1459" i="24"/>
  <c r="K1459" i="24"/>
  <c r="E1459" i="24"/>
  <c r="A1459" i="24"/>
  <c r="Q1458" i="24"/>
  <c r="M1458" i="24"/>
  <c r="G1458" i="24"/>
  <c r="C1458" i="24"/>
  <c r="S1457" i="24"/>
  <c r="O1457" i="24"/>
  <c r="K1457" i="24"/>
  <c r="E1457" i="24"/>
  <c r="A1457" i="24"/>
  <c r="Q1456" i="24"/>
  <c r="M1456" i="24"/>
  <c r="G1456" i="24"/>
  <c r="C1456" i="24"/>
  <c r="S1455" i="24"/>
  <c r="O1455" i="24"/>
  <c r="K1455" i="24"/>
  <c r="E1455" i="24"/>
  <c r="A1455" i="24"/>
  <c r="Q1454" i="24"/>
  <c r="M1454" i="24"/>
  <c r="G1454" i="24"/>
  <c r="C1454" i="24"/>
  <c r="S1453" i="24"/>
  <c r="O1453" i="24"/>
  <c r="K1453" i="24"/>
  <c r="E1453" i="24"/>
  <c r="A1453" i="24"/>
  <c r="Q1452" i="24"/>
  <c r="M1452" i="24"/>
  <c r="G1452" i="24"/>
  <c r="C1452" i="24"/>
  <c r="S1451" i="24"/>
  <c r="O1451" i="24"/>
  <c r="K1451" i="24"/>
  <c r="E1451" i="24"/>
  <c r="A1451" i="24"/>
  <c r="Q1450" i="24"/>
  <c r="M1450" i="24"/>
  <c r="G1450" i="24"/>
  <c r="C1450" i="24"/>
  <c r="S1449" i="24"/>
  <c r="O1449" i="24"/>
  <c r="K1449" i="24"/>
  <c r="E1449" i="24"/>
  <c r="A1449" i="24"/>
  <c r="Q1448" i="24"/>
  <c r="M1448" i="24"/>
  <c r="G1448" i="24"/>
  <c r="C1448" i="24"/>
  <c r="S1447" i="24"/>
  <c r="O1447" i="24"/>
  <c r="K1447" i="24"/>
  <c r="E1447" i="24"/>
  <c r="A1447" i="24"/>
  <c r="Q1446" i="24"/>
  <c r="M1446" i="24"/>
  <c r="G1446" i="24"/>
  <c r="C1446" i="24"/>
  <c r="S1445" i="24"/>
  <c r="O1445" i="24"/>
  <c r="K1445" i="24"/>
  <c r="E1445" i="24"/>
  <c r="A1445" i="24"/>
  <c r="Q1444" i="24"/>
  <c r="M1444" i="24"/>
  <c r="G1444" i="24"/>
  <c r="C1444" i="24"/>
  <c r="S1443" i="24"/>
  <c r="O1443" i="24"/>
  <c r="K1443" i="24"/>
  <c r="E1443" i="24"/>
  <c r="A1443" i="24"/>
  <c r="Q1442" i="24"/>
  <c r="M1442" i="24"/>
  <c r="G1442" i="24"/>
  <c r="C1442" i="24"/>
  <c r="S1441" i="24"/>
  <c r="O1441" i="24"/>
  <c r="K1441" i="24"/>
  <c r="E1441" i="24"/>
  <c r="A1441" i="24"/>
  <c r="Q1440" i="24"/>
  <c r="M1440" i="24"/>
  <c r="G1440" i="24"/>
  <c r="C1440" i="24"/>
  <c r="S1439" i="24"/>
  <c r="O1439" i="24"/>
  <c r="K1439" i="24"/>
  <c r="E1439" i="24"/>
  <c r="A1439" i="24"/>
  <c r="Q1438" i="24"/>
  <c r="M1438" i="24"/>
  <c r="G1438" i="24"/>
  <c r="C1438" i="24"/>
  <c r="S1437" i="24"/>
  <c r="O1437" i="24"/>
  <c r="K1437" i="24"/>
  <c r="E1437" i="24"/>
  <c r="A1437" i="24"/>
  <c r="Q1436" i="24"/>
  <c r="M1436" i="24"/>
  <c r="G1436" i="24"/>
  <c r="C1436" i="24"/>
  <c r="S1435" i="24"/>
  <c r="O1435" i="24"/>
  <c r="K1435" i="24"/>
  <c r="E1435" i="24"/>
  <c r="A1435" i="24"/>
  <c r="Q1434" i="24"/>
  <c r="M1434" i="24"/>
  <c r="G1434" i="24"/>
  <c r="C1434" i="24"/>
  <c r="S1433" i="24"/>
  <c r="O1433" i="24"/>
  <c r="K1433" i="24"/>
  <c r="E1433" i="24"/>
  <c r="A1433" i="24"/>
  <c r="Q1432" i="24"/>
  <c r="M1432" i="24"/>
  <c r="G1432" i="24"/>
  <c r="C1432" i="24"/>
  <c r="S1431" i="24"/>
  <c r="O1431" i="24"/>
  <c r="K1431" i="24"/>
  <c r="E1431" i="24"/>
  <c r="A1431" i="24"/>
  <c r="Q1430" i="24"/>
  <c r="M1430" i="24"/>
  <c r="G1430" i="24"/>
  <c r="C1430" i="24"/>
  <c r="S1429" i="24"/>
  <c r="O1429" i="24"/>
  <c r="K1429" i="24"/>
  <c r="E1429" i="24"/>
  <c r="A1429" i="24"/>
  <c r="Q1428" i="24"/>
  <c r="M1428" i="24"/>
  <c r="G1428" i="24"/>
  <c r="C1428" i="24"/>
  <c r="S1427" i="24"/>
  <c r="O1427" i="24"/>
  <c r="K1427" i="24"/>
  <c r="E1427" i="24"/>
  <c r="A1427" i="24"/>
  <c r="Q1426" i="24"/>
  <c r="M1426" i="24"/>
  <c r="G1426" i="24"/>
  <c r="C1426" i="24"/>
  <c r="S1425" i="24"/>
  <c r="O1425" i="24"/>
  <c r="K1425" i="24"/>
  <c r="E1425" i="24"/>
  <c r="A1425" i="24"/>
  <c r="Q1424" i="24"/>
  <c r="M1424" i="24"/>
  <c r="G1424" i="24"/>
  <c r="C1424" i="24"/>
  <c r="S1423" i="24"/>
  <c r="O1423" i="24"/>
  <c r="K1423" i="24"/>
  <c r="E1423" i="24"/>
  <c r="A1423" i="24"/>
  <c r="Q1422" i="24"/>
  <c r="M1422" i="24"/>
  <c r="G1422" i="24"/>
  <c r="C1422" i="24"/>
  <c r="S1421" i="24"/>
  <c r="O1421" i="24"/>
  <c r="K1421" i="24"/>
  <c r="E1421" i="24"/>
  <c r="A1421" i="24"/>
  <c r="Q1420" i="24"/>
  <c r="M1420" i="24"/>
  <c r="G1420" i="24"/>
  <c r="C1420" i="24"/>
  <c r="S1419" i="24"/>
  <c r="O1419" i="24"/>
  <c r="K1419" i="24"/>
  <c r="E1419" i="24"/>
  <c r="A1419" i="24"/>
  <c r="Q1418" i="24"/>
  <c r="M1418" i="24"/>
  <c r="G1418" i="24"/>
  <c r="C1418" i="24"/>
  <c r="S1417" i="24"/>
  <c r="O1417" i="24"/>
  <c r="K1417" i="24"/>
  <c r="E1417" i="24"/>
  <c r="A1417" i="24"/>
  <c r="Q1416" i="24"/>
  <c r="M1416" i="24"/>
  <c r="G1416" i="24"/>
  <c r="C1416" i="24"/>
  <c r="S1415" i="24"/>
  <c r="O1415" i="24"/>
  <c r="K1415" i="24"/>
  <c r="E1415" i="24"/>
  <c r="A1415" i="24"/>
  <c r="Q1414" i="24"/>
  <c r="M1414" i="24"/>
  <c r="G1414" i="24"/>
  <c r="C1414" i="24"/>
  <c r="S1413" i="24"/>
  <c r="O1413" i="24"/>
  <c r="K1413" i="24"/>
  <c r="E1413" i="24"/>
  <c r="A1413" i="24"/>
  <c r="Q1412" i="24"/>
  <c r="M1412" i="24"/>
  <c r="G1412" i="24"/>
  <c r="C1412" i="24"/>
  <c r="S1411" i="24"/>
  <c r="O1411" i="24"/>
  <c r="K1411" i="24"/>
  <c r="E1411" i="24"/>
  <c r="A1411" i="24"/>
  <c r="Q1410" i="24"/>
  <c r="M1410" i="24"/>
  <c r="G1410" i="24"/>
  <c r="L2334" i="24"/>
  <c r="D2274" i="24"/>
  <c r="P2245" i="24"/>
  <c r="F2217" i="24"/>
  <c r="R2188" i="24"/>
  <c r="H2160" i="24"/>
  <c r="T2131" i="24"/>
  <c r="L2103" i="24"/>
  <c r="P2078" i="24"/>
  <c r="L2064" i="24"/>
  <c r="F2050" i="24"/>
  <c r="B2036" i="24"/>
  <c r="K2027" i="24"/>
  <c r="G2020" i="24"/>
  <c r="E2013" i="24"/>
  <c r="C2006" i="24"/>
  <c r="A1999" i="24"/>
  <c r="S1991" i="24"/>
  <c r="Q1984" i="24"/>
  <c r="O1977" i="24"/>
  <c r="M1970" i="24"/>
  <c r="T1965" i="24"/>
  <c r="H1962" i="24"/>
  <c r="R1958" i="24"/>
  <c r="F1955" i="24"/>
  <c r="P1951" i="24"/>
  <c r="D1948" i="24"/>
  <c r="N1944" i="24"/>
  <c r="B1941" i="24"/>
  <c r="L1937" i="24"/>
  <c r="T1933" i="24"/>
  <c r="H1930" i="24"/>
  <c r="R1926" i="24"/>
  <c r="F1923" i="24"/>
  <c r="P1919" i="24"/>
  <c r="D1916" i="24"/>
  <c r="N1912" i="24"/>
  <c r="B1909" i="24"/>
  <c r="L1905" i="24"/>
  <c r="T1901" i="24"/>
  <c r="H1898" i="24"/>
  <c r="R1894" i="24"/>
  <c r="F1891" i="24"/>
  <c r="P1887" i="24"/>
  <c r="D1884" i="24"/>
  <c r="N1880" i="24"/>
  <c r="B1877" i="24"/>
  <c r="L1873" i="24"/>
  <c r="T1869" i="24"/>
  <c r="H1866" i="24"/>
  <c r="R1862" i="24"/>
  <c r="F1859" i="24"/>
  <c r="P1855" i="24"/>
  <c r="D1852" i="24"/>
  <c r="N1848" i="24"/>
  <c r="B1845" i="24"/>
  <c r="L1841" i="24"/>
  <c r="T1837" i="24"/>
  <c r="H1834" i="24"/>
  <c r="R1830" i="24"/>
  <c r="F1827" i="24"/>
  <c r="P1823" i="24"/>
  <c r="D1820" i="24"/>
  <c r="N1816" i="24"/>
  <c r="M1813" i="24"/>
  <c r="Q1811" i="24"/>
  <c r="A1810" i="24"/>
  <c r="E1808" i="24"/>
  <c r="K1806" i="24"/>
  <c r="O1804" i="24"/>
  <c r="S1802" i="24"/>
  <c r="C1801" i="24"/>
  <c r="G1799" i="24"/>
  <c r="M1797" i="24"/>
  <c r="Q1795" i="24"/>
  <c r="A1794" i="24"/>
  <c r="E1792" i="24"/>
  <c r="K1790" i="24"/>
  <c r="O1788" i="24"/>
  <c r="S1786" i="24"/>
  <c r="C1785" i="24"/>
  <c r="G1783" i="24"/>
  <c r="M1781" i="24"/>
  <c r="Q1779" i="24"/>
  <c r="A1778" i="24"/>
  <c r="P1776" i="24"/>
  <c r="R1775" i="24"/>
  <c r="T1774" i="24"/>
  <c r="B1774" i="24"/>
  <c r="D1773" i="24"/>
  <c r="F1772" i="24"/>
  <c r="H1771" i="24"/>
  <c r="L1770" i="24"/>
  <c r="N1769" i="24"/>
  <c r="P1768" i="24"/>
  <c r="R1767" i="24"/>
  <c r="T1766" i="24"/>
  <c r="B1766" i="24"/>
  <c r="D1765" i="24"/>
  <c r="F1764" i="24"/>
  <c r="H1763" i="24"/>
  <c r="L1762" i="24"/>
  <c r="N1761" i="24"/>
  <c r="P1760" i="24"/>
  <c r="R1759" i="24"/>
  <c r="T1758" i="24"/>
  <c r="B1758" i="24"/>
  <c r="D1757" i="24"/>
  <c r="F1756" i="24"/>
  <c r="H1755" i="24"/>
  <c r="L1754" i="24"/>
  <c r="N1753" i="24"/>
  <c r="P1752" i="24"/>
  <c r="R1751" i="24"/>
  <c r="T1750" i="24"/>
  <c r="B1750" i="24"/>
  <c r="D1749" i="24"/>
  <c r="F1748" i="24"/>
  <c r="H1747" i="24"/>
  <c r="L1746" i="24"/>
  <c r="N1745" i="24"/>
  <c r="P1744" i="24"/>
  <c r="R1743" i="24"/>
  <c r="T1742" i="24"/>
  <c r="B1742" i="24"/>
  <c r="D1741" i="24"/>
  <c r="F1740" i="24"/>
  <c r="H1739" i="24"/>
  <c r="L1738" i="24"/>
  <c r="N1737" i="24"/>
  <c r="P1736" i="24"/>
  <c r="R1735" i="24"/>
  <c r="T1734" i="24"/>
  <c r="B1734" i="24"/>
  <c r="D1733" i="24"/>
  <c r="F1732" i="24"/>
  <c r="H1731" i="24"/>
  <c r="L1730" i="24"/>
  <c r="N1729" i="24"/>
  <c r="P1728" i="24"/>
  <c r="R1727" i="24"/>
  <c r="T1726" i="24"/>
  <c r="B1726" i="24"/>
  <c r="D1725" i="24"/>
  <c r="F1724" i="24"/>
  <c r="H1723" i="24"/>
  <c r="L1722" i="24"/>
  <c r="N1721" i="24"/>
  <c r="P1720" i="24"/>
  <c r="R1719" i="24"/>
  <c r="T1718" i="24"/>
  <c r="B1718" i="24"/>
  <c r="D1717" i="24"/>
  <c r="F1716" i="24"/>
  <c r="H1715" i="24"/>
  <c r="L1714" i="24"/>
  <c r="N1713" i="24"/>
  <c r="P1712" i="24"/>
  <c r="R1711" i="24"/>
  <c r="T1710" i="24"/>
  <c r="B1710" i="24"/>
  <c r="D1709" i="24"/>
  <c r="F1708" i="24"/>
  <c r="H1707" i="24"/>
  <c r="L1706" i="24"/>
  <c r="N1705" i="24"/>
  <c r="P1704" i="24"/>
  <c r="R1703" i="24"/>
  <c r="T1702" i="24"/>
  <c r="B1702" i="24"/>
  <c r="D1701" i="24"/>
  <c r="F1700" i="24"/>
  <c r="H1699" i="24"/>
  <c r="L1698" i="24"/>
  <c r="N1697" i="24"/>
  <c r="P1696" i="24"/>
  <c r="R1695" i="24"/>
  <c r="T1694" i="24"/>
  <c r="B1694" i="24"/>
  <c r="D1693" i="24"/>
  <c r="F1692" i="24"/>
  <c r="H1691" i="24"/>
  <c r="L1690" i="24"/>
  <c r="N1689" i="24"/>
  <c r="P1688" i="24"/>
  <c r="R1687" i="24"/>
  <c r="T1686" i="24"/>
  <c r="B1686" i="24"/>
  <c r="D1685" i="24"/>
  <c r="F1684" i="24"/>
  <c r="H1683" i="24"/>
  <c r="L1682" i="24"/>
  <c r="N1681" i="24"/>
  <c r="P1680" i="24"/>
  <c r="R1679" i="24"/>
  <c r="T1678" i="24"/>
  <c r="B1678" i="24"/>
  <c r="D1677" i="24"/>
  <c r="F1676" i="24"/>
  <c r="H1675" i="24"/>
  <c r="L1674" i="24"/>
  <c r="N1673" i="24"/>
  <c r="P1672" i="24"/>
  <c r="R1671" i="24"/>
  <c r="T1670" i="24"/>
  <c r="B1670" i="24"/>
  <c r="D1669" i="24"/>
  <c r="F1668" i="24"/>
  <c r="H1667" i="24"/>
  <c r="L1666" i="24"/>
  <c r="N1665" i="24"/>
  <c r="P1664" i="24"/>
  <c r="R1663" i="24"/>
  <c r="T1662" i="24"/>
  <c r="B1662" i="24"/>
  <c r="D1661" i="24"/>
  <c r="F1660" i="24"/>
  <c r="H1659" i="24"/>
  <c r="L1658" i="24"/>
  <c r="N1657" i="24"/>
  <c r="P1656" i="24"/>
  <c r="R1655" i="24"/>
  <c r="T1654" i="24"/>
  <c r="B1654" i="24"/>
  <c r="D1653" i="24"/>
  <c r="F1652" i="24"/>
  <c r="H1651" i="24"/>
  <c r="L1650" i="24"/>
  <c r="N1649" i="24"/>
  <c r="P1648" i="24"/>
  <c r="R1647" i="24"/>
  <c r="T1646" i="24"/>
  <c r="B1646" i="24"/>
  <c r="D1645" i="24"/>
  <c r="F1644" i="24"/>
  <c r="H1643" i="24"/>
  <c r="L1642" i="24"/>
  <c r="N1641" i="24"/>
  <c r="P1640" i="24"/>
  <c r="R1639" i="24"/>
  <c r="T1638" i="24"/>
  <c r="B1638" i="24"/>
  <c r="D1637" i="24"/>
  <c r="F1636" i="24"/>
  <c r="H1635" i="24"/>
  <c r="L1634" i="24"/>
  <c r="N1633" i="24"/>
  <c r="P1632" i="24"/>
  <c r="R1631" i="24"/>
  <c r="T1630" i="24"/>
  <c r="B1630" i="24"/>
  <c r="D1629" i="24"/>
  <c r="F1628" i="24"/>
  <c r="H1627" i="24"/>
  <c r="L1626" i="24"/>
  <c r="N1625" i="24"/>
  <c r="P1624" i="24"/>
  <c r="R1623" i="24"/>
  <c r="T1622" i="24"/>
  <c r="B1622" i="24"/>
  <c r="D1621" i="24"/>
  <c r="F1620" i="24"/>
  <c r="H1619" i="24"/>
  <c r="L1618" i="24"/>
  <c r="N1617" i="24"/>
  <c r="P1616" i="24"/>
  <c r="R1615" i="24"/>
  <c r="T1614" i="24"/>
  <c r="B1614" i="24"/>
  <c r="D1613" i="24"/>
  <c r="F1612" i="24"/>
  <c r="H1611" i="24"/>
  <c r="L1610" i="24"/>
  <c r="N1609" i="24"/>
  <c r="P1608" i="24"/>
  <c r="R1607" i="24"/>
  <c r="T1606" i="24"/>
  <c r="B1606" i="24"/>
  <c r="D1605" i="24"/>
  <c r="F1604" i="24"/>
  <c r="H1603" i="24"/>
  <c r="L1602" i="24"/>
  <c r="N1601" i="24"/>
  <c r="P1600" i="24"/>
  <c r="R1599" i="24"/>
  <c r="T1598" i="24"/>
  <c r="B1598" i="24"/>
  <c r="D1597" i="24"/>
  <c r="F1596" i="24"/>
  <c r="H1595" i="24"/>
  <c r="L1594" i="24"/>
  <c r="N1593" i="24"/>
  <c r="P1592" i="24"/>
  <c r="R1591" i="24"/>
  <c r="T1590" i="24"/>
  <c r="B1590" i="24"/>
  <c r="D1589" i="24"/>
  <c r="F1588" i="24"/>
  <c r="H1587" i="24"/>
  <c r="L1586" i="24"/>
  <c r="N1585" i="24"/>
  <c r="P1584" i="24"/>
  <c r="R1583" i="24"/>
  <c r="T1582" i="24"/>
  <c r="B1582" i="24"/>
  <c r="D1581" i="24"/>
  <c r="F1580" i="24"/>
  <c r="H1579" i="24"/>
  <c r="L1578" i="24"/>
  <c r="N1577" i="24"/>
  <c r="P1576" i="24"/>
  <c r="R1575" i="24"/>
  <c r="T1574" i="24"/>
  <c r="B1574" i="24"/>
  <c r="D1573" i="24"/>
  <c r="F1572" i="24"/>
  <c r="H1571" i="24"/>
  <c r="L1570" i="24"/>
  <c r="N1569" i="24"/>
  <c r="P1568" i="24"/>
  <c r="R1567" i="24"/>
  <c r="T1566" i="24"/>
  <c r="B1566" i="24"/>
  <c r="D1565" i="24"/>
  <c r="F1564" i="24"/>
  <c r="H1563" i="24"/>
  <c r="L1562" i="24"/>
  <c r="N1561" i="24"/>
  <c r="P1560" i="24"/>
  <c r="R1559" i="24"/>
  <c r="T1558" i="24"/>
  <c r="B1558" i="24"/>
  <c r="D1557" i="24"/>
  <c r="F1556" i="24"/>
  <c r="H1555" i="24"/>
  <c r="L1554" i="24"/>
  <c r="N1553" i="24"/>
  <c r="P1552" i="24"/>
  <c r="R1551" i="24"/>
  <c r="T1550" i="24"/>
  <c r="B1550" i="24"/>
  <c r="D1549" i="24"/>
  <c r="F1548" i="24"/>
  <c r="H1547" i="24"/>
  <c r="L1546" i="24"/>
  <c r="N1545" i="24"/>
  <c r="P1544" i="24"/>
  <c r="R1543" i="24"/>
  <c r="T1542" i="24"/>
  <c r="B1542" i="24"/>
  <c r="D1541" i="24"/>
  <c r="F1540" i="24"/>
  <c r="H1539" i="24"/>
  <c r="L1538" i="24"/>
  <c r="N1537" i="24"/>
  <c r="P1536" i="24"/>
  <c r="R1535" i="24"/>
  <c r="T1534" i="24"/>
  <c r="B1534" i="24"/>
  <c r="D1533" i="24"/>
  <c r="F1532" i="24"/>
  <c r="H1531" i="24"/>
  <c r="L1530" i="24"/>
  <c r="N1529" i="24"/>
  <c r="P1528" i="24"/>
  <c r="R1527" i="24"/>
  <c r="T1526" i="24"/>
  <c r="B1526" i="24"/>
  <c r="D1525" i="24"/>
  <c r="F1524" i="24"/>
  <c r="H1523" i="24"/>
  <c r="L1522" i="24"/>
  <c r="N1521" i="24"/>
  <c r="P1520" i="24"/>
  <c r="R1519" i="24"/>
  <c r="T1518" i="24"/>
  <c r="B1518" i="24"/>
  <c r="D1517" i="24"/>
  <c r="F1516" i="24"/>
  <c r="H1515" i="24"/>
  <c r="L1514" i="24"/>
  <c r="N1513" i="24"/>
  <c r="P1512" i="24"/>
  <c r="R1511" i="24"/>
  <c r="T1510" i="24"/>
  <c r="B1510" i="24"/>
  <c r="D1509" i="24"/>
  <c r="F1508" i="24"/>
  <c r="H1507" i="24"/>
  <c r="L1506" i="24"/>
  <c r="N1505" i="24"/>
  <c r="P1504" i="24"/>
  <c r="R1503" i="24"/>
  <c r="T1502" i="24"/>
  <c r="B1502" i="24"/>
  <c r="D1501" i="24"/>
  <c r="F1500" i="24"/>
  <c r="H1499" i="24"/>
  <c r="L1498" i="24"/>
  <c r="N1497" i="24"/>
  <c r="P1496" i="24"/>
  <c r="R1495" i="24"/>
  <c r="T1494" i="24"/>
  <c r="B1494" i="24"/>
  <c r="D1493" i="24"/>
  <c r="F1492" i="24"/>
  <c r="H1491" i="24"/>
  <c r="L1490" i="24"/>
  <c r="N1489" i="24"/>
  <c r="P1488" i="24"/>
  <c r="R1487" i="24"/>
  <c r="T1486" i="24"/>
  <c r="B1486" i="24"/>
  <c r="D1485" i="24"/>
  <c r="F1484" i="24"/>
  <c r="H1483" i="24"/>
  <c r="L1482" i="24"/>
  <c r="N1481" i="24"/>
  <c r="P1480" i="24"/>
  <c r="R1479" i="24"/>
  <c r="T1478" i="24"/>
  <c r="B1478" i="24"/>
  <c r="D1477" i="24"/>
  <c r="F1476" i="24"/>
  <c r="H1475" i="24"/>
  <c r="L1474" i="24"/>
  <c r="N1473" i="24"/>
  <c r="P1472" i="24"/>
  <c r="R1471" i="24"/>
  <c r="T1470" i="24"/>
  <c r="B1470" i="24"/>
  <c r="D1469" i="24"/>
  <c r="F1468" i="24"/>
  <c r="H1467" i="24"/>
  <c r="L1466" i="24"/>
  <c r="N1465" i="24"/>
  <c r="P1464" i="24"/>
  <c r="R1463" i="24"/>
  <c r="T1462" i="24"/>
  <c r="B1462" i="24"/>
  <c r="D1461" i="24"/>
  <c r="F1460" i="24"/>
  <c r="H1459" i="24"/>
  <c r="L1458" i="24"/>
  <c r="N1457" i="24"/>
  <c r="P1456" i="24"/>
  <c r="R1455" i="24"/>
  <c r="T1454" i="24"/>
  <c r="B1454" i="24"/>
  <c r="D1453" i="24"/>
  <c r="F1452" i="24"/>
  <c r="H1451" i="24"/>
  <c r="L1450" i="24"/>
  <c r="N1449" i="24"/>
  <c r="P1448" i="24"/>
  <c r="R1447" i="24"/>
  <c r="T1446" i="24"/>
  <c r="B1446" i="24"/>
  <c r="D1445" i="24"/>
  <c r="F1444" i="24"/>
  <c r="H1443" i="24"/>
  <c r="L1442" i="24"/>
  <c r="N1441" i="24"/>
  <c r="P1440" i="24"/>
  <c r="R1439" i="24"/>
  <c r="T1438" i="24"/>
  <c r="B1438" i="24"/>
  <c r="D1437" i="24"/>
  <c r="F1436" i="24"/>
  <c r="H1435" i="24"/>
  <c r="L1434" i="24"/>
  <c r="N1433" i="24"/>
  <c r="P1432" i="24"/>
  <c r="R1431" i="24"/>
  <c r="T1430" i="24"/>
  <c r="B1430" i="24"/>
  <c r="D1429" i="24"/>
  <c r="F1428" i="24"/>
  <c r="H1427" i="24"/>
  <c r="L1426" i="24"/>
  <c r="N1425" i="24"/>
  <c r="P1424" i="24"/>
  <c r="R1423" i="24"/>
  <c r="T1422" i="24"/>
  <c r="B1422" i="24"/>
  <c r="D1421" i="24"/>
  <c r="F1420" i="24"/>
  <c r="H1419" i="24"/>
  <c r="L1418" i="24"/>
  <c r="N1417" i="24"/>
  <c r="P1416" i="24"/>
  <c r="R1415" i="24"/>
  <c r="T1414" i="24"/>
  <c r="B1414" i="24"/>
  <c r="D1413" i="24"/>
  <c r="F1412" i="24"/>
  <c r="H1411" i="24"/>
  <c r="L1410" i="24"/>
  <c r="S1409" i="24"/>
  <c r="K1409" i="24"/>
  <c r="A1409" i="24"/>
  <c r="M1408" i="24"/>
  <c r="C1408" i="24"/>
  <c r="O1407" i="24"/>
  <c r="E1407" i="24"/>
  <c r="Q1406" i="24"/>
  <c r="G1406" i="24"/>
  <c r="S1405" i="24"/>
  <c r="K1405" i="24"/>
  <c r="A1405" i="24"/>
  <c r="M1404" i="24"/>
  <c r="C1404" i="24"/>
  <c r="O1403" i="24"/>
  <c r="E1403" i="24"/>
  <c r="Q1402" i="24"/>
  <c r="G1402" i="24"/>
  <c r="S1401" i="24"/>
  <c r="K1401" i="24"/>
  <c r="A1401" i="24"/>
  <c r="M1400" i="24"/>
  <c r="C1400" i="24"/>
  <c r="O1399" i="24"/>
  <c r="E1399" i="24"/>
  <c r="Q1398" i="24"/>
  <c r="G1398" i="24"/>
  <c r="S1397" i="24"/>
  <c r="M1397" i="24"/>
  <c r="G1397" i="24"/>
  <c r="C1397" i="24"/>
  <c r="S1396" i="24"/>
  <c r="O1396" i="24"/>
  <c r="K1396" i="24"/>
  <c r="E1396" i="24"/>
  <c r="A1396" i="24"/>
  <c r="Q1395" i="24"/>
  <c r="M1395" i="24"/>
  <c r="G1395" i="24"/>
  <c r="C1395" i="24"/>
  <c r="S1394" i="24"/>
  <c r="O1394" i="24"/>
  <c r="K1394" i="24"/>
  <c r="E1394" i="24"/>
  <c r="A1394" i="24"/>
  <c r="Q1393" i="24"/>
  <c r="M1393" i="24"/>
  <c r="G1393" i="24"/>
  <c r="C1393" i="24"/>
  <c r="S1392" i="24"/>
  <c r="O1392" i="24"/>
  <c r="K1392" i="24"/>
  <c r="E1392" i="24"/>
  <c r="A1392" i="24"/>
  <c r="Q1391" i="24"/>
  <c r="M1391" i="24"/>
  <c r="G1391" i="24"/>
  <c r="C1391" i="24"/>
  <c r="S1390" i="24"/>
  <c r="O1390" i="24"/>
  <c r="K1390" i="24"/>
  <c r="E1390" i="24"/>
  <c r="A1390" i="24"/>
  <c r="Q1389" i="24"/>
  <c r="M1389" i="24"/>
  <c r="G1389" i="24"/>
  <c r="C1389" i="24"/>
  <c r="S1388" i="24"/>
  <c r="O1388" i="24"/>
  <c r="K1388" i="24"/>
  <c r="E1388" i="24"/>
  <c r="A1388" i="24"/>
  <c r="Q1387" i="24"/>
  <c r="M1387" i="24"/>
  <c r="G1387" i="24"/>
  <c r="C1387" i="24"/>
  <c r="S1386" i="24"/>
  <c r="O1386" i="24"/>
  <c r="K1386" i="24"/>
  <c r="E1386" i="24"/>
  <c r="A1386" i="24"/>
  <c r="Q1385" i="24"/>
  <c r="M1385" i="24"/>
  <c r="G1385" i="24"/>
  <c r="C1385" i="24"/>
  <c r="S1384" i="24"/>
  <c r="O1384" i="24"/>
  <c r="K1384" i="24"/>
  <c r="E1384" i="24"/>
  <c r="A1384" i="24"/>
  <c r="Q1383" i="24"/>
  <c r="M1383" i="24"/>
  <c r="G1383" i="24"/>
  <c r="C1383" i="24"/>
  <c r="S1382" i="24"/>
  <c r="O1382" i="24"/>
  <c r="K1382" i="24"/>
  <c r="E1382" i="24"/>
  <c r="A1382" i="24"/>
  <c r="Q1381" i="24"/>
  <c r="M1381" i="24"/>
  <c r="G1381" i="24"/>
  <c r="C1381" i="24"/>
  <c r="S1380" i="24"/>
  <c r="O1380" i="24"/>
  <c r="K1380" i="24"/>
  <c r="E1380" i="24"/>
  <c r="A1380" i="24"/>
  <c r="Q1379" i="24"/>
  <c r="M1379" i="24"/>
  <c r="G1379" i="24"/>
  <c r="C1379" i="24"/>
  <c r="S1378" i="24"/>
  <c r="O1378" i="24"/>
  <c r="K1378" i="24"/>
  <c r="E1378" i="24"/>
  <c r="A1378" i="24"/>
  <c r="Q1377" i="24"/>
  <c r="M1377" i="24"/>
  <c r="G1377" i="24"/>
  <c r="C1377" i="24"/>
  <c r="S1376" i="24"/>
  <c r="O1376" i="24"/>
  <c r="K1376" i="24"/>
  <c r="E1376" i="24"/>
  <c r="A1376" i="24"/>
  <c r="Q1375" i="24"/>
  <c r="M1375" i="24"/>
  <c r="G1375" i="24"/>
  <c r="C1375" i="24"/>
  <c r="S1374" i="24"/>
  <c r="O1374" i="24"/>
  <c r="K1374" i="24"/>
  <c r="E1374" i="24"/>
  <c r="A1374" i="24"/>
  <c r="Q1373" i="24"/>
  <c r="M1373" i="24"/>
  <c r="G1373" i="24"/>
  <c r="C1373" i="24"/>
  <c r="S1372" i="24"/>
  <c r="O1372" i="24"/>
  <c r="K1372" i="24"/>
  <c r="E1372" i="24"/>
  <c r="A1372" i="24"/>
  <c r="Q1371" i="24"/>
  <c r="M1371" i="24"/>
  <c r="G1371" i="24"/>
  <c r="C1371" i="24"/>
  <c r="S1370" i="24"/>
  <c r="O1370" i="24"/>
  <c r="K1370" i="24"/>
  <c r="E1370" i="24"/>
  <c r="A1370" i="24"/>
  <c r="Q1369" i="24"/>
  <c r="M1369" i="24"/>
  <c r="G1369" i="24"/>
  <c r="C1369" i="24"/>
  <c r="S1368" i="24"/>
  <c r="O1368" i="24"/>
  <c r="K1368" i="24"/>
  <c r="E1368" i="24"/>
  <c r="A1368" i="24"/>
  <c r="Q1367" i="24"/>
  <c r="M1367" i="24"/>
  <c r="G1367" i="24"/>
  <c r="C1367" i="24"/>
  <c r="S1366" i="24"/>
  <c r="O1366" i="24"/>
  <c r="K1366" i="24"/>
  <c r="E1366" i="24"/>
  <c r="A1366" i="24"/>
  <c r="Q1365" i="24"/>
  <c r="M1365" i="24"/>
  <c r="G1365" i="24"/>
  <c r="C1365" i="24"/>
  <c r="S1364" i="24"/>
  <c r="O1364" i="24"/>
  <c r="K1364" i="24"/>
  <c r="E1364" i="24"/>
  <c r="A1364" i="24"/>
  <c r="Q1363" i="24"/>
  <c r="M1363" i="24"/>
  <c r="G1363" i="24"/>
  <c r="C1363" i="24"/>
  <c r="S1362" i="24"/>
  <c r="O1362" i="24"/>
  <c r="K1362" i="24"/>
  <c r="E1362" i="24"/>
  <c r="A1362" i="24"/>
  <c r="Q1361" i="24"/>
  <c r="M1361" i="24"/>
  <c r="G1361" i="24"/>
  <c r="C1361" i="24"/>
  <c r="S1360" i="24"/>
  <c r="O1360" i="24"/>
  <c r="K1360" i="24"/>
  <c r="E1360" i="24"/>
  <c r="A1360" i="24"/>
  <c r="Q1359" i="24"/>
  <c r="M1359" i="24"/>
  <c r="G1359" i="24"/>
  <c r="C1359" i="24"/>
  <c r="S1358" i="24"/>
  <c r="O1358" i="24"/>
  <c r="K1358" i="24"/>
  <c r="E1358" i="24"/>
  <c r="A1358" i="24"/>
  <c r="Q1357" i="24"/>
  <c r="M1357" i="24"/>
  <c r="G1357" i="24"/>
  <c r="C1357" i="24"/>
  <c r="S1356" i="24"/>
  <c r="O1356" i="24"/>
  <c r="K1356" i="24"/>
  <c r="E1356" i="24"/>
  <c r="A1356" i="24"/>
  <c r="Q1355" i="24"/>
  <c r="M1355" i="24"/>
  <c r="G1355" i="24"/>
  <c r="C1355" i="24"/>
  <c r="S1354" i="24"/>
  <c r="O1354" i="24"/>
  <c r="K1354" i="24"/>
  <c r="E1354" i="24"/>
  <c r="A1354" i="24"/>
  <c r="Q1353" i="24"/>
  <c r="M1353" i="24"/>
  <c r="G1353" i="24"/>
  <c r="C1353" i="24"/>
  <c r="S1352" i="24"/>
  <c r="O1352" i="24"/>
  <c r="K1352" i="24"/>
  <c r="E1352" i="24"/>
  <c r="A1352" i="24"/>
  <c r="Q1351" i="24"/>
  <c r="M1351" i="24"/>
  <c r="G1351" i="24"/>
  <c r="C1351" i="24"/>
  <c r="S1350" i="24"/>
  <c r="O1350" i="24"/>
  <c r="K1350" i="24"/>
  <c r="E1350" i="24"/>
  <c r="A1350" i="24"/>
  <c r="Q1349" i="24"/>
  <c r="M1349" i="24"/>
  <c r="G1349" i="24"/>
  <c r="C1349" i="24"/>
  <c r="S1348" i="24"/>
  <c r="O1348" i="24"/>
  <c r="K1348" i="24"/>
  <c r="E1348" i="24"/>
  <c r="A1348" i="24"/>
  <c r="Q1347" i="24"/>
  <c r="M1347" i="24"/>
  <c r="G1347" i="24"/>
  <c r="C1347" i="24"/>
  <c r="S1346" i="24"/>
  <c r="O1346" i="24"/>
  <c r="K1346" i="24"/>
  <c r="E1346" i="24"/>
  <c r="A1346" i="24"/>
  <c r="Q1345" i="24"/>
  <c r="M1345" i="24"/>
  <c r="G1345" i="24"/>
  <c r="C1345" i="24"/>
  <c r="S1344" i="24"/>
  <c r="O1344" i="24"/>
  <c r="K1344" i="24"/>
  <c r="E1344" i="24"/>
  <c r="A1344" i="24"/>
  <c r="Q1343" i="24"/>
  <c r="M1343" i="24"/>
  <c r="G1343" i="24"/>
  <c r="C1343" i="24"/>
  <c r="S1342" i="24"/>
  <c r="O1342" i="24"/>
  <c r="K1342" i="24"/>
  <c r="E1342" i="24"/>
  <c r="A1342" i="24"/>
  <c r="Q1341" i="24"/>
  <c r="M1341" i="24"/>
  <c r="G1341" i="24"/>
  <c r="C1341" i="24"/>
  <c r="S1340" i="24"/>
  <c r="O1340" i="24"/>
  <c r="K1340" i="24"/>
  <c r="E1340" i="24"/>
  <c r="A1340" i="24"/>
  <c r="Q1339" i="24"/>
  <c r="M1339" i="24"/>
  <c r="G1339" i="24"/>
  <c r="C1339" i="24"/>
  <c r="S1338" i="24"/>
  <c r="O1338" i="24"/>
  <c r="K1338" i="24"/>
  <c r="E1338" i="24"/>
  <c r="A1338" i="24"/>
  <c r="Q1337" i="24"/>
  <c r="M1337" i="24"/>
  <c r="G1337" i="24"/>
  <c r="C1337" i="24"/>
  <c r="S1336" i="24"/>
  <c r="O1336" i="24"/>
  <c r="K1336" i="24"/>
  <c r="E1336" i="24"/>
  <c r="A1336" i="24"/>
  <c r="Q1335" i="24"/>
  <c r="M1335" i="24"/>
  <c r="G1335" i="24"/>
  <c r="C1335" i="24"/>
  <c r="S1334" i="24"/>
  <c r="O1334" i="24"/>
  <c r="K1334" i="24"/>
  <c r="E1334" i="24"/>
  <c r="A1334" i="24"/>
  <c r="Q1333" i="24"/>
  <c r="M1333" i="24"/>
  <c r="G1333" i="24"/>
  <c r="C1333" i="24"/>
  <c r="S1332" i="24"/>
  <c r="O1332" i="24"/>
  <c r="K1332" i="24"/>
  <c r="E1332" i="24"/>
  <c r="A1332" i="24"/>
  <c r="Q1331" i="24"/>
  <c r="M1331" i="24"/>
  <c r="G1331" i="24"/>
  <c r="C1331" i="24"/>
  <c r="S1330" i="24"/>
  <c r="O1330" i="24"/>
  <c r="K1330" i="24"/>
  <c r="E1330" i="24"/>
  <c r="A1330" i="24"/>
  <c r="Q1329" i="24"/>
  <c r="M1329" i="24"/>
  <c r="G1329" i="24"/>
  <c r="C1329" i="24"/>
  <c r="S1328" i="24"/>
  <c r="O1328" i="24"/>
  <c r="K1328" i="24"/>
  <c r="E1328" i="24"/>
  <c r="A1328" i="24"/>
  <c r="Q1327" i="24"/>
  <c r="M1327" i="24"/>
  <c r="G1327" i="24"/>
  <c r="C1327" i="24"/>
  <c r="S1326" i="24"/>
  <c r="O1326" i="24"/>
  <c r="K1326" i="24"/>
  <c r="E1326" i="24"/>
  <c r="A1326" i="24"/>
  <c r="Q1325" i="24"/>
  <c r="M1325" i="24"/>
  <c r="G1325" i="24"/>
  <c r="C1325" i="24"/>
  <c r="S1324" i="24"/>
  <c r="O1324" i="24"/>
  <c r="K1324" i="24"/>
  <c r="E1324" i="24"/>
  <c r="A1324" i="24"/>
  <c r="Q1323" i="24"/>
  <c r="M1323" i="24"/>
  <c r="G1323" i="24"/>
  <c r="C1323" i="24"/>
  <c r="S1322" i="24"/>
  <c r="O1322" i="24"/>
  <c r="K1322" i="24"/>
  <c r="E1322" i="24"/>
  <c r="A1322" i="24"/>
  <c r="Q1321" i="24"/>
  <c r="M1321" i="24"/>
  <c r="G1321" i="24"/>
  <c r="C1321" i="24"/>
  <c r="S1320" i="24"/>
  <c r="O1320" i="24"/>
  <c r="K1320" i="24"/>
  <c r="E1320" i="24"/>
  <c r="A1320" i="24"/>
  <c r="Q1319" i="24"/>
  <c r="M1319" i="24"/>
  <c r="G1319" i="24"/>
  <c r="C1319" i="24"/>
  <c r="S1318" i="24"/>
  <c r="O1318" i="24"/>
  <c r="K1318" i="24"/>
  <c r="E1318" i="24"/>
  <c r="A1318" i="24"/>
  <c r="Q1317" i="24"/>
  <c r="M1317" i="24"/>
  <c r="G1317" i="24"/>
  <c r="C1317" i="24"/>
  <c r="S1316" i="24"/>
  <c r="O1316" i="24"/>
  <c r="K1316" i="24"/>
  <c r="E1316" i="24"/>
  <c r="A1316" i="24"/>
  <c r="Q1315" i="24"/>
  <c r="M1315" i="24"/>
  <c r="G1315" i="24"/>
  <c r="C1315" i="24"/>
  <c r="S1314" i="24"/>
  <c r="O1314" i="24"/>
  <c r="K1314" i="24"/>
  <c r="E1314" i="24"/>
  <c r="A1314" i="24"/>
  <c r="Q1313" i="24"/>
  <c r="M1313" i="24"/>
  <c r="G1313" i="24"/>
  <c r="C1313" i="24"/>
  <c r="S1312" i="24"/>
  <c r="O1312" i="24"/>
  <c r="K1312" i="24"/>
  <c r="E1312" i="24"/>
  <c r="A1312" i="24"/>
  <c r="Q1311" i="24"/>
  <c r="M1311" i="24"/>
  <c r="G1311" i="24"/>
  <c r="C1311" i="24"/>
  <c r="S1310" i="24"/>
  <c r="O1310" i="24"/>
  <c r="K1310" i="24"/>
  <c r="E1310" i="24"/>
  <c r="A1310" i="24"/>
  <c r="Q1309" i="24"/>
  <c r="M1309" i="24"/>
  <c r="G1309" i="24"/>
  <c r="C1309" i="24"/>
  <c r="S1308" i="24"/>
  <c r="O1308" i="24"/>
  <c r="K1308" i="24"/>
  <c r="E1308" i="24"/>
  <c r="A1308" i="24"/>
  <c r="Q1307" i="24"/>
  <c r="M1307" i="24"/>
  <c r="G1307" i="24"/>
  <c r="C1307" i="24"/>
  <c r="S1306" i="24"/>
  <c r="O1306" i="24"/>
  <c r="K1306" i="24"/>
  <c r="E1306" i="24"/>
  <c r="A1306" i="24"/>
  <c r="Q1305" i="24"/>
  <c r="M1305" i="24"/>
  <c r="G1305" i="24"/>
  <c r="C1305" i="24"/>
  <c r="S1304" i="24"/>
  <c r="O1304" i="24"/>
  <c r="K1304" i="24"/>
  <c r="E1304" i="24"/>
  <c r="A1304" i="24"/>
  <c r="Q1303" i="24"/>
  <c r="M1303" i="24"/>
  <c r="G1303" i="24"/>
  <c r="C1303" i="24"/>
  <c r="S1302" i="24"/>
  <c r="O1302" i="24"/>
  <c r="K1302" i="24"/>
  <c r="E1302" i="24"/>
  <c r="A1302" i="24"/>
  <c r="Q1301" i="24"/>
  <c r="M1301" i="24"/>
  <c r="G1301" i="24"/>
  <c r="C1301" i="24"/>
  <c r="S1300" i="24"/>
  <c r="O1300" i="24"/>
  <c r="K1300" i="24"/>
  <c r="E1300" i="24"/>
  <c r="A1300" i="24"/>
  <c r="Q1299" i="24"/>
  <c r="M1299" i="24"/>
  <c r="G1299" i="24"/>
  <c r="C1299" i="24"/>
  <c r="S1298" i="24"/>
  <c r="O1298" i="24"/>
  <c r="K1298" i="24"/>
  <c r="E1298" i="24"/>
  <c r="A1298" i="24"/>
  <c r="Q1297" i="24"/>
  <c r="M1297" i="24"/>
  <c r="G1297" i="24"/>
  <c r="C1297" i="24"/>
  <c r="S1296" i="24"/>
  <c r="O1296" i="24"/>
  <c r="K1296" i="24"/>
  <c r="E1296" i="24"/>
  <c r="A1296" i="24"/>
  <c r="Q1295" i="24"/>
  <c r="M1295" i="24"/>
  <c r="G1295" i="24"/>
  <c r="C1295" i="24"/>
  <c r="S1294" i="24"/>
  <c r="O1294" i="24"/>
  <c r="K1294" i="24"/>
  <c r="E1294" i="24"/>
  <c r="A1294" i="24"/>
  <c r="Q1293" i="24"/>
  <c r="M1293" i="24"/>
  <c r="G1293" i="24"/>
  <c r="C1293" i="24"/>
  <c r="S1292" i="24"/>
  <c r="O1292" i="24"/>
  <c r="K1292" i="24"/>
  <c r="E1292" i="24"/>
  <c r="A1292" i="24"/>
  <c r="Q1291" i="24"/>
  <c r="M1291" i="24"/>
  <c r="G1291" i="24"/>
  <c r="C1291" i="24"/>
  <c r="S1290" i="24"/>
  <c r="O1290" i="24"/>
  <c r="K1290" i="24"/>
  <c r="E1290" i="24"/>
  <c r="A1290" i="24"/>
  <c r="Q1289" i="24"/>
  <c r="M1289" i="24"/>
  <c r="G1289" i="24"/>
  <c r="C1289" i="24"/>
  <c r="S1288" i="24"/>
  <c r="O1288" i="24"/>
  <c r="K1288" i="24"/>
  <c r="E1288" i="24"/>
  <c r="A1288" i="24"/>
  <c r="Q1287" i="24"/>
  <c r="M1287" i="24"/>
  <c r="G1287" i="24"/>
  <c r="C1287" i="24"/>
  <c r="S1286" i="24"/>
  <c r="O1286" i="24"/>
  <c r="K1286" i="24"/>
  <c r="E1286" i="24"/>
  <c r="A1286" i="24"/>
  <c r="Q1285" i="24"/>
  <c r="M1285" i="24"/>
  <c r="G1285" i="24"/>
  <c r="C1285" i="24"/>
  <c r="S1284" i="24"/>
  <c r="O1284" i="24"/>
  <c r="K1284" i="24"/>
  <c r="E1284" i="24"/>
  <c r="A1284" i="24"/>
  <c r="Q1283" i="24"/>
  <c r="M1283" i="24"/>
  <c r="G1283" i="24"/>
  <c r="C1283" i="24"/>
  <c r="S1282" i="24"/>
  <c r="O1282" i="24"/>
  <c r="K1282" i="24"/>
  <c r="E1282" i="24"/>
  <c r="A1282" i="24"/>
  <c r="Q1281" i="24"/>
  <c r="M1281" i="24"/>
  <c r="G1281" i="24"/>
  <c r="C1281" i="24"/>
  <c r="S1280" i="24"/>
  <c r="O1280" i="24"/>
  <c r="K1280" i="24"/>
  <c r="E1280" i="24"/>
  <c r="A1280" i="24"/>
  <c r="Q1279" i="24"/>
  <c r="M1279" i="24"/>
  <c r="G1279" i="24"/>
  <c r="C1279" i="24"/>
  <c r="S1278" i="24"/>
  <c r="O1278" i="24"/>
  <c r="K1278" i="24"/>
  <c r="E1278" i="24"/>
  <c r="A1278" i="24"/>
  <c r="Q1277" i="24"/>
  <c r="M1277" i="24"/>
  <c r="G1277" i="24"/>
  <c r="C1277" i="24"/>
  <c r="S1276" i="24"/>
  <c r="O1276" i="24"/>
  <c r="K1276" i="24"/>
  <c r="E1276" i="24"/>
  <c r="A1276" i="24"/>
  <c r="Q1275" i="24"/>
  <c r="M1275" i="24"/>
  <c r="G1275" i="24"/>
  <c r="C1275" i="24"/>
  <c r="S1274" i="24"/>
  <c r="O1274" i="24"/>
  <c r="K1274" i="24"/>
  <c r="E1274" i="24"/>
  <c r="A1274" i="24"/>
  <c r="Q1273" i="24"/>
  <c r="M1273" i="24"/>
  <c r="G1273" i="24"/>
  <c r="C1273" i="24"/>
  <c r="S1272" i="24"/>
  <c r="O1272" i="24"/>
  <c r="K1272" i="24"/>
  <c r="E1272" i="24"/>
  <c r="A1272" i="24"/>
  <c r="Q1271" i="24"/>
  <c r="M1271" i="24"/>
  <c r="G1271" i="24"/>
  <c r="C1271" i="24"/>
  <c r="S1270" i="24"/>
  <c r="O1270" i="24"/>
  <c r="K1270" i="24"/>
  <c r="E1270" i="24"/>
  <c r="A1270" i="24"/>
  <c r="Q1269" i="24"/>
  <c r="M1269" i="24"/>
  <c r="G1269" i="24"/>
  <c r="C1269" i="24"/>
  <c r="S1268" i="24"/>
  <c r="O1268" i="24"/>
  <c r="K1268" i="24"/>
  <c r="E1268" i="24"/>
  <c r="A1268" i="24"/>
  <c r="Q1267" i="24"/>
  <c r="M1267" i="24"/>
  <c r="G1267" i="24"/>
  <c r="C1267" i="24"/>
  <c r="S1266" i="24"/>
  <c r="O1266" i="24"/>
  <c r="K1266" i="24"/>
  <c r="E1266" i="24"/>
  <c r="A1266" i="24"/>
  <c r="Q1265" i="24"/>
  <c r="M1265" i="24"/>
  <c r="G1265" i="24"/>
  <c r="C1265" i="24"/>
  <c r="S1264" i="24"/>
  <c r="O1264" i="24"/>
  <c r="K1264" i="24"/>
  <c r="E1264" i="24"/>
  <c r="A1264" i="24"/>
  <c r="Q1263" i="24"/>
  <c r="M1263" i="24"/>
  <c r="G1263" i="24"/>
  <c r="C1263" i="24"/>
  <c r="S1262" i="24"/>
  <c r="O1262" i="24"/>
  <c r="K1262" i="24"/>
  <c r="E1262" i="24"/>
  <c r="A1262" i="24"/>
  <c r="Q1261" i="24"/>
  <c r="M1261" i="24"/>
  <c r="G1261" i="24"/>
  <c r="C1261" i="24"/>
  <c r="S1260" i="24"/>
  <c r="O1260" i="24"/>
  <c r="K1260" i="24"/>
  <c r="E1260" i="24"/>
  <c r="A1260" i="24"/>
  <c r="Q1259" i="24"/>
  <c r="M1259" i="24"/>
  <c r="G1259" i="24"/>
  <c r="C1259" i="24"/>
  <c r="S1258" i="24"/>
  <c r="O1258" i="24"/>
  <c r="K1258" i="24"/>
  <c r="E1258" i="24"/>
  <c r="A1258" i="24"/>
  <c r="Q1257" i="24"/>
  <c r="M1257" i="24"/>
  <c r="G1257" i="24"/>
  <c r="C1257" i="24"/>
  <c r="S1256" i="24"/>
  <c r="O1256" i="24"/>
  <c r="K1256" i="24"/>
  <c r="E1256" i="24"/>
  <c r="A1256" i="24"/>
  <c r="Q1255" i="24"/>
  <c r="M1255" i="24"/>
  <c r="G1255" i="24"/>
  <c r="C1255" i="24"/>
  <c r="S1254" i="24"/>
  <c r="O1254" i="24"/>
  <c r="K1254" i="24"/>
  <c r="E1254" i="24"/>
  <c r="A1254" i="24"/>
  <c r="Q1253" i="24"/>
  <c r="M1253" i="24"/>
  <c r="G1253" i="24"/>
  <c r="C1253" i="24"/>
  <c r="S1252" i="24"/>
  <c r="O1252" i="24"/>
  <c r="K1252" i="24"/>
  <c r="E1252" i="24"/>
  <c r="A1252" i="24"/>
  <c r="Q1251" i="24"/>
  <c r="M1251" i="24"/>
  <c r="G1251" i="24"/>
  <c r="C1251" i="24"/>
  <c r="S1250" i="24"/>
  <c r="O1250" i="24"/>
  <c r="K1250" i="24"/>
  <c r="E1250" i="24"/>
  <c r="A1250" i="24"/>
  <c r="Q1249" i="24"/>
  <c r="M1249" i="24"/>
  <c r="G1249" i="24"/>
  <c r="C1249" i="24"/>
  <c r="S1248" i="24"/>
  <c r="O1248" i="24"/>
  <c r="K1248" i="24"/>
  <c r="E1248" i="24"/>
  <c r="A1248" i="24"/>
  <c r="Q1247" i="24"/>
  <c r="M1247" i="24"/>
  <c r="G1247" i="24"/>
  <c r="C1247" i="24"/>
  <c r="S1246" i="24"/>
  <c r="O1246" i="24"/>
  <c r="K1246" i="24"/>
  <c r="E1246" i="24"/>
  <c r="A1246" i="24"/>
  <c r="Q1245" i="24"/>
  <c r="M1245" i="24"/>
  <c r="G1245" i="24"/>
  <c r="C1245" i="24"/>
  <c r="S1244" i="24"/>
  <c r="O1244" i="24"/>
  <c r="K1244" i="24"/>
  <c r="E1244" i="24"/>
  <c r="A1244" i="24"/>
  <c r="Q1243" i="24"/>
  <c r="M1243" i="24"/>
  <c r="G1243" i="24"/>
  <c r="C1243" i="24"/>
  <c r="S1242" i="24"/>
  <c r="O1242" i="24"/>
  <c r="K1242" i="24"/>
  <c r="E1242" i="24"/>
  <c r="A1242" i="24"/>
  <c r="Q1241" i="24"/>
  <c r="M1241" i="24"/>
  <c r="G1241" i="24"/>
  <c r="C1241" i="24"/>
  <c r="S1240" i="24"/>
  <c r="O1240" i="24"/>
  <c r="K1240" i="24"/>
  <c r="E1240" i="24"/>
  <c r="A1240" i="24"/>
  <c r="Q1239" i="24"/>
  <c r="M1239" i="24"/>
  <c r="G1239" i="24"/>
  <c r="C1239" i="24"/>
  <c r="S1238" i="24"/>
  <c r="O1238" i="24"/>
  <c r="K1238" i="24"/>
  <c r="E1238" i="24"/>
  <c r="A1238" i="24"/>
  <c r="Q1237" i="24"/>
  <c r="M1237" i="24"/>
  <c r="G1237" i="24"/>
  <c r="C1237" i="24"/>
  <c r="S1236" i="24"/>
  <c r="O1236" i="24"/>
  <c r="K1236" i="24"/>
  <c r="E1236" i="24"/>
  <c r="A1236" i="24"/>
  <c r="Q1235" i="24"/>
  <c r="M1235" i="24"/>
  <c r="G1235" i="24"/>
  <c r="C1235" i="24"/>
  <c r="S1234" i="24"/>
  <c r="O1234" i="24"/>
  <c r="K1234" i="24"/>
  <c r="E1234" i="24"/>
  <c r="A1234" i="24"/>
  <c r="Q1233" i="24"/>
  <c r="M1233" i="24"/>
  <c r="G1233" i="24"/>
  <c r="C1233" i="24"/>
  <c r="S1232" i="24"/>
  <c r="O1232" i="24"/>
  <c r="K1232" i="24"/>
  <c r="E1232" i="24"/>
  <c r="A1232" i="24"/>
  <c r="Q1231" i="24"/>
  <c r="M1231" i="24"/>
  <c r="G1231" i="24"/>
  <c r="C1231" i="24"/>
  <c r="S1230" i="24"/>
  <c r="O1230" i="24"/>
  <c r="K1230" i="24"/>
  <c r="E1230" i="24"/>
  <c r="A1230" i="24"/>
  <c r="Q1229" i="24"/>
  <c r="M1229" i="24"/>
  <c r="G1229" i="24"/>
  <c r="C1229" i="24"/>
  <c r="S1228" i="24"/>
  <c r="O1228" i="24"/>
  <c r="K1228" i="24"/>
  <c r="E1228" i="24"/>
  <c r="A1228" i="24"/>
  <c r="Q1227" i="24"/>
  <c r="M1227" i="24"/>
  <c r="G1227" i="24"/>
  <c r="C1227" i="24"/>
  <c r="S1226" i="24"/>
  <c r="O1226" i="24"/>
  <c r="K1226" i="24"/>
  <c r="E1226" i="24"/>
  <c r="A1226" i="24"/>
  <c r="Q1225" i="24"/>
  <c r="M1225" i="24"/>
  <c r="G1225" i="24"/>
  <c r="C1225" i="24"/>
  <c r="S1224" i="24"/>
  <c r="O1224" i="24"/>
  <c r="K1224" i="24"/>
  <c r="E1224" i="24"/>
  <c r="A1224" i="24"/>
  <c r="Q1223" i="24"/>
  <c r="M1223" i="24"/>
  <c r="G1223" i="24"/>
  <c r="C1223" i="24"/>
  <c r="S1222" i="24"/>
  <c r="O1222" i="24"/>
  <c r="K1222" i="24"/>
  <c r="E1222" i="24"/>
  <c r="A1222" i="24"/>
  <c r="Q1221" i="24"/>
  <c r="M1221" i="24"/>
  <c r="G1221" i="24"/>
  <c r="C1221" i="24"/>
  <c r="S1220" i="24"/>
  <c r="O1220" i="24"/>
  <c r="K1220" i="24"/>
  <c r="E1220" i="24"/>
  <c r="A1220" i="24"/>
  <c r="Q1219" i="24"/>
  <c r="M1219" i="24"/>
  <c r="G1219" i="24"/>
  <c r="C1219" i="24"/>
  <c r="S1218" i="24"/>
  <c r="O1218" i="24"/>
  <c r="K1218" i="24"/>
  <c r="E1218" i="24"/>
  <c r="A1218" i="24"/>
  <c r="Q1217" i="24"/>
  <c r="M1217" i="24"/>
  <c r="G1217" i="24"/>
  <c r="C1217" i="24"/>
  <c r="S1216" i="24"/>
  <c r="O1216" i="24"/>
  <c r="K1216" i="24"/>
  <c r="E1216" i="24"/>
  <c r="A1216" i="24"/>
  <c r="Q1215" i="24"/>
  <c r="M1215" i="24"/>
  <c r="G1215" i="24"/>
  <c r="C1215" i="24"/>
  <c r="S1214" i="24"/>
  <c r="O1214" i="24"/>
  <c r="K1214" i="24"/>
  <c r="E1214" i="24"/>
  <c r="A1214" i="24"/>
  <c r="Q1213" i="24"/>
  <c r="M1213" i="24"/>
  <c r="G1213" i="24"/>
  <c r="C1213" i="24"/>
  <c r="S1212" i="24"/>
  <c r="O1212" i="24"/>
  <c r="K1212" i="24"/>
  <c r="E1212" i="24"/>
  <c r="A1212" i="24"/>
  <c r="Q1211" i="24"/>
  <c r="M1211" i="24"/>
  <c r="G1211" i="24"/>
  <c r="C1211" i="24"/>
  <c r="S1210" i="24"/>
  <c r="O1210" i="24"/>
  <c r="K1210" i="24"/>
  <c r="E1210" i="24"/>
  <c r="A1210" i="24"/>
  <c r="Q1209" i="24"/>
  <c r="M1209" i="24"/>
  <c r="G1209" i="24"/>
  <c r="C1209" i="24"/>
  <c r="S1208" i="24"/>
  <c r="O1208" i="24"/>
  <c r="K1208" i="24"/>
  <c r="E1208" i="24"/>
  <c r="A1208" i="24"/>
  <c r="Q1207" i="24"/>
  <c r="M1207" i="24"/>
  <c r="G1207" i="24"/>
  <c r="C1207" i="24"/>
  <c r="S1206" i="24"/>
  <c r="O1206" i="24"/>
  <c r="K1206" i="24"/>
  <c r="E1206" i="24"/>
  <c r="A1206" i="24"/>
  <c r="Q1205" i="24"/>
  <c r="M1205" i="24"/>
  <c r="G1205" i="24"/>
  <c r="C1205" i="24"/>
  <c r="S1204" i="24"/>
  <c r="O1204" i="24"/>
  <c r="K1204" i="24"/>
  <c r="E1204" i="24"/>
  <c r="A1204" i="24"/>
  <c r="Q1203" i="24"/>
  <c r="M1203" i="24"/>
  <c r="G1203" i="24"/>
  <c r="C1203" i="24"/>
  <c r="S1202" i="24"/>
  <c r="O1202" i="24"/>
  <c r="K1202" i="24"/>
  <c r="E1202" i="24"/>
  <c r="A1202" i="24"/>
  <c r="Q1201" i="24"/>
  <c r="M1201" i="24"/>
  <c r="G1201" i="24"/>
  <c r="C1201" i="24"/>
  <c r="S1200" i="24"/>
  <c r="O1200" i="24"/>
  <c r="K1200" i="24"/>
  <c r="E1200" i="24"/>
  <c r="A1200" i="24"/>
  <c r="Q1199" i="24"/>
  <c r="M1199" i="24"/>
  <c r="G1199" i="24"/>
  <c r="C1199" i="24"/>
  <c r="S1198" i="24"/>
  <c r="O1198" i="24"/>
  <c r="K1198" i="24"/>
  <c r="E1198" i="24"/>
  <c r="A1198" i="24"/>
  <c r="Q1197" i="24"/>
  <c r="M1197" i="24"/>
  <c r="G1197" i="24"/>
  <c r="C1197" i="24"/>
  <c r="S1196" i="24"/>
  <c r="O1196" i="24"/>
  <c r="K1196" i="24"/>
  <c r="E1196" i="24"/>
  <c r="A1196" i="24"/>
  <c r="Q1195" i="24"/>
  <c r="M1195" i="24"/>
  <c r="G1195" i="24"/>
  <c r="C1195" i="24"/>
  <c r="S1194" i="24"/>
  <c r="O1194" i="24"/>
  <c r="K1194" i="24"/>
  <c r="E1194" i="24"/>
  <c r="A1194" i="24"/>
  <c r="Q1193" i="24"/>
  <c r="M1193" i="24"/>
  <c r="G1193" i="24"/>
  <c r="C1193" i="24"/>
  <c r="S1192" i="24"/>
  <c r="O1192" i="24"/>
  <c r="K1192" i="24"/>
  <c r="E1192" i="24"/>
  <c r="A1192" i="24"/>
  <c r="Q1191" i="24"/>
  <c r="M1191" i="24"/>
  <c r="G1191" i="24"/>
  <c r="C1191" i="24"/>
  <c r="S1190" i="24"/>
  <c r="O1190" i="24"/>
  <c r="K1190" i="24"/>
  <c r="E1190" i="24"/>
  <c r="A1190" i="24"/>
  <c r="Q1189" i="24"/>
  <c r="M1189" i="24"/>
  <c r="G1189" i="24"/>
  <c r="C1189" i="24"/>
  <c r="S1188" i="24"/>
  <c r="O1188" i="24"/>
  <c r="K1188" i="24"/>
  <c r="E1188" i="24"/>
  <c r="A1188" i="24"/>
  <c r="Q1187" i="24"/>
  <c r="M1187" i="24"/>
  <c r="G1187" i="24"/>
  <c r="C1187" i="24"/>
  <c r="S1186" i="24"/>
  <c r="O1186" i="24"/>
  <c r="K1186" i="24"/>
  <c r="E1186" i="24"/>
  <c r="A1186" i="24"/>
  <c r="Q1185" i="24"/>
  <c r="M1185" i="24"/>
  <c r="G1185" i="24"/>
  <c r="C1185" i="24"/>
  <c r="S1184" i="24"/>
  <c r="O1184" i="24"/>
  <c r="K1184" i="24"/>
  <c r="E1184" i="24"/>
  <c r="A1184" i="24"/>
  <c r="Q1183" i="24"/>
  <c r="M1183" i="24"/>
  <c r="G1183" i="24"/>
  <c r="C1183" i="24"/>
  <c r="S1182" i="24"/>
  <c r="O1182" i="24"/>
  <c r="K1182" i="24"/>
  <c r="E1182" i="24"/>
  <c r="A1182" i="24"/>
  <c r="Q1181" i="24"/>
  <c r="M1181" i="24"/>
  <c r="G1181" i="24"/>
  <c r="C1181" i="24"/>
  <c r="S1180" i="24"/>
  <c r="O1180" i="24"/>
  <c r="K1180" i="24"/>
  <c r="E1180" i="24"/>
  <c r="A1180" i="24"/>
  <c r="Q1179" i="24"/>
  <c r="M1179" i="24"/>
  <c r="G1179" i="24"/>
  <c r="C1179" i="24"/>
  <c r="S1178" i="24"/>
  <c r="O1178" i="24"/>
  <c r="K1178" i="24"/>
  <c r="E1178" i="24"/>
  <c r="A1178" i="24"/>
  <c r="Q1177" i="24"/>
  <c r="M1177" i="24"/>
  <c r="G1177" i="24"/>
  <c r="C1177" i="24"/>
  <c r="S1176" i="24"/>
  <c r="O1176" i="24"/>
  <c r="K1176" i="24"/>
  <c r="E1176" i="24"/>
  <c r="A1176" i="24"/>
  <c r="Q1175" i="24"/>
  <c r="M1175" i="24"/>
  <c r="G1175" i="24"/>
  <c r="C1175" i="24"/>
  <c r="S1174" i="24"/>
  <c r="O1174" i="24"/>
  <c r="K1174" i="24"/>
  <c r="E1174" i="24"/>
  <c r="A1174" i="24"/>
  <c r="Q1173" i="24"/>
  <c r="M1173" i="24"/>
  <c r="G1173" i="24"/>
  <c r="C1173" i="24"/>
  <c r="S1172" i="24"/>
  <c r="O1172" i="24"/>
  <c r="K1172" i="24"/>
  <c r="E1172" i="24"/>
  <c r="A1172" i="24"/>
  <c r="Q1171" i="24"/>
  <c r="M1171" i="24"/>
  <c r="G1171" i="24"/>
  <c r="C1171" i="24"/>
  <c r="S1170" i="24"/>
  <c r="O1170" i="24"/>
  <c r="K1170" i="24"/>
  <c r="E1170" i="24"/>
  <c r="A1170" i="24"/>
  <c r="Q1169" i="24"/>
  <c r="M1169" i="24"/>
  <c r="G1169" i="24"/>
  <c r="C1169" i="24"/>
  <c r="S1168" i="24"/>
  <c r="O1168" i="24"/>
  <c r="K1168" i="24"/>
  <c r="E1168" i="24"/>
  <c r="A1168" i="24"/>
  <c r="Q1167" i="24"/>
  <c r="M1167" i="24"/>
  <c r="G1167" i="24"/>
  <c r="C1167" i="24"/>
  <c r="S1166" i="24"/>
  <c r="O1166" i="24"/>
  <c r="K1166" i="24"/>
  <c r="E1166" i="24"/>
  <c r="A1166" i="24"/>
  <c r="Q1165" i="24"/>
  <c r="M1165" i="24"/>
  <c r="G1165" i="24"/>
  <c r="C1165" i="24"/>
  <c r="S1164" i="24"/>
  <c r="O1164" i="24"/>
  <c r="K1164" i="24"/>
  <c r="E1164" i="24"/>
  <c r="A1164" i="24"/>
  <c r="Q1163" i="24"/>
  <c r="M1163" i="24"/>
  <c r="G1163" i="24"/>
  <c r="C1163" i="24"/>
  <c r="S1162" i="24"/>
  <c r="O1162" i="24"/>
  <c r="K1162" i="24"/>
  <c r="E1162" i="24"/>
  <c r="A1162" i="24"/>
  <c r="Q1161" i="24"/>
  <c r="M1161" i="24"/>
  <c r="G1161" i="24"/>
  <c r="C1161" i="24"/>
  <c r="S1160" i="24"/>
  <c r="O1160" i="24"/>
  <c r="K1160" i="24"/>
  <c r="E1160" i="24"/>
  <c r="A1160" i="24"/>
  <c r="Q1159" i="24"/>
  <c r="M1159" i="24"/>
  <c r="G1159" i="24"/>
  <c r="C1159" i="24"/>
  <c r="S1158" i="24"/>
  <c r="O1158" i="24"/>
  <c r="K1158" i="24"/>
  <c r="E1158" i="24"/>
  <c r="A1158" i="24"/>
  <c r="Q1157" i="24"/>
  <c r="M1157" i="24"/>
  <c r="G1157" i="24"/>
  <c r="C1157" i="24"/>
  <c r="S1156" i="24"/>
  <c r="O1156" i="24"/>
  <c r="K1156" i="24"/>
  <c r="E1156" i="24"/>
  <c r="A1156" i="24"/>
  <c r="Q1155" i="24"/>
  <c r="M1155" i="24"/>
  <c r="G1155" i="24"/>
  <c r="C1155" i="24"/>
  <c r="S1154" i="24"/>
  <c r="O1154" i="24"/>
  <c r="K1154" i="24"/>
  <c r="E1154" i="24"/>
  <c r="A1154" i="24"/>
  <c r="Q1153" i="24"/>
  <c r="M1153" i="24"/>
  <c r="G1153" i="24"/>
  <c r="C1153" i="24"/>
  <c r="S1152" i="24"/>
  <c r="O1152" i="24"/>
  <c r="K1152" i="24"/>
  <c r="E1152" i="24"/>
  <c r="A1152" i="24"/>
  <c r="Q1151" i="24"/>
  <c r="M1151" i="24"/>
  <c r="G1151" i="24"/>
  <c r="C1151" i="24"/>
  <c r="S1150" i="24"/>
  <c r="O1150" i="24"/>
  <c r="K1150" i="24"/>
  <c r="E1150" i="24"/>
  <c r="A1150" i="24"/>
  <c r="Q1149" i="24"/>
  <c r="M1149" i="24"/>
  <c r="G1149" i="24"/>
  <c r="C1149" i="24"/>
  <c r="S1148" i="24"/>
  <c r="O1148" i="24"/>
  <c r="K1148" i="24"/>
  <c r="E1148" i="24"/>
  <c r="A1148" i="24"/>
  <c r="Q1147" i="24"/>
  <c r="M1147" i="24"/>
  <c r="G1147" i="24"/>
  <c r="C1147" i="24"/>
  <c r="S1146" i="24"/>
  <c r="O1146" i="24"/>
  <c r="K1146" i="24"/>
  <c r="E1146" i="24"/>
  <c r="A1146" i="24"/>
  <c r="Q1145" i="24"/>
  <c r="M1145" i="24"/>
  <c r="G1145" i="24"/>
  <c r="C1145" i="24"/>
  <c r="S1144" i="24"/>
  <c r="O1144" i="24"/>
  <c r="K1144" i="24"/>
  <c r="E1144" i="24"/>
  <c r="A1144" i="24"/>
  <c r="Q1143" i="24"/>
  <c r="M1143" i="24"/>
  <c r="G1143" i="24"/>
  <c r="C1143" i="24"/>
  <c r="S1142" i="24"/>
  <c r="O1142" i="24"/>
  <c r="K1142" i="24"/>
  <c r="E1142" i="24"/>
  <c r="A1142" i="24"/>
  <c r="Q1141" i="24"/>
  <c r="M1141" i="24"/>
  <c r="G1141" i="24"/>
  <c r="C1141" i="24"/>
  <c r="S1140" i="24"/>
  <c r="O1140" i="24"/>
  <c r="K1140" i="24"/>
  <c r="E1140" i="24"/>
  <c r="A1140" i="24"/>
  <c r="Q1139" i="24"/>
  <c r="M1139" i="24"/>
  <c r="G1139" i="24"/>
  <c r="C1139" i="24"/>
  <c r="S1138" i="24"/>
  <c r="O1138" i="24"/>
  <c r="K1138" i="24"/>
  <c r="E1138" i="24"/>
  <c r="A1138" i="24"/>
  <c r="Q1137" i="24"/>
  <c r="M1137" i="24"/>
  <c r="G1137" i="24"/>
  <c r="C1137" i="24"/>
  <c r="S1136" i="24"/>
  <c r="O1136" i="24"/>
  <c r="K1136" i="24"/>
  <c r="E1136" i="24"/>
  <c r="A1136" i="24"/>
  <c r="Q1135" i="24"/>
  <c r="M1135" i="24"/>
  <c r="G1135" i="24"/>
  <c r="C1135" i="24"/>
  <c r="S1134" i="24"/>
  <c r="O1134" i="24"/>
  <c r="K1134" i="24"/>
  <c r="E1134" i="24"/>
  <c r="A1134" i="24"/>
  <c r="Q1133" i="24"/>
  <c r="M1133" i="24"/>
  <c r="G1133" i="24"/>
  <c r="C1133" i="24"/>
  <c r="S1132" i="24"/>
  <c r="O1132" i="24"/>
  <c r="K1132" i="24"/>
  <c r="E1132" i="24"/>
  <c r="A1132" i="24"/>
  <c r="Q1131" i="24"/>
  <c r="M1131" i="24"/>
  <c r="G1131" i="24"/>
  <c r="C1131" i="24"/>
  <c r="S1130" i="24"/>
  <c r="O1130" i="24"/>
  <c r="K1130" i="24"/>
  <c r="E1130" i="24"/>
  <c r="A1130" i="24"/>
  <c r="Q1129" i="24"/>
  <c r="M1129" i="24"/>
  <c r="G1129" i="24"/>
  <c r="C1129" i="24"/>
  <c r="S1128" i="24"/>
  <c r="O1128" i="24"/>
  <c r="K1128" i="24"/>
  <c r="E1128" i="24"/>
  <c r="A1128" i="24"/>
  <c r="Q1127" i="24"/>
  <c r="M1127" i="24"/>
  <c r="G1127" i="24"/>
  <c r="C1127" i="24"/>
  <c r="S1126" i="24"/>
  <c r="O1126" i="24"/>
  <c r="K1126" i="24"/>
  <c r="E1126" i="24"/>
  <c r="A1126" i="24"/>
  <c r="Q1125" i="24"/>
  <c r="M1125" i="24"/>
  <c r="G1125" i="24"/>
  <c r="C1125" i="24"/>
  <c r="S1124" i="24"/>
  <c r="O1124" i="24"/>
  <c r="K1124" i="24"/>
  <c r="E1124" i="24"/>
  <c r="A1124" i="24"/>
  <c r="Q1123" i="24"/>
  <c r="M1123" i="24"/>
  <c r="G1123" i="24"/>
  <c r="C1123" i="24"/>
  <c r="S1122" i="24"/>
  <c r="O1122" i="24"/>
  <c r="K1122" i="24"/>
  <c r="E1122" i="24"/>
  <c r="A1122" i="24"/>
  <c r="Q1121" i="24"/>
  <c r="M1121" i="24"/>
  <c r="G1121" i="24"/>
  <c r="C1121" i="24"/>
  <c r="S1120" i="24"/>
  <c r="O1120" i="24"/>
  <c r="K1120" i="24"/>
  <c r="E1120" i="24"/>
  <c r="A1120" i="24"/>
  <c r="Q1119" i="24"/>
  <c r="M1119" i="24"/>
  <c r="G1119" i="24"/>
  <c r="C1119" i="24"/>
  <c r="S1118" i="24"/>
  <c r="O1118" i="24"/>
  <c r="K1118" i="24"/>
  <c r="E1118" i="24"/>
  <c r="A1118" i="24"/>
  <c r="Q1117" i="24"/>
  <c r="M1117" i="24"/>
  <c r="G1117" i="24"/>
  <c r="C1117" i="24"/>
  <c r="S1116" i="24"/>
  <c r="O1116" i="24"/>
  <c r="K1116" i="24"/>
  <c r="E1116" i="24"/>
  <c r="A1116" i="24"/>
  <c r="Q1115" i="24"/>
  <c r="M1115" i="24"/>
  <c r="G1115" i="24"/>
  <c r="C1115" i="24"/>
  <c r="S1114" i="24"/>
  <c r="O1114" i="24"/>
  <c r="K1114" i="24"/>
  <c r="E1114" i="24"/>
  <c r="A1114" i="24"/>
  <c r="Q1113" i="24"/>
  <c r="M1113" i="24"/>
  <c r="G1113" i="24"/>
  <c r="C1113" i="24"/>
  <c r="S1112" i="24"/>
  <c r="O1112" i="24"/>
  <c r="K1112" i="24"/>
  <c r="E1112" i="24"/>
  <c r="A1112" i="24"/>
  <c r="Q1111" i="24"/>
  <c r="M1111" i="24"/>
  <c r="G1111" i="24"/>
  <c r="C1111" i="24"/>
  <c r="S1110" i="24"/>
  <c r="O1110" i="24"/>
  <c r="K1110" i="24"/>
  <c r="E1110" i="24"/>
  <c r="A1110" i="24"/>
  <c r="Q1109" i="24"/>
  <c r="M1109" i="24"/>
  <c r="G1109" i="24"/>
  <c r="C1109" i="24"/>
  <c r="S1108" i="24"/>
  <c r="O1108" i="24"/>
  <c r="K1108" i="24"/>
  <c r="E1108" i="24"/>
  <c r="A1108" i="24"/>
  <c r="Q1107" i="24"/>
  <c r="M1107" i="24"/>
  <c r="G1107" i="24"/>
  <c r="C1107" i="24"/>
  <c r="S1106" i="24"/>
  <c r="O1106" i="24"/>
  <c r="K1106" i="24"/>
  <c r="E1106" i="24"/>
  <c r="A1106" i="24"/>
  <c r="Q1105" i="24"/>
  <c r="M1105" i="24"/>
  <c r="G1105" i="24"/>
  <c r="C1105" i="24"/>
  <c r="S1104" i="24"/>
  <c r="O1104" i="24"/>
  <c r="K1104" i="24"/>
  <c r="E1104" i="24"/>
  <c r="A1104" i="24"/>
  <c r="Q1103" i="24"/>
  <c r="M1103" i="24"/>
  <c r="G1103" i="24"/>
  <c r="C1103" i="24"/>
  <c r="S1102" i="24"/>
  <c r="O1102" i="24"/>
  <c r="K1102" i="24"/>
  <c r="E1102" i="24"/>
  <c r="A1102" i="24"/>
  <c r="Q1101" i="24"/>
  <c r="M1101" i="24"/>
  <c r="G1101" i="24"/>
  <c r="C1101" i="24"/>
  <c r="S1100" i="24"/>
  <c r="O1100" i="24"/>
  <c r="K1100" i="24"/>
  <c r="E1100" i="24"/>
  <c r="A1100" i="24"/>
  <c r="Q1099" i="24"/>
  <c r="M1099" i="24"/>
  <c r="G1099" i="24"/>
  <c r="C1099" i="24"/>
  <c r="S1098" i="24"/>
  <c r="O1098" i="24"/>
  <c r="K1098" i="24"/>
  <c r="E1098" i="24"/>
  <c r="A1098" i="24"/>
  <c r="Q1097" i="24"/>
  <c r="M1097" i="24"/>
  <c r="G1097" i="24"/>
  <c r="C1097" i="24"/>
  <c r="S1096" i="24"/>
  <c r="O1096" i="24"/>
  <c r="K1096" i="24"/>
  <c r="E1096" i="24"/>
  <c r="A1096" i="24"/>
  <c r="Q1095" i="24"/>
  <c r="M1095" i="24"/>
  <c r="G1095" i="24"/>
  <c r="C1095" i="24"/>
  <c r="S1094" i="24"/>
  <c r="O1094" i="24"/>
  <c r="K1094" i="24"/>
  <c r="E1094" i="24"/>
  <c r="A1094" i="24"/>
  <c r="Q1093" i="24"/>
  <c r="M1093" i="24"/>
  <c r="G1093" i="24"/>
  <c r="C1093" i="24"/>
  <c r="S1092" i="24"/>
  <c r="O1092" i="24"/>
  <c r="K1092" i="24"/>
  <c r="E1092" i="24"/>
  <c r="A1092" i="24"/>
  <c r="Q1091" i="24"/>
  <c r="M1091" i="24"/>
  <c r="G1091" i="24"/>
  <c r="C1091" i="24"/>
  <c r="S1090" i="24"/>
  <c r="O1090" i="24"/>
  <c r="K1090" i="24"/>
  <c r="E1090" i="24"/>
  <c r="A1090" i="24"/>
  <c r="Q1089" i="24"/>
  <c r="M1089" i="24"/>
  <c r="G1089" i="24"/>
  <c r="C1089" i="24"/>
  <c r="S1088" i="24"/>
  <c r="O1088" i="24"/>
  <c r="K1088" i="24"/>
  <c r="E1088" i="24"/>
  <c r="A1088" i="24"/>
  <c r="Q1087" i="24"/>
  <c r="M1087" i="24"/>
  <c r="G1087" i="24"/>
  <c r="C1087" i="24"/>
  <c r="S1086" i="24"/>
  <c r="O1086" i="24"/>
  <c r="K1086" i="24"/>
  <c r="E1086" i="24"/>
  <c r="A1086" i="24"/>
  <c r="Q1085" i="24"/>
  <c r="M1085" i="24"/>
  <c r="G1085" i="24"/>
  <c r="C1085" i="24"/>
  <c r="S1084" i="24"/>
  <c r="O1084" i="24"/>
  <c r="K1084" i="24"/>
  <c r="E1084" i="24"/>
  <c r="A1084" i="24"/>
  <c r="Q1083" i="24"/>
  <c r="M1083" i="24"/>
  <c r="G1083" i="24"/>
  <c r="C1083" i="24"/>
  <c r="S1082" i="24"/>
  <c r="O1082" i="24"/>
  <c r="K1082" i="24"/>
  <c r="E1082" i="24"/>
  <c r="A1082" i="24"/>
  <c r="Q1081" i="24"/>
  <c r="M1081" i="24"/>
  <c r="G1081" i="24"/>
  <c r="C1081" i="24"/>
  <c r="S1080" i="24"/>
  <c r="O1080" i="24"/>
  <c r="K1080" i="24"/>
  <c r="E1080" i="24"/>
  <c r="A1080" i="24"/>
  <c r="Q1079" i="24"/>
  <c r="M1079" i="24"/>
  <c r="G1079" i="24"/>
  <c r="C1079" i="24"/>
  <c r="S1078" i="24"/>
  <c r="O1078" i="24"/>
  <c r="K1078" i="24"/>
  <c r="E1078" i="24"/>
  <c r="A1078" i="24"/>
  <c r="Q1077" i="24"/>
  <c r="M1077" i="24"/>
  <c r="G1077" i="24"/>
  <c r="C1077" i="24"/>
  <c r="S1076" i="24"/>
  <c r="O1076" i="24"/>
  <c r="K1076" i="24"/>
  <c r="E1076" i="24"/>
  <c r="A1076" i="24"/>
  <c r="Q1075" i="24"/>
  <c r="M1075" i="24"/>
  <c r="G1075" i="24"/>
  <c r="C1075" i="24"/>
  <c r="S1074" i="24"/>
  <c r="O1074" i="24"/>
  <c r="K1074" i="24"/>
  <c r="E1074" i="24"/>
  <c r="A1074" i="24"/>
  <c r="Q1073" i="24"/>
  <c r="M1073" i="24"/>
  <c r="G1073" i="24"/>
  <c r="C1073" i="24"/>
  <c r="S1072" i="24"/>
  <c r="O1072" i="24"/>
  <c r="K1072" i="24"/>
  <c r="E1072" i="24"/>
  <c r="A1072" i="24"/>
  <c r="Q1071" i="24"/>
  <c r="M1071" i="24"/>
  <c r="G1071" i="24"/>
  <c r="C1071" i="24"/>
  <c r="S1070" i="24"/>
  <c r="O1070" i="24"/>
  <c r="K1070" i="24"/>
  <c r="E1070" i="24"/>
  <c r="A1070" i="24"/>
  <c r="Q1069" i="24"/>
  <c r="M1069" i="24"/>
  <c r="G1069" i="24"/>
  <c r="C1069" i="24"/>
  <c r="S1068" i="24"/>
  <c r="O1068" i="24"/>
  <c r="K1068" i="24"/>
  <c r="E1068" i="24"/>
  <c r="A1068" i="24"/>
  <c r="Q1067" i="24"/>
  <c r="M1067" i="24"/>
  <c r="G1067" i="24"/>
  <c r="C1067" i="24"/>
  <c r="S1066" i="24"/>
  <c r="O1066" i="24"/>
  <c r="K1066" i="24"/>
  <c r="E1066" i="24"/>
  <c r="A1066" i="24"/>
  <c r="Q1065" i="24"/>
  <c r="M1065" i="24"/>
  <c r="G1065" i="24"/>
  <c r="C1065" i="24"/>
  <c r="S1064" i="24"/>
  <c r="O1064" i="24"/>
  <c r="K1064" i="24"/>
  <c r="E1064" i="24"/>
  <c r="A1064" i="24"/>
  <c r="Q1063" i="24"/>
  <c r="M1063" i="24"/>
  <c r="G1063" i="24"/>
  <c r="C1063" i="24"/>
  <c r="S1062" i="24"/>
  <c r="O1062" i="24"/>
  <c r="K1062" i="24"/>
  <c r="E1062" i="24"/>
  <c r="A1062" i="24"/>
  <c r="Q1061" i="24"/>
  <c r="M1061" i="24"/>
  <c r="G1061" i="24"/>
  <c r="C1061" i="24"/>
  <c r="S1060" i="24"/>
  <c r="O1060" i="24"/>
  <c r="K1060" i="24"/>
  <c r="E1060" i="24"/>
  <c r="B2306" i="24"/>
  <c r="B2267" i="24"/>
  <c r="N2238" i="24"/>
  <c r="D2210" i="24"/>
  <c r="P2181" i="24"/>
  <c r="F2153" i="24"/>
  <c r="R2124" i="24"/>
  <c r="H2096" i="24"/>
  <c r="D2075" i="24"/>
  <c r="T2060" i="24"/>
  <c r="P2046" i="24"/>
  <c r="Q2032" i="24"/>
  <c r="O2025" i="24"/>
  <c r="M2018" i="24"/>
  <c r="K2011" i="24"/>
  <c r="G2004" i="24"/>
  <c r="E1997" i="24"/>
  <c r="C1990" i="24"/>
  <c r="A1983" i="24"/>
  <c r="S1975" i="24"/>
  <c r="Q1968" i="24"/>
  <c r="B1965" i="24"/>
  <c r="L1961" i="24"/>
  <c r="T1957" i="24"/>
  <c r="H1954" i="24"/>
  <c r="R1950" i="24"/>
  <c r="F1947" i="24"/>
  <c r="P1943" i="24"/>
  <c r="D1940" i="24"/>
  <c r="N1936" i="24"/>
  <c r="B1933" i="24"/>
  <c r="L1929" i="24"/>
  <c r="T1925" i="24"/>
  <c r="H1922" i="24"/>
  <c r="R1918" i="24"/>
  <c r="F1915" i="24"/>
  <c r="P1911" i="24"/>
  <c r="D1908" i="24"/>
  <c r="N1904" i="24"/>
  <c r="B1901" i="24"/>
  <c r="L1897" i="24"/>
  <c r="T1893" i="24"/>
  <c r="H1890" i="24"/>
  <c r="R1886" i="24"/>
  <c r="F1883" i="24"/>
  <c r="P1879" i="24"/>
  <c r="D1876" i="24"/>
  <c r="N1872" i="24"/>
  <c r="B1869" i="24"/>
  <c r="L1865" i="24"/>
  <c r="T1861" i="24"/>
  <c r="H1858" i="24"/>
  <c r="R1854" i="24"/>
  <c r="F1851" i="24"/>
  <c r="P1847" i="24"/>
  <c r="D1844" i="24"/>
  <c r="N1840" i="24"/>
  <c r="B1837" i="24"/>
  <c r="L1833" i="24"/>
  <c r="T1829" i="24"/>
  <c r="H1826" i="24"/>
  <c r="R1822" i="24"/>
  <c r="F1819" i="24"/>
  <c r="P1815" i="24"/>
  <c r="C1813" i="24"/>
  <c r="G1811" i="24"/>
  <c r="M1809" i="24"/>
  <c r="Q1807" i="24"/>
  <c r="A1806" i="24"/>
  <c r="E1804" i="24"/>
  <c r="K1802" i="24"/>
  <c r="O1800" i="24"/>
  <c r="S1798" i="24"/>
  <c r="C1797" i="24"/>
  <c r="G1795" i="24"/>
  <c r="M1793" i="24"/>
  <c r="Q1791" i="24"/>
  <c r="A1790" i="24"/>
  <c r="E1788" i="24"/>
  <c r="K1786" i="24"/>
  <c r="O1784" i="24"/>
  <c r="S1782" i="24"/>
  <c r="C1781" i="24"/>
  <c r="G1779" i="24"/>
  <c r="M1777" i="24"/>
  <c r="L1776" i="24"/>
  <c r="N1775" i="24"/>
  <c r="P1774" i="24"/>
  <c r="R1773" i="24"/>
  <c r="T1772" i="24"/>
  <c r="B1772" i="24"/>
  <c r="D1771" i="24"/>
  <c r="F1770" i="24"/>
  <c r="H1769" i="24"/>
  <c r="L1768" i="24"/>
  <c r="N1767" i="24"/>
  <c r="P1766" i="24"/>
  <c r="R1765" i="24"/>
  <c r="T1764" i="24"/>
  <c r="B1764" i="24"/>
  <c r="D1763" i="24"/>
  <c r="F1762" i="24"/>
  <c r="H1761" i="24"/>
  <c r="L1760" i="24"/>
  <c r="N1759" i="24"/>
  <c r="P1758" i="24"/>
  <c r="R1757" i="24"/>
  <c r="T1756" i="24"/>
  <c r="B1756" i="24"/>
  <c r="D1755" i="24"/>
  <c r="F1754" i="24"/>
  <c r="H1753" i="24"/>
  <c r="L1752" i="24"/>
  <c r="N1751" i="24"/>
  <c r="P1750" i="24"/>
  <c r="R1749" i="24"/>
  <c r="T1748" i="24"/>
  <c r="B1748" i="24"/>
  <c r="D1747" i="24"/>
  <c r="F1746" i="24"/>
  <c r="H1745" i="24"/>
  <c r="L1744" i="24"/>
  <c r="N1743" i="24"/>
  <c r="P1742" i="24"/>
  <c r="R1741" i="24"/>
  <c r="T1740" i="24"/>
  <c r="B1740" i="24"/>
  <c r="D1739" i="24"/>
  <c r="F1738" i="24"/>
  <c r="H1737" i="24"/>
  <c r="L1736" i="24"/>
  <c r="N1735" i="24"/>
  <c r="P1734" i="24"/>
  <c r="R1733" i="24"/>
  <c r="T1732" i="24"/>
  <c r="B1732" i="24"/>
  <c r="D1731" i="24"/>
  <c r="F1730" i="24"/>
  <c r="H1729" i="24"/>
  <c r="L1728" i="24"/>
  <c r="N1727" i="24"/>
  <c r="P1726" i="24"/>
  <c r="R1725" i="24"/>
  <c r="T1724" i="24"/>
  <c r="B1724" i="24"/>
  <c r="D1723" i="24"/>
  <c r="F1722" i="24"/>
  <c r="H1721" i="24"/>
  <c r="L1720" i="24"/>
  <c r="N1719" i="24"/>
  <c r="P1718" i="24"/>
  <c r="R1717" i="24"/>
  <c r="T1716" i="24"/>
  <c r="B1716" i="24"/>
  <c r="D1715" i="24"/>
  <c r="F1714" i="24"/>
  <c r="H1713" i="24"/>
  <c r="L1712" i="24"/>
  <c r="N1711" i="24"/>
  <c r="P1710" i="24"/>
  <c r="R1709" i="24"/>
  <c r="T1708" i="24"/>
  <c r="B1708" i="24"/>
  <c r="D1707" i="24"/>
  <c r="F1706" i="24"/>
  <c r="H1705" i="24"/>
  <c r="L1704" i="24"/>
  <c r="N1703" i="24"/>
  <c r="P1702" i="24"/>
  <c r="R1701" i="24"/>
  <c r="T1700" i="24"/>
  <c r="B1700" i="24"/>
  <c r="D1699" i="24"/>
  <c r="F1698" i="24"/>
  <c r="H1697" i="24"/>
  <c r="L1696" i="24"/>
  <c r="N1695" i="24"/>
  <c r="P1694" i="24"/>
  <c r="R1693" i="24"/>
  <c r="T1692" i="24"/>
  <c r="B1692" i="24"/>
  <c r="D1691" i="24"/>
  <c r="F1690" i="24"/>
  <c r="H1689" i="24"/>
  <c r="L1688" i="24"/>
  <c r="N1687" i="24"/>
  <c r="P1686" i="24"/>
  <c r="R1685" i="24"/>
  <c r="T1684" i="24"/>
  <c r="B1684" i="24"/>
  <c r="D1683" i="24"/>
  <c r="F1682" i="24"/>
  <c r="H1681" i="24"/>
  <c r="L1680" i="24"/>
  <c r="N1679" i="24"/>
  <c r="P1678" i="24"/>
  <c r="R1677" i="24"/>
  <c r="T1676" i="24"/>
  <c r="B1676" i="24"/>
  <c r="D1675" i="24"/>
  <c r="F1674" i="24"/>
  <c r="H1673" i="24"/>
  <c r="L1672" i="24"/>
  <c r="N1671" i="24"/>
  <c r="P1670" i="24"/>
  <c r="R1669" i="24"/>
  <c r="T1668" i="24"/>
  <c r="B1668" i="24"/>
  <c r="D1667" i="24"/>
  <c r="F1666" i="24"/>
  <c r="H1665" i="24"/>
  <c r="L1664" i="24"/>
  <c r="N1663" i="24"/>
  <c r="P1662" i="24"/>
  <c r="R1661" i="24"/>
  <c r="T1660" i="24"/>
  <c r="B1660" i="24"/>
  <c r="D1659" i="24"/>
  <c r="F1658" i="24"/>
  <c r="H1657" i="24"/>
  <c r="L1656" i="24"/>
  <c r="N1655" i="24"/>
  <c r="P1654" i="24"/>
  <c r="R1653" i="24"/>
  <c r="T1652" i="24"/>
  <c r="B1652" i="24"/>
  <c r="D1651" i="24"/>
  <c r="F1650" i="24"/>
  <c r="H1649" i="24"/>
  <c r="L1648" i="24"/>
  <c r="N1647" i="24"/>
  <c r="P1646" i="24"/>
  <c r="R1645" i="24"/>
  <c r="T1644" i="24"/>
  <c r="B1644" i="24"/>
  <c r="D1643" i="24"/>
  <c r="F1642" i="24"/>
  <c r="H1641" i="24"/>
  <c r="L1640" i="24"/>
  <c r="N1639" i="24"/>
  <c r="P1638" i="24"/>
  <c r="R1637" i="24"/>
  <c r="T1636" i="24"/>
  <c r="B1636" i="24"/>
  <c r="D1635" i="24"/>
  <c r="F1634" i="24"/>
  <c r="H1633" i="24"/>
  <c r="L1632" i="24"/>
  <c r="N1631" i="24"/>
  <c r="P1630" i="24"/>
  <c r="R1629" i="24"/>
  <c r="T1628" i="24"/>
  <c r="B1628" i="24"/>
  <c r="D1627" i="24"/>
  <c r="F1626" i="24"/>
  <c r="H1625" i="24"/>
  <c r="L1624" i="24"/>
  <c r="N1623" i="24"/>
  <c r="P1622" i="24"/>
  <c r="R1621" i="24"/>
  <c r="T1620" i="24"/>
  <c r="B1620" i="24"/>
  <c r="D1619" i="24"/>
  <c r="F1618" i="24"/>
  <c r="H1617" i="24"/>
  <c r="L1616" i="24"/>
  <c r="N1615" i="24"/>
  <c r="P1614" i="24"/>
  <c r="R1613" i="24"/>
  <c r="T1612" i="24"/>
  <c r="B1612" i="24"/>
  <c r="D1611" i="24"/>
  <c r="F1610" i="24"/>
  <c r="H1609" i="24"/>
  <c r="L1608" i="24"/>
  <c r="N1607" i="24"/>
  <c r="P1606" i="24"/>
  <c r="R1605" i="24"/>
  <c r="T1604" i="24"/>
  <c r="B1604" i="24"/>
  <c r="D1603" i="24"/>
  <c r="F1602" i="24"/>
  <c r="H1601" i="24"/>
  <c r="L1600" i="24"/>
  <c r="N1599" i="24"/>
  <c r="P1598" i="24"/>
  <c r="R1597" i="24"/>
  <c r="T1596" i="24"/>
  <c r="B1596" i="24"/>
  <c r="D1595" i="24"/>
  <c r="F1594" i="24"/>
  <c r="H1593" i="24"/>
  <c r="L1592" i="24"/>
  <c r="N1591" i="24"/>
  <c r="P1590" i="24"/>
  <c r="R1589" i="24"/>
  <c r="T1588" i="24"/>
  <c r="B1588" i="24"/>
  <c r="D1587" i="24"/>
  <c r="F1586" i="24"/>
  <c r="H1585" i="24"/>
  <c r="L1584" i="24"/>
  <c r="N1583" i="24"/>
  <c r="P1582" i="24"/>
  <c r="R1581" i="24"/>
  <c r="T1580" i="24"/>
  <c r="B1580" i="24"/>
  <c r="D1579" i="24"/>
  <c r="F1578" i="24"/>
  <c r="H1577" i="24"/>
  <c r="L1576" i="24"/>
  <c r="N1575" i="24"/>
  <c r="P1574" i="24"/>
  <c r="R1573" i="24"/>
  <c r="T1572" i="24"/>
  <c r="B1572" i="24"/>
  <c r="D1571" i="24"/>
  <c r="F1570" i="24"/>
  <c r="H1569" i="24"/>
  <c r="L1568" i="24"/>
  <c r="N1567" i="24"/>
  <c r="P1566" i="24"/>
  <c r="R1565" i="24"/>
  <c r="T1564" i="24"/>
  <c r="B1564" i="24"/>
  <c r="D1563" i="24"/>
  <c r="F1562" i="24"/>
  <c r="H1561" i="24"/>
  <c r="L1560" i="24"/>
  <c r="N1559" i="24"/>
  <c r="P1558" i="24"/>
  <c r="R1557" i="24"/>
  <c r="T1556" i="24"/>
  <c r="B1556" i="24"/>
  <c r="D1555" i="24"/>
  <c r="F1554" i="24"/>
  <c r="H1553" i="24"/>
  <c r="L1552" i="24"/>
  <c r="N1551" i="24"/>
  <c r="P1550" i="24"/>
  <c r="R1549" i="24"/>
  <c r="T1548" i="24"/>
  <c r="B1548" i="24"/>
  <c r="D1547" i="24"/>
  <c r="F1546" i="24"/>
  <c r="H1545" i="24"/>
  <c r="L1544" i="24"/>
  <c r="N1543" i="24"/>
  <c r="P1542" i="24"/>
  <c r="R1541" i="24"/>
  <c r="T1540" i="24"/>
  <c r="B1540" i="24"/>
  <c r="D1539" i="24"/>
  <c r="F1538" i="24"/>
  <c r="H1537" i="24"/>
  <c r="L1536" i="24"/>
  <c r="N1535" i="24"/>
  <c r="P1534" i="24"/>
  <c r="R1533" i="24"/>
  <c r="T1532" i="24"/>
  <c r="B1532" i="24"/>
  <c r="D1531" i="24"/>
  <c r="F1530" i="24"/>
  <c r="H1529" i="24"/>
  <c r="L1528" i="24"/>
  <c r="N1527" i="24"/>
  <c r="P1526" i="24"/>
  <c r="R1525" i="24"/>
  <c r="T1524" i="24"/>
  <c r="B1524" i="24"/>
  <c r="D1523" i="24"/>
  <c r="F1522" i="24"/>
  <c r="H1521" i="24"/>
  <c r="L1520" i="24"/>
  <c r="N1519" i="24"/>
  <c r="P1518" i="24"/>
  <c r="R1517" i="24"/>
  <c r="T1516" i="24"/>
  <c r="B1516" i="24"/>
  <c r="D1515" i="24"/>
  <c r="F1514" i="24"/>
  <c r="H1513" i="24"/>
  <c r="L1512" i="24"/>
  <c r="N1511" i="24"/>
  <c r="P1510" i="24"/>
  <c r="R1509" i="24"/>
  <c r="T1508" i="24"/>
  <c r="B1508" i="24"/>
  <c r="D1507" i="24"/>
  <c r="F1506" i="24"/>
  <c r="H1505" i="24"/>
  <c r="L1504" i="24"/>
  <c r="N1503" i="24"/>
  <c r="P1502" i="24"/>
  <c r="R1501" i="24"/>
  <c r="T1500" i="24"/>
  <c r="B1500" i="24"/>
  <c r="D1499" i="24"/>
  <c r="F1498" i="24"/>
  <c r="H1497" i="24"/>
  <c r="L1496" i="24"/>
  <c r="N1495" i="24"/>
  <c r="P1494" i="24"/>
  <c r="R1493" i="24"/>
  <c r="T1492" i="24"/>
  <c r="B1492" i="24"/>
  <c r="D1491" i="24"/>
  <c r="F1490" i="24"/>
  <c r="H1489" i="24"/>
  <c r="L1488" i="24"/>
  <c r="N1487" i="24"/>
  <c r="P1486" i="24"/>
  <c r="R1485" i="24"/>
  <c r="T1484" i="24"/>
  <c r="B1484" i="24"/>
  <c r="D1483" i="24"/>
  <c r="F1482" i="24"/>
  <c r="H1481" i="24"/>
  <c r="L1480" i="24"/>
  <c r="N1479" i="24"/>
  <c r="P1478" i="24"/>
  <c r="R1477" i="24"/>
  <c r="T1476" i="24"/>
  <c r="B1476" i="24"/>
  <c r="D1475" i="24"/>
  <c r="F1474" i="24"/>
  <c r="H1473" i="24"/>
  <c r="L1472" i="24"/>
  <c r="N1471" i="24"/>
  <c r="P1470" i="24"/>
  <c r="R1469" i="24"/>
  <c r="T1468" i="24"/>
  <c r="B1468" i="24"/>
  <c r="D1467" i="24"/>
  <c r="F1466" i="24"/>
  <c r="H1465" i="24"/>
  <c r="L1464" i="24"/>
  <c r="N1463" i="24"/>
  <c r="P1462" i="24"/>
  <c r="R1461" i="24"/>
  <c r="T1460" i="24"/>
  <c r="B1460" i="24"/>
  <c r="D1459" i="24"/>
  <c r="F1458" i="24"/>
  <c r="H1457" i="24"/>
  <c r="L1456" i="24"/>
  <c r="N1455" i="24"/>
  <c r="P1454" i="24"/>
  <c r="R1453" i="24"/>
  <c r="T1452" i="24"/>
  <c r="B1452" i="24"/>
  <c r="D1451" i="24"/>
  <c r="F1450" i="24"/>
  <c r="H1449" i="24"/>
  <c r="L1448" i="24"/>
  <c r="N1447" i="24"/>
  <c r="P1446" i="24"/>
  <c r="R1445" i="24"/>
  <c r="T1444" i="24"/>
  <c r="B1444" i="24"/>
  <c r="D1443" i="24"/>
  <c r="F1442" i="24"/>
  <c r="H1441" i="24"/>
  <c r="L1440" i="24"/>
  <c r="N1439" i="24"/>
  <c r="P1438" i="24"/>
  <c r="R1437" i="24"/>
  <c r="T1436" i="24"/>
  <c r="B1436" i="24"/>
  <c r="D1435" i="24"/>
  <c r="F1434" i="24"/>
  <c r="H1433" i="24"/>
  <c r="L1432" i="24"/>
  <c r="N1431" i="24"/>
  <c r="P1430" i="24"/>
  <c r="R1429" i="24"/>
  <c r="T1428" i="24"/>
  <c r="B1428" i="24"/>
  <c r="D1427" i="24"/>
  <c r="F1426" i="24"/>
  <c r="H1425" i="24"/>
  <c r="L1424" i="24"/>
  <c r="N1423" i="24"/>
  <c r="P1422" i="24"/>
  <c r="R1421" i="24"/>
  <c r="T1420" i="24"/>
  <c r="B1420" i="24"/>
  <c r="D1419" i="24"/>
  <c r="F1418" i="24"/>
  <c r="H1417" i="24"/>
  <c r="L1416" i="24"/>
  <c r="N1415" i="24"/>
  <c r="P1414" i="24"/>
  <c r="R1413" i="24"/>
  <c r="T1412" i="24"/>
  <c r="B1412" i="24"/>
  <c r="D1411" i="24"/>
  <c r="F1410" i="24"/>
  <c r="R1409" i="24"/>
  <c r="H1409" i="24"/>
  <c r="T1408" i="24"/>
  <c r="L1408" i="24"/>
  <c r="B1408" i="24"/>
  <c r="N1407" i="24"/>
  <c r="D1407" i="24"/>
  <c r="P1406" i="24"/>
  <c r="F1406" i="24"/>
  <c r="R1405" i="24"/>
  <c r="H1405" i="24"/>
  <c r="T1404" i="24"/>
  <c r="L1404" i="24"/>
  <c r="B1404" i="24"/>
  <c r="N1403" i="24"/>
  <c r="D1403" i="24"/>
  <c r="P1402" i="24"/>
  <c r="F1402" i="24"/>
  <c r="R1401" i="24"/>
  <c r="H1401" i="24"/>
  <c r="T1400" i="24"/>
  <c r="L1400" i="24"/>
  <c r="B1400" i="24"/>
  <c r="N1399" i="24"/>
  <c r="D1399" i="24"/>
  <c r="P1398" i="24"/>
  <c r="F1398" i="24"/>
  <c r="R1397" i="24"/>
  <c r="L1397" i="24"/>
  <c r="F1397" i="24"/>
  <c r="B1397" i="24"/>
  <c r="R1396" i="24"/>
  <c r="N1396" i="24"/>
  <c r="H1396" i="24"/>
  <c r="D1396" i="24"/>
  <c r="T1395" i="24"/>
  <c r="P1395" i="24"/>
  <c r="L1395" i="24"/>
  <c r="F1395" i="24"/>
  <c r="B1395" i="24"/>
  <c r="R1394" i="24"/>
  <c r="N1394" i="24"/>
  <c r="H1394" i="24"/>
  <c r="D1394" i="24"/>
  <c r="T1393" i="24"/>
  <c r="P1393" i="24"/>
  <c r="L1393" i="24"/>
  <c r="F1393" i="24"/>
  <c r="B1393" i="24"/>
  <c r="R1392" i="24"/>
  <c r="N1392" i="24"/>
  <c r="H1392" i="24"/>
  <c r="D1392" i="24"/>
  <c r="T1391" i="24"/>
  <c r="P1391" i="24"/>
  <c r="L1391" i="24"/>
  <c r="F1391" i="24"/>
  <c r="B1391" i="24"/>
  <c r="R1390" i="24"/>
  <c r="N1390" i="24"/>
  <c r="H1390" i="24"/>
  <c r="D1390" i="24"/>
  <c r="T1389" i="24"/>
  <c r="P1389" i="24"/>
  <c r="L1389" i="24"/>
  <c r="F1389" i="24"/>
  <c r="B1389" i="24"/>
  <c r="R1388" i="24"/>
  <c r="N1388" i="24"/>
  <c r="H1388" i="24"/>
  <c r="D1388" i="24"/>
  <c r="T1387" i="24"/>
  <c r="P1387" i="24"/>
  <c r="L1387" i="24"/>
  <c r="F1387" i="24"/>
  <c r="B1387" i="24"/>
  <c r="R1386" i="24"/>
  <c r="N1386" i="24"/>
  <c r="H1386" i="24"/>
  <c r="D1386" i="24"/>
  <c r="T1385" i="24"/>
  <c r="P1385" i="24"/>
  <c r="L1385" i="24"/>
  <c r="F1385" i="24"/>
  <c r="B1385" i="24"/>
  <c r="R1384" i="24"/>
  <c r="N1384" i="24"/>
  <c r="H1384" i="24"/>
  <c r="D1384" i="24"/>
  <c r="T1383" i="24"/>
  <c r="P1383" i="24"/>
  <c r="L1383" i="24"/>
  <c r="F1383" i="24"/>
  <c r="B1383" i="24"/>
  <c r="R1382" i="24"/>
  <c r="N1382" i="24"/>
  <c r="H1382" i="24"/>
  <c r="D1382" i="24"/>
  <c r="T1381" i="24"/>
  <c r="P1381" i="24"/>
  <c r="L1381" i="24"/>
  <c r="F1381" i="24"/>
  <c r="B1381" i="24"/>
  <c r="R1380" i="24"/>
  <c r="N1380" i="24"/>
  <c r="H1380" i="24"/>
  <c r="D1380" i="24"/>
  <c r="T1379" i="24"/>
  <c r="P1379" i="24"/>
  <c r="L1379" i="24"/>
  <c r="F1379" i="24"/>
  <c r="B1379" i="24"/>
  <c r="R1378" i="24"/>
  <c r="N1378" i="24"/>
  <c r="H1378" i="24"/>
  <c r="D1378" i="24"/>
  <c r="T1377" i="24"/>
  <c r="P1377" i="24"/>
  <c r="L1377" i="24"/>
  <c r="F1377" i="24"/>
  <c r="B1377" i="24"/>
  <c r="R1376" i="24"/>
  <c r="N1376" i="24"/>
  <c r="H1376" i="24"/>
  <c r="D1376" i="24"/>
  <c r="T1375" i="24"/>
  <c r="P1375" i="24"/>
  <c r="L1375" i="24"/>
  <c r="F1375" i="24"/>
  <c r="B1375" i="24"/>
  <c r="R1374" i="24"/>
  <c r="N1374" i="24"/>
  <c r="H1374" i="24"/>
  <c r="D1374" i="24"/>
  <c r="T1373" i="24"/>
  <c r="P1373" i="24"/>
  <c r="L1373" i="24"/>
  <c r="F1373" i="24"/>
  <c r="B1373" i="24"/>
  <c r="R1372" i="24"/>
  <c r="N1372" i="24"/>
  <c r="H1372" i="24"/>
  <c r="D1372" i="24"/>
  <c r="T1371" i="24"/>
  <c r="P1371" i="24"/>
  <c r="L1371" i="24"/>
  <c r="F1371" i="24"/>
  <c r="B1371" i="24"/>
  <c r="R1370" i="24"/>
  <c r="N1370" i="24"/>
  <c r="H1370" i="24"/>
  <c r="D1370" i="24"/>
  <c r="T1369" i="24"/>
  <c r="P1369" i="24"/>
  <c r="L1369" i="24"/>
  <c r="F1369" i="24"/>
  <c r="B1369" i="24"/>
  <c r="R1368" i="24"/>
  <c r="N1368" i="24"/>
  <c r="H1368" i="24"/>
  <c r="D1368" i="24"/>
  <c r="T1367" i="24"/>
  <c r="P1367" i="24"/>
  <c r="L1367" i="24"/>
  <c r="F1367" i="24"/>
  <c r="B1367" i="24"/>
  <c r="R1366" i="24"/>
  <c r="N1366" i="24"/>
  <c r="H1366" i="24"/>
  <c r="D1366" i="24"/>
  <c r="T1365" i="24"/>
  <c r="P1365" i="24"/>
  <c r="L1365" i="24"/>
  <c r="F1365" i="24"/>
  <c r="B1365" i="24"/>
  <c r="R1364" i="24"/>
  <c r="N1364" i="24"/>
  <c r="H1364" i="24"/>
  <c r="D1364" i="24"/>
  <c r="T1363" i="24"/>
  <c r="P1363" i="24"/>
  <c r="L1363" i="24"/>
  <c r="F1363" i="24"/>
  <c r="B1363" i="24"/>
  <c r="R1362" i="24"/>
  <c r="N1362" i="24"/>
  <c r="H1362" i="24"/>
  <c r="D1362" i="24"/>
  <c r="T1361" i="24"/>
  <c r="P1361" i="24"/>
  <c r="L1361" i="24"/>
  <c r="F1361" i="24"/>
  <c r="B1361" i="24"/>
  <c r="R1360" i="24"/>
  <c r="N1360" i="24"/>
  <c r="H1360" i="24"/>
  <c r="D1360" i="24"/>
  <c r="T1359" i="24"/>
  <c r="P1359" i="24"/>
  <c r="L1359" i="24"/>
  <c r="F1359" i="24"/>
  <c r="B1359" i="24"/>
  <c r="R1358" i="24"/>
  <c r="N1358" i="24"/>
  <c r="H1358" i="24"/>
  <c r="D1358" i="24"/>
  <c r="T1357" i="24"/>
  <c r="P1357" i="24"/>
  <c r="L1357" i="24"/>
  <c r="F1357" i="24"/>
  <c r="B1357" i="24"/>
  <c r="R1356" i="24"/>
  <c r="N1356" i="24"/>
  <c r="H1356" i="24"/>
  <c r="D1356" i="24"/>
  <c r="T1355" i="24"/>
  <c r="P1355" i="24"/>
  <c r="L1355" i="24"/>
  <c r="F1355" i="24"/>
  <c r="B1355" i="24"/>
  <c r="R1354" i="24"/>
  <c r="N1354" i="24"/>
  <c r="H1354" i="24"/>
  <c r="D1354" i="24"/>
  <c r="T1353" i="24"/>
  <c r="P1353" i="24"/>
  <c r="L1353" i="24"/>
  <c r="F1353" i="24"/>
  <c r="B1353" i="24"/>
  <c r="R1352" i="24"/>
  <c r="N1352" i="24"/>
  <c r="H1352" i="24"/>
  <c r="D1352" i="24"/>
  <c r="T1351" i="24"/>
  <c r="P1351" i="24"/>
  <c r="L1351" i="24"/>
  <c r="F1351" i="24"/>
  <c r="B1351" i="24"/>
  <c r="R1350" i="24"/>
  <c r="N1350" i="24"/>
  <c r="H1350" i="24"/>
  <c r="D1350" i="24"/>
  <c r="T1349" i="24"/>
  <c r="P1349" i="24"/>
  <c r="L1349" i="24"/>
  <c r="F1349" i="24"/>
  <c r="B1349" i="24"/>
  <c r="R1348" i="24"/>
  <c r="N1348" i="24"/>
  <c r="H1348" i="24"/>
  <c r="D1348" i="24"/>
  <c r="T1347" i="24"/>
  <c r="P1347" i="24"/>
  <c r="L1347" i="24"/>
  <c r="F1347" i="24"/>
  <c r="B1347" i="24"/>
  <c r="R1346" i="24"/>
  <c r="N1346" i="24"/>
  <c r="H1346" i="24"/>
  <c r="D1346" i="24"/>
  <c r="T1345" i="24"/>
  <c r="P1345" i="24"/>
  <c r="L1345" i="24"/>
  <c r="F1345" i="24"/>
  <c r="B1345" i="24"/>
  <c r="R1344" i="24"/>
  <c r="N1344" i="24"/>
  <c r="H1344" i="24"/>
  <c r="D1344" i="24"/>
  <c r="T1343" i="24"/>
  <c r="P1343" i="24"/>
  <c r="L1343" i="24"/>
  <c r="F1343" i="24"/>
  <c r="B1343" i="24"/>
  <c r="R1342" i="24"/>
  <c r="N1342" i="24"/>
  <c r="H1342" i="24"/>
  <c r="D1342" i="24"/>
  <c r="T1341" i="24"/>
  <c r="P1341" i="24"/>
  <c r="L1341" i="24"/>
  <c r="F1341" i="24"/>
  <c r="B1341" i="24"/>
  <c r="R1340" i="24"/>
  <c r="N1340" i="24"/>
  <c r="H1340" i="24"/>
  <c r="D1340" i="24"/>
  <c r="T1339" i="24"/>
  <c r="P1339" i="24"/>
  <c r="L1339" i="24"/>
  <c r="F1339" i="24"/>
  <c r="B1339" i="24"/>
  <c r="R1338" i="24"/>
  <c r="N1338" i="24"/>
  <c r="H1338" i="24"/>
  <c r="D1338" i="24"/>
  <c r="T1337" i="24"/>
  <c r="P1337" i="24"/>
  <c r="L1337" i="24"/>
  <c r="F1337" i="24"/>
  <c r="B1337" i="24"/>
  <c r="R1336" i="24"/>
  <c r="N1336" i="24"/>
  <c r="H1336" i="24"/>
  <c r="D1336" i="24"/>
  <c r="T1335" i="24"/>
  <c r="P1335" i="24"/>
  <c r="L1335" i="24"/>
  <c r="F1335" i="24"/>
  <c r="B1335" i="24"/>
  <c r="R1334" i="24"/>
  <c r="N1334" i="24"/>
  <c r="H1334" i="24"/>
  <c r="D1334" i="24"/>
  <c r="T1333" i="24"/>
  <c r="P1333" i="24"/>
  <c r="L1333" i="24"/>
  <c r="F1333" i="24"/>
  <c r="B1333" i="24"/>
  <c r="R1332" i="24"/>
  <c r="N1332" i="24"/>
  <c r="H1332" i="24"/>
  <c r="D1332" i="24"/>
  <c r="T1331" i="24"/>
  <c r="P1331" i="24"/>
  <c r="L1331" i="24"/>
  <c r="F1331" i="24"/>
  <c r="B1331" i="24"/>
  <c r="R1330" i="24"/>
  <c r="N1330" i="24"/>
  <c r="H1330" i="24"/>
  <c r="D1330" i="24"/>
  <c r="T1329" i="24"/>
  <c r="P1329" i="24"/>
  <c r="L1329" i="24"/>
  <c r="F1329" i="24"/>
  <c r="B1329" i="24"/>
  <c r="R1328" i="24"/>
  <c r="N1328" i="24"/>
  <c r="H1328" i="24"/>
  <c r="D1328" i="24"/>
  <c r="T1327" i="24"/>
  <c r="P1327" i="24"/>
  <c r="L1327" i="24"/>
  <c r="F1327" i="24"/>
  <c r="B1327" i="24"/>
  <c r="R1326" i="24"/>
  <c r="N1326" i="24"/>
  <c r="H1326" i="24"/>
  <c r="D1326" i="24"/>
  <c r="T1325" i="24"/>
  <c r="P1325" i="24"/>
  <c r="L1325" i="24"/>
  <c r="F1325" i="24"/>
  <c r="B1325" i="24"/>
  <c r="R1324" i="24"/>
  <c r="N1324" i="24"/>
  <c r="H1324" i="24"/>
  <c r="D1324" i="24"/>
  <c r="T1323" i="24"/>
  <c r="P1323" i="24"/>
  <c r="L1323" i="24"/>
  <c r="F1323" i="24"/>
  <c r="B1323" i="24"/>
  <c r="R1322" i="24"/>
  <c r="N1322" i="24"/>
  <c r="H1322" i="24"/>
  <c r="D1322" i="24"/>
  <c r="T1321" i="24"/>
  <c r="P1321" i="24"/>
  <c r="L1321" i="24"/>
  <c r="F1321" i="24"/>
  <c r="B1321" i="24"/>
  <c r="R1320" i="24"/>
  <c r="N1320" i="24"/>
  <c r="H1320" i="24"/>
  <c r="D1320" i="24"/>
  <c r="T1319" i="24"/>
  <c r="P1319" i="24"/>
  <c r="L1319" i="24"/>
  <c r="F1319" i="24"/>
  <c r="B1319" i="24"/>
  <c r="R1318" i="24"/>
  <c r="N1318" i="24"/>
  <c r="H1318" i="24"/>
  <c r="D1318" i="24"/>
  <c r="T1317" i="24"/>
  <c r="P1317" i="24"/>
  <c r="L1317" i="24"/>
  <c r="F1317" i="24"/>
  <c r="B1317" i="24"/>
  <c r="R1316" i="24"/>
  <c r="N1316" i="24"/>
  <c r="H1316" i="24"/>
  <c r="D1316" i="24"/>
  <c r="T1315" i="24"/>
  <c r="P1315" i="24"/>
  <c r="L1315" i="24"/>
  <c r="F1315" i="24"/>
  <c r="B1315" i="24"/>
  <c r="R1314" i="24"/>
  <c r="N1314" i="24"/>
  <c r="H1314" i="24"/>
  <c r="D1314" i="24"/>
  <c r="T1313" i="24"/>
  <c r="P1313" i="24"/>
  <c r="L1313" i="24"/>
  <c r="F1313" i="24"/>
  <c r="B1313" i="24"/>
  <c r="R1312" i="24"/>
  <c r="N1312" i="24"/>
  <c r="H1312" i="24"/>
  <c r="D1312" i="24"/>
  <c r="T1311" i="24"/>
  <c r="P1311" i="24"/>
  <c r="L1311" i="24"/>
  <c r="F1311" i="24"/>
  <c r="B1311" i="24"/>
  <c r="R1310" i="24"/>
  <c r="N1310" i="24"/>
  <c r="H1310" i="24"/>
  <c r="D1310" i="24"/>
  <c r="T1309" i="24"/>
  <c r="P1309" i="24"/>
  <c r="L1309" i="24"/>
  <c r="F1309" i="24"/>
  <c r="B1309" i="24"/>
  <c r="R1308" i="24"/>
  <c r="N1308" i="24"/>
  <c r="H1308" i="24"/>
  <c r="D1308" i="24"/>
  <c r="T1307" i="24"/>
  <c r="P1307" i="24"/>
  <c r="L1307" i="24"/>
  <c r="F1307" i="24"/>
  <c r="B1307" i="24"/>
  <c r="R1306" i="24"/>
  <c r="N1306" i="24"/>
  <c r="H1306" i="24"/>
  <c r="D1306" i="24"/>
  <c r="T1305" i="24"/>
  <c r="P1305" i="24"/>
  <c r="L1305" i="24"/>
  <c r="F1305" i="24"/>
  <c r="B1305" i="24"/>
  <c r="R1304" i="24"/>
  <c r="N1304" i="24"/>
  <c r="H1304" i="24"/>
  <c r="D1304" i="24"/>
  <c r="T1303" i="24"/>
  <c r="P1303" i="24"/>
  <c r="L1303" i="24"/>
  <c r="F1303" i="24"/>
  <c r="B1303" i="24"/>
  <c r="R1302" i="24"/>
  <c r="N1302" i="24"/>
  <c r="H1302" i="24"/>
  <c r="D1302" i="24"/>
  <c r="T1301" i="24"/>
  <c r="P1301" i="24"/>
  <c r="L1301" i="24"/>
  <c r="F1301" i="24"/>
  <c r="B1301" i="24"/>
  <c r="R1300" i="24"/>
  <c r="N1300" i="24"/>
  <c r="H1300" i="24"/>
  <c r="D1300" i="24"/>
  <c r="T1299" i="24"/>
  <c r="P1299" i="24"/>
  <c r="L1299" i="24"/>
  <c r="F1299" i="24"/>
  <c r="B1299" i="24"/>
  <c r="R1298" i="24"/>
  <c r="N1298" i="24"/>
  <c r="H1298" i="24"/>
  <c r="D1298" i="24"/>
  <c r="T1297" i="24"/>
  <c r="P1297" i="24"/>
  <c r="L1297" i="24"/>
  <c r="F1297" i="24"/>
  <c r="B1297" i="24"/>
  <c r="R1296" i="24"/>
  <c r="N1296" i="24"/>
  <c r="H1296" i="24"/>
  <c r="D1296" i="24"/>
  <c r="T1295" i="24"/>
  <c r="P1295" i="24"/>
  <c r="L1295" i="24"/>
  <c r="F1295" i="24"/>
  <c r="B1295" i="24"/>
  <c r="R1294" i="24"/>
  <c r="N1294" i="24"/>
  <c r="H1294" i="24"/>
  <c r="D1294" i="24"/>
  <c r="T1293" i="24"/>
  <c r="P1293" i="24"/>
  <c r="L1293" i="24"/>
  <c r="F1293" i="24"/>
  <c r="B1293" i="24"/>
  <c r="R1292" i="24"/>
  <c r="N1292" i="24"/>
  <c r="H1292" i="24"/>
  <c r="D1292" i="24"/>
  <c r="T1291" i="24"/>
  <c r="P1291" i="24"/>
  <c r="L1291" i="24"/>
  <c r="F1291" i="24"/>
  <c r="B1291" i="24"/>
  <c r="R1290" i="24"/>
  <c r="N1290" i="24"/>
  <c r="H1290" i="24"/>
  <c r="D1290" i="24"/>
  <c r="T1289" i="24"/>
  <c r="P1289" i="24"/>
  <c r="L1289" i="24"/>
  <c r="F1289" i="24"/>
  <c r="B1289" i="24"/>
  <c r="R1288" i="24"/>
  <c r="N1288" i="24"/>
  <c r="H1288" i="24"/>
  <c r="D1288" i="24"/>
  <c r="T1287" i="24"/>
  <c r="P1287" i="24"/>
  <c r="L1287" i="24"/>
  <c r="F1287" i="24"/>
  <c r="B1287" i="24"/>
  <c r="R1286" i="24"/>
  <c r="N1286" i="24"/>
  <c r="H1286" i="24"/>
  <c r="D1286" i="24"/>
  <c r="T1285" i="24"/>
  <c r="P1285" i="24"/>
  <c r="L1285" i="24"/>
  <c r="F1285" i="24"/>
  <c r="B1285" i="24"/>
  <c r="R1284" i="24"/>
  <c r="N1284" i="24"/>
  <c r="H1284" i="24"/>
  <c r="D1284" i="24"/>
  <c r="T1283" i="24"/>
  <c r="P1283" i="24"/>
  <c r="L1283" i="24"/>
  <c r="F1283" i="24"/>
  <c r="B1283" i="24"/>
  <c r="R1282" i="24"/>
  <c r="N1282" i="24"/>
  <c r="H1282" i="24"/>
  <c r="D1282" i="24"/>
  <c r="T1281" i="24"/>
  <c r="P1281" i="24"/>
  <c r="L1281" i="24"/>
  <c r="F1281" i="24"/>
  <c r="B1281" i="24"/>
  <c r="R1280" i="24"/>
  <c r="N1280" i="24"/>
  <c r="H1280" i="24"/>
  <c r="D1280" i="24"/>
  <c r="T1279" i="24"/>
  <c r="P1279" i="24"/>
  <c r="L1279" i="24"/>
  <c r="F1279" i="24"/>
  <c r="B1279" i="24"/>
  <c r="R1278" i="24"/>
  <c r="N1278" i="24"/>
  <c r="H1278" i="24"/>
  <c r="D1278" i="24"/>
  <c r="T1277" i="24"/>
  <c r="P1277" i="24"/>
  <c r="L1277" i="24"/>
  <c r="F1277" i="24"/>
  <c r="B1277" i="24"/>
  <c r="R1276" i="24"/>
  <c r="N1276" i="24"/>
  <c r="H1276" i="24"/>
  <c r="D1276" i="24"/>
  <c r="T1275" i="24"/>
  <c r="P1275" i="24"/>
  <c r="L1275" i="24"/>
  <c r="F1275" i="24"/>
  <c r="B1275" i="24"/>
  <c r="R1274" i="24"/>
  <c r="N1274" i="24"/>
  <c r="H1274" i="24"/>
  <c r="D1274" i="24"/>
  <c r="T1273" i="24"/>
  <c r="P1273" i="24"/>
  <c r="L1273" i="24"/>
  <c r="F1273" i="24"/>
  <c r="B1273" i="24"/>
  <c r="R1272" i="24"/>
  <c r="N1272" i="24"/>
  <c r="H1272" i="24"/>
  <c r="D1272" i="24"/>
  <c r="T1271" i="24"/>
  <c r="P1271" i="24"/>
  <c r="L1271" i="24"/>
  <c r="F1271" i="24"/>
  <c r="B1271" i="24"/>
  <c r="R1270" i="24"/>
  <c r="N1270" i="24"/>
  <c r="H1270" i="24"/>
  <c r="D1270" i="24"/>
  <c r="T1269" i="24"/>
  <c r="P1269" i="24"/>
  <c r="L1269" i="24"/>
  <c r="F1269" i="24"/>
  <c r="B1269" i="24"/>
  <c r="R1268" i="24"/>
  <c r="N1268" i="24"/>
  <c r="H1268" i="24"/>
  <c r="D1268" i="24"/>
  <c r="T1267" i="24"/>
  <c r="P1267" i="24"/>
  <c r="L1267" i="24"/>
  <c r="F1267" i="24"/>
  <c r="B1267" i="24"/>
  <c r="R1266" i="24"/>
  <c r="N1266" i="24"/>
  <c r="H1266" i="24"/>
  <c r="D1266" i="24"/>
  <c r="T1265" i="24"/>
  <c r="P1265" i="24"/>
  <c r="L1265" i="24"/>
  <c r="F1265" i="24"/>
  <c r="B1265" i="24"/>
  <c r="R1264" i="24"/>
  <c r="N1264" i="24"/>
  <c r="H1264" i="24"/>
  <c r="D1264" i="24"/>
  <c r="T1263" i="24"/>
  <c r="P1263" i="24"/>
  <c r="L1263" i="24"/>
  <c r="F1263" i="24"/>
  <c r="B1263" i="24"/>
  <c r="R1262" i="24"/>
  <c r="N1262" i="24"/>
  <c r="H1262" i="24"/>
  <c r="D1262" i="24"/>
  <c r="T1261" i="24"/>
  <c r="P1261" i="24"/>
  <c r="L1261" i="24"/>
  <c r="F1261" i="24"/>
  <c r="B1261" i="24"/>
  <c r="R1260" i="24"/>
  <c r="N1260" i="24"/>
  <c r="H1260" i="24"/>
  <c r="D1260" i="24"/>
  <c r="T1259" i="24"/>
  <c r="P1259" i="24"/>
  <c r="L1259" i="24"/>
  <c r="F1259" i="24"/>
  <c r="B1259" i="24"/>
  <c r="R1258" i="24"/>
  <c r="N1258" i="24"/>
  <c r="H1258" i="24"/>
  <c r="D1258" i="24"/>
  <c r="T1257" i="24"/>
  <c r="P1257" i="24"/>
  <c r="L1257" i="24"/>
  <c r="F1257" i="24"/>
  <c r="B1257" i="24"/>
  <c r="R1256" i="24"/>
  <c r="N1256" i="24"/>
  <c r="H1256" i="24"/>
  <c r="D1256" i="24"/>
  <c r="T1255" i="24"/>
  <c r="P1255" i="24"/>
  <c r="L1255" i="24"/>
  <c r="F1255" i="24"/>
  <c r="B1255" i="24"/>
  <c r="R1254" i="24"/>
  <c r="N1254" i="24"/>
  <c r="H1254" i="24"/>
  <c r="D1254" i="24"/>
  <c r="T1253" i="24"/>
  <c r="P1253" i="24"/>
  <c r="L1253" i="24"/>
  <c r="F1253" i="24"/>
  <c r="B1253" i="24"/>
  <c r="R1252" i="24"/>
  <c r="N1252" i="24"/>
  <c r="H1252" i="24"/>
  <c r="D1252" i="24"/>
  <c r="T1251" i="24"/>
  <c r="P1251" i="24"/>
  <c r="L1251" i="24"/>
  <c r="F1251" i="24"/>
  <c r="B1251" i="24"/>
  <c r="R1250" i="24"/>
  <c r="N1250" i="24"/>
  <c r="H1250" i="24"/>
  <c r="D1250" i="24"/>
  <c r="T1249" i="24"/>
  <c r="P1249" i="24"/>
  <c r="L1249" i="24"/>
  <c r="F1249" i="24"/>
  <c r="B1249" i="24"/>
  <c r="R1248" i="24"/>
  <c r="N1248" i="24"/>
  <c r="H1248" i="24"/>
  <c r="D1248" i="24"/>
  <c r="T1247" i="24"/>
  <c r="P1247" i="24"/>
  <c r="L1247" i="24"/>
  <c r="F1247" i="24"/>
  <c r="B1247" i="24"/>
  <c r="R1246" i="24"/>
  <c r="N1246" i="24"/>
  <c r="H1246" i="24"/>
  <c r="D1246" i="24"/>
  <c r="T1245" i="24"/>
  <c r="P1245" i="24"/>
  <c r="L1245" i="24"/>
  <c r="F1245" i="24"/>
  <c r="B1245" i="24"/>
  <c r="R1244" i="24"/>
  <c r="N1244" i="24"/>
  <c r="H1244" i="24"/>
  <c r="D1244" i="24"/>
  <c r="T1243" i="24"/>
  <c r="P1243" i="24"/>
  <c r="L1243" i="24"/>
  <c r="F1243" i="24"/>
  <c r="B1243" i="24"/>
  <c r="R1242" i="24"/>
  <c r="N1242" i="24"/>
  <c r="H1242" i="24"/>
  <c r="D1242" i="24"/>
  <c r="T1241" i="24"/>
  <c r="P1241" i="24"/>
  <c r="L1241" i="24"/>
  <c r="F1241" i="24"/>
  <c r="B1241" i="24"/>
  <c r="R1240" i="24"/>
  <c r="N1240" i="24"/>
  <c r="H1240" i="24"/>
  <c r="D1240" i="24"/>
  <c r="T1239" i="24"/>
  <c r="P1239" i="24"/>
  <c r="L1239" i="24"/>
  <c r="F1239" i="24"/>
  <c r="B1239" i="24"/>
  <c r="R1238" i="24"/>
  <c r="N1238" i="24"/>
  <c r="H1238" i="24"/>
  <c r="D1238" i="24"/>
  <c r="T1237" i="24"/>
  <c r="P1237" i="24"/>
  <c r="L1237" i="24"/>
  <c r="F1237" i="24"/>
  <c r="B1237" i="24"/>
  <c r="R1236" i="24"/>
  <c r="N1236" i="24"/>
  <c r="H1236" i="24"/>
  <c r="D1236" i="24"/>
  <c r="T1235" i="24"/>
  <c r="P1235" i="24"/>
  <c r="L1235" i="24"/>
  <c r="F1235" i="24"/>
  <c r="B1235" i="24"/>
  <c r="R1234" i="24"/>
  <c r="N1234" i="24"/>
  <c r="H1234" i="24"/>
  <c r="D1234" i="24"/>
  <c r="T1233" i="24"/>
  <c r="P1233" i="24"/>
  <c r="L1233" i="24"/>
  <c r="F1233" i="24"/>
  <c r="B1233" i="24"/>
  <c r="R1232" i="24"/>
  <c r="N1232" i="24"/>
  <c r="H1232" i="24"/>
  <c r="D1232" i="24"/>
  <c r="T1231" i="24"/>
  <c r="P1231" i="24"/>
  <c r="L1231" i="24"/>
  <c r="F1231" i="24"/>
  <c r="B1231" i="24"/>
  <c r="R1230" i="24"/>
  <c r="N1230" i="24"/>
  <c r="H1230" i="24"/>
  <c r="D1230" i="24"/>
  <c r="T1229" i="24"/>
  <c r="P1229" i="24"/>
  <c r="L1229" i="24"/>
  <c r="F1229" i="24"/>
  <c r="B1229" i="24"/>
  <c r="R1228" i="24"/>
  <c r="N1228" i="24"/>
  <c r="H1228" i="24"/>
  <c r="D1228" i="24"/>
  <c r="T1227" i="24"/>
  <c r="P1227" i="24"/>
  <c r="L1227" i="24"/>
  <c r="F1227" i="24"/>
  <c r="B1227" i="24"/>
  <c r="R1226" i="24"/>
  <c r="N1226" i="24"/>
  <c r="H1226" i="24"/>
  <c r="D1226" i="24"/>
  <c r="T1225" i="24"/>
  <c r="P1225" i="24"/>
  <c r="L1225" i="24"/>
  <c r="F1225" i="24"/>
  <c r="B1225" i="24"/>
  <c r="R1224" i="24"/>
  <c r="N1224" i="24"/>
  <c r="H1224" i="24"/>
  <c r="D1224" i="24"/>
  <c r="T1223" i="24"/>
  <c r="P1223" i="24"/>
  <c r="L1223" i="24"/>
  <c r="F1223" i="24"/>
  <c r="B1223" i="24"/>
  <c r="R1222" i="24"/>
  <c r="N1222" i="24"/>
  <c r="H1222" i="24"/>
  <c r="D1222" i="24"/>
  <c r="T1221" i="24"/>
  <c r="P1221" i="24"/>
  <c r="L1221" i="24"/>
  <c r="F1221" i="24"/>
  <c r="B1221" i="24"/>
  <c r="R1220" i="24"/>
  <c r="N1220" i="24"/>
  <c r="H1220" i="24"/>
  <c r="D1220" i="24"/>
  <c r="T1219" i="24"/>
  <c r="P1219" i="24"/>
  <c r="L1219" i="24"/>
  <c r="F1219" i="24"/>
  <c r="B1219" i="24"/>
  <c r="R1218" i="24"/>
  <c r="N1218" i="24"/>
  <c r="H1218" i="24"/>
  <c r="D1218" i="24"/>
  <c r="T1217" i="24"/>
  <c r="P1217" i="24"/>
  <c r="L1217" i="24"/>
  <c r="F1217" i="24"/>
  <c r="B1217" i="24"/>
  <c r="R1216" i="24"/>
  <c r="N1216" i="24"/>
  <c r="H1216" i="24"/>
  <c r="D1216" i="24"/>
  <c r="T1215" i="24"/>
  <c r="P1215" i="24"/>
  <c r="L1215" i="24"/>
  <c r="F1215" i="24"/>
  <c r="B1215" i="24"/>
  <c r="R1214" i="24"/>
  <c r="N1214" i="24"/>
  <c r="H1214" i="24"/>
  <c r="D1214" i="24"/>
  <c r="T1213" i="24"/>
  <c r="P1213" i="24"/>
  <c r="L1213" i="24"/>
  <c r="F1213" i="24"/>
  <c r="B1213" i="24"/>
  <c r="R1212" i="24"/>
  <c r="N1212" i="24"/>
  <c r="H1212" i="24"/>
  <c r="D1212" i="24"/>
  <c r="T1211" i="24"/>
  <c r="P1211" i="24"/>
  <c r="L1211" i="24"/>
  <c r="F1211" i="24"/>
  <c r="B1211" i="24"/>
  <c r="R1210" i="24"/>
  <c r="N1210" i="24"/>
  <c r="H1210" i="24"/>
  <c r="D1210" i="24"/>
  <c r="T1209" i="24"/>
  <c r="P1209" i="24"/>
  <c r="L1209" i="24"/>
  <c r="F1209" i="24"/>
  <c r="B1209" i="24"/>
  <c r="R1208" i="24"/>
  <c r="N1208" i="24"/>
  <c r="H1208" i="24"/>
  <c r="D1208" i="24"/>
  <c r="T1207" i="24"/>
  <c r="P1207" i="24"/>
  <c r="L1207" i="24"/>
  <c r="F1207" i="24"/>
  <c r="B1207" i="24"/>
  <c r="R1206" i="24"/>
  <c r="N1206" i="24"/>
  <c r="H1206" i="24"/>
  <c r="D1206" i="24"/>
  <c r="T1205" i="24"/>
  <c r="P1205" i="24"/>
  <c r="L1205" i="24"/>
  <c r="F1205" i="24"/>
  <c r="B1205" i="24"/>
  <c r="R1204" i="24"/>
  <c r="N1204" i="24"/>
  <c r="H1204" i="24"/>
  <c r="D1204" i="24"/>
  <c r="T1203" i="24"/>
  <c r="P1203" i="24"/>
  <c r="L1203" i="24"/>
  <c r="F1203" i="24"/>
  <c r="B1203" i="24"/>
  <c r="R1202" i="24"/>
  <c r="N1202" i="24"/>
  <c r="H1202" i="24"/>
  <c r="D1202" i="24"/>
  <c r="T1201" i="24"/>
  <c r="P1201" i="24"/>
  <c r="L1201" i="24"/>
  <c r="F1201" i="24"/>
  <c r="B1201" i="24"/>
  <c r="R1200" i="24"/>
  <c r="N1200" i="24"/>
  <c r="H1200" i="24"/>
  <c r="D1200" i="24"/>
  <c r="T1199" i="24"/>
  <c r="P1199" i="24"/>
  <c r="L1199" i="24"/>
  <c r="F1199" i="24"/>
  <c r="B1199" i="24"/>
  <c r="R1198" i="24"/>
  <c r="N1198" i="24"/>
  <c r="H1198" i="24"/>
  <c r="D1198" i="24"/>
  <c r="T1197" i="24"/>
  <c r="P1197" i="24"/>
  <c r="L1197" i="24"/>
  <c r="F1197" i="24"/>
  <c r="B1197" i="24"/>
  <c r="R1196" i="24"/>
  <c r="N1196" i="24"/>
  <c r="H1196" i="24"/>
  <c r="D1196" i="24"/>
  <c r="T1195" i="24"/>
  <c r="P1195" i="24"/>
  <c r="L1195" i="24"/>
  <c r="F1195" i="24"/>
  <c r="B1195" i="24"/>
  <c r="R1194" i="24"/>
  <c r="N1194" i="24"/>
  <c r="H1194" i="24"/>
  <c r="D1194" i="24"/>
  <c r="T1193" i="24"/>
  <c r="P1193" i="24"/>
  <c r="L1193" i="24"/>
  <c r="F1193" i="24"/>
  <c r="B1193" i="24"/>
  <c r="R1192" i="24"/>
  <c r="N1192" i="24"/>
  <c r="H1192" i="24"/>
  <c r="D1192" i="24"/>
  <c r="T1191" i="24"/>
  <c r="P1191" i="24"/>
  <c r="L1191" i="24"/>
  <c r="F1191" i="24"/>
  <c r="B1191" i="24"/>
  <c r="R1190" i="24"/>
  <c r="N1190" i="24"/>
  <c r="H1190" i="24"/>
  <c r="D1190" i="24"/>
  <c r="T1189" i="24"/>
  <c r="P1189" i="24"/>
  <c r="L1189" i="24"/>
  <c r="F1189" i="24"/>
  <c r="B1189" i="24"/>
  <c r="R1188" i="24"/>
  <c r="N1188" i="24"/>
  <c r="H1188" i="24"/>
  <c r="D1188" i="24"/>
  <c r="T1187" i="24"/>
  <c r="P1187" i="24"/>
  <c r="L1187" i="24"/>
  <c r="F1187" i="24"/>
  <c r="B1187" i="24"/>
  <c r="R1186" i="24"/>
  <c r="N1186" i="24"/>
  <c r="H1186" i="24"/>
  <c r="D1186" i="24"/>
  <c r="T1185" i="24"/>
  <c r="P1185" i="24"/>
  <c r="L1185" i="24"/>
  <c r="F1185" i="24"/>
  <c r="B1185" i="24"/>
  <c r="R1184" i="24"/>
  <c r="N1184" i="24"/>
  <c r="H1184" i="24"/>
  <c r="D1184" i="24"/>
  <c r="T1183" i="24"/>
  <c r="P1183" i="24"/>
  <c r="L1183" i="24"/>
  <c r="F1183" i="24"/>
  <c r="B1183" i="24"/>
  <c r="R1182" i="24"/>
  <c r="N1182" i="24"/>
  <c r="H1182" i="24"/>
  <c r="D1182" i="24"/>
  <c r="T1181" i="24"/>
  <c r="P1181" i="24"/>
  <c r="L1181" i="24"/>
  <c r="F1181" i="24"/>
  <c r="B1181" i="24"/>
  <c r="R1180" i="24"/>
  <c r="N1180" i="24"/>
  <c r="H1180" i="24"/>
  <c r="D1180" i="24"/>
  <c r="T1179" i="24"/>
  <c r="P1179" i="24"/>
  <c r="L1179" i="24"/>
  <c r="F1179" i="24"/>
  <c r="B1179" i="24"/>
  <c r="R1178" i="24"/>
  <c r="N1178" i="24"/>
  <c r="H1178" i="24"/>
  <c r="D1178" i="24"/>
  <c r="T1177" i="24"/>
  <c r="P1177" i="24"/>
  <c r="L1177" i="24"/>
  <c r="F1177" i="24"/>
  <c r="B1177" i="24"/>
  <c r="R1176" i="24"/>
  <c r="N1176" i="24"/>
  <c r="H1176" i="24"/>
  <c r="D1176" i="24"/>
  <c r="T1175" i="24"/>
  <c r="P1175" i="24"/>
  <c r="L1175" i="24"/>
  <c r="F1175" i="24"/>
  <c r="B1175" i="24"/>
  <c r="R1174" i="24"/>
  <c r="N1174" i="24"/>
  <c r="H1174" i="24"/>
  <c r="D1174" i="24"/>
  <c r="T1173" i="24"/>
  <c r="P1173" i="24"/>
  <c r="L1173" i="24"/>
  <c r="F1173" i="24"/>
  <c r="B1173" i="24"/>
  <c r="R1172" i="24"/>
  <c r="N1172" i="24"/>
  <c r="H1172" i="24"/>
  <c r="D1172" i="24"/>
  <c r="T1171" i="24"/>
  <c r="P1171" i="24"/>
  <c r="L1171" i="24"/>
  <c r="F1171" i="24"/>
  <c r="B1171" i="24"/>
  <c r="R1170" i="24"/>
  <c r="N1170" i="24"/>
  <c r="H1170" i="24"/>
  <c r="D1170" i="24"/>
  <c r="T1169" i="24"/>
  <c r="P1169" i="24"/>
  <c r="L1169" i="24"/>
  <c r="F1169" i="24"/>
  <c r="B1169" i="24"/>
  <c r="R1168" i="24"/>
  <c r="N1168" i="24"/>
  <c r="H1168" i="24"/>
  <c r="D1168" i="24"/>
  <c r="T1167" i="24"/>
  <c r="P1167" i="24"/>
  <c r="L1167" i="24"/>
  <c r="F1167" i="24"/>
  <c r="B1167" i="24"/>
  <c r="R1166" i="24"/>
  <c r="N1166" i="24"/>
  <c r="H1166" i="24"/>
  <c r="D1166" i="24"/>
  <c r="T1165" i="24"/>
  <c r="P1165" i="24"/>
  <c r="L1165" i="24"/>
  <c r="F1165" i="24"/>
  <c r="B1165" i="24"/>
  <c r="R1164" i="24"/>
  <c r="N1164" i="24"/>
  <c r="H1164" i="24"/>
  <c r="D1164" i="24"/>
  <c r="T1163" i="24"/>
  <c r="P1163" i="24"/>
  <c r="L1163" i="24"/>
  <c r="F1163" i="24"/>
  <c r="B1163" i="24"/>
  <c r="R1162" i="24"/>
  <c r="N1162" i="24"/>
  <c r="H1162" i="24"/>
  <c r="D1162" i="24"/>
  <c r="T1161" i="24"/>
  <c r="P1161" i="24"/>
  <c r="L1161" i="24"/>
  <c r="F1161" i="24"/>
  <c r="B1161" i="24"/>
  <c r="R1160" i="24"/>
  <c r="N1160" i="24"/>
  <c r="H1160" i="24"/>
  <c r="D1160" i="24"/>
  <c r="T1159" i="24"/>
  <c r="P1159" i="24"/>
  <c r="L1159" i="24"/>
  <c r="F1159" i="24"/>
  <c r="B1159" i="24"/>
  <c r="R1158" i="24"/>
  <c r="N1158" i="24"/>
  <c r="H1158" i="24"/>
  <c r="D1158" i="24"/>
  <c r="T1157" i="24"/>
  <c r="P1157" i="24"/>
  <c r="L1157" i="24"/>
  <c r="F1157" i="24"/>
  <c r="B1157" i="24"/>
  <c r="R1156" i="24"/>
  <c r="N1156" i="24"/>
  <c r="H1156" i="24"/>
  <c r="D1156" i="24"/>
  <c r="T1155" i="24"/>
  <c r="P1155" i="24"/>
  <c r="L1155" i="24"/>
  <c r="F1155" i="24"/>
  <c r="B1155" i="24"/>
  <c r="R1154" i="24"/>
  <c r="N1154" i="24"/>
  <c r="H1154" i="24"/>
  <c r="D1154" i="24"/>
  <c r="T1153" i="24"/>
  <c r="P1153" i="24"/>
  <c r="L1153" i="24"/>
  <c r="F1153" i="24"/>
  <c r="B1153" i="24"/>
  <c r="R1152" i="24"/>
  <c r="N1152" i="24"/>
  <c r="H1152" i="24"/>
  <c r="D1152" i="24"/>
  <c r="T1151" i="24"/>
  <c r="P1151" i="24"/>
  <c r="L1151" i="24"/>
  <c r="F1151" i="24"/>
  <c r="B1151" i="24"/>
  <c r="R1150" i="24"/>
  <c r="N1150" i="24"/>
  <c r="H1150" i="24"/>
  <c r="D1150" i="24"/>
  <c r="T1149" i="24"/>
  <c r="P1149" i="24"/>
  <c r="L1149" i="24"/>
  <c r="F1149" i="24"/>
  <c r="B1149" i="24"/>
  <c r="R1148" i="24"/>
  <c r="N1148" i="24"/>
  <c r="H1148" i="24"/>
  <c r="D1148" i="24"/>
  <c r="T1147" i="24"/>
  <c r="P1147" i="24"/>
  <c r="L1147" i="24"/>
  <c r="F1147" i="24"/>
  <c r="B1147" i="24"/>
  <c r="R1146" i="24"/>
  <c r="N1146" i="24"/>
  <c r="H1146" i="24"/>
  <c r="D1146" i="24"/>
  <c r="T1145" i="24"/>
  <c r="P1145" i="24"/>
  <c r="L1145" i="24"/>
  <c r="F1145" i="24"/>
  <c r="B1145" i="24"/>
  <c r="R1144" i="24"/>
  <c r="N1144" i="24"/>
  <c r="H1144" i="24"/>
  <c r="D1144" i="24"/>
  <c r="T1143" i="24"/>
  <c r="P1143" i="24"/>
  <c r="L1143" i="24"/>
  <c r="F1143" i="24"/>
  <c r="B1143" i="24"/>
  <c r="R1142" i="24"/>
  <c r="N1142" i="24"/>
  <c r="H1142" i="24"/>
  <c r="D1142" i="24"/>
  <c r="T1141" i="24"/>
  <c r="P1141" i="24"/>
  <c r="L1141" i="24"/>
  <c r="F1141" i="24"/>
  <c r="B1141" i="24"/>
  <c r="R1140" i="24"/>
  <c r="N1140" i="24"/>
  <c r="H1140" i="24"/>
  <c r="D1140" i="24"/>
  <c r="T1139" i="24"/>
  <c r="P1139" i="24"/>
  <c r="L1139" i="24"/>
  <c r="F1139" i="24"/>
  <c r="B1139" i="24"/>
  <c r="R1138" i="24"/>
  <c r="N1138" i="24"/>
  <c r="H1138" i="24"/>
  <c r="D1138" i="24"/>
  <c r="T1137" i="24"/>
  <c r="P1137" i="24"/>
  <c r="L1137" i="24"/>
  <c r="F1137" i="24"/>
  <c r="B1137" i="24"/>
  <c r="R1136" i="24"/>
  <c r="N1136" i="24"/>
  <c r="H1136" i="24"/>
  <c r="D1136" i="24"/>
  <c r="T1135" i="24"/>
  <c r="P1135" i="24"/>
  <c r="L1135" i="24"/>
  <c r="F1135" i="24"/>
  <c r="B1135" i="24"/>
  <c r="R1134" i="24"/>
  <c r="N1134" i="24"/>
  <c r="H1134" i="24"/>
  <c r="D1134" i="24"/>
  <c r="T1133" i="24"/>
  <c r="P1133" i="24"/>
  <c r="L1133" i="24"/>
  <c r="F1133" i="24"/>
  <c r="B1133" i="24"/>
  <c r="R1132" i="24"/>
  <c r="N1132" i="24"/>
  <c r="H1132" i="24"/>
  <c r="D1132" i="24"/>
  <c r="T1131" i="24"/>
  <c r="P1131" i="24"/>
  <c r="L1131" i="24"/>
  <c r="F1131" i="24"/>
  <c r="B1131" i="24"/>
  <c r="R1130" i="24"/>
  <c r="N1130" i="24"/>
  <c r="H1130" i="24"/>
  <c r="D1130" i="24"/>
  <c r="T1129" i="24"/>
  <c r="P1129" i="24"/>
  <c r="L1129" i="24"/>
  <c r="F1129" i="24"/>
  <c r="B1129" i="24"/>
  <c r="R1128" i="24"/>
  <c r="N1128" i="24"/>
  <c r="H1128" i="24"/>
  <c r="D1128" i="24"/>
  <c r="T1127" i="24"/>
  <c r="P1127" i="24"/>
  <c r="L1127" i="24"/>
  <c r="F1127" i="24"/>
  <c r="B1127" i="24"/>
  <c r="R1126" i="24"/>
  <c r="N1126" i="24"/>
  <c r="H1126" i="24"/>
  <c r="D1126" i="24"/>
  <c r="T1125" i="24"/>
  <c r="P1125" i="24"/>
  <c r="L1125" i="24"/>
  <c r="F1125" i="24"/>
  <c r="B1125" i="24"/>
  <c r="R1124" i="24"/>
  <c r="N1124" i="24"/>
  <c r="H1124" i="24"/>
  <c r="D1124" i="24"/>
  <c r="T1123" i="24"/>
  <c r="P1123" i="24"/>
  <c r="L1123" i="24"/>
  <c r="F1123" i="24"/>
  <c r="B1123" i="24"/>
  <c r="R1122" i="24"/>
  <c r="N1122" i="24"/>
  <c r="H1122" i="24"/>
  <c r="D1122" i="24"/>
  <c r="T1121" i="24"/>
  <c r="P1121" i="24"/>
  <c r="L1121" i="24"/>
  <c r="F1121" i="24"/>
  <c r="B1121" i="24"/>
  <c r="R1120" i="24"/>
  <c r="N1120" i="24"/>
  <c r="H1120" i="24"/>
  <c r="D1120" i="24"/>
  <c r="T1119" i="24"/>
  <c r="P1119" i="24"/>
  <c r="L1119" i="24"/>
  <c r="F1119" i="24"/>
  <c r="B1119" i="24"/>
  <c r="R1118" i="24"/>
  <c r="N1118" i="24"/>
  <c r="H1118" i="24"/>
  <c r="D1118" i="24"/>
  <c r="T1117" i="24"/>
  <c r="P1117" i="24"/>
  <c r="L1117" i="24"/>
  <c r="F1117" i="24"/>
  <c r="B1117" i="24"/>
  <c r="R1116" i="24"/>
  <c r="N1116" i="24"/>
  <c r="H1116" i="24"/>
  <c r="D1116" i="24"/>
  <c r="T1115" i="24"/>
  <c r="P1115" i="24"/>
  <c r="L1115" i="24"/>
  <c r="F1115" i="24"/>
  <c r="B1115" i="24"/>
  <c r="R1114" i="24"/>
  <c r="N1114" i="24"/>
  <c r="H1114" i="24"/>
  <c r="D1114" i="24"/>
  <c r="T1113" i="24"/>
  <c r="P1113" i="24"/>
  <c r="L1113" i="24"/>
  <c r="F1113" i="24"/>
  <c r="B1113" i="24"/>
  <c r="R1112" i="24"/>
  <c r="N1112" i="24"/>
  <c r="H1112" i="24"/>
  <c r="D1112" i="24"/>
  <c r="T1111" i="24"/>
  <c r="P1111" i="24"/>
  <c r="L1111" i="24"/>
  <c r="F1111" i="24"/>
  <c r="B1111" i="24"/>
  <c r="R1110" i="24"/>
  <c r="N1110" i="24"/>
  <c r="H1110" i="24"/>
  <c r="D1110" i="24"/>
  <c r="T1109" i="24"/>
  <c r="P1109" i="24"/>
  <c r="L1109" i="24"/>
  <c r="F1109" i="24"/>
  <c r="B1109" i="24"/>
  <c r="R1108" i="24"/>
  <c r="N1108" i="24"/>
  <c r="H1108" i="24"/>
  <c r="D1108" i="24"/>
  <c r="T1107" i="24"/>
  <c r="P1107" i="24"/>
  <c r="L1107" i="24"/>
  <c r="F1107" i="24"/>
  <c r="B1107" i="24"/>
  <c r="R1106" i="24"/>
  <c r="N1106" i="24"/>
  <c r="H1106" i="24"/>
  <c r="D1106" i="24"/>
  <c r="T1105" i="24"/>
  <c r="P1105" i="24"/>
  <c r="L1105" i="24"/>
  <c r="F1105" i="24"/>
  <c r="B1105" i="24"/>
  <c r="R1104" i="24"/>
  <c r="N1104" i="24"/>
  <c r="H1104" i="24"/>
  <c r="D1104" i="24"/>
  <c r="T1103" i="24"/>
  <c r="P1103" i="24"/>
  <c r="L1103" i="24"/>
  <c r="F1103" i="24"/>
  <c r="B1103" i="24"/>
  <c r="R1102" i="24"/>
  <c r="N1102" i="24"/>
  <c r="H1102" i="24"/>
  <c r="D1102" i="24"/>
  <c r="T1101" i="24"/>
  <c r="P1101" i="24"/>
  <c r="L1101" i="24"/>
  <c r="F1101" i="24"/>
  <c r="B1101" i="24"/>
  <c r="R1100" i="24"/>
  <c r="N1100" i="24"/>
  <c r="H1100" i="24"/>
  <c r="D1100" i="24"/>
  <c r="T1099" i="24"/>
  <c r="P1099" i="24"/>
  <c r="L1099" i="24"/>
  <c r="F1099" i="24"/>
  <c r="B1099" i="24"/>
  <c r="R1098" i="24"/>
  <c r="N1098" i="24"/>
  <c r="H1098" i="24"/>
  <c r="D1098" i="24"/>
  <c r="T1097" i="24"/>
  <c r="P1097" i="24"/>
  <c r="L1097" i="24"/>
  <c r="F1097" i="24"/>
  <c r="B1097" i="24"/>
  <c r="R1096" i="24"/>
  <c r="N1096" i="24"/>
  <c r="H1096" i="24"/>
  <c r="D1096" i="24"/>
  <c r="T1095" i="24"/>
  <c r="P1095" i="24"/>
  <c r="L1095" i="24"/>
  <c r="F1095" i="24"/>
  <c r="B1095" i="24"/>
  <c r="R1094" i="24"/>
  <c r="N1094" i="24"/>
  <c r="H1094" i="24"/>
  <c r="D1094" i="24"/>
  <c r="T1093" i="24"/>
  <c r="P1093" i="24"/>
  <c r="L1093" i="24"/>
  <c r="F1093" i="24"/>
  <c r="B1093" i="24"/>
  <c r="R1092" i="24"/>
  <c r="N1092" i="24"/>
  <c r="H1092" i="24"/>
  <c r="D1092" i="24"/>
  <c r="T1091" i="24"/>
  <c r="P1091" i="24"/>
  <c r="L1091" i="24"/>
  <c r="F1091" i="24"/>
  <c r="B1091" i="24"/>
  <c r="R1090" i="24"/>
  <c r="N1090" i="24"/>
  <c r="H1090" i="24"/>
  <c r="D1090" i="24"/>
  <c r="T1089" i="24"/>
  <c r="P1089" i="24"/>
  <c r="L1089" i="24"/>
  <c r="F1089" i="24"/>
  <c r="B1089" i="24"/>
  <c r="R1088" i="24"/>
  <c r="N1088" i="24"/>
  <c r="H1088" i="24"/>
  <c r="D1088" i="24"/>
  <c r="T1087" i="24"/>
  <c r="P1087" i="24"/>
  <c r="L1087" i="24"/>
  <c r="F1087" i="24"/>
  <c r="B1087" i="24"/>
  <c r="R1086" i="24"/>
  <c r="N1086" i="24"/>
  <c r="H1086" i="24"/>
  <c r="D1086" i="24"/>
  <c r="T1085" i="24"/>
  <c r="P1085" i="24"/>
  <c r="L1085" i="24"/>
  <c r="F1085" i="24"/>
  <c r="B1085" i="24"/>
  <c r="R1084" i="24"/>
  <c r="N1084" i="24"/>
  <c r="H1084" i="24"/>
  <c r="D1084" i="24"/>
  <c r="T1083" i="24"/>
  <c r="P1083" i="24"/>
  <c r="L1083" i="24"/>
  <c r="F1083" i="24"/>
  <c r="B1083" i="24"/>
  <c r="R1082" i="24"/>
  <c r="N1082" i="24"/>
  <c r="H1082" i="24"/>
  <c r="D1082" i="24"/>
  <c r="T1081" i="24"/>
  <c r="P1081" i="24"/>
  <c r="L1081" i="24"/>
  <c r="F1081" i="24"/>
  <c r="B1081" i="24"/>
  <c r="R1080" i="24"/>
  <c r="N1080" i="24"/>
  <c r="H1080" i="24"/>
  <c r="D1080" i="24"/>
  <c r="T1079" i="24"/>
  <c r="P1079" i="24"/>
  <c r="L1079" i="24"/>
  <c r="F1079" i="24"/>
  <c r="B1079" i="24"/>
  <c r="R1078" i="24"/>
  <c r="N1078" i="24"/>
  <c r="H1078" i="24"/>
  <c r="D1078" i="24"/>
  <c r="T1077" i="24"/>
  <c r="P1077" i="24"/>
  <c r="L1077" i="24"/>
  <c r="F1077" i="24"/>
  <c r="B1077" i="24"/>
  <c r="R1076" i="24"/>
  <c r="N1076" i="24"/>
  <c r="H1076" i="24"/>
  <c r="D1076" i="24"/>
  <c r="T1075" i="24"/>
  <c r="P1075" i="24"/>
  <c r="L1075" i="24"/>
  <c r="F1075" i="24"/>
  <c r="B1075" i="24"/>
  <c r="R1074" i="24"/>
  <c r="N1074" i="24"/>
  <c r="H1074" i="24"/>
  <c r="D1074" i="24"/>
  <c r="T1073" i="24"/>
  <c r="P1073" i="24"/>
  <c r="L1073" i="24"/>
  <c r="F1073" i="24"/>
  <c r="B1073" i="24"/>
  <c r="R1072" i="24"/>
  <c r="N1072" i="24"/>
  <c r="H1072" i="24"/>
  <c r="D1072" i="24"/>
  <c r="T1071" i="24"/>
  <c r="P1071" i="24"/>
  <c r="L1071" i="24"/>
  <c r="F1071" i="24"/>
  <c r="B1071" i="24"/>
  <c r="R1070" i="24"/>
  <c r="N1070" i="24"/>
  <c r="H1070" i="24"/>
  <c r="D1070" i="24"/>
  <c r="T1069" i="24"/>
  <c r="P1069" i="24"/>
  <c r="L1069" i="24"/>
  <c r="F1069" i="24"/>
  <c r="B1069" i="24"/>
  <c r="R1068" i="24"/>
  <c r="N1068" i="24"/>
  <c r="H1068" i="24"/>
  <c r="D1068" i="24"/>
  <c r="T1067" i="24"/>
  <c r="P1067" i="24"/>
  <c r="L1067" i="24"/>
  <c r="F1067" i="24"/>
  <c r="B1067" i="24"/>
  <c r="R1066" i="24"/>
  <c r="N1066" i="24"/>
  <c r="H1066" i="24"/>
  <c r="D1066" i="24"/>
  <c r="T1065" i="24"/>
  <c r="P1065" i="24"/>
  <c r="L1065" i="24"/>
  <c r="F1065" i="24"/>
  <c r="B1065" i="24"/>
  <c r="R1064" i="24"/>
  <c r="N1064" i="24"/>
  <c r="H1064" i="24"/>
  <c r="D1064" i="24"/>
  <c r="T1063" i="24"/>
  <c r="P1063" i="24"/>
  <c r="L1063" i="24"/>
  <c r="F1063" i="24"/>
  <c r="B1063" i="24"/>
  <c r="R1062" i="24"/>
  <c r="N1062" i="24"/>
  <c r="H1062" i="24"/>
  <c r="D1062" i="24"/>
  <c r="T1061" i="24"/>
  <c r="P1061" i="24"/>
  <c r="L1061" i="24"/>
  <c r="F1061" i="24"/>
  <c r="B1061" i="24"/>
  <c r="R1060" i="24"/>
  <c r="N1060" i="24"/>
  <c r="H1060" i="24"/>
  <c r="D1060" i="24"/>
  <c r="T1059" i="24"/>
  <c r="P1059" i="24"/>
  <c r="H2288" i="24"/>
  <c r="T2259" i="24"/>
  <c r="L2231" i="24"/>
  <c r="B2203" i="24"/>
  <c r="N2174" i="24"/>
  <c r="D2146" i="24"/>
  <c r="P2117" i="24"/>
  <c r="F2089" i="24"/>
  <c r="N2071" i="24"/>
  <c r="H2057" i="24"/>
  <c r="D2043" i="24"/>
  <c r="A2031" i="24"/>
  <c r="S2023" i="24"/>
  <c r="Q2016" i="24"/>
  <c r="O2009" i="24"/>
  <c r="M2002" i="24"/>
  <c r="K1995" i="24"/>
  <c r="G1988" i="24"/>
  <c r="E1981" i="24"/>
  <c r="C1974" i="24"/>
  <c r="P1967" i="24"/>
  <c r="D1964" i="24"/>
  <c r="N1960" i="24"/>
  <c r="B1957" i="24"/>
  <c r="L1953" i="24"/>
  <c r="T1949" i="24"/>
  <c r="H1946" i="24"/>
  <c r="R1942" i="24"/>
  <c r="F1939" i="24"/>
  <c r="P1935" i="24"/>
  <c r="D1932" i="24"/>
  <c r="N1928" i="24"/>
  <c r="B1925" i="24"/>
  <c r="L1921" i="24"/>
  <c r="T1917" i="24"/>
  <c r="H1914" i="24"/>
  <c r="R1910" i="24"/>
  <c r="F1907" i="24"/>
  <c r="P1903" i="24"/>
  <c r="D1900" i="24"/>
  <c r="N1896" i="24"/>
  <c r="B1893" i="24"/>
  <c r="L1889" i="24"/>
  <c r="T1885" i="24"/>
  <c r="H1882" i="24"/>
  <c r="R1878" i="24"/>
  <c r="F1875" i="24"/>
  <c r="P1871" i="24"/>
  <c r="D1868" i="24"/>
  <c r="N1864" i="24"/>
  <c r="B1861" i="24"/>
  <c r="L1857" i="24"/>
  <c r="T1853" i="24"/>
  <c r="H1850" i="24"/>
  <c r="R1846" i="24"/>
  <c r="F1843" i="24"/>
  <c r="P1839" i="24"/>
  <c r="D1836" i="24"/>
  <c r="N1832" i="24"/>
  <c r="B1829" i="24"/>
  <c r="L1825" i="24"/>
  <c r="T1821" i="24"/>
  <c r="H1818" i="24"/>
  <c r="R1814" i="24"/>
  <c r="O1812" i="24"/>
  <c r="S1810" i="24"/>
  <c r="C1809" i="24"/>
  <c r="G1807" i="24"/>
  <c r="M1805" i="24"/>
  <c r="Q1803" i="24"/>
  <c r="A1802" i="24"/>
  <c r="E1800" i="24"/>
  <c r="K1798" i="24"/>
  <c r="O1796" i="24"/>
  <c r="S1794" i="24"/>
  <c r="C1793" i="24"/>
  <c r="G1791" i="24"/>
  <c r="M1789" i="24"/>
  <c r="Q1787" i="24"/>
  <c r="A1786" i="24"/>
  <c r="E1784" i="24"/>
  <c r="K1782" i="24"/>
  <c r="O1780" i="24"/>
  <c r="S1778" i="24"/>
  <c r="F1777" i="24"/>
  <c r="F1776" i="24"/>
  <c r="H1775" i="24"/>
  <c r="L1774" i="24"/>
  <c r="N1773" i="24"/>
  <c r="P1772" i="24"/>
  <c r="R1771" i="24"/>
  <c r="T1770" i="24"/>
  <c r="B1770" i="24"/>
  <c r="D1769" i="24"/>
  <c r="F1768" i="24"/>
  <c r="H1767" i="24"/>
  <c r="L1766" i="24"/>
  <c r="N1765" i="24"/>
  <c r="P1764" i="24"/>
  <c r="R1763" i="24"/>
  <c r="T1762" i="24"/>
  <c r="B1762" i="24"/>
  <c r="D1761" i="24"/>
  <c r="F1760" i="24"/>
  <c r="H1759" i="24"/>
  <c r="L1758" i="24"/>
  <c r="N1757" i="24"/>
  <c r="P1756" i="24"/>
  <c r="R1755" i="24"/>
  <c r="T1754" i="24"/>
  <c r="B1754" i="24"/>
  <c r="D1753" i="24"/>
  <c r="F1752" i="24"/>
  <c r="H1751" i="24"/>
  <c r="L1750" i="24"/>
  <c r="N1749" i="24"/>
  <c r="P1748" i="24"/>
  <c r="R1747" i="24"/>
  <c r="T1746" i="24"/>
  <c r="B1746" i="24"/>
  <c r="D1745" i="24"/>
  <c r="F1744" i="24"/>
  <c r="H1743" i="24"/>
  <c r="L1742" i="24"/>
  <c r="N1741" i="24"/>
  <c r="P1740" i="24"/>
  <c r="R1739" i="24"/>
  <c r="T1738" i="24"/>
  <c r="B1738" i="24"/>
  <c r="D1737" i="24"/>
  <c r="F1736" i="24"/>
  <c r="H1735" i="24"/>
  <c r="L1734" i="24"/>
  <c r="N1733" i="24"/>
  <c r="P1732" i="24"/>
  <c r="R1731" i="24"/>
  <c r="T1730" i="24"/>
  <c r="B1730" i="24"/>
  <c r="D1729" i="24"/>
  <c r="F1728" i="24"/>
  <c r="H1727" i="24"/>
  <c r="L1726" i="24"/>
  <c r="N1725" i="24"/>
  <c r="P1724" i="24"/>
  <c r="R1723" i="24"/>
  <c r="T1722" i="24"/>
  <c r="B1722" i="24"/>
  <c r="D1721" i="24"/>
  <c r="F1720" i="24"/>
  <c r="H1719" i="24"/>
  <c r="L1718" i="24"/>
  <c r="N1717" i="24"/>
  <c r="P1716" i="24"/>
  <c r="R1715" i="24"/>
  <c r="T1714" i="24"/>
  <c r="B1714" i="24"/>
  <c r="D1713" i="24"/>
  <c r="F1712" i="24"/>
  <c r="H1711" i="24"/>
  <c r="L1710" i="24"/>
  <c r="N1709" i="24"/>
  <c r="P1708" i="24"/>
  <c r="R1707" i="24"/>
  <c r="T1706" i="24"/>
  <c r="B1706" i="24"/>
  <c r="D1705" i="24"/>
  <c r="F1704" i="24"/>
  <c r="H1703" i="24"/>
  <c r="L1702" i="24"/>
  <c r="N1701" i="24"/>
  <c r="P1700" i="24"/>
  <c r="R1699" i="24"/>
  <c r="T1698" i="24"/>
  <c r="B1698" i="24"/>
  <c r="D1697" i="24"/>
  <c r="F1696" i="24"/>
  <c r="H1695" i="24"/>
  <c r="L1694" i="24"/>
  <c r="N1693" i="24"/>
  <c r="P1692" i="24"/>
  <c r="R1691" i="24"/>
  <c r="T1690" i="24"/>
  <c r="B1690" i="24"/>
  <c r="D1689" i="24"/>
  <c r="F1688" i="24"/>
  <c r="H1687" i="24"/>
  <c r="L1686" i="24"/>
  <c r="N1685" i="24"/>
  <c r="P1684" i="24"/>
  <c r="R1683" i="24"/>
  <c r="T1682" i="24"/>
  <c r="B1682" i="24"/>
  <c r="D1681" i="24"/>
  <c r="F1680" i="24"/>
  <c r="H1679" i="24"/>
  <c r="L1678" i="24"/>
  <c r="N1677" i="24"/>
  <c r="P1676" i="24"/>
  <c r="R1675" i="24"/>
  <c r="T1674" i="24"/>
  <c r="B1674" i="24"/>
  <c r="D1673" i="24"/>
  <c r="F1672" i="24"/>
  <c r="H1671" i="24"/>
  <c r="L1670" i="24"/>
  <c r="N1669" i="24"/>
  <c r="P1668" i="24"/>
  <c r="R1667" i="24"/>
  <c r="T1666" i="24"/>
  <c r="B1666" i="24"/>
  <c r="D1665" i="24"/>
  <c r="F1664" i="24"/>
  <c r="H1663" i="24"/>
  <c r="L1662" i="24"/>
  <c r="N1661" i="24"/>
  <c r="P1660" i="24"/>
  <c r="R1659" i="24"/>
  <c r="T1658" i="24"/>
  <c r="B1658" i="24"/>
  <c r="D1657" i="24"/>
  <c r="F1656" i="24"/>
  <c r="H1655" i="24"/>
  <c r="L1654" i="24"/>
  <c r="N1653" i="24"/>
  <c r="P1652" i="24"/>
  <c r="R1651" i="24"/>
  <c r="T1650" i="24"/>
  <c r="B1650" i="24"/>
  <c r="D1649" i="24"/>
  <c r="F1648" i="24"/>
  <c r="H1647" i="24"/>
  <c r="L1646" i="24"/>
  <c r="N1645" i="24"/>
  <c r="P1644" i="24"/>
  <c r="R1643" i="24"/>
  <c r="T1642" i="24"/>
  <c r="B1642" i="24"/>
  <c r="D1641" i="24"/>
  <c r="F1640" i="24"/>
  <c r="H1639" i="24"/>
  <c r="L1638" i="24"/>
  <c r="N1637" i="24"/>
  <c r="P1636" i="24"/>
  <c r="R1635" i="24"/>
  <c r="T1634" i="24"/>
  <c r="B1634" i="24"/>
  <c r="D1633" i="24"/>
  <c r="F1632" i="24"/>
  <c r="H1631" i="24"/>
  <c r="L1630" i="24"/>
  <c r="N1629" i="24"/>
  <c r="P1628" i="24"/>
  <c r="R1627" i="24"/>
  <c r="T1626" i="24"/>
  <c r="B1626" i="24"/>
  <c r="D1625" i="24"/>
  <c r="F1624" i="24"/>
  <c r="H1623" i="24"/>
  <c r="L1622" i="24"/>
  <c r="N1621" i="24"/>
  <c r="P1620" i="24"/>
  <c r="R1619" i="24"/>
  <c r="T1618" i="24"/>
  <c r="B1618" i="24"/>
  <c r="D1617" i="24"/>
  <c r="F1616" i="24"/>
  <c r="H1615" i="24"/>
  <c r="L1614" i="24"/>
  <c r="N1613" i="24"/>
  <c r="P1612" i="24"/>
  <c r="R1611" i="24"/>
  <c r="T1610" i="24"/>
  <c r="B1610" i="24"/>
  <c r="D1609" i="24"/>
  <c r="F1608" i="24"/>
  <c r="H1607" i="24"/>
  <c r="L1606" i="24"/>
  <c r="N1605" i="24"/>
  <c r="P1604" i="24"/>
  <c r="R1603" i="24"/>
  <c r="T1602" i="24"/>
  <c r="B1602" i="24"/>
  <c r="D1601" i="24"/>
  <c r="F1600" i="24"/>
  <c r="H1599" i="24"/>
  <c r="L1598" i="24"/>
  <c r="N1597" i="24"/>
  <c r="P1596" i="24"/>
  <c r="R1595" i="24"/>
  <c r="T1594" i="24"/>
  <c r="B1594" i="24"/>
  <c r="D1593" i="24"/>
  <c r="F1592" i="24"/>
  <c r="H1591" i="24"/>
  <c r="L1590" i="24"/>
  <c r="N1589" i="24"/>
  <c r="P1588" i="24"/>
  <c r="R1587" i="24"/>
  <c r="T1586" i="24"/>
  <c r="B1586" i="24"/>
  <c r="D1585" i="24"/>
  <c r="F1584" i="24"/>
  <c r="H1583" i="24"/>
  <c r="L1582" i="24"/>
  <c r="N1581" i="24"/>
  <c r="P1580" i="24"/>
  <c r="R1579" i="24"/>
  <c r="T1578" i="24"/>
  <c r="B1578" i="24"/>
  <c r="D1577" i="24"/>
  <c r="F1576" i="24"/>
  <c r="H1575" i="24"/>
  <c r="L1574" i="24"/>
  <c r="N1573" i="24"/>
  <c r="P1572" i="24"/>
  <c r="R1571" i="24"/>
  <c r="T1570" i="24"/>
  <c r="B1570" i="24"/>
  <c r="D1569" i="24"/>
  <c r="F1568" i="24"/>
  <c r="H1567" i="24"/>
  <c r="L1566" i="24"/>
  <c r="N1565" i="24"/>
  <c r="P1564" i="24"/>
  <c r="R1563" i="24"/>
  <c r="T1562" i="24"/>
  <c r="B1562" i="24"/>
  <c r="D1561" i="24"/>
  <c r="F1560" i="24"/>
  <c r="H1559" i="24"/>
  <c r="L1558" i="24"/>
  <c r="N1557" i="24"/>
  <c r="P1556" i="24"/>
  <c r="R1555" i="24"/>
  <c r="T1554" i="24"/>
  <c r="B1554" i="24"/>
  <c r="D1553" i="24"/>
  <c r="F1552" i="24"/>
  <c r="H1551" i="24"/>
  <c r="L1550" i="24"/>
  <c r="N1549" i="24"/>
  <c r="P1548" i="24"/>
  <c r="R1547" i="24"/>
  <c r="T1546" i="24"/>
  <c r="B1546" i="24"/>
  <c r="D1545" i="24"/>
  <c r="F1544" i="24"/>
  <c r="H1543" i="24"/>
  <c r="L1542" i="24"/>
  <c r="N1541" i="24"/>
  <c r="P1540" i="24"/>
  <c r="R1539" i="24"/>
  <c r="T1538" i="24"/>
  <c r="B1538" i="24"/>
  <c r="D1537" i="24"/>
  <c r="F1536" i="24"/>
  <c r="H1535" i="24"/>
  <c r="L1534" i="24"/>
  <c r="N1533" i="24"/>
  <c r="P1532" i="24"/>
  <c r="R1531" i="24"/>
  <c r="T1530" i="24"/>
  <c r="B1530" i="24"/>
  <c r="D1529" i="24"/>
  <c r="F1528" i="24"/>
  <c r="H1527" i="24"/>
  <c r="L1526" i="24"/>
  <c r="N1525" i="24"/>
  <c r="P1524" i="24"/>
  <c r="R1523" i="24"/>
  <c r="T1522" i="24"/>
  <c r="B1522" i="24"/>
  <c r="D1521" i="24"/>
  <c r="F1520" i="24"/>
  <c r="H1519" i="24"/>
  <c r="L1518" i="24"/>
  <c r="N1517" i="24"/>
  <c r="P1516" i="24"/>
  <c r="R1515" i="24"/>
  <c r="T1514" i="24"/>
  <c r="B1514" i="24"/>
  <c r="D1513" i="24"/>
  <c r="F1512" i="24"/>
  <c r="H1511" i="24"/>
  <c r="L1510" i="24"/>
  <c r="N1509" i="24"/>
  <c r="P1508" i="24"/>
  <c r="R1507" i="24"/>
  <c r="T1506" i="24"/>
  <c r="B1506" i="24"/>
  <c r="D1505" i="24"/>
  <c r="F1504" i="24"/>
  <c r="H1503" i="24"/>
  <c r="L1502" i="24"/>
  <c r="N1501" i="24"/>
  <c r="P1500" i="24"/>
  <c r="R1499" i="24"/>
  <c r="T1498" i="24"/>
  <c r="B1498" i="24"/>
  <c r="D1497" i="24"/>
  <c r="F1496" i="24"/>
  <c r="H1495" i="24"/>
  <c r="L1494" i="24"/>
  <c r="N1493" i="24"/>
  <c r="P1492" i="24"/>
  <c r="R1491" i="24"/>
  <c r="T1490" i="24"/>
  <c r="B1490" i="24"/>
  <c r="D1489" i="24"/>
  <c r="F1488" i="24"/>
  <c r="H1487" i="24"/>
  <c r="L1486" i="24"/>
  <c r="N1485" i="24"/>
  <c r="P1484" i="24"/>
  <c r="R1483" i="24"/>
  <c r="T1482" i="24"/>
  <c r="B1482" i="24"/>
  <c r="D1481" i="24"/>
  <c r="F1480" i="24"/>
  <c r="H1479" i="24"/>
  <c r="L1478" i="24"/>
  <c r="N1477" i="24"/>
  <c r="P1476" i="24"/>
  <c r="R1475" i="24"/>
  <c r="T1474" i="24"/>
  <c r="B1474" i="24"/>
  <c r="D1473" i="24"/>
  <c r="F1472" i="24"/>
  <c r="H1471" i="24"/>
  <c r="L1470" i="24"/>
  <c r="N1469" i="24"/>
  <c r="P1468" i="24"/>
  <c r="R1467" i="24"/>
  <c r="T1466" i="24"/>
  <c r="B1466" i="24"/>
  <c r="D1465" i="24"/>
  <c r="F1464" i="24"/>
  <c r="H1463" i="24"/>
  <c r="L1462" i="24"/>
  <c r="N1461" i="24"/>
  <c r="P1460" i="24"/>
  <c r="R1459" i="24"/>
  <c r="T1458" i="24"/>
  <c r="B1458" i="24"/>
  <c r="D1457" i="24"/>
  <c r="F1456" i="24"/>
  <c r="H1455" i="24"/>
  <c r="L1454" i="24"/>
  <c r="N1453" i="24"/>
  <c r="P1452" i="24"/>
  <c r="R1451" i="24"/>
  <c r="T1450" i="24"/>
  <c r="B1450" i="24"/>
  <c r="D1449" i="24"/>
  <c r="F1448" i="24"/>
  <c r="H1447" i="24"/>
  <c r="L1446" i="24"/>
  <c r="N1445" i="24"/>
  <c r="P1444" i="24"/>
  <c r="R1443" i="24"/>
  <c r="T1442" i="24"/>
  <c r="B1442" i="24"/>
  <c r="D1441" i="24"/>
  <c r="F1440" i="24"/>
  <c r="H1439" i="24"/>
  <c r="L1438" i="24"/>
  <c r="N1437" i="24"/>
  <c r="P1436" i="24"/>
  <c r="R1435" i="24"/>
  <c r="T1434" i="24"/>
  <c r="B1434" i="24"/>
  <c r="D1433" i="24"/>
  <c r="F1432" i="24"/>
  <c r="H1431" i="24"/>
  <c r="L1430" i="24"/>
  <c r="N1429" i="24"/>
  <c r="P1428" i="24"/>
  <c r="R1427" i="24"/>
  <c r="T1426" i="24"/>
  <c r="B1426" i="24"/>
  <c r="D1425" i="24"/>
  <c r="F1424" i="24"/>
  <c r="H1423" i="24"/>
  <c r="L1422" i="24"/>
  <c r="N1421" i="24"/>
  <c r="P1420" i="24"/>
  <c r="R1419" i="24"/>
  <c r="T1418" i="24"/>
  <c r="B1418" i="24"/>
  <c r="D1417" i="24"/>
  <c r="F1416" i="24"/>
  <c r="H1415" i="24"/>
  <c r="L1414" i="24"/>
  <c r="N1413" i="24"/>
  <c r="P1412" i="24"/>
  <c r="R1411" i="24"/>
  <c r="T1410" i="24"/>
  <c r="C1410" i="24"/>
  <c r="O1409" i="24"/>
  <c r="E1409" i="24"/>
  <c r="Q1408" i="24"/>
  <c r="G1408" i="24"/>
  <c r="S1407" i="24"/>
  <c r="K1407" i="24"/>
  <c r="A1407" i="24"/>
  <c r="M1406" i="24"/>
  <c r="C1406" i="24"/>
  <c r="O1405" i="24"/>
  <c r="E1405" i="24"/>
  <c r="Q1404" i="24"/>
  <c r="G1404" i="24"/>
  <c r="S1403" i="24"/>
  <c r="K1403" i="24"/>
  <c r="A1403" i="24"/>
  <c r="M1402" i="24"/>
  <c r="C1402" i="24"/>
  <c r="O1401" i="24"/>
  <c r="E1401" i="24"/>
  <c r="Q1400" i="24"/>
  <c r="G1400" i="24"/>
  <c r="S1399" i="24"/>
  <c r="K1399" i="24"/>
  <c r="A1399" i="24"/>
  <c r="M1398" i="24"/>
  <c r="C1398" i="24"/>
  <c r="O1397" i="24"/>
  <c r="K1397" i="24"/>
  <c r="E1397" i="24"/>
  <c r="A1397" i="24"/>
  <c r="Q1396" i="24"/>
  <c r="M1396" i="24"/>
  <c r="G1396" i="24"/>
  <c r="C1396" i="24"/>
  <c r="S1395" i="24"/>
  <c r="O1395" i="24"/>
  <c r="K1395" i="24"/>
  <c r="E1395" i="24"/>
  <c r="A1395" i="24"/>
  <c r="Q1394" i="24"/>
  <c r="M1394" i="24"/>
  <c r="G1394" i="24"/>
  <c r="C1394" i="24"/>
  <c r="S1393" i="24"/>
  <c r="O1393" i="24"/>
  <c r="K1393" i="24"/>
  <c r="E1393" i="24"/>
  <c r="A1393" i="24"/>
  <c r="Q1392" i="24"/>
  <c r="M1392" i="24"/>
  <c r="G1392" i="24"/>
  <c r="C1392" i="24"/>
  <c r="S1391" i="24"/>
  <c r="O1391" i="24"/>
  <c r="K1391" i="24"/>
  <c r="E1391" i="24"/>
  <c r="A1391" i="24"/>
  <c r="Q1390" i="24"/>
  <c r="M1390" i="24"/>
  <c r="G1390" i="24"/>
  <c r="C1390" i="24"/>
  <c r="S1389" i="24"/>
  <c r="O1389" i="24"/>
  <c r="K1389" i="24"/>
  <c r="E1389" i="24"/>
  <c r="A1389" i="24"/>
  <c r="Q1388" i="24"/>
  <c r="M1388" i="24"/>
  <c r="G1388" i="24"/>
  <c r="C1388" i="24"/>
  <c r="S1387" i="24"/>
  <c r="O1387" i="24"/>
  <c r="K1387" i="24"/>
  <c r="E1387" i="24"/>
  <c r="A1387" i="24"/>
  <c r="Q1386" i="24"/>
  <c r="M1386" i="24"/>
  <c r="G1386" i="24"/>
  <c r="C1386" i="24"/>
  <c r="S1385" i="24"/>
  <c r="O1385" i="24"/>
  <c r="K1385" i="24"/>
  <c r="E1385" i="24"/>
  <c r="A1385" i="24"/>
  <c r="Q1384" i="24"/>
  <c r="M1384" i="24"/>
  <c r="G1384" i="24"/>
  <c r="C1384" i="24"/>
  <c r="S1383" i="24"/>
  <c r="O1383" i="24"/>
  <c r="K1383" i="24"/>
  <c r="E1383" i="24"/>
  <c r="A1383" i="24"/>
  <c r="Q1382" i="24"/>
  <c r="M1382" i="24"/>
  <c r="G1382" i="24"/>
  <c r="C1382" i="24"/>
  <c r="S1381" i="24"/>
  <c r="O1381" i="24"/>
  <c r="K1381" i="24"/>
  <c r="E1381" i="24"/>
  <c r="A1381" i="24"/>
  <c r="Q1380" i="24"/>
  <c r="M1380" i="24"/>
  <c r="G1380" i="24"/>
  <c r="C1380" i="24"/>
  <c r="S1379" i="24"/>
  <c r="O1379" i="24"/>
  <c r="K1379" i="24"/>
  <c r="E1379" i="24"/>
  <c r="A1379" i="24"/>
  <c r="Q1378" i="24"/>
  <c r="M1378" i="24"/>
  <c r="G1378" i="24"/>
  <c r="C1378" i="24"/>
  <c r="S1377" i="24"/>
  <c r="O1377" i="24"/>
  <c r="K1377" i="24"/>
  <c r="E1377" i="24"/>
  <c r="A1377" i="24"/>
  <c r="Q1376" i="24"/>
  <c r="M1376" i="24"/>
  <c r="G1376" i="24"/>
  <c r="C1376" i="24"/>
  <c r="S1375" i="24"/>
  <c r="O1375" i="24"/>
  <c r="K1375" i="24"/>
  <c r="E1375" i="24"/>
  <c r="A1375" i="24"/>
  <c r="Q1374" i="24"/>
  <c r="M1374" i="24"/>
  <c r="G1374" i="24"/>
  <c r="C1374" i="24"/>
  <c r="S1373" i="24"/>
  <c r="O1373" i="24"/>
  <c r="K1373" i="24"/>
  <c r="E1373" i="24"/>
  <c r="A1373" i="24"/>
  <c r="Q1372" i="24"/>
  <c r="M1372" i="24"/>
  <c r="G1372" i="24"/>
  <c r="C1372" i="24"/>
  <c r="S1371" i="24"/>
  <c r="O1371" i="24"/>
  <c r="K1371" i="24"/>
  <c r="E1371" i="24"/>
  <c r="A1371" i="24"/>
  <c r="Q1370" i="24"/>
  <c r="M1370" i="24"/>
  <c r="G1370" i="24"/>
  <c r="C1370" i="24"/>
  <c r="S1369" i="24"/>
  <c r="O1369" i="24"/>
  <c r="K1369" i="24"/>
  <c r="E1369" i="24"/>
  <c r="A1369" i="24"/>
  <c r="Q1368" i="24"/>
  <c r="M1368" i="24"/>
  <c r="G1368" i="24"/>
  <c r="C1368" i="24"/>
  <c r="S1367" i="24"/>
  <c r="O1367" i="24"/>
  <c r="K1367" i="24"/>
  <c r="E1367" i="24"/>
  <c r="A1367" i="24"/>
  <c r="Q1366" i="24"/>
  <c r="M1366" i="24"/>
  <c r="G1366" i="24"/>
  <c r="C1366" i="24"/>
  <c r="S1365" i="24"/>
  <c r="O1365" i="24"/>
  <c r="K1365" i="24"/>
  <c r="E1365" i="24"/>
  <c r="A1365" i="24"/>
  <c r="Q1364" i="24"/>
  <c r="M1364" i="24"/>
  <c r="G1364" i="24"/>
  <c r="C1364" i="24"/>
  <c r="S1363" i="24"/>
  <c r="O1363" i="24"/>
  <c r="K1363" i="24"/>
  <c r="E1363" i="24"/>
  <c r="A1363" i="24"/>
  <c r="Q1362" i="24"/>
  <c r="M1362" i="24"/>
  <c r="G1362" i="24"/>
  <c r="C1362" i="24"/>
  <c r="S1361" i="24"/>
  <c r="O1361" i="24"/>
  <c r="K1361" i="24"/>
  <c r="E1361" i="24"/>
  <c r="A1361" i="24"/>
  <c r="Q1360" i="24"/>
  <c r="M1360" i="24"/>
  <c r="G1360" i="24"/>
  <c r="C1360" i="24"/>
  <c r="S1359" i="24"/>
  <c r="O1359" i="24"/>
  <c r="K1359" i="24"/>
  <c r="E1359" i="24"/>
  <c r="A1359" i="24"/>
  <c r="Q1358" i="24"/>
  <c r="M1358" i="24"/>
  <c r="G1358" i="24"/>
  <c r="C1358" i="24"/>
  <c r="S1357" i="24"/>
  <c r="O1357" i="24"/>
  <c r="K1357" i="24"/>
  <c r="E1357" i="24"/>
  <c r="A1357" i="24"/>
  <c r="Q1356" i="24"/>
  <c r="M1356" i="24"/>
  <c r="G1356" i="24"/>
  <c r="C1356" i="24"/>
  <c r="S1355" i="24"/>
  <c r="O1355" i="24"/>
  <c r="K1355" i="24"/>
  <c r="E1355" i="24"/>
  <c r="A1355" i="24"/>
  <c r="Q1354" i="24"/>
  <c r="M1354" i="24"/>
  <c r="G1354" i="24"/>
  <c r="C1354" i="24"/>
  <c r="S1353" i="24"/>
  <c r="O1353" i="24"/>
  <c r="K1353" i="24"/>
  <c r="E1353" i="24"/>
  <c r="A1353" i="24"/>
  <c r="Q1352" i="24"/>
  <c r="M1352" i="24"/>
  <c r="G1352" i="24"/>
  <c r="C1352" i="24"/>
  <c r="S1351" i="24"/>
  <c r="O1351" i="24"/>
  <c r="K1351" i="24"/>
  <c r="E1351" i="24"/>
  <c r="A1351" i="24"/>
  <c r="Q1350" i="24"/>
  <c r="M1350" i="24"/>
  <c r="G1350" i="24"/>
  <c r="C1350" i="24"/>
  <c r="S1349" i="24"/>
  <c r="O1349" i="24"/>
  <c r="K1349" i="24"/>
  <c r="E1349" i="24"/>
  <c r="A1349" i="24"/>
  <c r="Q1348" i="24"/>
  <c r="M1348" i="24"/>
  <c r="G1348" i="24"/>
  <c r="C1348" i="24"/>
  <c r="S1347" i="24"/>
  <c r="O1347" i="24"/>
  <c r="K1347" i="24"/>
  <c r="E1347" i="24"/>
  <c r="A1347" i="24"/>
  <c r="Q1346" i="24"/>
  <c r="M1346" i="24"/>
  <c r="G1346" i="24"/>
  <c r="C1346" i="24"/>
  <c r="S1345" i="24"/>
  <c r="O1345" i="24"/>
  <c r="K1345" i="24"/>
  <c r="E1345" i="24"/>
  <c r="A1345" i="24"/>
  <c r="Q1344" i="24"/>
  <c r="M1344" i="24"/>
  <c r="G1344" i="24"/>
  <c r="C1344" i="24"/>
  <c r="S1343" i="24"/>
  <c r="O1343" i="24"/>
  <c r="K1343" i="24"/>
  <c r="E1343" i="24"/>
  <c r="A1343" i="24"/>
  <c r="Q1342" i="24"/>
  <c r="M1342" i="24"/>
  <c r="G1342" i="24"/>
  <c r="C1342" i="24"/>
  <c r="S1341" i="24"/>
  <c r="O1341" i="24"/>
  <c r="K1341" i="24"/>
  <c r="E1341" i="24"/>
  <c r="A1341" i="24"/>
  <c r="Q1340" i="24"/>
  <c r="M1340" i="24"/>
  <c r="G1340" i="24"/>
  <c r="C1340" i="24"/>
  <c r="S1339" i="24"/>
  <c r="O1339" i="24"/>
  <c r="K1339" i="24"/>
  <c r="E1339" i="24"/>
  <c r="A1339" i="24"/>
  <c r="Q1338" i="24"/>
  <c r="M1338" i="24"/>
  <c r="G1338" i="24"/>
  <c r="C1338" i="24"/>
  <c r="S1337" i="24"/>
  <c r="O1337" i="24"/>
  <c r="K1337" i="24"/>
  <c r="E1337" i="24"/>
  <c r="A1337" i="24"/>
  <c r="Q1336" i="24"/>
  <c r="M1336" i="24"/>
  <c r="G1336" i="24"/>
  <c r="C1336" i="24"/>
  <c r="S1335" i="24"/>
  <c r="O1335" i="24"/>
  <c r="K1335" i="24"/>
  <c r="E1335" i="24"/>
  <c r="A1335" i="24"/>
  <c r="Q1334" i="24"/>
  <c r="M1334" i="24"/>
  <c r="G1334" i="24"/>
  <c r="C1334" i="24"/>
  <c r="S1333" i="24"/>
  <c r="O1333" i="24"/>
  <c r="K1333" i="24"/>
  <c r="E1333" i="24"/>
  <c r="A1333" i="24"/>
  <c r="Q1332" i="24"/>
  <c r="M1332" i="24"/>
  <c r="G1332" i="24"/>
  <c r="C1332" i="24"/>
  <c r="S1331" i="24"/>
  <c r="O1331" i="24"/>
  <c r="K1331" i="24"/>
  <c r="E1331" i="24"/>
  <c r="A1331" i="24"/>
  <c r="Q1330" i="24"/>
  <c r="M1330" i="24"/>
  <c r="G1330" i="24"/>
  <c r="C1330" i="24"/>
  <c r="S1329" i="24"/>
  <c r="O1329" i="24"/>
  <c r="K1329" i="24"/>
  <c r="E1329" i="24"/>
  <c r="A1329" i="24"/>
  <c r="Q1328" i="24"/>
  <c r="M1328" i="24"/>
  <c r="G1328" i="24"/>
  <c r="C1328" i="24"/>
  <c r="S1327" i="24"/>
  <c r="O1327" i="24"/>
  <c r="K1327" i="24"/>
  <c r="E1327" i="24"/>
  <c r="A1327" i="24"/>
  <c r="Q1326" i="24"/>
  <c r="M1326" i="24"/>
  <c r="G1326" i="24"/>
  <c r="C1326" i="24"/>
  <c r="S1325" i="24"/>
  <c r="O1325" i="24"/>
  <c r="K1325" i="24"/>
  <c r="E1325" i="24"/>
  <c r="A1325" i="24"/>
  <c r="Q1324" i="24"/>
  <c r="M1324" i="24"/>
  <c r="G1324" i="24"/>
  <c r="C1324" i="24"/>
  <c r="S1323" i="24"/>
  <c r="O1323" i="24"/>
  <c r="K1323" i="24"/>
  <c r="E1323" i="24"/>
  <c r="A1323" i="24"/>
  <c r="Q1322" i="24"/>
  <c r="M1322" i="24"/>
  <c r="G1322" i="24"/>
  <c r="C1322" i="24"/>
  <c r="S1321" i="24"/>
  <c r="O1321" i="24"/>
  <c r="K1321" i="24"/>
  <c r="E1321" i="24"/>
  <c r="A1321" i="24"/>
  <c r="Q1320" i="24"/>
  <c r="M1320" i="24"/>
  <c r="G1320" i="24"/>
  <c r="C1320" i="24"/>
  <c r="S1319" i="24"/>
  <c r="O1319" i="24"/>
  <c r="K1319" i="24"/>
  <c r="E1319" i="24"/>
  <c r="A1319" i="24"/>
  <c r="Q1318" i="24"/>
  <c r="M1318" i="24"/>
  <c r="G1318" i="24"/>
  <c r="C1318" i="24"/>
  <c r="S1317" i="24"/>
  <c r="O1317" i="24"/>
  <c r="K1317" i="24"/>
  <c r="E1317" i="24"/>
  <c r="A1317" i="24"/>
  <c r="Q1316" i="24"/>
  <c r="M1316" i="24"/>
  <c r="G1316" i="24"/>
  <c r="C1316" i="24"/>
  <c r="S1315" i="24"/>
  <c r="O1315" i="24"/>
  <c r="K1315" i="24"/>
  <c r="E1315" i="24"/>
  <c r="A1315" i="24"/>
  <c r="Q1314" i="24"/>
  <c r="M1314" i="24"/>
  <c r="G1314" i="24"/>
  <c r="C1314" i="24"/>
  <c r="S1313" i="24"/>
  <c r="O1313" i="24"/>
  <c r="K1313" i="24"/>
  <c r="E1313" i="24"/>
  <c r="A1313" i="24"/>
  <c r="Q1312" i="24"/>
  <c r="M1312" i="24"/>
  <c r="G1312" i="24"/>
  <c r="C1312" i="24"/>
  <c r="S1311" i="24"/>
  <c r="O1311" i="24"/>
  <c r="K1311" i="24"/>
  <c r="E1311" i="24"/>
  <c r="A1311" i="24"/>
  <c r="Q1310" i="24"/>
  <c r="M1310" i="24"/>
  <c r="G1310" i="24"/>
  <c r="C1310" i="24"/>
  <c r="S1309" i="24"/>
  <c r="O1309" i="24"/>
  <c r="K1309" i="24"/>
  <c r="E1309" i="24"/>
  <c r="A1309" i="24"/>
  <c r="Q1308" i="24"/>
  <c r="M1308" i="24"/>
  <c r="G1308" i="24"/>
  <c r="C1308" i="24"/>
  <c r="S1307" i="24"/>
  <c r="O1307" i="24"/>
  <c r="K1307" i="24"/>
  <c r="E1307" i="24"/>
  <c r="A1307" i="24"/>
  <c r="Q1306" i="24"/>
  <c r="M1306" i="24"/>
  <c r="G1306" i="24"/>
  <c r="C1306" i="24"/>
  <c r="S1305" i="24"/>
  <c r="O1305" i="24"/>
  <c r="K1305" i="24"/>
  <c r="E1305" i="24"/>
  <c r="A1305" i="24"/>
  <c r="Q1304" i="24"/>
  <c r="M1304" i="24"/>
  <c r="G1304" i="24"/>
  <c r="C1304" i="24"/>
  <c r="S1303" i="24"/>
  <c r="O1303" i="24"/>
  <c r="K1303" i="24"/>
  <c r="E1303" i="24"/>
  <c r="A1303" i="24"/>
  <c r="Q1302" i="24"/>
  <c r="M1302" i="24"/>
  <c r="G1302" i="24"/>
  <c r="C1302" i="24"/>
  <c r="S1301" i="24"/>
  <c r="O1301" i="24"/>
  <c r="K1301" i="24"/>
  <c r="E1301" i="24"/>
  <c r="A1301" i="24"/>
  <c r="Q1300" i="24"/>
  <c r="M1300" i="24"/>
  <c r="G1300" i="24"/>
  <c r="C1300" i="24"/>
  <c r="S1299" i="24"/>
  <c r="O1299" i="24"/>
  <c r="K1299" i="24"/>
  <c r="E1299" i="24"/>
  <c r="A1299" i="24"/>
  <c r="Q1298" i="24"/>
  <c r="M1298" i="24"/>
  <c r="G1298" i="24"/>
  <c r="C1298" i="24"/>
  <c r="S1297" i="24"/>
  <c r="O1297" i="24"/>
  <c r="K1297" i="24"/>
  <c r="E1297" i="24"/>
  <c r="A1297" i="24"/>
  <c r="Q1296" i="24"/>
  <c r="M1296" i="24"/>
  <c r="G1296" i="24"/>
  <c r="C1296" i="24"/>
  <c r="S1295" i="24"/>
  <c r="O1295" i="24"/>
  <c r="K1295" i="24"/>
  <c r="E1295" i="24"/>
  <c r="A1295" i="24"/>
  <c r="Q1294" i="24"/>
  <c r="M1294" i="24"/>
  <c r="G1294" i="24"/>
  <c r="C1294" i="24"/>
  <c r="S1293" i="24"/>
  <c r="O1293" i="24"/>
  <c r="K1293" i="24"/>
  <c r="E1293" i="24"/>
  <c r="A1293" i="24"/>
  <c r="Q1292" i="24"/>
  <c r="M1292" i="24"/>
  <c r="G1292" i="24"/>
  <c r="C1292" i="24"/>
  <c r="S1291" i="24"/>
  <c r="O1291" i="24"/>
  <c r="K1291" i="24"/>
  <c r="E1291" i="24"/>
  <c r="A1291" i="24"/>
  <c r="Q1290" i="24"/>
  <c r="M1290" i="24"/>
  <c r="G1290" i="24"/>
  <c r="C1290" i="24"/>
  <c r="S1289" i="24"/>
  <c r="O1289" i="24"/>
  <c r="K1289" i="24"/>
  <c r="E1289" i="24"/>
  <c r="A1289" i="24"/>
  <c r="Q1288" i="24"/>
  <c r="M1288" i="24"/>
  <c r="G1288" i="24"/>
  <c r="C1288" i="24"/>
  <c r="S1287" i="24"/>
  <c r="O1287" i="24"/>
  <c r="K1287" i="24"/>
  <c r="E1287" i="24"/>
  <c r="A1287" i="24"/>
  <c r="Q1286" i="24"/>
  <c r="M1286" i="24"/>
  <c r="G1286" i="24"/>
  <c r="C1286" i="24"/>
  <c r="S1285" i="24"/>
  <c r="O1285" i="24"/>
  <c r="K1285" i="24"/>
  <c r="E1285" i="24"/>
  <c r="A1285" i="24"/>
  <c r="Q1284" i="24"/>
  <c r="M1284" i="24"/>
  <c r="G1284" i="24"/>
  <c r="C1284" i="24"/>
  <c r="S1283" i="24"/>
  <c r="O1283" i="24"/>
  <c r="K1283" i="24"/>
  <c r="E1283" i="24"/>
  <c r="A1283" i="24"/>
  <c r="Q1282" i="24"/>
  <c r="M1282" i="24"/>
  <c r="G1282" i="24"/>
  <c r="C1282" i="24"/>
  <c r="S1281" i="24"/>
  <c r="O1281" i="24"/>
  <c r="K1281" i="24"/>
  <c r="E1281" i="24"/>
  <c r="A1281" i="24"/>
  <c r="Q1280" i="24"/>
  <c r="M1280" i="24"/>
  <c r="G1280" i="24"/>
  <c r="C1280" i="24"/>
  <c r="S1279" i="24"/>
  <c r="O1279" i="24"/>
  <c r="K1279" i="24"/>
  <c r="E1279" i="24"/>
  <c r="A1279" i="24"/>
  <c r="Q1278" i="24"/>
  <c r="M1278" i="24"/>
  <c r="G1278" i="24"/>
  <c r="C1278" i="24"/>
  <c r="S1277" i="24"/>
  <c r="O1277" i="24"/>
  <c r="K1277" i="24"/>
  <c r="E1277" i="24"/>
  <c r="A1277" i="24"/>
  <c r="Q1276" i="24"/>
  <c r="M1276" i="24"/>
  <c r="G1276" i="24"/>
  <c r="C1276" i="24"/>
  <c r="S1275" i="24"/>
  <c r="O1275" i="24"/>
  <c r="K1275" i="24"/>
  <c r="E1275" i="24"/>
  <c r="A1275" i="24"/>
  <c r="Q1274" i="24"/>
  <c r="M1274" i="24"/>
  <c r="G1274" i="24"/>
  <c r="C1274" i="24"/>
  <c r="S1273" i="24"/>
  <c r="O1273" i="24"/>
  <c r="K1273" i="24"/>
  <c r="E1273" i="24"/>
  <c r="A1273" i="24"/>
  <c r="Q1272" i="24"/>
  <c r="M1272" i="24"/>
  <c r="G1272" i="24"/>
  <c r="C1272" i="24"/>
  <c r="S1271" i="24"/>
  <c r="O1271" i="24"/>
  <c r="K1271" i="24"/>
  <c r="E1271" i="24"/>
  <c r="A1271" i="24"/>
  <c r="Q1270" i="24"/>
  <c r="M1270" i="24"/>
  <c r="G1270" i="24"/>
  <c r="C1270" i="24"/>
  <c r="S1269" i="24"/>
  <c r="O1269" i="24"/>
  <c r="K1269" i="24"/>
  <c r="E1269" i="24"/>
  <c r="A1269" i="24"/>
  <c r="Q1268" i="24"/>
  <c r="M1268" i="24"/>
  <c r="G1268" i="24"/>
  <c r="C1268" i="24"/>
  <c r="S1267" i="24"/>
  <c r="O1267" i="24"/>
  <c r="K1267" i="24"/>
  <c r="E1267" i="24"/>
  <c r="A1267" i="24"/>
  <c r="Q1266" i="24"/>
  <c r="M1266" i="24"/>
  <c r="G1266" i="24"/>
  <c r="C1266" i="24"/>
  <c r="S1265" i="24"/>
  <c r="O1265" i="24"/>
  <c r="K1265" i="24"/>
  <c r="E1265" i="24"/>
  <c r="A1265" i="24"/>
  <c r="Q1264" i="24"/>
  <c r="M1264" i="24"/>
  <c r="G1264" i="24"/>
  <c r="C1264" i="24"/>
  <c r="S1263" i="24"/>
  <c r="O1263" i="24"/>
  <c r="K1263" i="24"/>
  <c r="E1263" i="24"/>
  <c r="A1263" i="24"/>
  <c r="Q1262" i="24"/>
  <c r="M1262" i="24"/>
  <c r="G1262" i="24"/>
  <c r="C1262" i="24"/>
  <c r="S1261" i="24"/>
  <c r="O1261" i="24"/>
  <c r="K1261" i="24"/>
  <c r="E1261" i="24"/>
  <c r="A1261" i="24"/>
  <c r="Q1260" i="24"/>
  <c r="M1260" i="24"/>
  <c r="G1260" i="24"/>
  <c r="C1260" i="24"/>
  <c r="S1259" i="24"/>
  <c r="O1259" i="24"/>
  <c r="K1259" i="24"/>
  <c r="E1259" i="24"/>
  <c r="A1259" i="24"/>
  <c r="Q1258" i="24"/>
  <c r="M1258" i="24"/>
  <c r="G1258" i="24"/>
  <c r="C1258" i="24"/>
  <c r="S1257" i="24"/>
  <c r="O1257" i="24"/>
  <c r="K1257" i="24"/>
  <c r="E1257" i="24"/>
  <c r="A1257" i="24"/>
  <c r="Q1256" i="24"/>
  <c r="M1256" i="24"/>
  <c r="G1256" i="24"/>
  <c r="C1256" i="24"/>
  <c r="S1255" i="24"/>
  <c r="O1255" i="24"/>
  <c r="K1255" i="24"/>
  <c r="E1255" i="24"/>
  <c r="A1255" i="24"/>
  <c r="Q1254" i="24"/>
  <c r="M1254" i="24"/>
  <c r="G1254" i="24"/>
  <c r="C1254" i="24"/>
  <c r="S1253" i="24"/>
  <c r="O1253" i="24"/>
  <c r="K1253" i="24"/>
  <c r="E1253" i="24"/>
  <c r="A1253" i="24"/>
  <c r="Q1252" i="24"/>
  <c r="M1252" i="24"/>
  <c r="G1252" i="24"/>
  <c r="C1252" i="24"/>
  <c r="S1251" i="24"/>
  <c r="O1251" i="24"/>
  <c r="K1251" i="24"/>
  <c r="E1251" i="24"/>
  <c r="A1251" i="24"/>
  <c r="Q1250" i="24"/>
  <c r="M1250" i="24"/>
  <c r="G1250" i="24"/>
  <c r="C1250" i="24"/>
  <c r="S1249" i="24"/>
  <c r="O1249" i="24"/>
  <c r="K1249" i="24"/>
  <c r="E1249" i="24"/>
  <c r="A1249" i="24"/>
  <c r="Q1248" i="24"/>
  <c r="M1248" i="24"/>
  <c r="G1248" i="24"/>
  <c r="C1248" i="24"/>
  <c r="S1247" i="24"/>
  <c r="O1247" i="24"/>
  <c r="K1247" i="24"/>
  <c r="E1247" i="24"/>
  <c r="A1247" i="24"/>
  <c r="Q1246" i="24"/>
  <c r="M1246" i="24"/>
  <c r="G1246" i="24"/>
  <c r="C1246" i="24"/>
  <c r="S1245" i="24"/>
  <c r="O1245" i="24"/>
  <c r="K1245" i="24"/>
  <c r="E1245" i="24"/>
  <c r="A1245" i="24"/>
  <c r="Q1244" i="24"/>
  <c r="M1244" i="24"/>
  <c r="G1244" i="24"/>
  <c r="C1244" i="24"/>
  <c r="S1243" i="24"/>
  <c r="O1243" i="24"/>
  <c r="K1243" i="24"/>
  <c r="E1243" i="24"/>
  <c r="A1243" i="24"/>
  <c r="Q1242" i="24"/>
  <c r="M1242" i="24"/>
  <c r="G1242" i="24"/>
  <c r="C1242" i="24"/>
  <c r="S1241" i="24"/>
  <c r="O1241" i="24"/>
  <c r="K1241" i="24"/>
  <c r="E1241" i="24"/>
  <c r="A1241" i="24"/>
  <c r="Q1240" i="24"/>
  <c r="M1240" i="24"/>
  <c r="G1240" i="24"/>
  <c r="C1240" i="24"/>
  <c r="S1239" i="24"/>
  <c r="O1239" i="24"/>
  <c r="K1239" i="24"/>
  <c r="E1239" i="24"/>
  <c r="A1239" i="24"/>
  <c r="Q1238" i="24"/>
  <c r="M1238" i="24"/>
  <c r="G1238" i="24"/>
  <c r="C1238" i="24"/>
  <c r="S1237" i="24"/>
  <c r="O1237" i="24"/>
  <c r="K1237" i="24"/>
  <c r="E1237" i="24"/>
  <c r="A1237" i="24"/>
  <c r="Q1236" i="24"/>
  <c r="M1236" i="24"/>
  <c r="G1236" i="24"/>
  <c r="C1236" i="24"/>
  <c r="S1235" i="24"/>
  <c r="O1235" i="24"/>
  <c r="K1235" i="24"/>
  <c r="E1235" i="24"/>
  <c r="A1235" i="24"/>
  <c r="Q1234" i="24"/>
  <c r="M1234" i="24"/>
  <c r="G1234" i="24"/>
  <c r="C1234" i="24"/>
  <c r="S1233" i="24"/>
  <c r="O1233" i="24"/>
  <c r="K1233" i="24"/>
  <c r="E1233" i="24"/>
  <c r="A1233" i="24"/>
  <c r="Q1232" i="24"/>
  <c r="M1232" i="24"/>
  <c r="G1232" i="24"/>
  <c r="C1232" i="24"/>
  <c r="S1231" i="24"/>
  <c r="O1231" i="24"/>
  <c r="K1231" i="24"/>
  <c r="E1231" i="24"/>
  <c r="A1231" i="24"/>
  <c r="Q1230" i="24"/>
  <c r="M1230" i="24"/>
  <c r="G1230" i="24"/>
  <c r="C1230" i="24"/>
  <c r="S1229" i="24"/>
  <c r="O1229" i="24"/>
  <c r="K1229" i="24"/>
  <c r="E1229" i="24"/>
  <c r="A1229" i="24"/>
  <c r="Q1228" i="24"/>
  <c r="M1228" i="24"/>
  <c r="G1228" i="24"/>
  <c r="C1228" i="24"/>
  <c r="S1227" i="24"/>
  <c r="O1227" i="24"/>
  <c r="K1227" i="24"/>
  <c r="E1227" i="24"/>
  <c r="A1227" i="24"/>
  <c r="Q1226" i="24"/>
  <c r="M1226" i="24"/>
  <c r="G1226" i="24"/>
  <c r="C1226" i="24"/>
  <c r="S1225" i="24"/>
  <c r="O1225" i="24"/>
  <c r="K1225" i="24"/>
  <c r="E1225" i="24"/>
  <c r="A1225" i="24"/>
  <c r="Q1224" i="24"/>
  <c r="M1224" i="24"/>
  <c r="G1224" i="24"/>
  <c r="C1224" i="24"/>
  <c r="S1223" i="24"/>
  <c r="O1223" i="24"/>
  <c r="K1223" i="24"/>
  <c r="E1223" i="24"/>
  <c r="A1223" i="24"/>
  <c r="Q1222" i="24"/>
  <c r="M1222" i="24"/>
  <c r="G1222" i="24"/>
  <c r="C1222" i="24"/>
  <c r="S1221" i="24"/>
  <c r="O1221" i="24"/>
  <c r="K1221" i="24"/>
  <c r="E1221" i="24"/>
  <c r="A1221" i="24"/>
  <c r="Q1220" i="24"/>
  <c r="M1220" i="24"/>
  <c r="G1220" i="24"/>
  <c r="C1220" i="24"/>
  <c r="S1219" i="24"/>
  <c r="O1219" i="24"/>
  <c r="K1219" i="24"/>
  <c r="E1219" i="24"/>
  <c r="A1219" i="24"/>
  <c r="Q1218" i="24"/>
  <c r="M1218" i="24"/>
  <c r="G1218" i="24"/>
  <c r="C1218" i="24"/>
  <c r="S1217" i="24"/>
  <c r="O1217" i="24"/>
  <c r="K1217" i="24"/>
  <c r="E1217" i="24"/>
  <c r="A1217" i="24"/>
  <c r="Q1216" i="24"/>
  <c r="M1216" i="24"/>
  <c r="G1216" i="24"/>
  <c r="C1216" i="24"/>
  <c r="S1215" i="24"/>
  <c r="O1215" i="24"/>
  <c r="K1215" i="24"/>
  <c r="E1215" i="24"/>
  <c r="A1215" i="24"/>
  <c r="Q1214" i="24"/>
  <c r="M1214" i="24"/>
  <c r="G1214" i="24"/>
  <c r="C1214" i="24"/>
  <c r="S1213" i="24"/>
  <c r="O1213" i="24"/>
  <c r="K1213" i="24"/>
  <c r="E1213" i="24"/>
  <c r="A1213" i="24"/>
  <c r="Q1212" i="24"/>
  <c r="M1212" i="24"/>
  <c r="G1212" i="24"/>
  <c r="C1212" i="24"/>
  <c r="S1211" i="24"/>
  <c r="O1211" i="24"/>
  <c r="K1211" i="24"/>
  <c r="E1211" i="24"/>
  <c r="A1211" i="24"/>
  <c r="Q1210" i="24"/>
  <c r="M1210" i="24"/>
  <c r="G1210" i="24"/>
  <c r="C1210" i="24"/>
  <c r="S1209" i="24"/>
  <c r="O1209" i="24"/>
  <c r="K1209" i="24"/>
  <c r="E1209" i="24"/>
  <c r="A1209" i="24"/>
  <c r="Q1208" i="24"/>
  <c r="M1208" i="24"/>
  <c r="G1208" i="24"/>
  <c r="C1208" i="24"/>
  <c r="S1207" i="24"/>
  <c r="O1207" i="24"/>
  <c r="K1207" i="24"/>
  <c r="E1207" i="24"/>
  <c r="A1207" i="24"/>
  <c r="Q1206" i="24"/>
  <c r="M1206" i="24"/>
  <c r="G1206" i="24"/>
  <c r="C1206" i="24"/>
  <c r="S1205" i="24"/>
  <c r="O1205" i="24"/>
  <c r="K1205" i="24"/>
  <c r="E1205" i="24"/>
  <c r="A1205" i="24"/>
  <c r="Q1204" i="24"/>
  <c r="M1204" i="24"/>
  <c r="G1204" i="24"/>
  <c r="C1204" i="24"/>
  <c r="S1203" i="24"/>
  <c r="O1203" i="24"/>
  <c r="K1203" i="24"/>
  <c r="E1203" i="24"/>
  <c r="A1203" i="24"/>
  <c r="Q1202" i="24"/>
  <c r="M1202" i="24"/>
  <c r="G1202" i="24"/>
  <c r="C1202" i="24"/>
  <c r="S1201" i="24"/>
  <c r="O1201" i="24"/>
  <c r="K1201" i="24"/>
  <c r="E1201" i="24"/>
  <c r="A1201" i="24"/>
  <c r="Q1200" i="24"/>
  <c r="M1200" i="24"/>
  <c r="G1200" i="24"/>
  <c r="C1200" i="24"/>
  <c r="S1199" i="24"/>
  <c r="O1199" i="24"/>
  <c r="K1199" i="24"/>
  <c r="E1199" i="24"/>
  <c r="A1199" i="24"/>
  <c r="Q1198" i="24"/>
  <c r="M1198" i="24"/>
  <c r="G1198" i="24"/>
  <c r="C1198" i="24"/>
  <c r="S1197" i="24"/>
  <c r="O1197" i="24"/>
  <c r="K1197" i="24"/>
  <c r="E1197" i="24"/>
  <c r="A1197" i="24"/>
  <c r="Q1196" i="24"/>
  <c r="M1196" i="24"/>
  <c r="G1196" i="24"/>
  <c r="C1196" i="24"/>
  <c r="S1195" i="24"/>
  <c r="O1195" i="24"/>
  <c r="K1195" i="24"/>
  <c r="E1195" i="24"/>
  <c r="A1195" i="24"/>
  <c r="Q1194" i="24"/>
  <c r="M1194" i="24"/>
  <c r="G1194" i="24"/>
  <c r="C1194" i="24"/>
  <c r="S1193" i="24"/>
  <c r="O1193" i="24"/>
  <c r="K1193" i="24"/>
  <c r="E1193" i="24"/>
  <c r="A1193" i="24"/>
  <c r="Q1192" i="24"/>
  <c r="M1192" i="24"/>
  <c r="G1192" i="24"/>
  <c r="C1192" i="24"/>
  <c r="S1191" i="24"/>
  <c r="O1191" i="24"/>
  <c r="K1191" i="24"/>
  <c r="E1191" i="24"/>
  <c r="A1191" i="24"/>
  <c r="Q1190" i="24"/>
  <c r="M1190" i="24"/>
  <c r="G1190" i="24"/>
  <c r="C1190" i="24"/>
  <c r="S1189" i="24"/>
  <c r="O1189" i="24"/>
  <c r="K1189" i="24"/>
  <c r="E1189" i="24"/>
  <c r="A1189" i="24"/>
  <c r="Q1188" i="24"/>
  <c r="M1188" i="24"/>
  <c r="G1188" i="24"/>
  <c r="C1188" i="24"/>
  <c r="S1187" i="24"/>
  <c r="O1187" i="24"/>
  <c r="K1187" i="24"/>
  <c r="E1187" i="24"/>
  <c r="A1187" i="24"/>
  <c r="Q1186" i="24"/>
  <c r="M1186" i="24"/>
  <c r="G1186" i="24"/>
  <c r="C1186" i="24"/>
  <c r="S1185" i="24"/>
  <c r="O1185" i="24"/>
  <c r="K1185" i="24"/>
  <c r="E1185" i="24"/>
  <c r="A1185" i="24"/>
  <c r="Q1184" i="24"/>
  <c r="M1184" i="24"/>
  <c r="G1184" i="24"/>
  <c r="C1184" i="24"/>
  <c r="S1183" i="24"/>
  <c r="O1183" i="24"/>
  <c r="K1183" i="24"/>
  <c r="E1183" i="24"/>
  <c r="A1183" i="24"/>
  <c r="Q1182" i="24"/>
  <c r="M1182" i="24"/>
  <c r="G1182" i="24"/>
  <c r="C1182" i="24"/>
  <c r="S1181" i="24"/>
  <c r="O1181" i="24"/>
  <c r="K1181" i="24"/>
  <c r="E1181" i="24"/>
  <c r="A1181" i="24"/>
  <c r="Q1180" i="24"/>
  <c r="M1180" i="24"/>
  <c r="G1180" i="24"/>
  <c r="C1180" i="24"/>
  <c r="S1179" i="24"/>
  <c r="O1179" i="24"/>
  <c r="K1179" i="24"/>
  <c r="E1179" i="24"/>
  <c r="A1179" i="24"/>
  <c r="Q1178" i="24"/>
  <c r="M1178" i="24"/>
  <c r="G1178" i="24"/>
  <c r="C1178" i="24"/>
  <c r="S1177" i="24"/>
  <c r="O1177" i="24"/>
  <c r="K1177" i="24"/>
  <c r="E1177" i="24"/>
  <c r="A1177" i="24"/>
  <c r="Q1176" i="24"/>
  <c r="M1176" i="24"/>
  <c r="G1176" i="24"/>
  <c r="C1176" i="24"/>
  <c r="S1175" i="24"/>
  <c r="O1175" i="24"/>
  <c r="K1175" i="24"/>
  <c r="E1175" i="24"/>
  <c r="A1175" i="24"/>
  <c r="Q1174" i="24"/>
  <c r="M1174" i="24"/>
  <c r="G1174" i="24"/>
  <c r="C1174" i="24"/>
  <c r="S1173" i="24"/>
  <c r="O1173" i="24"/>
  <c r="K1173" i="24"/>
  <c r="E1173" i="24"/>
  <c r="A1173" i="24"/>
  <c r="Q1172" i="24"/>
  <c r="M1172" i="24"/>
  <c r="G1172" i="24"/>
  <c r="C1172" i="24"/>
  <c r="S1171" i="24"/>
  <c r="O1171" i="24"/>
  <c r="K1171" i="24"/>
  <c r="E1171" i="24"/>
  <c r="A1171" i="24"/>
  <c r="Q1170" i="24"/>
  <c r="M1170" i="24"/>
  <c r="G1170" i="24"/>
  <c r="C1170" i="24"/>
  <c r="S1169" i="24"/>
  <c r="O1169" i="24"/>
  <c r="K1169" i="24"/>
  <c r="E1169" i="24"/>
  <c r="A1169" i="24"/>
  <c r="Q1168" i="24"/>
  <c r="M1168" i="24"/>
  <c r="G1168" i="24"/>
  <c r="C1168" i="24"/>
  <c r="S1167" i="24"/>
  <c r="O1167" i="24"/>
  <c r="K1167" i="24"/>
  <c r="E1167" i="24"/>
  <c r="A1167" i="24"/>
  <c r="Q1166" i="24"/>
  <c r="M1166" i="24"/>
  <c r="G1166" i="24"/>
  <c r="C1166" i="24"/>
  <c r="S1165" i="24"/>
  <c r="O1165" i="24"/>
  <c r="K1165" i="24"/>
  <c r="E1165" i="24"/>
  <c r="A1165" i="24"/>
  <c r="Q1164" i="24"/>
  <c r="M1164" i="24"/>
  <c r="G1164" i="24"/>
  <c r="C1164" i="24"/>
  <c r="S1163" i="24"/>
  <c r="O1163" i="24"/>
  <c r="K1163" i="24"/>
  <c r="E1163" i="24"/>
  <c r="A1163" i="24"/>
  <c r="Q1162" i="24"/>
  <c r="M1162" i="24"/>
  <c r="G1162" i="24"/>
  <c r="C1162" i="24"/>
  <c r="S1161" i="24"/>
  <c r="O1161" i="24"/>
  <c r="K1161" i="24"/>
  <c r="E1161" i="24"/>
  <c r="A1161" i="24"/>
  <c r="Q1160" i="24"/>
  <c r="M1160" i="24"/>
  <c r="G1160" i="24"/>
  <c r="C1160" i="24"/>
  <c r="S1159" i="24"/>
  <c r="O1159" i="24"/>
  <c r="K1159" i="24"/>
  <c r="E1159" i="24"/>
  <c r="A1159" i="24"/>
  <c r="Q1158" i="24"/>
  <c r="M1158" i="24"/>
  <c r="G1158" i="24"/>
  <c r="C1158" i="24"/>
  <c r="S1157" i="24"/>
  <c r="O1157" i="24"/>
  <c r="K1157" i="24"/>
  <c r="E1157" i="24"/>
  <c r="A1157" i="24"/>
  <c r="Q1156" i="24"/>
  <c r="M1156" i="24"/>
  <c r="G1156" i="24"/>
  <c r="C1156" i="24"/>
  <c r="S1155" i="24"/>
  <c r="O1155" i="24"/>
  <c r="K1155" i="24"/>
  <c r="E1155" i="24"/>
  <c r="A1155" i="24"/>
  <c r="Q1154" i="24"/>
  <c r="M1154" i="24"/>
  <c r="G1154" i="24"/>
  <c r="C1154" i="24"/>
  <c r="S1153" i="24"/>
  <c r="O1153" i="24"/>
  <c r="K1153" i="24"/>
  <c r="E1153" i="24"/>
  <c r="A1153" i="24"/>
  <c r="Q1152" i="24"/>
  <c r="M1152" i="24"/>
  <c r="G1152" i="24"/>
  <c r="C1152" i="24"/>
  <c r="S1151" i="24"/>
  <c r="O1151" i="24"/>
  <c r="K1151" i="24"/>
  <c r="E1151" i="24"/>
  <c r="A1151" i="24"/>
  <c r="Q1150" i="24"/>
  <c r="M1150" i="24"/>
  <c r="G1150" i="24"/>
  <c r="C1150" i="24"/>
  <c r="S1149" i="24"/>
  <c r="O1149" i="24"/>
  <c r="K1149" i="24"/>
  <c r="E1149" i="24"/>
  <c r="A1149" i="24"/>
  <c r="Q1148" i="24"/>
  <c r="M1148" i="24"/>
  <c r="G1148" i="24"/>
  <c r="C1148" i="24"/>
  <c r="S1147" i="24"/>
  <c r="O1147" i="24"/>
  <c r="K1147" i="24"/>
  <c r="E1147" i="24"/>
  <c r="A1147" i="24"/>
  <c r="Q1146" i="24"/>
  <c r="M1146" i="24"/>
  <c r="G1146" i="24"/>
  <c r="C1146" i="24"/>
  <c r="S1145" i="24"/>
  <c r="O1145" i="24"/>
  <c r="K1145" i="24"/>
  <c r="E1145" i="24"/>
  <c r="A1145" i="24"/>
  <c r="Q1144" i="24"/>
  <c r="M1144" i="24"/>
  <c r="G1144" i="24"/>
  <c r="C1144" i="24"/>
  <c r="S1143" i="24"/>
  <c r="O1143" i="24"/>
  <c r="K1143" i="24"/>
  <c r="E1143" i="24"/>
  <c r="A1143" i="24"/>
  <c r="Q1142" i="24"/>
  <c r="M1142" i="24"/>
  <c r="G1142" i="24"/>
  <c r="C1142" i="24"/>
  <c r="S1141" i="24"/>
  <c r="O1141" i="24"/>
  <c r="K1141" i="24"/>
  <c r="E1141" i="24"/>
  <c r="A1141" i="24"/>
  <c r="Q1140" i="24"/>
  <c r="M1140" i="24"/>
  <c r="G1140" i="24"/>
  <c r="C1140" i="24"/>
  <c r="S1139" i="24"/>
  <c r="O1139" i="24"/>
  <c r="K1139" i="24"/>
  <c r="E1139" i="24"/>
  <c r="A1139" i="24"/>
  <c r="Q1138" i="24"/>
  <c r="M1138" i="24"/>
  <c r="G1138" i="24"/>
  <c r="C1138" i="24"/>
  <c r="S1137" i="24"/>
  <c r="O1137" i="24"/>
  <c r="K1137" i="24"/>
  <c r="E1137" i="24"/>
  <c r="A1137" i="24"/>
  <c r="Q1136" i="24"/>
  <c r="M1136" i="24"/>
  <c r="G1136" i="24"/>
  <c r="C1136" i="24"/>
  <c r="S1135" i="24"/>
  <c r="O1135" i="24"/>
  <c r="K1135" i="24"/>
  <c r="E1135" i="24"/>
  <c r="A1135" i="24"/>
  <c r="Q1134" i="24"/>
  <c r="M1134" i="24"/>
  <c r="G1134" i="24"/>
  <c r="C1134" i="24"/>
  <c r="S1133" i="24"/>
  <c r="O1133" i="24"/>
  <c r="K1133" i="24"/>
  <c r="E1133" i="24"/>
  <c r="A1133" i="24"/>
  <c r="Q1132" i="24"/>
  <c r="M1132" i="24"/>
  <c r="G1132" i="24"/>
  <c r="C1132" i="24"/>
  <c r="S1131" i="24"/>
  <c r="O1131" i="24"/>
  <c r="K1131" i="24"/>
  <c r="E1131" i="24"/>
  <c r="A1131" i="24"/>
  <c r="Q1130" i="24"/>
  <c r="M1130" i="24"/>
  <c r="G1130" i="24"/>
  <c r="C1130" i="24"/>
  <c r="S1129" i="24"/>
  <c r="O1129" i="24"/>
  <c r="K1129" i="24"/>
  <c r="E1129" i="24"/>
  <c r="A1129" i="24"/>
  <c r="Q1128" i="24"/>
  <c r="M1128" i="24"/>
  <c r="G1128" i="24"/>
  <c r="C1128" i="24"/>
  <c r="S1127" i="24"/>
  <c r="O1127" i="24"/>
  <c r="K1127" i="24"/>
  <c r="E1127" i="24"/>
  <c r="A1127" i="24"/>
  <c r="Q1126" i="24"/>
  <c r="M1126" i="24"/>
  <c r="G1126" i="24"/>
  <c r="C1126" i="24"/>
  <c r="S1125" i="24"/>
  <c r="O1125" i="24"/>
  <c r="K1125" i="24"/>
  <c r="E1125" i="24"/>
  <c r="A1125" i="24"/>
  <c r="Q1124" i="24"/>
  <c r="M1124" i="24"/>
  <c r="G1124" i="24"/>
  <c r="C1124" i="24"/>
  <c r="S1123" i="24"/>
  <c r="O1123" i="24"/>
  <c r="K1123" i="24"/>
  <c r="E1123" i="24"/>
  <c r="A1123" i="24"/>
  <c r="Q1122" i="24"/>
  <c r="M1122" i="24"/>
  <c r="G1122" i="24"/>
  <c r="C1122" i="24"/>
  <c r="S1121" i="24"/>
  <c r="O1121" i="24"/>
  <c r="K1121" i="24"/>
  <c r="E1121" i="24"/>
  <c r="A1121" i="24"/>
  <c r="Q1120" i="24"/>
  <c r="M1120" i="24"/>
  <c r="G1120" i="24"/>
  <c r="C1120" i="24"/>
  <c r="S1119" i="24"/>
  <c r="O1119" i="24"/>
  <c r="K1119" i="24"/>
  <c r="E1119" i="24"/>
  <c r="A1119" i="24"/>
  <c r="Q1118" i="24"/>
  <c r="M1118" i="24"/>
  <c r="G1118" i="24"/>
  <c r="C1118" i="24"/>
  <c r="S1117" i="24"/>
  <c r="O1117" i="24"/>
  <c r="K1117" i="24"/>
  <c r="E1117" i="24"/>
  <c r="A1117" i="24"/>
  <c r="Q1116" i="24"/>
  <c r="M1116" i="24"/>
  <c r="G1116" i="24"/>
  <c r="C1116" i="24"/>
  <c r="S1115" i="24"/>
  <c r="O1115" i="24"/>
  <c r="K1115" i="24"/>
  <c r="E1115" i="24"/>
  <c r="A1115" i="24"/>
  <c r="Q1114" i="24"/>
  <c r="M1114" i="24"/>
  <c r="G1114" i="24"/>
  <c r="C1114" i="24"/>
  <c r="S1113" i="24"/>
  <c r="O1113" i="24"/>
  <c r="K1113" i="24"/>
  <c r="E1113" i="24"/>
  <c r="A1113" i="24"/>
  <c r="Q1112" i="24"/>
  <c r="M1112" i="24"/>
  <c r="G1112" i="24"/>
  <c r="C1112" i="24"/>
  <c r="S1111" i="24"/>
  <c r="O1111" i="24"/>
  <c r="K1111" i="24"/>
  <c r="E1111" i="24"/>
  <c r="A1111" i="24"/>
  <c r="Q1110" i="24"/>
  <c r="M1110" i="24"/>
  <c r="G1110" i="24"/>
  <c r="C1110" i="24"/>
  <c r="S1109" i="24"/>
  <c r="O1109" i="24"/>
  <c r="K1109" i="24"/>
  <c r="E1109" i="24"/>
  <c r="A1109" i="24"/>
  <c r="Q1108" i="24"/>
  <c r="M1108" i="24"/>
  <c r="G1108" i="24"/>
  <c r="C1108" i="24"/>
  <c r="S1107" i="24"/>
  <c r="O1107" i="24"/>
  <c r="K1107" i="24"/>
  <c r="E1107" i="24"/>
  <c r="A1107" i="24"/>
  <c r="Q1106" i="24"/>
  <c r="M1106" i="24"/>
  <c r="G1106" i="24"/>
  <c r="C1106" i="24"/>
  <c r="S1105" i="24"/>
  <c r="O1105" i="24"/>
  <c r="K1105" i="24"/>
  <c r="E1105" i="24"/>
  <c r="A1105" i="24"/>
  <c r="Q1104" i="24"/>
  <c r="M1104" i="24"/>
  <c r="G1104" i="24"/>
  <c r="C1104" i="24"/>
  <c r="S1103" i="24"/>
  <c r="O1103" i="24"/>
  <c r="K1103" i="24"/>
  <c r="E1103" i="24"/>
  <c r="A1103" i="24"/>
  <c r="Q1102" i="24"/>
  <c r="M1102" i="24"/>
  <c r="G1102" i="24"/>
  <c r="C1102" i="24"/>
  <c r="S1101" i="24"/>
  <c r="O1101" i="24"/>
  <c r="K1101" i="24"/>
  <c r="E1101" i="24"/>
  <c r="A1101" i="24"/>
  <c r="Q1100" i="24"/>
  <c r="M1100" i="24"/>
  <c r="G1100" i="24"/>
  <c r="C1100" i="24"/>
  <c r="S1099" i="24"/>
  <c r="O1099" i="24"/>
  <c r="K1099" i="24"/>
  <c r="E1099" i="24"/>
  <c r="A1099" i="24"/>
  <c r="Q1098" i="24"/>
  <c r="M1098" i="24"/>
  <c r="G1098" i="24"/>
  <c r="C1098" i="24"/>
  <c r="S1097" i="24"/>
  <c r="O1097" i="24"/>
  <c r="K1097" i="24"/>
  <c r="E1097" i="24"/>
  <c r="A1097" i="24"/>
  <c r="Q1096" i="24"/>
  <c r="M1096" i="24"/>
  <c r="G1096" i="24"/>
  <c r="C1096" i="24"/>
  <c r="S1095" i="24"/>
  <c r="O1095" i="24"/>
  <c r="K1095" i="24"/>
  <c r="E1095" i="24"/>
  <c r="A1095" i="24"/>
  <c r="Q1094" i="24"/>
  <c r="M1094" i="24"/>
  <c r="G1094" i="24"/>
  <c r="C1094" i="24"/>
  <c r="S1093" i="24"/>
  <c r="O1093" i="24"/>
  <c r="K1093" i="24"/>
  <c r="E1093" i="24"/>
  <c r="A1093" i="24"/>
  <c r="Q1092" i="24"/>
  <c r="M1092" i="24"/>
  <c r="G1092" i="24"/>
  <c r="C1092" i="24"/>
  <c r="S1091" i="24"/>
  <c r="O1091" i="24"/>
  <c r="K1091" i="24"/>
  <c r="E1091" i="24"/>
  <c r="A1091" i="24"/>
  <c r="Q1090" i="24"/>
  <c r="M1090" i="24"/>
  <c r="G1090" i="24"/>
  <c r="C1090" i="24"/>
  <c r="S1089" i="24"/>
  <c r="O1089" i="24"/>
  <c r="K1089" i="24"/>
  <c r="E1089" i="24"/>
  <c r="A1089" i="24"/>
  <c r="Q1088" i="24"/>
  <c r="M1088" i="24"/>
  <c r="G1088" i="24"/>
  <c r="C1088" i="24"/>
  <c r="S1087" i="24"/>
  <c r="O1087" i="24"/>
  <c r="K1087" i="24"/>
  <c r="E1087" i="24"/>
  <c r="A1087" i="24"/>
  <c r="Q1086" i="24"/>
  <c r="M1086" i="24"/>
  <c r="G1086" i="24"/>
  <c r="C1086" i="24"/>
  <c r="S1085" i="24"/>
  <c r="O1085" i="24"/>
  <c r="K1085" i="24"/>
  <c r="E1085" i="24"/>
  <c r="A1085" i="24"/>
  <c r="Q1084" i="24"/>
  <c r="M1084" i="24"/>
  <c r="G1084" i="24"/>
  <c r="C1084" i="24"/>
  <c r="S1083" i="24"/>
  <c r="O1083" i="24"/>
  <c r="K1083" i="24"/>
  <c r="E1083" i="24"/>
  <c r="A1083" i="24"/>
  <c r="Q1082" i="24"/>
  <c r="M1082" i="24"/>
  <c r="G1082" i="24"/>
  <c r="C1082" i="24"/>
  <c r="S1081" i="24"/>
  <c r="O1081" i="24"/>
  <c r="K1081" i="24"/>
  <c r="E1081" i="24"/>
  <c r="A1081" i="24"/>
  <c r="Q1080" i="24"/>
  <c r="M1080" i="24"/>
  <c r="G1080" i="24"/>
  <c r="C1080" i="24"/>
  <c r="S1079" i="24"/>
  <c r="O1079" i="24"/>
  <c r="K1079" i="24"/>
  <c r="E1079" i="24"/>
  <c r="A1079" i="24"/>
  <c r="Q1078" i="24"/>
  <c r="M1078" i="24"/>
  <c r="G1078" i="24"/>
  <c r="C1078" i="24"/>
  <c r="S1077" i="24"/>
  <c r="O1077" i="24"/>
  <c r="K1077" i="24"/>
  <c r="E1077" i="24"/>
  <c r="A1077" i="24"/>
  <c r="Q1076" i="24"/>
  <c r="M1076" i="24"/>
  <c r="G1076" i="24"/>
  <c r="C1076" i="24"/>
  <c r="S1075" i="24"/>
  <c r="O1075" i="24"/>
  <c r="K1075" i="24"/>
  <c r="E1075" i="24"/>
  <c r="A1075" i="24"/>
  <c r="Q1074" i="24"/>
  <c r="M1074" i="24"/>
  <c r="G1074" i="24"/>
  <c r="C1074" i="24"/>
  <c r="S1073" i="24"/>
  <c r="O1073" i="24"/>
  <c r="K1073" i="24"/>
  <c r="E1073" i="24"/>
  <c r="A1073" i="24"/>
  <c r="Q1072" i="24"/>
  <c r="M1072" i="24"/>
  <c r="G1072" i="24"/>
  <c r="C1072" i="24"/>
  <c r="S1071" i="24"/>
  <c r="O1071" i="24"/>
  <c r="K1071" i="24"/>
  <c r="E1071" i="24"/>
  <c r="A1071" i="24"/>
  <c r="Q1070" i="24"/>
  <c r="M1070" i="24"/>
  <c r="G1070" i="24"/>
  <c r="C1070" i="24"/>
  <c r="S1069" i="24"/>
  <c r="O1069" i="24"/>
  <c r="K1069" i="24"/>
  <c r="E1069" i="24"/>
  <c r="A1069" i="24"/>
  <c r="Q1068" i="24"/>
  <c r="M1068" i="24"/>
  <c r="G1068" i="24"/>
  <c r="C1068" i="24"/>
  <c r="S1067" i="24"/>
  <c r="O1067" i="24"/>
  <c r="K1067" i="24"/>
  <c r="E1067" i="24"/>
  <c r="A1067" i="24"/>
  <c r="Q1066" i="24"/>
  <c r="M1066" i="24"/>
  <c r="G1066" i="24"/>
  <c r="C1066" i="24"/>
  <c r="S1065" i="24"/>
  <c r="O1065" i="24"/>
  <c r="K1065" i="24"/>
  <c r="E1065" i="24"/>
  <c r="A1065" i="24"/>
  <c r="Q1064" i="24"/>
  <c r="M1064" i="24"/>
  <c r="G1064" i="24"/>
  <c r="C1064" i="24"/>
  <c r="S1063" i="24"/>
  <c r="O1063" i="24"/>
  <c r="K1063" i="24"/>
  <c r="E1063" i="24"/>
  <c r="A1063" i="24"/>
  <c r="Q1062" i="24"/>
  <c r="M1062" i="24"/>
  <c r="G1062" i="24"/>
  <c r="C1062" i="24"/>
  <c r="S1061" i="24"/>
  <c r="O1061" i="24"/>
  <c r="K1061" i="24"/>
  <c r="E1061" i="24"/>
  <c r="A1061" i="24"/>
  <c r="Q1060" i="24"/>
  <c r="M1060" i="24"/>
  <c r="G1060" i="24"/>
  <c r="C1060" i="24"/>
  <c r="S1059" i="24"/>
  <c r="O1059" i="24"/>
  <c r="F2281" i="24"/>
  <c r="L2167" i="24"/>
  <c r="B2068" i="24"/>
  <c r="C2022" i="24"/>
  <c r="O1993" i="24"/>
  <c r="R1966" i="24"/>
  <c r="N1952" i="24"/>
  <c r="H1938" i="24"/>
  <c r="D1924" i="24"/>
  <c r="T1909" i="24"/>
  <c r="P1895" i="24"/>
  <c r="L1881" i="24"/>
  <c r="F1867" i="24"/>
  <c r="B1853" i="24"/>
  <c r="R1838" i="24"/>
  <c r="N1824" i="24"/>
  <c r="E1812" i="24"/>
  <c r="C1805" i="24"/>
  <c r="A1798" i="24"/>
  <c r="S1790" i="24"/>
  <c r="Q1783" i="24"/>
  <c r="T1776" i="24"/>
  <c r="H1773" i="24"/>
  <c r="R1769" i="24"/>
  <c r="F1766" i="24"/>
  <c r="P1762" i="24"/>
  <c r="D1759" i="24"/>
  <c r="N1755" i="24"/>
  <c r="B1752" i="24"/>
  <c r="L1748" i="24"/>
  <c r="T1744" i="24"/>
  <c r="H1741" i="24"/>
  <c r="R1737" i="24"/>
  <c r="F1734" i="24"/>
  <c r="P1730" i="24"/>
  <c r="D1727" i="24"/>
  <c r="N1723" i="24"/>
  <c r="B1720" i="24"/>
  <c r="L1716" i="24"/>
  <c r="T1712" i="24"/>
  <c r="H1709" i="24"/>
  <c r="R1705" i="24"/>
  <c r="F1702" i="24"/>
  <c r="P1698" i="24"/>
  <c r="D1695" i="24"/>
  <c r="N1691" i="24"/>
  <c r="B1688" i="24"/>
  <c r="L1684" i="24"/>
  <c r="T1680" i="24"/>
  <c r="H1677" i="24"/>
  <c r="R1673" i="24"/>
  <c r="F1670" i="24"/>
  <c r="P1666" i="24"/>
  <c r="D1663" i="24"/>
  <c r="N1659" i="24"/>
  <c r="B1656" i="24"/>
  <c r="L1652" i="24"/>
  <c r="T1648" i="24"/>
  <c r="H1645" i="24"/>
  <c r="R1641" i="24"/>
  <c r="F1638" i="24"/>
  <c r="P1634" i="24"/>
  <c r="D1631" i="24"/>
  <c r="N1627" i="24"/>
  <c r="B1624" i="24"/>
  <c r="L1620" i="24"/>
  <c r="T1616" i="24"/>
  <c r="H1613" i="24"/>
  <c r="R1609" i="24"/>
  <c r="F1606" i="24"/>
  <c r="P1602" i="24"/>
  <c r="D1599" i="24"/>
  <c r="N1595" i="24"/>
  <c r="B1592" i="24"/>
  <c r="L1588" i="24"/>
  <c r="T1584" i="24"/>
  <c r="H1581" i="24"/>
  <c r="R1577" i="24"/>
  <c r="F1574" i="24"/>
  <c r="P1570" i="24"/>
  <c r="D1567" i="24"/>
  <c r="N1563" i="24"/>
  <c r="B1560" i="24"/>
  <c r="L1556" i="24"/>
  <c r="T1552" i="24"/>
  <c r="H1549" i="24"/>
  <c r="R1545" i="24"/>
  <c r="F1542" i="24"/>
  <c r="P1538" i="24"/>
  <c r="D1535" i="24"/>
  <c r="N1531" i="24"/>
  <c r="B1528" i="24"/>
  <c r="L1524" i="24"/>
  <c r="T1520" i="24"/>
  <c r="H1517" i="24"/>
  <c r="R1513" i="24"/>
  <c r="F1510" i="24"/>
  <c r="P1506" i="24"/>
  <c r="D1503" i="24"/>
  <c r="N1499" i="24"/>
  <c r="B1496" i="24"/>
  <c r="L1492" i="24"/>
  <c r="T1488" i="24"/>
  <c r="H1485" i="24"/>
  <c r="R1481" i="24"/>
  <c r="F1478" i="24"/>
  <c r="P1474" i="24"/>
  <c r="D1471" i="24"/>
  <c r="N1467" i="24"/>
  <c r="B1464" i="24"/>
  <c r="L1460" i="24"/>
  <c r="T1456" i="24"/>
  <c r="H1453" i="24"/>
  <c r="R1449" i="24"/>
  <c r="F1446" i="24"/>
  <c r="P1442" i="24"/>
  <c r="D1439" i="24"/>
  <c r="N1435" i="24"/>
  <c r="B1432" i="24"/>
  <c r="L1428" i="24"/>
  <c r="T1424" i="24"/>
  <c r="H1421" i="24"/>
  <c r="R1417" i="24"/>
  <c r="F1414" i="24"/>
  <c r="P1410" i="24"/>
  <c r="P1408" i="24"/>
  <c r="T1406" i="24"/>
  <c r="D1405" i="24"/>
  <c r="H1403" i="24"/>
  <c r="N1401" i="24"/>
  <c r="R1399" i="24"/>
  <c r="B1398" i="24"/>
  <c r="T1396" i="24"/>
  <c r="B1396" i="24"/>
  <c r="D1395" i="24"/>
  <c r="F1394" i="24"/>
  <c r="H1393" i="24"/>
  <c r="L1392" i="24"/>
  <c r="N1391" i="24"/>
  <c r="P1390" i="24"/>
  <c r="R1389" i="24"/>
  <c r="T1388" i="24"/>
  <c r="B1388" i="24"/>
  <c r="D1387" i="24"/>
  <c r="F1386" i="24"/>
  <c r="H1385" i="24"/>
  <c r="L1384" i="24"/>
  <c r="N1383" i="24"/>
  <c r="P1382" i="24"/>
  <c r="R1381" i="24"/>
  <c r="T1380" i="24"/>
  <c r="B1380" i="24"/>
  <c r="D1379" i="24"/>
  <c r="F1378" i="24"/>
  <c r="H1377" i="24"/>
  <c r="L1376" i="24"/>
  <c r="N1375" i="24"/>
  <c r="P1374" i="24"/>
  <c r="R1373" i="24"/>
  <c r="T1372" i="24"/>
  <c r="B1372" i="24"/>
  <c r="D1371" i="24"/>
  <c r="F1370" i="24"/>
  <c r="H1369" i="24"/>
  <c r="L1368" i="24"/>
  <c r="N1367" i="24"/>
  <c r="P1366" i="24"/>
  <c r="R1365" i="24"/>
  <c r="T1364" i="24"/>
  <c r="B1364" i="24"/>
  <c r="D1363" i="24"/>
  <c r="F1362" i="24"/>
  <c r="H1361" i="24"/>
  <c r="L1360" i="24"/>
  <c r="N1359" i="24"/>
  <c r="P1358" i="24"/>
  <c r="R1357" i="24"/>
  <c r="T1356" i="24"/>
  <c r="B1356" i="24"/>
  <c r="D1355" i="24"/>
  <c r="F1354" i="24"/>
  <c r="H1353" i="24"/>
  <c r="L1352" i="24"/>
  <c r="N1351" i="24"/>
  <c r="P1350" i="24"/>
  <c r="R1349" i="24"/>
  <c r="T1348" i="24"/>
  <c r="B1348" i="24"/>
  <c r="D1347" i="24"/>
  <c r="F1346" i="24"/>
  <c r="H1345" i="24"/>
  <c r="L1344" i="24"/>
  <c r="N1343" i="24"/>
  <c r="P1342" i="24"/>
  <c r="R1341" i="24"/>
  <c r="T1340" i="24"/>
  <c r="B1340" i="24"/>
  <c r="D1339" i="24"/>
  <c r="F1338" i="24"/>
  <c r="H1337" i="24"/>
  <c r="L1336" i="24"/>
  <c r="N1335" i="24"/>
  <c r="P1334" i="24"/>
  <c r="R1333" i="24"/>
  <c r="T1332" i="24"/>
  <c r="B1332" i="24"/>
  <c r="D1331" i="24"/>
  <c r="F1330" i="24"/>
  <c r="H1329" i="24"/>
  <c r="L1328" i="24"/>
  <c r="N1327" i="24"/>
  <c r="P1326" i="24"/>
  <c r="R1325" i="24"/>
  <c r="T1324" i="24"/>
  <c r="B1324" i="24"/>
  <c r="D1323" i="24"/>
  <c r="F1322" i="24"/>
  <c r="H1321" i="24"/>
  <c r="L1320" i="24"/>
  <c r="N1319" i="24"/>
  <c r="P1318" i="24"/>
  <c r="R1317" i="24"/>
  <c r="T1316" i="24"/>
  <c r="B1316" i="24"/>
  <c r="D1315" i="24"/>
  <c r="F1314" i="24"/>
  <c r="H1313" i="24"/>
  <c r="L1312" i="24"/>
  <c r="N1311" i="24"/>
  <c r="P1310" i="24"/>
  <c r="R1309" i="24"/>
  <c r="T1308" i="24"/>
  <c r="B1308" i="24"/>
  <c r="D1307" i="24"/>
  <c r="F1306" i="24"/>
  <c r="H1305" i="24"/>
  <c r="L1304" i="24"/>
  <c r="N1303" i="24"/>
  <c r="P1302" i="24"/>
  <c r="R1301" i="24"/>
  <c r="T1300" i="24"/>
  <c r="B1300" i="24"/>
  <c r="D1299" i="24"/>
  <c r="F1298" i="24"/>
  <c r="H1297" i="24"/>
  <c r="L1296" i="24"/>
  <c r="N1295" i="24"/>
  <c r="P1294" i="24"/>
  <c r="R1293" i="24"/>
  <c r="T1292" i="24"/>
  <c r="B1292" i="24"/>
  <c r="D1291" i="24"/>
  <c r="F1290" i="24"/>
  <c r="H1289" i="24"/>
  <c r="L1288" i="24"/>
  <c r="N1287" i="24"/>
  <c r="P1286" i="24"/>
  <c r="R1285" i="24"/>
  <c r="T1284" i="24"/>
  <c r="B1284" i="24"/>
  <c r="D1283" i="24"/>
  <c r="F1282" i="24"/>
  <c r="H1281" i="24"/>
  <c r="L1280" i="24"/>
  <c r="N1279" i="24"/>
  <c r="P1278" i="24"/>
  <c r="R1277" i="24"/>
  <c r="T1276" i="24"/>
  <c r="B1276" i="24"/>
  <c r="D1275" i="24"/>
  <c r="F1274" i="24"/>
  <c r="H1273" i="24"/>
  <c r="L1272" i="24"/>
  <c r="N1271" i="24"/>
  <c r="P1270" i="24"/>
  <c r="R1269" i="24"/>
  <c r="T1268" i="24"/>
  <c r="B1268" i="24"/>
  <c r="D1267" i="24"/>
  <c r="F1266" i="24"/>
  <c r="H1265" i="24"/>
  <c r="L1264" i="24"/>
  <c r="N1263" i="24"/>
  <c r="P1262" i="24"/>
  <c r="R1261" i="24"/>
  <c r="T1260" i="24"/>
  <c r="B1260" i="24"/>
  <c r="D1259" i="24"/>
  <c r="F1258" i="24"/>
  <c r="H1257" i="24"/>
  <c r="L1256" i="24"/>
  <c r="N1255" i="24"/>
  <c r="P1254" i="24"/>
  <c r="R1253" i="24"/>
  <c r="T1252" i="24"/>
  <c r="B1252" i="24"/>
  <c r="D1251" i="24"/>
  <c r="F1250" i="24"/>
  <c r="H1249" i="24"/>
  <c r="L1248" i="24"/>
  <c r="N1247" i="24"/>
  <c r="P1246" i="24"/>
  <c r="R1245" i="24"/>
  <c r="T1244" i="24"/>
  <c r="B1244" i="24"/>
  <c r="D1243" i="24"/>
  <c r="F1242" i="24"/>
  <c r="H1241" i="24"/>
  <c r="L1240" i="24"/>
  <c r="N1239" i="24"/>
  <c r="P1238" i="24"/>
  <c r="R1237" i="24"/>
  <c r="T1236" i="24"/>
  <c r="B1236" i="24"/>
  <c r="D1235" i="24"/>
  <c r="F1234" i="24"/>
  <c r="H1233" i="24"/>
  <c r="L1232" i="24"/>
  <c r="N1231" i="24"/>
  <c r="P1230" i="24"/>
  <c r="R1229" i="24"/>
  <c r="T1228" i="24"/>
  <c r="B1228" i="24"/>
  <c r="D1227" i="24"/>
  <c r="F1226" i="24"/>
  <c r="H1225" i="24"/>
  <c r="L1224" i="24"/>
  <c r="N1223" i="24"/>
  <c r="P1222" i="24"/>
  <c r="R1221" i="24"/>
  <c r="T1220" i="24"/>
  <c r="B1220" i="24"/>
  <c r="D1219" i="24"/>
  <c r="F1218" i="24"/>
  <c r="H1217" i="24"/>
  <c r="L1216" i="24"/>
  <c r="N1215" i="24"/>
  <c r="P1214" i="24"/>
  <c r="R1213" i="24"/>
  <c r="T1212" i="24"/>
  <c r="B1212" i="24"/>
  <c r="D1211" i="24"/>
  <c r="F1210" i="24"/>
  <c r="H1209" i="24"/>
  <c r="L1208" i="24"/>
  <c r="N1207" i="24"/>
  <c r="P1206" i="24"/>
  <c r="R1205" i="24"/>
  <c r="T1204" i="24"/>
  <c r="B1204" i="24"/>
  <c r="D1203" i="24"/>
  <c r="F1202" i="24"/>
  <c r="H1201" i="24"/>
  <c r="L1200" i="24"/>
  <c r="N1199" i="24"/>
  <c r="P1198" i="24"/>
  <c r="R1197" i="24"/>
  <c r="T1196" i="24"/>
  <c r="B1196" i="24"/>
  <c r="D1195" i="24"/>
  <c r="F1194" i="24"/>
  <c r="H1193" i="24"/>
  <c r="L1192" i="24"/>
  <c r="N1191" i="24"/>
  <c r="P1190" i="24"/>
  <c r="R1189" i="24"/>
  <c r="T1188" i="24"/>
  <c r="B1188" i="24"/>
  <c r="D1187" i="24"/>
  <c r="F1186" i="24"/>
  <c r="H1185" i="24"/>
  <c r="L1184" i="24"/>
  <c r="N1183" i="24"/>
  <c r="P1182" i="24"/>
  <c r="R1181" i="24"/>
  <c r="T1180" i="24"/>
  <c r="B1180" i="24"/>
  <c r="D1179" i="24"/>
  <c r="F1178" i="24"/>
  <c r="H1177" i="24"/>
  <c r="L1176" i="24"/>
  <c r="N1175" i="24"/>
  <c r="P1174" i="24"/>
  <c r="R1173" i="24"/>
  <c r="T1172" i="24"/>
  <c r="B1172" i="24"/>
  <c r="D1171" i="24"/>
  <c r="F1170" i="24"/>
  <c r="H1169" i="24"/>
  <c r="L1168" i="24"/>
  <c r="N1167" i="24"/>
  <c r="P1166" i="24"/>
  <c r="R1165" i="24"/>
  <c r="T1164" i="24"/>
  <c r="B1164" i="24"/>
  <c r="D1163" i="24"/>
  <c r="F1162" i="24"/>
  <c r="H1161" i="24"/>
  <c r="L1160" i="24"/>
  <c r="N1159" i="24"/>
  <c r="P1158" i="24"/>
  <c r="R1157" i="24"/>
  <c r="T1156" i="24"/>
  <c r="B1156" i="24"/>
  <c r="D1155" i="24"/>
  <c r="F1154" i="24"/>
  <c r="H1153" i="24"/>
  <c r="L1152" i="24"/>
  <c r="N1151" i="24"/>
  <c r="P1150" i="24"/>
  <c r="R1149" i="24"/>
  <c r="T1148" i="24"/>
  <c r="B1148" i="24"/>
  <c r="D1147" i="24"/>
  <c r="F1146" i="24"/>
  <c r="H1145" i="24"/>
  <c r="L1144" i="24"/>
  <c r="N1143" i="24"/>
  <c r="P1142" i="24"/>
  <c r="R1141" i="24"/>
  <c r="T1140" i="24"/>
  <c r="B1140" i="24"/>
  <c r="D1139" i="24"/>
  <c r="F1138" i="24"/>
  <c r="H1137" i="24"/>
  <c r="L1136" i="24"/>
  <c r="N1135" i="24"/>
  <c r="P1134" i="24"/>
  <c r="R1133" i="24"/>
  <c r="T1132" i="24"/>
  <c r="B1132" i="24"/>
  <c r="D1131" i="24"/>
  <c r="F1130" i="24"/>
  <c r="H1129" i="24"/>
  <c r="L1128" i="24"/>
  <c r="N1127" i="24"/>
  <c r="P1126" i="24"/>
  <c r="R1125" i="24"/>
  <c r="T1124" i="24"/>
  <c r="B1124" i="24"/>
  <c r="D1123" i="24"/>
  <c r="F1122" i="24"/>
  <c r="H1121" i="24"/>
  <c r="L1120" i="24"/>
  <c r="N1119" i="24"/>
  <c r="P1118" i="24"/>
  <c r="R1117" i="24"/>
  <c r="T1116" i="24"/>
  <c r="B1116" i="24"/>
  <c r="D1115" i="24"/>
  <c r="F1114" i="24"/>
  <c r="H1113" i="24"/>
  <c r="L1112" i="24"/>
  <c r="N1111" i="24"/>
  <c r="P1110" i="24"/>
  <c r="R1109" i="24"/>
  <c r="T1108" i="24"/>
  <c r="B1108" i="24"/>
  <c r="D1107" i="24"/>
  <c r="F1106" i="24"/>
  <c r="H1105" i="24"/>
  <c r="L1104" i="24"/>
  <c r="N1103" i="24"/>
  <c r="P1102" i="24"/>
  <c r="R1101" i="24"/>
  <c r="T1100" i="24"/>
  <c r="B1100" i="24"/>
  <c r="D1099" i="24"/>
  <c r="F1098" i="24"/>
  <c r="H1097" i="24"/>
  <c r="L1096" i="24"/>
  <c r="N1095" i="24"/>
  <c r="P1094" i="24"/>
  <c r="R1093" i="24"/>
  <c r="T1092" i="24"/>
  <c r="B1092" i="24"/>
  <c r="D1091" i="24"/>
  <c r="F1090" i="24"/>
  <c r="H1089" i="24"/>
  <c r="L1088" i="24"/>
  <c r="N1087" i="24"/>
  <c r="P1086" i="24"/>
  <c r="R1085" i="24"/>
  <c r="T1084" i="24"/>
  <c r="B1084" i="24"/>
  <c r="D1083" i="24"/>
  <c r="F1082" i="24"/>
  <c r="H1081" i="24"/>
  <c r="L1080" i="24"/>
  <c r="N1079" i="24"/>
  <c r="P1078" i="24"/>
  <c r="R1077" i="24"/>
  <c r="T1076" i="24"/>
  <c r="B1076" i="24"/>
  <c r="D1075" i="24"/>
  <c r="F1074" i="24"/>
  <c r="H1073" i="24"/>
  <c r="L1072" i="24"/>
  <c r="N1071" i="24"/>
  <c r="P1070" i="24"/>
  <c r="R1069" i="24"/>
  <c r="T1068" i="24"/>
  <c r="B1068" i="24"/>
  <c r="D1067" i="24"/>
  <c r="F1066" i="24"/>
  <c r="H1065" i="24"/>
  <c r="L1064" i="24"/>
  <c r="N1063" i="24"/>
  <c r="P1062" i="24"/>
  <c r="R1061" i="24"/>
  <c r="T1060" i="24"/>
  <c r="B1060" i="24"/>
  <c r="N1059" i="24"/>
  <c r="H1059" i="24"/>
  <c r="D1059" i="24"/>
  <c r="T1058" i="24"/>
  <c r="P1058" i="24"/>
  <c r="L1058" i="24"/>
  <c r="F1058" i="24"/>
  <c r="B1058" i="24"/>
  <c r="R1057" i="24"/>
  <c r="N1057" i="24"/>
  <c r="H1057" i="24"/>
  <c r="D1057" i="24"/>
  <c r="T1056" i="24"/>
  <c r="P1056" i="24"/>
  <c r="L1056" i="24"/>
  <c r="F1056" i="24"/>
  <c r="B1056" i="24"/>
  <c r="R1055" i="24"/>
  <c r="N1055" i="24"/>
  <c r="H1055" i="24"/>
  <c r="D1055" i="24"/>
  <c r="T1054" i="24"/>
  <c r="P1054" i="24"/>
  <c r="L1054" i="24"/>
  <c r="F1054" i="24"/>
  <c r="B1054" i="24"/>
  <c r="R1053" i="24"/>
  <c r="N1053" i="24"/>
  <c r="H1053" i="24"/>
  <c r="D1053" i="24"/>
  <c r="T1052" i="24"/>
  <c r="P1052" i="24"/>
  <c r="L1052" i="24"/>
  <c r="F1052" i="24"/>
  <c r="B1052" i="24"/>
  <c r="R1051" i="24"/>
  <c r="N1051" i="24"/>
  <c r="H1051" i="24"/>
  <c r="D1051" i="24"/>
  <c r="T1050" i="24"/>
  <c r="P1050" i="24"/>
  <c r="L1050" i="24"/>
  <c r="F1050" i="24"/>
  <c r="B1050" i="24"/>
  <c r="R1049" i="24"/>
  <c r="N1049" i="24"/>
  <c r="H1049" i="24"/>
  <c r="D1049" i="24"/>
  <c r="T1048" i="24"/>
  <c r="P1048" i="24"/>
  <c r="L1048" i="24"/>
  <c r="F1048" i="24"/>
  <c r="B1048" i="24"/>
  <c r="R1047" i="24"/>
  <c r="N1047" i="24"/>
  <c r="H1047" i="24"/>
  <c r="D1047" i="24"/>
  <c r="T1046" i="24"/>
  <c r="P1046" i="24"/>
  <c r="L1046" i="24"/>
  <c r="F1046" i="24"/>
  <c r="B1046" i="24"/>
  <c r="R1045" i="24"/>
  <c r="N1045" i="24"/>
  <c r="H1045" i="24"/>
  <c r="D1045" i="24"/>
  <c r="T1044" i="24"/>
  <c r="P1044" i="24"/>
  <c r="L1044" i="24"/>
  <c r="F1044" i="24"/>
  <c r="B1044" i="24"/>
  <c r="R1043" i="24"/>
  <c r="N1043" i="24"/>
  <c r="H1043" i="24"/>
  <c r="D1043" i="24"/>
  <c r="T1042" i="24"/>
  <c r="P1042" i="24"/>
  <c r="L1042" i="24"/>
  <c r="F1042" i="24"/>
  <c r="B1042" i="24"/>
  <c r="R1041" i="24"/>
  <c r="N1041" i="24"/>
  <c r="H1041" i="24"/>
  <c r="D1041" i="24"/>
  <c r="T1040" i="24"/>
  <c r="P1040" i="24"/>
  <c r="L1040" i="24"/>
  <c r="F1040" i="24"/>
  <c r="B1040" i="24"/>
  <c r="R1039" i="24"/>
  <c r="N1039" i="24"/>
  <c r="H1039" i="24"/>
  <c r="D1039" i="24"/>
  <c r="T1038" i="24"/>
  <c r="P1038" i="24"/>
  <c r="L1038" i="24"/>
  <c r="F1038" i="24"/>
  <c r="B1038" i="24"/>
  <c r="R1037" i="24"/>
  <c r="N1037" i="24"/>
  <c r="H1037" i="24"/>
  <c r="D1037" i="24"/>
  <c r="T1036" i="24"/>
  <c r="P1036" i="24"/>
  <c r="L1036" i="24"/>
  <c r="F1036" i="24"/>
  <c r="B1036" i="24"/>
  <c r="R1035" i="24"/>
  <c r="N1035" i="24"/>
  <c r="H1035" i="24"/>
  <c r="D1035" i="24"/>
  <c r="T1034" i="24"/>
  <c r="P1034" i="24"/>
  <c r="L1034" i="24"/>
  <c r="F1034" i="24"/>
  <c r="B1034" i="24"/>
  <c r="R1033" i="24"/>
  <c r="N1033" i="24"/>
  <c r="H1033" i="24"/>
  <c r="D1033" i="24"/>
  <c r="T1032" i="24"/>
  <c r="P1032" i="24"/>
  <c r="L1032" i="24"/>
  <c r="F1032" i="24"/>
  <c r="B1032" i="24"/>
  <c r="R1031" i="24"/>
  <c r="N1031" i="24"/>
  <c r="H1031" i="24"/>
  <c r="D1031" i="24"/>
  <c r="T1030" i="24"/>
  <c r="P1030" i="24"/>
  <c r="L1030" i="24"/>
  <c r="F1030" i="24"/>
  <c r="B1030" i="24"/>
  <c r="R1029" i="24"/>
  <c r="N1029" i="24"/>
  <c r="H1029" i="24"/>
  <c r="D1029" i="24"/>
  <c r="T1028" i="24"/>
  <c r="P1028" i="24"/>
  <c r="L1028" i="24"/>
  <c r="F1028" i="24"/>
  <c r="B1028" i="24"/>
  <c r="R1027" i="24"/>
  <c r="N1027" i="24"/>
  <c r="H1027" i="24"/>
  <c r="D1027" i="24"/>
  <c r="T1026" i="24"/>
  <c r="P1026" i="24"/>
  <c r="L1026" i="24"/>
  <c r="F1026" i="24"/>
  <c r="B1026" i="24"/>
  <c r="R1025" i="24"/>
  <c r="N1025" i="24"/>
  <c r="H1025" i="24"/>
  <c r="D1025" i="24"/>
  <c r="T1024" i="24"/>
  <c r="P1024" i="24"/>
  <c r="L1024" i="24"/>
  <c r="F1024" i="24"/>
  <c r="B1024" i="24"/>
  <c r="R1023" i="24"/>
  <c r="N1023" i="24"/>
  <c r="H1023" i="24"/>
  <c r="D1023" i="24"/>
  <c r="T1022" i="24"/>
  <c r="P1022" i="24"/>
  <c r="L1022" i="24"/>
  <c r="F1022" i="24"/>
  <c r="B1022" i="24"/>
  <c r="R1021" i="24"/>
  <c r="N1021" i="24"/>
  <c r="H1021" i="24"/>
  <c r="D1021" i="24"/>
  <c r="T1020" i="24"/>
  <c r="P1020" i="24"/>
  <c r="L1020" i="24"/>
  <c r="F1020" i="24"/>
  <c r="B1020" i="24"/>
  <c r="R1019" i="24"/>
  <c r="N1019" i="24"/>
  <c r="H1019" i="24"/>
  <c r="D1019" i="24"/>
  <c r="T1018" i="24"/>
  <c r="P1018" i="24"/>
  <c r="L1018" i="24"/>
  <c r="F1018" i="24"/>
  <c r="B1018" i="24"/>
  <c r="R1017" i="24"/>
  <c r="N1017" i="24"/>
  <c r="H1017" i="24"/>
  <c r="D1017" i="24"/>
  <c r="T1016" i="24"/>
  <c r="P1016" i="24"/>
  <c r="L1016" i="24"/>
  <c r="F1016" i="24"/>
  <c r="B1016" i="24"/>
  <c r="R1015" i="24"/>
  <c r="N1015" i="24"/>
  <c r="H1015" i="24"/>
  <c r="D1015" i="24"/>
  <c r="T1014" i="24"/>
  <c r="P1014" i="24"/>
  <c r="L1014" i="24"/>
  <c r="F1014" i="24"/>
  <c r="B1014" i="24"/>
  <c r="R1013" i="24"/>
  <c r="N1013" i="24"/>
  <c r="H1013" i="24"/>
  <c r="D1013" i="24"/>
  <c r="T1012" i="24"/>
  <c r="P1012" i="24"/>
  <c r="L1012" i="24"/>
  <c r="F1012" i="24"/>
  <c r="B1012" i="24"/>
  <c r="R1011" i="24"/>
  <c r="N1011" i="24"/>
  <c r="H1011" i="24"/>
  <c r="D1011" i="24"/>
  <c r="T1010" i="24"/>
  <c r="P1010" i="24"/>
  <c r="L1010" i="24"/>
  <c r="F1010" i="24"/>
  <c r="B1010" i="24"/>
  <c r="R1009" i="24"/>
  <c r="N1009" i="24"/>
  <c r="H1009" i="24"/>
  <c r="D1009" i="24"/>
  <c r="T1008" i="24"/>
  <c r="P1008" i="24"/>
  <c r="L1008" i="24"/>
  <c r="F1008" i="24"/>
  <c r="B1008" i="24"/>
  <c r="R1007" i="24"/>
  <c r="N1007" i="24"/>
  <c r="H1007" i="24"/>
  <c r="D1007" i="24"/>
  <c r="T1006" i="24"/>
  <c r="P1006" i="24"/>
  <c r="L1006" i="24"/>
  <c r="F1006" i="24"/>
  <c r="B1006" i="24"/>
  <c r="R1005" i="24"/>
  <c r="N1005" i="24"/>
  <c r="H1005" i="24"/>
  <c r="D1005" i="24"/>
  <c r="T1004" i="24"/>
  <c r="P1004" i="24"/>
  <c r="L1004" i="24"/>
  <c r="F1004" i="24"/>
  <c r="B1004" i="24"/>
  <c r="R1003" i="24"/>
  <c r="N1003" i="24"/>
  <c r="H1003" i="24"/>
  <c r="D1003" i="24"/>
  <c r="T1002" i="24"/>
  <c r="P1002" i="24"/>
  <c r="L1002" i="24"/>
  <c r="F1002" i="24"/>
  <c r="B1002" i="24"/>
  <c r="R1001" i="24"/>
  <c r="N1001" i="24"/>
  <c r="H1001" i="24"/>
  <c r="D1001" i="24"/>
  <c r="T1000" i="24"/>
  <c r="P1000" i="24"/>
  <c r="L1000" i="24"/>
  <c r="F1000" i="24"/>
  <c r="B1000" i="24"/>
  <c r="R999" i="24"/>
  <c r="N999" i="24"/>
  <c r="H999" i="24"/>
  <c r="D999" i="24"/>
  <c r="T998" i="24"/>
  <c r="P998" i="24"/>
  <c r="L998" i="24"/>
  <c r="F998" i="24"/>
  <c r="B998" i="24"/>
  <c r="R997" i="24"/>
  <c r="N997" i="24"/>
  <c r="H997" i="24"/>
  <c r="D997" i="24"/>
  <c r="T996" i="24"/>
  <c r="P996" i="24"/>
  <c r="L996" i="24"/>
  <c r="F996" i="24"/>
  <c r="B996" i="24"/>
  <c r="R995" i="24"/>
  <c r="N995" i="24"/>
  <c r="H995" i="24"/>
  <c r="D995" i="24"/>
  <c r="T994" i="24"/>
  <c r="P994" i="24"/>
  <c r="L994" i="24"/>
  <c r="F994" i="24"/>
  <c r="B994" i="24"/>
  <c r="R993" i="24"/>
  <c r="N993" i="24"/>
  <c r="H993" i="24"/>
  <c r="D993" i="24"/>
  <c r="T992" i="24"/>
  <c r="P992" i="24"/>
  <c r="L992" i="24"/>
  <c r="F992" i="24"/>
  <c r="B992" i="24"/>
  <c r="R991" i="24"/>
  <c r="N991" i="24"/>
  <c r="H991" i="24"/>
  <c r="D991" i="24"/>
  <c r="T990" i="24"/>
  <c r="P990" i="24"/>
  <c r="L990" i="24"/>
  <c r="F990" i="24"/>
  <c r="B990" i="24"/>
  <c r="R989" i="24"/>
  <c r="N989" i="24"/>
  <c r="H989" i="24"/>
  <c r="D989" i="24"/>
  <c r="T988" i="24"/>
  <c r="P988" i="24"/>
  <c r="L988" i="24"/>
  <c r="F988" i="24"/>
  <c r="B988" i="24"/>
  <c r="R987" i="24"/>
  <c r="N987" i="24"/>
  <c r="H987" i="24"/>
  <c r="D987" i="24"/>
  <c r="T986" i="24"/>
  <c r="P986" i="24"/>
  <c r="L986" i="24"/>
  <c r="F986" i="24"/>
  <c r="B986" i="24"/>
  <c r="R985" i="24"/>
  <c r="N985" i="24"/>
  <c r="H985" i="24"/>
  <c r="D985" i="24"/>
  <c r="T984" i="24"/>
  <c r="P984" i="24"/>
  <c r="L984" i="24"/>
  <c r="F984" i="24"/>
  <c r="B984" i="24"/>
  <c r="R983" i="24"/>
  <c r="N983" i="24"/>
  <c r="H983" i="24"/>
  <c r="D983" i="24"/>
  <c r="T982" i="24"/>
  <c r="P982" i="24"/>
  <c r="L982" i="24"/>
  <c r="F982" i="24"/>
  <c r="B982" i="24"/>
  <c r="R981" i="24"/>
  <c r="N981" i="24"/>
  <c r="H981" i="24"/>
  <c r="D981" i="24"/>
  <c r="T980" i="24"/>
  <c r="P980" i="24"/>
  <c r="L980" i="24"/>
  <c r="F980" i="24"/>
  <c r="B980" i="24"/>
  <c r="R979" i="24"/>
  <c r="N979" i="24"/>
  <c r="H979" i="24"/>
  <c r="D979" i="24"/>
  <c r="T978" i="24"/>
  <c r="P978" i="24"/>
  <c r="L978" i="24"/>
  <c r="F978" i="24"/>
  <c r="B978" i="24"/>
  <c r="R977" i="24"/>
  <c r="N977" i="24"/>
  <c r="H977" i="24"/>
  <c r="D977" i="24"/>
  <c r="T976" i="24"/>
  <c r="P976" i="24"/>
  <c r="L976" i="24"/>
  <c r="F976" i="24"/>
  <c r="B976" i="24"/>
  <c r="R975" i="24"/>
  <c r="N975" i="24"/>
  <c r="H975" i="24"/>
  <c r="D975" i="24"/>
  <c r="T974" i="24"/>
  <c r="P974" i="24"/>
  <c r="L974" i="24"/>
  <c r="F974" i="24"/>
  <c r="B974" i="24"/>
  <c r="R973" i="24"/>
  <c r="N973" i="24"/>
  <c r="H973" i="24"/>
  <c r="D973" i="24"/>
  <c r="T972" i="24"/>
  <c r="P972" i="24"/>
  <c r="L972" i="24"/>
  <c r="F972" i="24"/>
  <c r="B972" i="24"/>
  <c r="R971" i="24"/>
  <c r="N971" i="24"/>
  <c r="H971" i="24"/>
  <c r="D971" i="24"/>
  <c r="T970" i="24"/>
  <c r="P970" i="24"/>
  <c r="L970" i="24"/>
  <c r="F970" i="24"/>
  <c r="B970" i="24"/>
  <c r="R969" i="24"/>
  <c r="N969" i="24"/>
  <c r="H969" i="24"/>
  <c r="D969" i="24"/>
  <c r="T968" i="24"/>
  <c r="P968" i="24"/>
  <c r="L968" i="24"/>
  <c r="F968" i="24"/>
  <c r="B968" i="24"/>
  <c r="R967" i="24"/>
  <c r="N967" i="24"/>
  <c r="H967" i="24"/>
  <c r="D967" i="24"/>
  <c r="T966" i="24"/>
  <c r="P966" i="24"/>
  <c r="L966" i="24"/>
  <c r="F966" i="24"/>
  <c r="B966" i="24"/>
  <c r="R965" i="24"/>
  <c r="N965" i="24"/>
  <c r="H965" i="24"/>
  <c r="D965" i="24"/>
  <c r="T964" i="24"/>
  <c r="P964" i="24"/>
  <c r="L964" i="24"/>
  <c r="F964" i="24"/>
  <c r="B964" i="24"/>
  <c r="R963" i="24"/>
  <c r="N963" i="24"/>
  <c r="H963" i="24"/>
  <c r="D963" i="24"/>
  <c r="T962" i="24"/>
  <c r="P962" i="24"/>
  <c r="L962" i="24"/>
  <c r="F962" i="24"/>
  <c r="B962" i="24"/>
  <c r="R961" i="24"/>
  <c r="N961" i="24"/>
  <c r="H961" i="24"/>
  <c r="D961" i="24"/>
  <c r="T960" i="24"/>
  <c r="P960" i="24"/>
  <c r="L960" i="24"/>
  <c r="F960" i="24"/>
  <c r="B960" i="24"/>
  <c r="R959" i="24"/>
  <c r="N959" i="24"/>
  <c r="H959" i="24"/>
  <c r="D959" i="24"/>
  <c r="T958" i="24"/>
  <c r="P958" i="24"/>
  <c r="L958" i="24"/>
  <c r="F958" i="24"/>
  <c r="B958" i="24"/>
  <c r="R957" i="24"/>
  <c r="N957" i="24"/>
  <c r="H957" i="24"/>
  <c r="D957" i="24"/>
  <c r="T956" i="24"/>
  <c r="P956" i="24"/>
  <c r="L956" i="24"/>
  <c r="F956" i="24"/>
  <c r="B956" i="24"/>
  <c r="R955" i="24"/>
  <c r="N955" i="24"/>
  <c r="H955" i="24"/>
  <c r="D955" i="24"/>
  <c r="T954" i="24"/>
  <c r="P954" i="24"/>
  <c r="L954" i="24"/>
  <c r="F954" i="24"/>
  <c r="B954" i="24"/>
  <c r="R953" i="24"/>
  <c r="N953" i="24"/>
  <c r="H953" i="24"/>
  <c r="D953" i="24"/>
  <c r="T952" i="24"/>
  <c r="P952" i="24"/>
  <c r="L952" i="24"/>
  <c r="F952" i="24"/>
  <c r="B952" i="24"/>
  <c r="R951" i="24"/>
  <c r="N951" i="24"/>
  <c r="H951" i="24"/>
  <c r="D951" i="24"/>
  <c r="T950" i="24"/>
  <c r="P950" i="24"/>
  <c r="L950" i="24"/>
  <c r="F950" i="24"/>
  <c r="B950" i="24"/>
  <c r="R949" i="24"/>
  <c r="N949" i="24"/>
  <c r="H949" i="24"/>
  <c r="D949" i="24"/>
  <c r="T948" i="24"/>
  <c r="P948" i="24"/>
  <c r="L948" i="24"/>
  <c r="F948" i="24"/>
  <c r="B948" i="24"/>
  <c r="R947" i="24"/>
  <c r="N947" i="24"/>
  <c r="H947" i="24"/>
  <c r="D947" i="24"/>
  <c r="T946" i="24"/>
  <c r="P946" i="24"/>
  <c r="L946" i="24"/>
  <c r="F946" i="24"/>
  <c r="B946" i="24"/>
  <c r="R945" i="24"/>
  <c r="N945" i="24"/>
  <c r="H945" i="24"/>
  <c r="D945" i="24"/>
  <c r="T944" i="24"/>
  <c r="P944" i="24"/>
  <c r="L944" i="24"/>
  <c r="F944" i="24"/>
  <c r="B944" i="24"/>
  <c r="R943" i="24"/>
  <c r="N943" i="24"/>
  <c r="H943" i="24"/>
  <c r="D943" i="24"/>
  <c r="T942" i="24"/>
  <c r="P942" i="24"/>
  <c r="L942" i="24"/>
  <c r="F942" i="24"/>
  <c r="B942" i="24"/>
  <c r="R941" i="24"/>
  <c r="N941" i="24"/>
  <c r="H941" i="24"/>
  <c r="D941" i="24"/>
  <c r="T940" i="24"/>
  <c r="P940" i="24"/>
  <c r="L940" i="24"/>
  <c r="F940" i="24"/>
  <c r="B940" i="24"/>
  <c r="R939" i="24"/>
  <c r="N939" i="24"/>
  <c r="H939" i="24"/>
  <c r="D939" i="24"/>
  <c r="T938" i="24"/>
  <c r="P938" i="24"/>
  <c r="L938" i="24"/>
  <c r="F938" i="24"/>
  <c r="B938" i="24"/>
  <c r="R937" i="24"/>
  <c r="N937" i="24"/>
  <c r="H937" i="24"/>
  <c r="D937" i="24"/>
  <c r="T936" i="24"/>
  <c r="P936" i="24"/>
  <c r="L936" i="24"/>
  <c r="F936" i="24"/>
  <c r="B936" i="24"/>
  <c r="R935" i="24"/>
  <c r="N935" i="24"/>
  <c r="H935" i="24"/>
  <c r="D935" i="24"/>
  <c r="T934" i="24"/>
  <c r="P934" i="24"/>
  <c r="L934" i="24"/>
  <c r="F934" i="24"/>
  <c r="B934" i="24"/>
  <c r="R933" i="24"/>
  <c r="N933" i="24"/>
  <c r="H933" i="24"/>
  <c r="D933" i="24"/>
  <c r="T932" i="24"/>
  <c r="P932" i="24"/>
  <c r="L932" i="24"/>
  <c r="F932" i="24"/>
  <c r="B932" i="24"/>
  <c r="R931" i="24"/>
  <c r="N931" i="24"/>
  <c r="H931" i="24"/>
  <c r="D931" i="24"/>
  <c r="T930" i="24"/>
  <c r="P930" i="24"/>
  <c r="L930" i="24"/>
  <c r="F930" i="24"/>
  <c r="B930" i="24"/>
  <c r="R929" i="24"/>
  <c r="N929" i="24"/>
  <c r="H929" i="24"/>
  <c r="D929" i="24"/>
  <c r="T928" i="24"/>
  <c r="P928" i="24"/>
  <c r="L928" i="24"/>
  <c r="F928" i="24"/>
  <c r="B928" i="24"/>
  <c r="R927" i="24"/>
  <c r="N927" i="24"/>
  <c r="H927" i="24"/>
  <c r="D927" i="24"/>
  <c r="T926" i="24"/>
  <c r="P926" i="24"/>
  <c r="L926" i="24"/>
  <c r="F926" i="24"/>
  <c r="B926" i="24"/>
  <c r="R925" i="24"/>
  <c r="N925" i="24"/>
  <c r="H925" i="24"/>
  <c r="D925" i="24"/>
  <c r="T924" i="24"/>
  <c r="P924" i="24"/>
  <c r="L924" i="24"/>
  <c r="F924" i="24"/>
  <c r="B924" i="24"/>
  <c r="R923" i="24"/>
  <c r="N923" i="24"/>
  <c r="H923" i="24"/>
  <c r="D923" i="24"/>
  <c r="T922" i="24"/>
  <c r="P922" i="24"/>
  <c r="L922" i="24"/>
  <c r="F922" i="24"/>
  <c r="B922" i="24"/>
  <c r="R921" i="24"/>
  <c r="N921" i="24"/>
  <c r="H921" i="24"/>
  <c r="D921" i="24"/>
  <c r="T920" i="24"/>
  <c r="P920" i="24"/>
  <c r="L920" i="24"/>
  <c r="F920" i="24"/>
  <c r="B920" i="24"/>
  <c r="R919" i="24"/>
  <c r="N919" i="24"/>
  <c r="H919" i="24"/>
  <c r="D919" i="24"/>
  <c r="T918" i="24"/>
  <c r="P918" i="24"/>
  <c r="L918" i="24"/>
  <c r="F918" i="24"/>
  <c r="B918" i="24"/>
  <c r="R917" i="24"/>
  <c r="N917" i="24"/>
  <c r="H917" i="24"/>
  <c r="D917" i="24"/>
  <c r="T916" i="24"/>
  <c r="P916" i="24"/>
  <c r="L916" i="24"/>
  <c r="F916" i="24"/>
  <c r="B916" i="24"/>
  <c r="R915" i="24"/>
  <c r="N915" i="24"/>
  <c r="H915" i="24"/>
  <c r="D915" i="24"/>
  <c r="T914" i="24"/>
  <c r="P914" i="24"/>
  <c r="L914" i="24"/>
  <c r="F914" i="24"/>
  <c r="B914" i="24"/>
  <c r="R913" i="24"/>
  <c r="N913" i="24"/>
  <c r="H913" i="24"/>
  <c r="D913" i="24"/>
  <c r="T912" i="24"/>
  <c r="P912" i="24"/>
  <c r="L912" i="24"/>
  <c r="F912" i="24"/>
  <c r="B912" i="24"/>
  <c r="R911" i="24"/>
  <c r="N911" i="24"/>
  <c r="H911" i="24"/>
  <c r="D911" i="24"/>
  <c r="T910" i="24"/>
  <c r="P910" i="24"/>
  <c r="L910" i="24"/>
  <c r="F910" i="24"/>
  <c r="B910" i="24"/>
  <c r="R909" i="24"/>
  <c r="N909" i="24"/>
  <c r="H909" i="24"/>
  <c r="D909" i="24"/>
  <c r="T908" i="24"/>
  <c r="P908" i="24"/>
  <c r="L908" i="24"/>
  <c r="F908" i="24"/>
  <c r="B908" i="24"/>
  <c r="R907" i="24"/>
  <c r="N907" i="24"/>
  <c r="H907" i="24"/>
  <c r="D907" i="24"/>
  <c r="T906" i="24"/>
  <c r="P906" i="24"/>
  <c r="L906" i="24"/>
  <c r="F906" i="24"/>
  <c r="B906" i="24"/>
  <c r="R905" i="24"/>
  <c r="N905" i="24"/>
  <c r="H905" i="24"/>
  <c r="D905" i="24"/>
  <c r="T904" i="24"/>
  <c r="P904" i="24"/>
  <c r="L904" i="24"/>
  <c r="F904" i="24"/>
  <c r="B904" i="24"/>
  <c r="R903" i="24"/>
  <c r="N903" i="24"/>
  <c r="H903" i="24"/>
  <c r="D903" i="24"/>
  <c r="T902" i="24"/>
  <c r="P902" i="24"/>
  <c r="L902" i="24"/>
  <c r="F902" i="24"/>
  <c r="B902" i="24"/>
  <c r="R901" i="24"/>
  <c r="N901" i="24"/>
  <c r="H901" i="24"/>
  <c r="D901" i="24"/>
  <c r="T900" i="24"/>
  <c r="P900" i="24"/>
  <c r="L900" i="24"/>
  <c r="F900" i="24"/>
  <c r="B900" i="24"/>
  <c r="R899" i="24"/>
  <c r="N899" i="24"/>
  <c r="H899" i="24"/>
  <c r="D899" i="24"/>
  <c r="T898" i="24"/>
  <c r="P898" i="24"/>
  <c r="L898" i="24"/>
  <c r="F898" i="24"/>
  <c r="B898" i="24"/>
  <c r="R897" i="24"/>
  <c r="N897" i="24"/>
  <c r="H897" i="24"/>
  <c r="D897" i="24"/>
  <c r="T896" i="24"/>
  <c r="P896" i="24"/>
  <c r="L896" i="24"/>
  <c r="F896" i="24"/>
  <c r="B896" i="24"/>
  <c r="R895" i="24"/>
  <c r="N895" i="24"/>
  <c r="H895" i="24"/>
  <c r="D895" i="24"/>
  <c r="T894" i="24"/>
  <c r="P894" i="24"/>
  <c r="L894" i="24"/>
  <c r="F894" i="24"/>
  <c r="B894" i="24"/>
  <c r="R893" i="24"/>
  <c r="N893" i="24"/>
  <c r="H893" i="24"/>
  <c r="D893" i="24"/>
  <c r="T892" i="24"/>
  <c r="P892" i="24"/>
  <c r="L892" i="24"/>
  <c r="F892" i="24"/>
  <c r="B892" i="24"/>
  <c r="R891" i="24"/>
  <c r="N891" i="24"/>
  <c r="H891" i="24"/>
  <c r="D891" i="24"/>
  <c r="T890" i="24"/>
  <c r="P890" i="24"/>
  <c r="L890" i="24"/>
  <c r="F890" i="24"/>
  <c r="B890" i="24"/>
  <c r="R889" i="24"/>
  <c r="N889" i="24"/>
  <c r="H889" i="24"/>
  <c r="D889" i="24"/>
  <c r="T888" i="24"/>
  <c r="P888" i="24"/>
  <c r="L888" i="24"/>
  <c r="F888" i="24"/>
  <c r="B888" i="24"/>
  <c r="R887" i="24"/>
  <c r="N887" i="24"/>
  <c r="H887" i="24"/>
  <c r="D887" i="24"/>
  <c r="T886" i="24"/>
  <c r="P886" i="24"/>
  <c r="L886" i="24"/>
  <c r="F886" i="24"/>
  <c r="B886" i="24"/>
  <c r="R885" i="24"/>
  <c r="N885" i="24"/>
  <c r="H885" i="24"/>
  <c r="D885" i="24"/>
  <c r="T884" i="24"/>
  <c r="P884" i="24"/>
  <c r="L884" i="24"/>
  <c r="F884" i="24"/>
  <c r="B884" i="24"/>
  <c r="R883" i="24"/>
  <c r="N883" i="24"/>
  <c r="H883" i="24"/>
  <c r="D883" i="24"/>
  <c r="T882" i="24"/>
  <c r="P882" i="24"/>
  <c r="L882" i="24"/>
  <c r="F882" i="24"/>
  <c r="B882" i="24"/>
  <c r="R881" i="24"/>
  <c r="N881" i="24"/>
  <c r="H881" i="24"/>
  <c r="D881" i="24"/>
  <c r="T880" i="24"/>
  <c r="P880" i="24"/>
  <c r="L880" i="24"/>
  <c r="F880" i="24"/>
  <c r="B880" i="24"/>
  <c r="R879" i="24"/>
  <c r="N879" i="24"/>
  <c r="H879" i="24"/>
  <c r="D879" i="24"/>
  <c r="T878" i="24"/>
  <c r="P878" i="24"/>
  <c r="L878" i="24"/>
  <c r="F878" i="24"/>
  <c r="B878" i="24"/>
  <c r="R877" i="24"/>
  <c r="N877" i="24"/>
  <c r="H877" i="24"/>
  <c r="D877" i="24"/>
  <c r="T876" i="24"/>
  <c r="P876" i="24"/>
  <c r="L876" i="24"/>
  <c r="F876" i="24"/>
  <c r="B876" i="24"/>
  <c r="R875" i="24"/>
  <c r="N875" i="24"/>
  <c r="H875" i="24"/>
  <c r="D875" i="24"/>
  <c r="T874" i="24"/>
  <c r="P874" i="24"/>
  <c r="L874" i="24"/>
  <c r="F874" i="24"/>
  <c r="B874" i="24"/>
  <c r="R873" i="24"/>
  <c r="N873" i="24"/>
  <c r="H873" i="24"/>
  <c r="D873" i="24"/>
  <c r="T872" i="24"/>
  <c r="P872" i="24"/>
  <c r="L872" i="24"/>
  <c r="F872" i="24"/>
  <c r="B872" i="24"/>
  <c r="R871" i="24"/>
  <c r="N871" i="24"/>
  <c r="H871" i="24"/>
  <c r="D871" i="24"/>
  <c r="T870" i="24"/>
  <c r="P870" i="24"/>
  <c r="L870" i="24"/>
  <c r="F870" i="24"/>
  <c r="B870" i="24"/>
  <c r="R869" i="24"/>
  <c r="N869" i="24"/>
  <c r="H869" i="24"/>
  <c r="D869" i="24"/>
  <c r="T868" i="24"/>
  <c r="P868" i="24"/>
  <c r="L868" i="24"/>
  <c r="F868" i="24"/>
  <c r="B868" i="24"/>
  <c r="R867" i="24"/>
  <c r="N867" i="24"/>
  <c r="H867" i="24"/>
  <c r="D867" i="24"/>
  <c r="T866" i="24"/>
  <c r="P866" i="24"/>
  <c r="L866" i="24"/>
  <c r="F866" i="24"/>
  <c r="B866" i="24"/>
  <c r="R865" i="24"/>
  <c r="N865" i="24"/>
  <c r="H865" i="24"/>
  <c r="D865" i="24"/>
  <c r="T864" i="24"/>
  <c r="P864" i="24"/>
  <c r="L864" i="24"/>
  <c r="F864" i="24"/>
  <c r="B864" i="24"/>
  <c r="R863" i="24"/>
  <c r="N863" i="24"/>
  <c r="H863" i="24"/>
  <c r="D863" i="24"/>
  <c r="T862" i="24"/>
  <c r="P862" i="24"/>
  <c r="L862" i="24"/>
  <c r="F862" i="24"/>
  <c r="B862" i="24"/>
  <c r="R861" i="24"/>
  <c r="N861" i="24"/>
  <c r="H861" i="24"/>
  <c r="D861" i="24"/>
  <c r="T860" i="24"/>
  <c r="P860" i="24"/>
  <c r="L860" i="24"/>
  <c r="F860" i="24"/>
  <c r="B860" i="24"/>
  <c r="R859" i="24"/>
  <c r="N859" i="24"/>
  <c r="H859" i="24"/>
  <c r="D859" i="24"/>
  <c r="T858" i="24"/>
  <c r="P858" i="24"/>
  <c r="L858" i="24"/>
  <c r="F858" i="24"/>
  <c r="B858" i="24"/>
  <c r="R857" i="24"/>
  <c r="N857" i="24"/>
  <c r="H857" i="24"/>
  <c r="D857" i="24"/>
  <c r="T856" i="24"/>
  <c r="P856" i="24"/>
  <c r="L856" i="24"/>
  <c r="F856" i="24"/>
  <c r="B856" i="24"/>
  <c r="R855" i="24"/>
  <c r="N855" i="24"/>
  <c r="H855" i="24"/>
  <c r="D855" i="24"/>
  <c r="T854" i="24"/>
  <c r="P854" i="24"/>
  <c r="L854" i="24"/>
  <c r="F854" i="24"/>
  <c r="B854" i="24"/>
  <c r="R853" i="24"/>
  <c r="N853" i="24"/>
  <c r="H853" i="24"/>
  <c r="D853" i="24"/>
  <c r="T852" i="24"/>
  <c r="P852" i="24"/>
  <c r="L852" i="24"/>
  <c r="F852" i="24"/>
  <c r="B852" i="24"/>
  <c r="R851" i="24"/>
  <c r="N851" i="24"/>
  <c r="H851" i="24"/>
  <c r="D851" i="24"/>
  <c r="T850" i="24"/>
  <c r="P850" i="24"/>
  <c r="L850" i="24"/>
  <c r="F850" i="24"/>
  <c r="B850" i="24"/>
  <c r="R849" i="24"/>
  <c r="N849" i="24"/>
  <c r="H849" i="24"/>
  <c r="D849" i="24"/>
  <c r="T848" i="24"/>
  <c r="P848" i="24"/>
  <c r="L848" i="24"/>
  <c r="F848" i="24"/>
  <c r="B848" i="24"/>
  <c r="R847" i="24"/>
  <c r="N847" i="24"/>
  <c r="H847" i="24"/>
  <c r="D847" i="24"/>
  <c r="T846" i="24"/>
  <c r="P846" i="24"/>
  <c r="L846" i="24"/>
  <c r="F846" i="24"/>
  <c r="B846" i="24"/>
  <c r="R845" i="24"/>
  <c r="N845" i="24"/>
  <c r="H845" i="24"/>
  <c r="D845" i="24"/>
  <c r="T844" i="24"/>
  <c r="P844" i="24"/>
  <c r="L844" i="24"/>
  <c r="F844" i="24"/>
  <c r="B844" i="24"/>
  <c r="R843" i="24"/>
  <c r="N843" i="24"/>
  <c r="H843" i="24"/>
  <c r="D843" i="24"/>
  <c r="T842" i="24"/>
  <c r="P842" i="24"/>
  <c r="L842" i="24"/>
  <c r="F842" i="24"/>
  <c r="B842" i="24"/>
  <c r="R841" i="24"/>
  <c r="N841" i="24"/>
  <c r="H841" i="24"/>
  <c r="D841" i="24"/>
  <c r="T840" i="24"/>
  <c r="P840" i="24"/>
  <c r="L840" i="24"/>
  <c r="F840" i="24"/>
  <c r="B840" i="24"/>
  <c r="R839" i="24"/>
  <c r="N839" i="24"/>
  <c r="H839" i="24"/>
  <c r="D839" i="24"/>
  <c r="T838" i="24"/>
  <c r="P838" i="24"/>
  <c r="L838" i="24"/>
  <c r="F838" i="24"/>
  <c r="B838" i="24"/>
  <c r="R837" i="24"/>
  <c r="N837" i="24"/>
  <c r="H837" i="24"/>
  <c r="D837" i="24"/>
  <c r="T836" i="24"/>
  <c r="P836" i="24"/>
  <c r="L836" i="24"/>
  <c r="F836" i="24"/>
  <c r="B836" i="24"/>
  <c r="R835" i="24"/>
  <c r="N835" i="24"/>
  <c r="H835" i="24"/>
  <c r="D835" i="24"/>
  <c r="T834" i="24"/>
  <c r="P834" i="24"/>
  <c r="L834" i="24"/>
  <c r="F834" i="24"/>
  <c r="B834" i="24"/>
  <c r="R833" i="24"/>
  <c r="N833" i="24"/>
  <c r="H833" i="24"/>
  <c r="D833" i="24"/>
  <c r="T832" i="24"/>
  <c r="P832" i="24"/>
  <c r="L832" i="24"/>
  <c r="F832" i="24"/>
  <c r="B832" i="24"/>
  <c r="R831" i="24"/>
  <c r="N831" i="24"/>
  <c r="H831" i="24"/>
  <c r="D831" i="24"/>
  <c r="T830" i="24"/>
  <c r="P830" i="24"/>
  <c r="L830" i="24"/>
  <c r="F830" i="24"/>
  <c r="B830" i="24"/>
  <c r="R829" i="24"/>
  <c r="N829" i="24"/>
  <c r="H829" i="24"/>
  <c r="D829" i="24"/>
  <c r="T828" i="24"/>
  <c r="P828" i="24"/>
  <c r="L828" i="24"/>
  <c r="F828" i="24"/>
  <c r="B828" i="24"/>
  <c r="R827" i="24"/>
  <c r="N827" i="24"/>
  <c r="H827" i="24"/>
  <c r="D827" i="24"/>
  <c r="T826" i="24"/>
  <c r="P826" i="24"/>
  <c r="L826" i="24"/>
  <c r="F826" i="24"/>
  <c r="B826" i="24"/>
  <c r="R825" i="24"/>
  <c r="N825" i="24"/>
  <c r="H825" i="24"/>
  <c r="D825" i="24"/>
  <c r="T824" i="24"/>
  <c r="P824" i="24"/>
  <c r="L824" i="24"/>
  <c r="F824" i="24"/>
  <c r="B824" i="24"/>
  <c r="R823" i="24"/>
  <c r="N823" i="24"/>
  <c r="H823" i="24"/>
  <c r="D823" i="24"/>
  <c r="T822" i="24"/>
  <c r="P822" i="24"/>
  <c r="L822" i="24"/>
  <c r="F822" i="24"/>
  <c r="B822" i="24"/>
  <c r="R821" i="24"/>
  <c r="N821" i="24"/>
  <c r="H821" i="24"/>
  <c r="D821" i="24"/>
  <c r="T820" i="24"/>
  <c r="P820" i="24"/>
  <c r="L820" i="24"/>
  <c r="F820" i="24"/>
  <c r="B820" i="24"/>
  <c r="R819" i="24"/>
  <c r="N819" i="24"/>
  <c r="H819" i="24"/>
  <c r="D819" i="24"/>
  <c r="T818" i="24"/>
  <c r="P818" i="24"/>
  <c r="L818" i="24"/>
  <c r="F818" i="24"/>
  <c r="B818" i="24"/>
  <c r="R817" i="24"/>
  <c r="N817" i="24"/>
  <c r="H817" i="24"/>
  <c r="D817" i="24"/>
  <c r="T816" i="24"/>
  <c r="P816" i="24"/>
  <c r="L816" i="24"/>
  <c r="F816" i="24"/>
  <c r="B816" i="24"/>
  <c r="R815" i="24"/>
  <c r="N815" i="24"/>
  <c r="H815" i="24"/>
  <c r="D815" i="24"/>
  <c r="T814" i="24"/>
  <c r="P814" i="24"/>
  <c r="L814" i="24"/>
  <c r="F814" i="24"/>
  <c r="B814" i="24"/>
  <c r="R813" i="24"/>
  <c r="N813" i="24"/>
  <c r="H813" i="24"/>
  <c r="D813" i="24"/>
  <c r="T812" i="24"/>
  <c r="P812" i="24"/>
  <c r="L812" i="24"/>
  <c r="F812" i="24"/>
  <c r="B812" i="24"/>
  <c r="R811" i="24"/>
  <c r="N811" i="24"/>
  <c r="H811" i="24"/>
  <c r="D811" i="24"/>
  <c r="T810" i="24"/>
  <c r="P810" i="24"/>
  <c r="L810" i="24"/>
  <c r="F810" i="24"/>
  <c r="B810" i="24"/>
  <c r="R809" i="24"/>
  <c r="N809" i="24"/>
  <c r="H809" i="24"/>
  <c r="D809" i="24"/>
  <c r="T808" i="24"/>
  <c r="P808" i="24"/>
  <c r="L808" i="24"/>
  <c r="F808" i="24"/>
  <c r="B808" i="24"/>
  <c r="R807" i="24"/>
  <c r="N807" i="24"/>
  <c r="H807" i="24"/>
  <c r="D807" i="24"/>
  <c r="T806" i="24"/>
  <c r="P806" i="24"/>
  <c r="L806" i="24"/>
  <c r="F806" i="24"/>
  <c r="B806" i="24"/>
  <c r="R805" i="24"/>
  <c r="N805" i="24"/>
  <c r="H805" i="24"/>
  <c r="D805" i="24"/>
  <c r="T804" i="24"/>
  <c r="P804" i="24"/>
  <c r="L804" i="24"/>
  <c r="F804" i="24"/>
  <c r="B804" i="24"/>
  <c r="R803" i="24"/>
  <c r="N803" i="24"/>
  <c r="H803" i="24"/>
  <c r="D803" i="24"/>
  <c r="T802" i="24"/>
  <c r="P802" i="24"/>
  <c r="L802" i="24"/>
  <c r="F802" i="24"/>
  <c r="B802" i="24"/>
  <c r="R801" i="24"/>
  <c r="N801" i="24"/>
  <c r="H801" i="24"/>
  <c r="D801" i="24"/>
  <c r="T800" i="24"/>
  <c r="P800" i="24"/>
  <c r="L800" i="24"/>
  <c r="F800" i="24"/>
  <c r="B800" i="24"/>
  <c r="R799" i="24"/>
  <c r="N799" i="24"/>
  <c r="H799" i="24"/>
  <c r="D799" i="24"/>
  <c r="T798" i="24"/>
  <c r="P798" i="24"/>
  <c r="L798" i="24"/>
  <c r="F798" i="24"/>
  <c r="B798" i="24"/>
  <c r="R797" i="24"/>
  <c r="N797" i="24"/>
  <c r="H797" i="24"/>
  <c r="D797" i="24"/>
  <c r="T796" i="24"/>
  <c r="P796" i="24"/>
  <c r="L796" i="24"/>
  <c r="F796" i="24"/>
  <c r="B796" i="24"/>
  <c r="R795" i="24"/>
  <c r="N795" i="24"/>
  <c r="H795" i="24"/>
  <c r="D795" i="24"/>
  <c r="T794" i="24"/>
  <c r="P794" i="24"/>
  <c r="L794" i="24"/>
  <c r="F794" i="24"/>
  <c r="B794" i="24"/>
  <c r="R793" i="24"/>
  <c r="N793" i="24"/>
  <c r="H793" i="24"/>
  <c r="D793" i="24"/>
  <c r="T792" i="24"/>
  <c r="P792" i="24"/>
  <c r="L792" i="24"/>
  <c r="F792" i="24"/>
  <c r="B792" i="24"/>
  <c r="R791" i="24"/>
  <c r="N791" i="24"/>
  <c r="H791" i="24"/>
  <c r="D791" i="24"/>
  <c r="T790" i="24"/>
  <c r="P790" i="24"/>
  <c r="L790" i="24"/>
  <c r="F790" i="24"/>
  <c r="B790" i="24"/>
  <c r="R789" i="24"/>
  <c r="N789" i="24"/>
  <c r="H789" i="24"/>
  <c r="D789" i="24"/>
  <c r="T788" i="24"/>
  <c r="P788" i="24"/>
  <c r="L788" i="24"/>
  <c r="F788" i="24"/>
  <c r="B788" i="24"/>
  <c r="R787" i="24"/>
  <c r="N787" i="24"/>
  <c r="H787" i="24"/>
  <c r="D787" i="24"/>
  <c r="T786" i="24"/>
  <c r="P786" i="24"/>
  <c r="L786" i="24"/>
  <c r="F786" i="24"/>
  <c r="B786" i="24"/>
  <c r="R785" i="24"/>
  <c r="N785" i="24"/>
  <c r="H785" i="24"/>
  <c r="D785" i="24"/>
  <c r="T784" i="24"/>
  <c r="P784" i="24"/>
  <c r="L784" i="24"/>
  <c r="F784" i="24"/>
  <c r="B784" i="24"/>
  <c r="R783" i="24"/>
  <c r="N783" i="24"/>
  <c r="H783" i="24"/>
  <c r="D783" i="24"/>
  <c r="T782" i="24"/>
  <c r="P782" i="24"/>
  <c r="L782" i="24"/>
  <c r="F782" i="24"/>
  <c r="B782" i="24"/>
  <c r="R781" i="24"/>
  <c r="N781" i="24"/>
  <c r="H781" i="24"/>
  <c r="D781" i="24"/>
  <c r="T780" i="24"/>
  <c r="P780" i="24"/>
  <c r="L780" i="24"/>
  <c r="F780" i="24"/>
  <c r="B780" i="24"/>
  <c r="R779" i="24"/>
  <c r="N779" i="24"/>
  <c r="H779" i="24"/>
  <c r="D779" i="24"/>
  <c r="T778" i="24"/>
  <c r="P778" i="24"/>
  <c r="L778" i="24"/>
  <c r="F778" i="24"/>
  <c r="B778" i="24"/>
  <c r="R777" i="24"/>
  <c r="N777" i="24"/>
  <c r="H777" i="24"/>
  <c r="D777" i="24"/>
  <c r="T776" i="24"/>
  <c r="P776" i="24"/>
  <c r="L776" i="24"/>
  <c r="F776" i="24"/>
  <c r="B776" i="24"/>
  <c r="R775" i="24"/>
  <c r="N775" i="24"/>
  <c r="H775" i="24"/>
  <c r="D775" i="24"/>
  <c r="T774" i="24"/>
  <c r="P774" i="24"/>
  <c r="L774" i="24"/>
  <c r="F774" i="24"/>
  <c r="B774" i="24"/>
  <c r="R773" i="24"/>
  <c r="N773" i="24"/>
  <c r="H773" i="24"/>
  <c r="D773" i="24"/>
  <c r="T772" i="24"/>
  <c r="P772" i="24"/>
  <c r="L772" i="24"/>
  <c r="F772" i="24"/>
  <c r="B772" i="24"/>
  <c r="R771" i="24"/>
  <c r="N771" i="24"/>
  <c r="H771" i="24"/>
  <c r="D771" i="24"/>
  <c r="T770" i="24"/>
  <c r="P770" i="24"/>
  <c r="L770" i="24"/>
  <c r="F770" i="24"/>
  <c r="B770" i="24"/>
  <c r="R769" i="24"/>
  <c r="N769" i="24"/>
  <c r="H769" i="24"/>
  <c r="D769" i="24"/>
  <c r="T768" i="24"/>
  <c r="P768" i="24"/>
  <c r="L768" i="24"/>
  <c r="F768" i="24"/>
  <c r="B768" i="24"/>
  <c r="R767" i="24"/>
  <c r="N767" i="24"/>
  <c r="H767" i="24"/>
  <c r="D767" i="24"/>
  <c r="T766" i="24"/>
  <c r="P766" i="24"/>
  <c r="L766" i="24"/>
  <c r="F766" i="24"/>
  <c r="B766" i="24"/>
  <c r="R765" i="24"/>
  <c r="N765" i="24"/>
  <c r="H765" i="24"/>
  <c r="D765" i="24"/>
  <c r="T764" i="24"/>
  <c r="P764" i="24"/>
  <c r="L764" i="24"/>
  <c r="F764" i="24"/>
  <c r="B764" i="24"/>
  <c r="R763" i="24"/>
  <c r="N763" i="24"/>
  <c r="H763" i="24"/>
  <c r="D763" i="24"/>
  <c r="T762" i="24"/>
  <c r="P762" i="24"/>
  <c r="L762" i="24"/>
  <c r="F762" i="24"/>
  <c r="B762" i="24"/>
  <c r="R761" i="24"/>
  <c r="N761" i="24"/>
  <c r="H761" i="24"/>
  <c r="D761" i="24"/>
  <c r="T760" i="24"/>
  <c r="P760" i="24"/>
  <c r="L760" i="24"/>
  <c r="F760" i="24"/>
  <c r="B760" i="24"/>
  <c r="R759" i="24"/>
  <c r="N759" i="24"/>
  <c r="H759" i="24"/>
  <c r="D759" i="24"/>
  <c r="T758" i="24"/>
  <c r="P758" i="24"/>
  <c r="L758" i="24"/>
  <c r="F758" i="24"/>
  <c r="B758" i="24"/>
  <c r="R757" i="24"/>
  <c r="N757" i="24"/>
  <c r="H757" i="24"/>
  <c r="D757" i="24"/>
  <c r="T756" i="24"/>
  <c r="P756" i="24"/>
  <c r="L756" i="24"/>
  <c r="F756" i="24"/>
  <c r="B756" i="24"/>
  <c r="R755" i="24"/>
  <c r="N755" i="24"/>
  <c r="H755" i="24"/>
  <c r="D755" i="24"/>
  <c r="T754" i="24"/>
  <c r="P754" i="24"/>
  <c r="L754" i="24"/>
  <c r="F754" i="24"/>
  <c r="B754" i="24"/>
  <c r="R753" i="24"/>
  <c r="N753" i="24"/>
  <c r="H753" i="24"/>
  <c r="D753" i="24"/>
  <c r="T752" i="24"/>
  <c r="P752" i="24"/>
  <c r="L752" i="24"/>
  <c r="F752" i="24"/>
  <c r="B752" i="24"/>
  <c r="R751" i="24"/>
  <c r="N751" i="24"/>
  <c r="H751" i="24"/>
  <c r="D751" i="24"/>
  <c r="T750" i="24"/>
  <c r="P750" i="24"/>
  <c r="L750" i="24"/>
  <c r="F750" i="24"/>
  <c r="B750" i="24"/>
  <c r="R749" i="24"/>
  <c r="N749" i="24"/>
  <c r="H749" i="24"/>
  <c r="D749" i="24"/>
  <c r="T748" i="24"/>
  <c r="P748" i="24"/>
  <c r="L748" i="24"/>
  <c r="F748" i="24"/>
  <c r="B748" i="24"/>
  <c r="R747" i="24"/>
  <c r="N747" i="24"/>
  <c r="H747" i="24"/>
  <c r="D747" i="24"/>
  <c r="T746" i="24"/>
  <c r="P746" i="24"/>
  <c r="L746" i="24"/>
  <c r="F746" i="24"/>
  <c r="B746" i="24"/>
  <c r="R745" i="24"/>
  <c r="N745" i="24"/>
  <c r="H745" i="24"/>
  <c r="D745" i="24"/>
  <c r="T744" i="24"/>
  <c r="P744" i="24"/>
  <c r="L744" i="24"/>
  <c r="F744" i="24"/>
  <c r="B744" i="24"/>
  <c r="R743" i="24"/>
  <c r="N743" i="24"/>
  <c r="H743" i="24"/>
  <c r="D743" i="24"/>
  <c r="T742" i="24"/>
  <c r="P742" i="24"/>
  <c r="L742" i="24"/>
  <c r="F742" i="24"/>
  <c r="B742" i="24"/>
  <c r="R741" i="24"/>
  <c r="N741" i="24"/>
  <c r="H741" i="24"/>
  <c r="D741" i="24"/>
  <c r="T740" i="24"/>
  <c r="P740" i="24"/>
  <c r="L740" i="24"/>
  <c r="F740" i="24"/>
  <c r="B740" i="24"/>
  <c r="R739" i="24"/>
  <c r="N739" i="24"/>
  <c r="H739" i="24"/>
  <c r="D739" i="24"/>
  <c r="T738" i="24"/>
  <c r="P738" i="24"/>
  <c r="L738" i="24"/>
  <c r="F738" i="24"/>
  <c r="B738" i="24"/>
  <c r="R737" i="24"/>
  <c r="N737" i="24"/>
  <c r="H737" i="24"/>
  <c r="D737" i="24"/>
  <c r="T736" i="24"/>
  <c r="P736" i="24"/>
  <c r="L736" i="24"/>
  <c r="F736" i="24"/>
  <c r="B736" i="24"/>
  <c r="R735" i="24"/>
  <c r="N735" i="24"/>
  <c r="H735" i="24"/>
  <c r="D735" i="24"/>
  <c r="T734" i="24"/>
  <c r="P734" i="24"/>
  <c r="L734" i="24"/>
  <c r="F734" i="24"/>
  <c r="B734" i="24"/>
  <c r="R733" i="24"/>
  <c r="N733" i="24"/>
  <c r="H733" i="24"/>
  <c r="D733" i="24"/>
  <c r="T732" i="24"/>
  <c r="P732" i="24"/>
  <c r="L732" i="24"/>
  <c r="F732" i="24"/>
  <c r="B732" i="24"/>
  <c r="R731" i="24"/>
  <c r="N731" i="24"/>
  <c r="H731" i="24"/>
  <c r="D731" i="24"/>
  <c r="T730" i="24"/>
  <c r="P730" i="24"/>
  <c r="L730" i="24"/>
  <c r="F730" i="24"/>
  <c r="B730" i="24"/>
  <c r="R729" i="24"/>
  <c r="N729" i="24"/>
  <c r="H729" i="24"/>
  <c r="D729" i="24"/>
  <c r="T728" i="24"/>
  <c r="P728" i="24"/>
  <c r="L728" i="24"/>
  <c r="F728" i="24"/>
  <c r="B728" i="24"/>
  <c r="R727" i="24"/>
  <c r="N727" i="24"/>
  <c r="H727" i="24"/>
  <c r="D727" i="24"/>
  <c r="T726" i="24"/>
  <c r="P726" i="24"/>
  <c r="L726" i="24"/>
  <c r="F726" i="24"/>
  <c r="B726" i="24"/>
  <c r="R725" i="24"/>
  <c r="N725" i="24"/>
  <c r="H725" i="24"/>
  <c r="D725" i="24"/>
  <c r="T724" i="24"/>
  <c r="P724" i="24"/>
  <c r="L724" i="24"/>
  <c r="F724" i="24"/>
  <c r="B724" i="24"/>
  <c r="R723" i="24"/>
  <c r="N723" i="24"/>
  <c r="H723" i="24"/>
  <c r="D723" i="24"/>
  <c r="T722" i="24"/>
  <c r="P722" i="24"/>
  <c r="L722" i="24"/>
  <c r="F722" i="24"/>
  <c r="B722" i="24"/>
  <c r="R721" i="24"/>
  <c r="N721" i="24"/>
  <c r="H721" i="24"/>
  <c r="D721" i="24"/>
  <c r="T720" i="24"/>
  <c r="P720" i="24"/>
  <c r="L720" i="24"/>
  <c r="F720" i="24"/>
  <c r="B720" i="24"/>
  <c r="R719" i="24"/>
  <c r="N719" i="24"/>
  <c r="H719" i="24"/>
  <c r="D719" i="24"/>
  <c r="T718" i="24"/>
  <c r="P718" i="24"/>
  <c r="L718" i="24"/>
  <c r="F718" i="24"/>
  <c r="B718" i="24"/>
  <c r="R717" i="24"/>
  <c r="N717" i="24"/>
  <c r="H717" i="24"/>
  <c r="D717" i="24"/>
  <c r="T716" i="24"/>
  <c r="P716" i="24"/>
  <c r="L716" i="24"/>
  <c r="F716" i="24"/>
  <c r="B716" i="24"/>
  <c r="R715" i="24"/>
  <c r="N715" i="24"/>
  <c r="H715" i="24"/>
  <c r="D715" i="24"/>
  <c r="T714" i="24"/>
  <c r="P714" i="24"/>
  <c r="L714" i="24"/>
  <c r="F714" i="24"/>
  <c r="B714" i="24"/>
  <c r="R713" i="24"/>
  <c r="N713" i="24"/>
  <c r="H713" i="24"/>
  <c r="D713" i="24"/>
  <c r="T712" i="24"/>
  <c r="P712" i="24"/>
  <c r="L712" i="24"/>
  <c r="F712" i="24"/>
  <c r="B712" i="24"/>
  <c r="R711" i="24"/>
  <c r="N711" i="24"/>
  <c r="H711" i="24"/>
  <c r="D711" i="24"/>
  <c r="T710" i="24"/>
  <c r="P710" i="24"/>
  <c r="L710" i="24"/>
  <c r="F710" i="24"/>
  <c r="B710" i="24"/>
  <c r="R709" i="24"/>
  <c r="N709" i="24"/>
  <c r="H709" i="24"/>
  <c r="D709" i="24"/>
  <c r="T708" i="24"/>
  <c r="P708" i="24"/>
  <c r="L708" i="24"/>
  <c r="F708" i="24"/>
  <c r="B708" i="24"/>
  <c r="R707" i="24"/>
  <c r="N707" i="24"/>
  <c r="H707" i="24"/>
  <c r="D707" i="24"/>
  <c r="T706" i="24"/>
  <c r="P706" i="24"/>
  <c r="L706" i="24"/>
  <c r="F706" i="24"/>
  <c r="B706" i="24"/>
  <c r="R705" i="24"/>
  <c r="N705" i="24"/>
  <c r="H705" i="24"/>
  <c r="D705" i="24"/>
  <c r="T704" i="24"/>
  <c r="P704" i="24"/>
  <c r="L704" i="24"/>
  <c r="F704" i="24"/>
  <c r="B704" i="24"/>
  <c r="R703" i="24"/>
  <c r="N703" i="24"/>
  <c r="H703" i="24"/>
  <c r="D703" i="24"/>
  <c r="T702" i="24"/>
  <c r="P702" i="24"/>
  <c r="L702" i="24"/>
  <c r="F702" i="24"/>
  <c r="B702" i="24"/>
  <c r="R701" i="24"/>
  <c r="N701" i="24"/>
  <c r="H701" i="24"/>
  <c r="D701" i="24"/>
  <c r="T700" i="24"/>
  <c r="P700" i="24"/>
  <c r="L700" i="24"/>
  <c r="F700" i="24"/>
  <c r="B700" i="24"/>
  <c r="R699" i="24"/>
  <c r="N699" i="24"/>
  <c r="H699" i="24"/>
  <c r="D699" i="24"/>
  <c r="T698" i="24"/>
  <c r="P698" i="24"/>
  <c r="L698" i="24"/>
  <c r="F698" i="24"/>
  <c r="B698" i="24"/>
  <c r="R697" i="24"/>
  <c r="N697" i="24"/>
  <c r="H697" i="24"/>
  <c r="D697" i="24"/>
  <c r="T696" i="24"/>
  <c r="P696" i="24"/>
  <c r="L696" i="24"/>
  <c r="F696" i="24"/>
  <c r="B696" i="24"/>
  <c r="R695" i="24"/>
  <c r="N695" i="24"/>
  <c r="H695" i="24"/>
  <c r="D695" i="24"/>
  <c r="T694" i="24"/>
  <c r="P694" i="24"/>
  <c r="L694" i="24"/>
  <c r="F694" i="24"/>
  <c r="B694" i="24"/>
  <c r="R693" i="24"/>
  <c r="N693" i="24"/>
  <c r="H693" i="24"/>
  <c r="D693" i="24"/>
  <c r="T692" i="24"/>
  <c r="P692" i="24"/>
  <c r="L692" i="24"/>
  <c r="F692" i="24"/>
  <c r="B692" i="24"/>
  <c r="R691" i="24"/>
  <c r="N691" i="24"/>
  <c r="H691" i="24"/>
  <c r="D691" i="24"/>
  <c r="T690" i="24"/>
  <c r="P690" i="24"/>
  <c r="L690" i="24"/>
  <c r="F690" i="24"/>
  <c r="B690" i="24"/>
  <c r="R689" i="24"/>
  <c r="N689" i="24"/>
  <c r="H689" i="24"/>
  <c r="D689" i="24"/>
  <c r="T688" i="24"/>
  <c r="P688" i="24"/>
  <c r="L688" i="24"/>
  <c r="F688" i="24"/>
  <c r="B688" i="24"/>
  <c r="R687" i="24"/>
  <c r="N687" i="24"/>
  <c r="H687" i="24"/>
  <c r="D687" i="24"/>
  <c r="T686" i="24"/>
  <c r="P686" i="24"/>
  <c r="L686" i="24"/>
  <c r="F686" i="24"/>
  <c r="B686" i="24"/>
  <c r="R685" i="24"/>
  <c r="N685" i="24"/>
  <c r="H685" i="24"/>
  <c r="D685" i="24"/>
  <c r="T684" i="24"/>
  <c r="P684" i="24"/>
  <c r="L684" i="24"/>
  <c r="F684" i="24"/>
  <c r="B684" i="24"/>
  <c r="R683" i="24"/>
  <c r="N683" i="24"/>
  <c r="H683" i="24"/>
  <c r="D683" i="24"/>
  <c r="T682" i="24"/>
  <c r="P682" i="24"/>
  <c r="L682" i="24"/>
  <c r="F682" i="24"/>
  <c r="B682" i="24"/>
  <c r="R681" i="24"/>
  <c r="N681" i="24"/>
  <c r="H681" i="24"/>
  <c r="D681" i="24"/>
  <c r="T680" i="24"/>
  <c r="P680" i="24"/>
  <c r="L680" i="24"/>
  <c r="F680" i="24"/>
  <c r="B680" i="24"/>
  <c r="R679" i="24"/>
  <c r="N679" i="24"/>
  <c r="H679" i="24"/>
  <c r="D679" i="24"/>
  <c r="T678" i="24"/>
  <c r="P678" i="24"/>
  <c r="L678" i="24"/>
  <c r="F678" i="24"/>
  <c r="B678" i="24"/>
  <c r="R677" i="24"/>
  <c r="N677" i="24"/>
  <c r="H677" i="24"/>
  <c r="D677" i="24"/>
  <c r="T676" i="24"/>
  <c r="P676" i="24"/>
  <c r="L676" i="24"/>
  <c r="F676" i="24"/>
  <c r="B676" i="24"/>
  <c r="R675" i="24"/>
  <c r="N675" i="24"/>
  <c r="H675" i="24"/>
  <c r="D675" i="24"/>
  <c r="T674" i="24"/>
  <c r="P674" i="24"/>
  <c r="L674" i="24"/>
  <c r="F674" i="24"/>
  <c r="B674" i="24"/>
  <c r="R673" i="24"/>
  <c r="N673" i="24"/>
  <c r="H673" i="24"/>
  <c r="D673" i="24"/>
  <c r="T672" i="24"/>
  <c r="P672" i="24"/>
  <c r="L672" i="24"/>
  <c r="F672" i="24"/>
  <c r="B672" i="24"/>
  <c r="R671" i="24"/>
  <c r="N671" i="24"/>
  <c r="H671" i="24"/>
  <c r="D671" i="24"/>
  <c r="T670" i="24"/>
  <c r="P670" i="24"/>
  <c r="L670" i="24"/>
  <c r="F670" i="24"/>
  <c r="B670" i="24"/>
  <c r="R669" i="24"/>
  <c r="N669" i="24"/>
  <c r="H669" i="24"/>
  <c r="D669" i="24"/>
  <c r="T668" i="24"/>
  <c r="P668" i="24"/>
  <c r="L668" i="24"/>
  <c r="F668" i="24"/>
  <c r="B668" i="24"/>
  <c r="R667" i="24"/>
  <c r="N667" i="24"/>
  <c r="H667" i="24"/>
  <c r="D667" i="24"/>
  <c r="T666" i="24"/>
  <c r="P666" i="24"/>
  <c r="L666" i="24"/>
  <c r="F666" i="24"/>
  <c r="B666" i="24"/>
  <c r="R665" i="24"/>
  <c r="N665" i="24"/>
  <c r="H665" i="24"/>
  <c r="D665" i="24"/>
  <c r="T664" i="24"/>
  <c r="P664" i="24"/>
  <c r="L664" i="24"/>
  <c r="F664" i="24"/>
  <c r="B664" i="24"/>
  <c r="R663" i="24"/>
  <c r="N663" i="24"/>
  <c r="H663" i="24"/>
  <c r="D663" i="24"/>
  <c r="T662" i="24"/>
  <c r="P662" i="24"/>
  <c r="L662" i="24"/>
  <c r="F662" i="24"/>
  <c r="B662" i="24"/>
  <c r="R661" i="24"/>
  <c r="N661" i="24"/>
  <c r="H661" i="24"/>
  <c r="D661" i="24"/>
  <c r="T660" i="24"/>
  <c r="P660" i="24"/>
  <c r="L660" i="24"/>
  <c r="F660" i="24"/>
  <c r="B660" i="24"/>
  <c r="R659" i="24"/>
  <c r="N659" i="24"/>
  <c r="H659" i="24"/>
  <c r="D659" i="24"/>
  <c r="T658" i="24"/>
  <c r="P658" i="24"/>
  <c r="L658" i="24"/>
  <c r="F658" i="24"/>
  <c r="B658" i="24"/>
  <c r="R657" i="24"/>
  <c r="N657" i="24"/>
  <c r="H657" i="24"/>
  <c r="D657" i="24"/>
  <c r="T656" i="24"/>
  <c r="P656" i="24"/>
  <c r="L656" i="24"/>
  <c r="F656" i="24"/>
  <c r="B656" i="24"/>
  <c r="R655" i="24"/>
  <c r="N655" i="24"/>
  <c r="H655" i="24"/>
  <c r="D655" i="24"/>
  <c r="T654" i="24"/>
  <c r="P654" i="24"/>
  <c r="L654" i="24"/>
  <c r="F654" i="24"/>
  <c r="B654" i="24"/>
  <c r="R653" i="24"/>
  <c r="N653" i="24"/>
  <c r="H653" i="24"/>
  <c r="D653" i="24"/>
  <c r="T652" i="24"/>
  <c r="P652" i="24"/>
  <c r="L652" i="24"/>
  <c r="F652" i="24"/>
  <c r="B652" i="24"/>
  <c r="R651" i="24"/>
  <c r="N651" i="24"/>
  <c r="H651" i="24"/>
  <c r="D651" i="24"/>
  <c r="T650" i="24"/>
  <c r="P650" i="24"/>
  <c r="L650" i="24"/>
  <c r="F650" i="24"/>
  <c r="B650" i="24"/>
  <c r="R649" i="24"/>
  <c r="N649" i="24"/>
  <c r="H649" i="24"/>
  <c r="D649" i="24"/>
  <c r="T648" i="24"/>
  <c r="P648" i="24"/>
  <c r="L648" i="24"/>
  <c r="F648" i="24"/>
  <c r="B648" i="24"/>
  <c r="R647" i="24"/>
  <c r="N647" i="24"/>
  <c r="H647" i="24"/>
  <c r="D647" i="24"/>
  <c r="T646" i="24"/>
  <c r="P646" i="24"/>
  <c r="L646" i="24"/>
  <c r="F646" i="24"/>
  <c r="B646" i="24"/>
  <c r="R645" i="24"/>
  <c r="N645" i="24"/>
  <c r="H645" i="24"/>
  <c r="D645" i="24"/>
  <c r="T644" i="24"/>
  <c r="P644" i="24"/>
  <c r="L644" i="24"/>
  <c r="F644" i="24"/>
  <c r="B644" i="24"/>
  <c r="R643" i="24"/>
  <c r="N643" i="24"/>
  <c r="H643" i="24"/>
  <c r="D643" i="24"/>
  <c r="T642" i="24"/>
  <c r="P642" i="24"/>
  <c r="L642" i="24"/>
  <c r="F642" i="24"/>
  <c r="B642" i="24"/>
  <c r="R641" i="24"/>
  <c r="N641" i="24"/>
  <c r="H641" i="24"/>
  <c r="D641" i="24"/>
  <c r="T640" i="24"/>
  <c r="P640" i="24"/>
  <c r="L640" i="24"/>
  <c r="F640" i="24"/>
  <c r="B640" i="24"/>
  <c r="R639" i="24"/>
  <c r="N639" i="24"/>
  <c r="H639" i="24"/>
  <c r="D639" i="24"/>
  <c r="T638" i="24"/>
  <c r="P638" i="24"/>
  <c r="L638" i="24"/>
  <c r="F638" i="24"/>
  <c r="B638" i="24"/>
  <c r="R637" i="24"/>
  <c r="N637" i="24"/>
  <c r="H637" i="24"/>
  <c r="D637" i="24"/>
  <c r="T636" i="24"/>
  <c r="P636" i="24"/>
  <c r="L636" i="24"/>
  <c r="F636" i="24"/>
  <c r="B636" i="24"/>
  <c r="R635" i="24"/>
  <c r="N635" i="24"/>
  <c r="H635" i="24"/>
  <c r="D635" i="24"/>
  <c r="T634" i="24"/>
  <c r="P634" i="24"/>
  <c r="L634" i="24"/>
  <c r="F634" i="24"/>
  <c r="B634" i="24"/>
  <c r="R633" i="24"/>
  <c r="N633" i="24"/>
  <c r="H633" i="24"/>
  <c r="D633" i="24"/>
  <c r="T632" i="24"/>
  <c r="P632" i="24"/>
  <c r="L632" i="24"/>
  <c r="F632" i="24"/>
  <c r="B632" i="24"/>
  <c r="R631" i="24"/>
  <c r="N631" i="24"/>
  <c r="H631" i="24"/>
  <c r="D631" i="24"/>
  <c r="T630" i="24"/>
  <c r="P630" i="24"/>
  <c r="L630" i="24"/>
  <c r="F630" i="24"/>
  <c r="B630" i="24"/>
  <c r="R629" i="24"/>
  <c r="N629" i="24"/>
  <c r="H629" i="24"/>
  <c r="D629" i="24"/>
  <c r="T628" i="24"/>
  <c r="P628" i="24"/>
  <c r="L628" i="24"/>
  <c r="F628" i="24"/>
  <c r="B628" i="24"/>
  <c r="R627" i="24"/>
  <c r="N627" i="24"/>
  <c r="H627" i="24"/>
  <c r="D627" i="24"/>
  <c r="T626" i="24"/>
  <c r="P626" i="24"/>
  <c r="L626" i="24"/>
  <c r="F626" i="24"/>
  <c r="B626" i="24"/>
  <c r="R625" i="24"/>
  <c r="N625" i="24"/>
  <c r="H625" i="24"/>
  <c r="D625" i="24"/>
  <c r="T624" i="24"/>
  <c r="P624" i="24"/>
  <c r="L624" i="24"/>
  <c r="F624" i="24"/>
  <c r="B624" i="24"/>
  <c r="R623" i="24"/>
  <c r="N623" i="24"/>
  <c r="H623" i="24"/>
  <c r="D623" i="24"/>
  <c r="T622" i="24"/>
  <c r="P622" i="24"/>
  <c r="L622" i="24"/>
  <c r="F622" i="24"/>
  <c r="B622" i="24"/>
  <c r="R621" i="24"/>
  <c r="N621" i="24"/>
  <c r="H621" i="24"/>
  <c r="D621" i="24"/>
  <c r="T620" i="24"/>
  <c r="P620" i="24"/>
  <c r="L620" i="24"/>
  <c r="F620" i="24"/>
  <c r="B620" i="24"/>
  <c r="R619" i="24"/>
  <c r="N619" i="24"/>
  <c r="H619" i="24"/>
  <c r="D619" i="24"/>
  <c r="T618" i="24"/>
  <c r="P618" i="24"/>
  <c r="L618" i="24"/>
  <c r="F618" i="24"/>
  <c r="B618" i="24"/>
  <c r="R617" i="24"/>
  <c r="N617" i="24"/>
  <c r="H617" i="24"/>
  <c r="D617" i="24"/>
  <c r="T616" i="24"/>
  <c r="P616" i="24"/>
  <c r="L616" i="24"/>
  <c r="F616" i="24"/>
  <c r="B616" i="24"/>
  <c r="R615" i="24"/>
  <c r="N615" i="24"/>
  <c r="H615" i="24"/>
  <c r="D615" i="24"/>
  <c r="T614" i="24"/>
  <c r="P614" i="24"/>
  <c r="L614" i="24"/>
  <c r="R2252" i="24"/>
  <c r="B2139" i="24"/>
  <c r="R2053" i="24"/>
  <c r="A2015" i="24"/>
  <c r="M1986" i="24"/>
  <c r="F1963" i="24"/>
  <c r="B1949" i="24"/>
  <c r="R1934" i="24"/>
  <c r="N1920" i="24"/>
  <c r="H1906" i="24"/>
  <c r="D1892" i="24"/>
  <c r="T1877" i="24"/>
  <c r="P1863" i="24"/>
  <c r="L1849" i="24"/>
  <c r="F1835" i="24"/>
  <c r="B1821" i="24"/>
  <c r="K1810" i="24"/>
  <c r="G1803" i="24"/>
  <c r="E1796" i="24"/>
  <c r="C1789" i="24"/>
  <c r="A1782" i="24"/>
  <c r="B1776" i="24"/>
  <c r="L1772" i="24"/>
  <c r="T1768" i="24"/>
  <c r="H1765" i="24"/>
  <c r="R1761" i="24"/>
  <c r="F1758" i="24"/>
  <c r="P1754" i="24"/>
  <c r="D1751" i="24"/>
  <c r="N1747" i="24"/>
  <c r="B1744" i="24"/>
  <c r="L1740" i="24"/>
  <c r="T1736" i="24"/>
  <c r="H1733" i="24"/>
  <c r="R1729" i="24"/>
  <c r="F1726" i="24"/>
  <c r="P1722" i="24"/>
  <c r="D1719" i="24"/>
  <c r="N1715" i="24"/>
  <c r="B1712" i="24"/>
  <c r="L1708" i="24"/>
  <c r="T1704" i="24"/>
  <c r="H1701" i="24"/>
  <c r="R1697" i="24"/>
  <c r="F1694" i="24"/>
  <c r="P1690" i="24"/>
  <c r="D1687" i="24"/>
  <c r="N1683" i="24"/>
  <c r="B1680" i="24"/>
  <c r="L1676" i="24"/>
  <c r="T1672" i="24"/>
  <c r="H1669" i="24"/>
  <c r="R1665" i="24"/>
  <c r="F1662" i="24"/>
  <c r="P1658" i="24"/>
  <c r="D1655" i="24"/>
  <c r="N1651" i="24"/>
  <c r="B1648" i="24"/>
  <c r="L1644" i="24"/>
  <c r="T1640" i="24"/>
  <c r="H1637" i="24"/>
  <c r="R1633" i="24"/>
  <c r="F1630" i="24"/>
  <c r="P1626" i="24"/>
  <c r="D1623" i="24"/>
  <c r="N1619" i="24"/>
  <c r="B1616" i="24"/>
  <c r="L1612" i="24"/>
  <c r="T1608" i="24"/>
  <c r="H1605" i="24"/>
  <c r="R1601" i="24"/>
  <c r="F1598" i="24"/>
  <c r="P1594" i="24"/>
  <c r="D1591" i="24"/>
  <c r="N1587" i="24"/>
  <c r="B1584" i="24"/>
  <c r="L1580" i="24"/>
  <c r="T1576" i="24"/>
  <c r="H1573" i="24"/>
  <c r="R1569" i="24"/>
  <c r="F1566" i="24"/>
  <c r="P1562" i="24"/>
  <c r="D1559" i="24"/>
  <c r="N1555" i="24"/>
  <c r="B1552" i="24"/>
  <c r="L1548" i="24"/>
  <c r="T1544" i="24"/>
  <c r="H1541" i="24"/>
  <c r="R1537" i="24"/>
  <c r="F1534" i="24"/>
  <c r="P1530" i="24"/>
  <c r="D1527" i="24"/>
  <c r="N1523" i="24"/>
  <c r="B1520" i="24"/>
  <c r="L1516" i="24"/>
  <c r="T1512" i="24"/>
  <c r="H1509" i="24"/>
  <c r="R1505" i="24"/>
  <c r="F1502" i="24"/>
  <c r="P1498" i="24"/>
  <c r="D1495" i="24"/>
  <c r="N1491" i="24"/>
  <c r="B1488" i="24"/>
  <c r="L1484" i="24"/>
  <c r="T1480" i="24"/>
  <c r="H1477" i="24"/>
  <c r="R1473" i="24"/>
  <c r="F1470" i="24"/>
  <c r="P1466" i="24"/>
  <c r="D1463" i="24"/>
  <c r="N1459" i="24"/>
  <c r="B1456" i="24"/>
  <c r="L1452" i="24"/>
  <c r="T1448" i="24"/>
  <c r="H1445" i="24"/>
  <c r="R1441" i="24"/>
  <c r="F1438" i="24"/>
  <c r="P1434" i="24"/>
  <c r="D1431" i="24"/>
  <c r="N1427" i="24"/>
  <c r="B1424" i="24"/>
  <c r="L1420" i="24"/>
  <c r="T1416" i="24"/>
  <c r="H1413" i="24"/>
  <c r="B1410" i="24"/>
  <c r="F1408" i="24"/>
  <c r="L1406" i="24"/>
  <c r="P1404" i="24"/>
  <c r="T1402" i="24"/>
  <c r="D1401" i="24"/>
  <c r="H1399" i="24"/>
  <c r="N1397" i="24"/>
  <c r="P1396" i="24"/>
  <c r="R1395" i="24"/>
  <c r="T1394" i="24"/>
  <c r="B1394" i="24"/>
  <c r="D1393" i="24"/>
  <c r="F1392" i="24"/>
  <c r="H1391" i="24"/>
  <c r="L1390" i="24"/>
  <c r="N1389" i="24"/>
  <c r="P1388" i="24"/>
  <c r="R1387" i="24"/>
  <c r="T1386" i="24"/>
  <c r="B1386" i="24"/>
  <c r="D1385" i="24"/>
  <c r="F1384" i="24"/>
  <c r="H1383" i="24"/>
  <c r="L1382" i="24"/>
  <c r="N1381" i="24"/>
  <c r="P1380" i="24"/>
  <c r="R1379" i="24"/>
  <c r="T1378" i="24"/>
  <c r="B1378" i="24"/>
  <c r="D1377" i="24"/>
  <c r="F1376" i="24"/>
  <c r="H1375" i="24"/>
  <c r="L1374" i="24"/>
  <c r="N1373" i="24"/>
  <c r="P1372" i="24"/>
  <c r="R1371" i="24"/>
  <c r="T1370" i="24"/>
  <c r="B1370" i="24"/>
  <c r="D1369" i="24"/>
  <c r="F1368" i="24"/>
  <c r="H1367" i="24"/>
  <c r="L1366" i="24"/>
  <c r="N1365" i="24"/>
  <c r="P1364" i="24"/>
  <c r="R1363" i="24"/>
  <c r="T1362" i="24"/>
  <c r="B1362" i="24"/>
  <c r="D1361" i="24"/>
  <c r="F1360" i="24"/>
  <c r="H1359" i="24"/>
  <c r="L1358" i="24"/>
  <c r="N1357" i="24"/>
  <c r="P1356" i="24"/>
  <c r="R1355" i="24"/>
  <c r="T1354" i="24"/>
  <c r="B1354" i="24"/>
  <c r="D1353" i="24"/>
  <c r="F1352" i="24"/>
  <c r="H1351" i="24"/>
  <c r="L1350" i="24"/>
  <c r="N1349" i="24"/>
  <c r="P1348" i="24"/>
  <c r="R1347" i="24"/>
  <c r="T1346" i="24"/>
  <c r="B1346" i="24"/>
  <c r="D1345" i="24"/>
  <c r="F1344" i="24"/>
  <c r="H1343" i="24"/>
  <c r="L1342" i="24"/>
  <c r="N1341" i="24"/>
  <c r="P1340" i="24"/>
  <c r="R1339" i="24"/>
  <c r="T1338" i="24"/>
  <c r="B1338" i="24"/>
  <c r="D1337" i="24"/>
  <c r="F1336" i="24"/>
  <c r="H1335" i="24"/>
  <c r="L1334" i="24"/>
  <c r="N1333" i="24"/>
  <c r="P1332" i="24"/>
  <c r="R1331" i="24"/>
  <c r="T1330" i="24"/>
  <c r="B1330" i="24"/>
  <c r="D1329" i="24"/>
  <c r="F1328" i="24"/>
  <c r="H1327" i="24"/>
  <c r="L1326" i="24"/>
  <c r="N1325" i="24"/>
  <c r="P1324" i="24"/>
  <c r="R1323" i="24"/>
  <c r="T1322" i="24"/>
  <c r="B1322" i="24"/>
  <c r="D1321" i="24"/>
  <c r="F1320" i="24"/>
  <c r="H1319" i="24"/>
  <c r="L1318" i="24"/>
  <c r="N1317" i="24"/>
  <c r="P1316" i="24"/>
  <c r="R1315" i="24"/>
  <c r="T1314" i="24"/>
  <c r="B1314" i="24"/>
  <c r="D1313" i="24"/>
  <c r="F1312" i="24"/>
  <c r="H1311" i="24"/>
  <c r="L1310" i="24"/>
  <c r="N1309" i="24"/>
  <c r="P1308" i="24"/>
  <c r="R1307" i="24"/>
  <c r="T1306" i="24"/>
  <c r="B1306" i="24"/>
  <c r="D1305" i="24"/>
  <c r="F1304" i="24"/>
  <c r="H1303" i="24"/>
  <c r="L1302" i="24"/>
  <c r="N1301" i="24"/>
  <c r="P1300" i="24"/>
  <c r="R1299" i="24"/>
  <c r="T1298" i="24"/>
  <c r="B1298" i="24"/>
  <c r="D1297" i="24"/>
  <c r="F1296" i="24"/>
  <c r="H1295" i="24"/>
  <c r="L1294" i="24"/>
  <c r="N1293" i="24"/>
  <c r="P1292" i="24"/>
  <c r="R1291" i="24"/>
  <c r="T1290" i="24"/>
  <c r="B1290" i="24"/>
  <c r="D1289" i="24"/>
  <c r="F1288" i="24"/>
  <c r="H1287" i="24"/>
  <c r="L1286" i="24"/>
  <c r="N1285" i="24"/>
  <c r="P1284" i="24"/>
  <c r="R1283" i="24"/>
  <c r="T1282" i="24"/>
  <c r="B1282" i="24"/>
  <c r="D1281" i="24"/>
  <c r="F1280" i="24"/>
  <c r="H1279" i="24"/>
  <c r="L1278" i="24"/>
  <c r="N1277" i="24"/>
  <c r="P1276" i="24"/>
  <c r="R1275" i="24"/>
  <c r="T1274" i="24"/>
  <c r="B1274" i="24"/>
  <c r="D1273" i="24"/>
  <c r="F1272" i="24"/>
  <c r="H1271" i="24"/>
  <c r="L1270" i="24"/>
  <c r="N1269" i="24"/>
  <c r="P1268" i="24"/>
  <c r="R1267" i="24"/>
  <c r="T1266" i="24"/>
  <c r="B1266" i="24"/>
  <c r="D1265" i="24"/>
  <c r="F1264" i="24"/>
  <c r="H1263" i="24"/>
  <c r="L1262" i="24"/>
  <c r="N1261" i="24"/>
  <c r="P1260" i="24"/>
  <c r="R1259" i="24"/>
  <c r="T1258" i="24"/>
  <c r="B1258" i="24"/>
  <c r="D1257" i="24"/>
  <c r="F1256" i="24"/>
  <c r="H1255" i="24"/>
  <c r="L1254" i="24"/>
  <c r="N1253" i="24"/>
  <c r="P1252" i="24"/>
  <c r="R1251" i="24"/>
  <c r="T1250" i="24"/>
  <c r="B1250" i="24"/>
  <c r="D1249" i="24"/>
  <c r="F1248" i="24"/>
  <c r="H1247" i="24"/>
  <c r="L1246" i="24"/>
  <c r="N1245" i="24"/>
  <c r="P1244" i="24"/>
  <c r="R1243" i="24"/>
  <c r="T1242" i="24"/>
  <c r="B1242" i="24"/>
  <c r="D1241" i="24"/>
  <c r="F1240" i="24"/>
  <c r="H1239" i="24"/>
  <c r="L1238" i="24"/>
  <c r="N1237" i="24"/>
  <c r="P1236" i="24"/>
  <c r="R1235" i="24"/>
  <c r="T1234" i="24"/>
  <c r="B1234" i="24"/>
  <c r="D1233" i="24"/>
  <c r="F1232" i="24"/>
  <c r="H1231" i="24"/>
  <c r="L1230" i="24"/>
  <c r="N1229" i="24"/>
  <c r="P1228" i="24"/>
  <c r="R1227" i="24"/>
  <c r="T1226" i="24"/>
  <c r="B1226" i="24"/>
  <c r="D1225" i="24"/>
  <c r="F1224" i="24"/>
  <c r="H1223" i="24"/>
  <c r="L1222" i="24"/>
  <c r="N1221" i="24"/>
  <c r="P1220" i="24"/>
  <c r="R1219" i="24"/>
  <c r="T1218" i="24"/>
  <c r="B1218" i="24"/>
  <c r="D1217" i="24"/>
  <c r="F1216" i="24"/>
  <c r="H1215" i="24"/>
  <c r="L1214" i="24"/>
  <c r="N1213" i="24"/>
  <c r="P1212" i="24"/>
  <c r="R1211" i="24"/>
  <c r="T1210" i="24"/>
  <c r="B1210" i="24"/>
  <c r="D1209" i="24"/>
  <c r="F1208" i="24"/>
  <c r="H1207" i="24"/>
  <c r="L1206" i="24"/>
  <c r="N1205" i="24"/>
  <c r="P1204" i="24"/>
  <c r="R1203" i="24"/>
  <c r="T1202" i="24"/>
  <c r="B1202" i="24"/>
  <c r="D1201" i="24"/>
  <c r="F1200" i="24"/>
  <c r="H1199" i="24"/>
  <c r="L1198" i="24"/>
  <c r="N1197" i="24"/>
  <c r="P1196" i="24"/>
  <c r="R1195" i="24"/>
  <c r="T1194" i="24"/>
  <c r="B1194" i="24"/>
  <c r="D1193" i="24"/>
  <c r="F1192" i="24"/>
  <c r="H1191" i="24"/>
  <c r="L1190" i="24"/>
  <c r="N1189" i="24"/>
  <c r="P1188" i="24"/>
  <c r="R1187" i="24"/>
  <c r="T1186" i="24"/>
  <c r="B1186" i="24"/>
  <c r="D1185" i="24"/>
  <c r="F1184" i="24"/>
  <c r="H1183" i="24"/>
  <c r="L1182" i="24"/>
  <c r="N1181" i="24"/>
  <c r="P1180" i="24"/>
  <c r="R1179" i="24"/>
  <c r="T1178" i="24"/>
  <c r="B1178" i="24"/>
  <c r="D1177" i="24"/>
  <c r="F1176" i="24"/>
  <c r="H1175" i="24"/>
  <c r="L1174" i="24"/>
  <c r="N1173" i="24"/>
  <c r="P1172" i="24"/>
  <c r="R1171" i="24"/>
  <c r="T1170" i="24"/>
  <c r="B1170" i="24"/>
  <c r="D1169" i="24"/>
  <c r="F1168" i="24"/>
  <c r="H1167" i="24"/>
  <c r="L1166" i="24"/>
  <c r="N1165" i="24"/>
  <c r="P1164" i="24"/>
  <c r="R1163" i="24"/>
  <c r="T1162" i="24"/>
  <c r="B1162" i="24"/>
  <c r="D1161" i="24"/>
  <c r="F1160" i="24"/>
  <c r="H1159" i="24"/>
  <c r="L1158" i="24"/>
  <c r="N1157" i="24"/>
  <c r="P1156" i="24"/>
  <c r="R1155" i="24"/>
  <c r="T1154" i="24"/>
  <c r="B1154" i="24"/>
  <c r="D1153" i="24"/>
  <c r="F1152" i="24"/>
  <c r="H1151" i="24"/>
  <c r="L1150" i="24"/>
  <c r="N1149" i="24"/>
  <c r="P1148" i="24"/>
  <c r="R1147" i="24"/>
  <c r="T1146" i="24"/>
  <c r="B1146" i="24"/>
  <c r="D1145" i="24"/>
  <c r="F1144" i="24"/>
  <c r="H1143" i="24"/>
  <c r="L1142" i="24"/>
  <c r="N1141" i="24"/>
  <c r="P1140" i="24"/>
  <c r="R1139" i="24"/>
  <c r="T1138" i="24"/>
  <c r="B1138" i="24"/>
  <c r="D1137" i="24"/>
  <c r="F1136" i="24"/>
  <c r="H1135" i="24"/>
  <c r="L1134" i="24"/>
  <c r="N1133" i="24"/>
  <c r="P1132" i="24"/>
  <c r="R1131" i="24"/>
  <c r="T1130" i="24"/>
  <c r="B1130" i="24"/>
  <c r="D1129" i="24"/>
  <c r="F1128" i="24"/>
  <c r="H1127" i="24"/>
  <c r="L1126" i="24"/>
  <c r="N1125" i="24"/>
  <c r="P1124" i="24"/>
  <c r="R1123" i="24"/>
  <c r="T1122" i="24"/>
  <c r="B1122" i="24"/>
  <c r="D1121" i="24"/>
  <c r="F1120" i="24"/>
  <c r="H1119" i="24"/>
  <c r="L1118" i="24"/>
  <c r="N1117" i="24"/>
  <c r="P1116" i="24"/>
  <c r="R1115" i="24"/>
  <c r="T1114" i="24"/>
  <c r="B1114" i="24"/>
  <c r="D1113" i="24"/>
  <c r="F1112" i="24"/>
  <c r="H1111" i="24"/>
  <c r="L1110" i="24"/>
  <c r="N1109" i="24"/>
  <c r="P1108" i="24"/>
  <c r="R1107" i="24"/>
  <c r="T1106" i="24"/>
  <c r="B1106" i="24"/>
  <c r="D1105" i="24"/>
  <c r="F1104" i="24"/>
  <c r="H1103" i="24"/>
  <c r="L1102" i="24"/>
  <c r="N1101" i="24"/>
  <c r="P1100" i="24"/>
  <c r="R1099" i="24"/>
  <c r="T1098" i="24"/>
  <c r="B1098" i="24"/>
  <c r="D1097" i="24"/>
  <c r="F1096" i="24"/>
  <c r="H1095" i="24"/>
  <c r="L1094" i="24"/>
  <c r="N1093" i="24"/>
  <c r="P1092" i="24"/>
  <c r="R1091" i="24"/>
  <c r="T1090" i="24"/>
  <c r="B1090" i="24"/>
  <c r="D1089" i="24"/>
  <c r="F1088" i="24"/>
  <c r="H1087" i="24"/>
  <c r="L1086" i="24"/>
  <c r="N1085" i="24"/>
  <c r="P1084" i="24"/>
  <c r="R1083" i="24"/>
  <c r="T1082" i="24"/>
  <c r="B1082" i="24"/>
  <c r="D1081" i="24"/>
  <c r="F1080" i="24"/>
  <c r="H1079" i="24"/>
  <c r="L1078" i="24"/>
  <c r="N1077" i="24"/>
  <c r="P1076" i="24"/>
  <c r="R1075" i="24"/>
  <c r="T1074" i="24"/>
  <c r="B1074" i="24"/>
  <c r="D1073" i="24"/>
  <c r="F1072" i="24"/>
  <c r="H1071" i="24"/>
  <c r="L1070" i="24"/>
  <c r="N1069" i="24"/>
  <c r="P1068" i="24"/>
  <c r="R1067" i="24"/>
  <c r="T1066" i="24"/>
  <c r="B1066" i="24"/>
  <c r="D1065" i="24"/>
  <c r="F1064" i="24"/>
  <c r="H1063" i="24"/>
  <c r="L1062" i="24"/>
  <c r="N1061" i="24"/>
  <c r="P1060" i="24"/>
  <c r="A1060" i="24"/>
  <c r="M1059" i="24"/>
  <c r="G1059" i="24"/>
  <c r="C1059" i="24"/>
  <c r="S1058" i="24"/>
  <c r="O1058" i="24"/>
  <c r="K1058" i="24"/>
  <c r="E1058" i="24"/>
  <c r="A1058" i="24"/>
  <c r="Q1057" i="24"/>
  <c r="M1057" i="24"/>
  <c r="G1057" i="24"/>
  <c r="C1057" i="24"/>
  <c r="S1056" i="24"/>
  <c r="O1056" i="24"/>
  <c r="K1056" i="24"/>
  <c r="E1056" i="24"/>
  <c r="A1056" i="24"/>
  <c r="Q1055" i="24"/>
  <c r="M1055" i="24"/>
  <c r="G1055" i="24"/>
  <c r="C1055" i="24"/>
  <c r="S1054" i="24"/>
  <c r="O1054" i="24"/>
  <c r="K1054" i="24"/>
  <c r="E1054" i="24"/>
  <c r="A1054" i="24"/>
  <c r="Q1053" i="24"/>
  <c r="M1053" i="24"/>
  <c r="G1053" i="24"/>
  <c r="C1053" i="24"/>
  <c r="S1052" i="24"/>
  <c r="O1052" i="24"/>
  <c r="K1052" i="24"/>
  <c r="E1052" i="24"/>
  <c r="A1052" i="24"/>
  <c r="Q1051" i="24"/>
  <c r="M1051" i="24"/>
  <c r="G1051" i="24"/>
  <c r="C1051" i="24"/>
  <c r="S1050" i="24"/>
  <c r="O1050" i="24"/>
  <c r="K1050" i="24"/>
  <c r="E1050" i="24"/>
  <c r="A1050" i="24"/>
  <c r="Q1049" i="24"/>
  <c r="M1049" i="24"/>
  <c r="G1049" i="24"/>
  <c r="C1049" i="24"/>
  <c r="S1048" i="24"/>
  <c r="O1048" i="24"/>
  <c r="K1048" i="24"/>
  <c r="E1048" i="24"/>
  <c r="A1048" i="24"/>
  <c r="Q1047" i="24"/>
  <c r="M1047" i="24"/>
  <c r="G1047" i="24"/>
  <c r="C1047" i="24"/>
  <c r="S1046" i="24"/>
  <c r="O1046" i="24"/>
  <c r="K1046" i="24"/>
  <c r="E1046" i="24"/>
  <c r="A1046" i="24"/>
  <c r="Q1045" i="24"/>
  <c r="M1045" i="24"/>
  <c r="G1045" i="24"/>
  <c r="C1045" i="24"/>
  <c r="S1044" i="24"/>
  <c r="O1044" i="24"/>
  <c r="K1044" i="24"/>
  <c r="E1044" i="24"/>
  <c r="A1044" i="24"/>
  <c r="Q1043" i="24"/>
  <c r="M1043" i="24"/>
  <c r="G1043" i="24"/>
  <c r="C1043" i="24"/>
  <c r="S1042" i="24"/>
  <c r="O1042" i="24"/>
  <c r="K1042" i="24"/>
  <c r="E1042" i="24"/>
  <c r="A1042" i="24"/>
  <c r="Q1041" i="24"/>
  <c r="M1041" i="24"/>
  <c r="G1041" i="24"/>
  <c r="C1041" i="24"/>
  <c r="S1040" i="24"/>
  <c r="O1040" i="24"/>
  <c r="K1040" i="24"/>
  <c r="E1040" i="24"/>
  <c r="A1040" i="24"/>
  <c r="Q1039" i="24"/>
  <c r="M1039" i="24"/>
  <c r="G1039" i="24"/>
  <c r="C1039" i="24"/>
  <c r="S1038" i="24"/>
  <c r="O1038" i="24"/>
  <c r="K1038" i="24"/>
  <c r="E1038" i="24"/>
  <c r="A1038" i="24"/>
  <c r="Q1037" i="24"/>
  <c r="M1037" i="24"/>
  <c r="G1037" i="24"/>
  <c r="C1037" i="24"/>
  <c r="S1036" i="24"/>
  <c r="O1036" i="24"/>
  <c r="K1036" i="24"/>
  <c r="E1036" i="24"/>
  <c r="A1036" i="24"/>
  <c r="Q1035" i="24"/>
  <c r="M1035" i="24"/>
  <c r="G1035" i="24"/>
  <c r="C1035" i="24"/>
  <c r="S1034" i="24"/>
  <c r="O1034" i="24"/>
  <c r="K1034" i="24"/>
  <c r="E1034" i="24"/>
  <c r="A1034" i="24"/>
  <c r="Q1033" i="24"/>
  <c r="M1033" i="24"/>
  <c r="G1033" i="24"/>
  <c r="C1033" i="24"/>
  <c r="S1032" i="24"/>
  <c r="O1032" i="24"/>
  <c r="K1032" i="24"/>
  <c r="E1032" i="24"/>
  <c r="A1032" i="24"/>
  <c r="Q1031" i="24"/>
  <c r="M1031" i="24"/>
  <c r="G1031" i="24"/>
  <c r="C1031" i="24"/>
  <c r="S1030" i="24"/>
  <c r="O1030" i="24"/>
  <c r="K1030" i="24"/>
  <c r="E1030" i="24"/>
  <c r="A1030" i="24"/>
  <c r="Q1029" i="24"/>
  <c r="M1029" i="24"/>
  <c r="G1029" i="24"/>
  <c r="C1029" i="24"/>
  <c r="S1028" i="24"/>
  <c r="O1028" i="24"/>
  <c r="K1028" i="24"/>
  <c r="E1028" i="24"/>
  <c r="A1028" i="24"/>
  <c r="Q1027" i="24"/>
  <c r="M1027" i="24"/>
  <c r="G1027" i="24"/>
  <c r="C1027" i="24"/>
  <c r="S1026" i="24"/>
  <c r="O1026" i="24"/>
  <c r="K1026" i="24"/>
  <c r="E1026" i="24"/>
  <c r="A1026" i="24"/>
  <c r="Q1025" i="24"/>
  <c r="M1025" i="24"/>
  <c r="G1025" i="24"/>
  <c r="C1025" i="24"/>
  <c r="S1024" i="24"/>
  <c r="O1024" i="24"/>
  <c r="K1024" i="24"/>
  <c r="E1024" i="24"/>
  <c r="A1024" i="24"/>
  <c r="Q1023" i="24"/>
  <c r="M1023" i="24"/>
  <c r="G1023" i="24"/>
  <c r="C1023" i="24"/>
  <c r="S1022" i="24"/>
  <c r="O1022" i="24"/>
  <c r="K1022" i="24"/>
  <c r="E1022" i="24"/>
  <c r="A1022" i="24"/>
  <c r="Q1021" i="24"/>
  <c r="M1021" i="24"/>
  <c r="G1021" i="24"/>
  <c r="C1021" i="24"/>
  <c r="S1020" i="24"/>
  <c r="O1020" i="24"/>
  <c r="K1020" i="24"/>
  <c r="E1020" i="24"/>
  <c r="A1020" i="24"/>
  <c r="Q1019" i="24"/>
  <c r="M1019" i="24"/>
  <c r="G1019" i="24"/>
  <c r="C1019" i="24"/>
  <c r="S1018" i="24"/>
  <c r="O1018" i="24"/>
  <c r="K1018" i="24"/>
  <c r="E1018" i="24"/>
  <c r="A1018" i="24"/>
  <c r="Q1017" i="24"/>
  <c r="M1017" i="24"/>
  <c r="G1017" i="24"/>
  <c r="C1017" i="24"/>
  <c r="S1016" i="24"/>
  <c r="O1016" i="24"/>
  <c r="K1016" i="24"/>
  <c r="E1016" i="24"/>
  <c r="A1016" i="24"/>
  <c r="Q1015" i="24"/>
  <c r="M1015" i="24"/>
  <c r="G1015" i="24"/>
  <c r="C1015" i="24"/>
  <c r="S1014" i="24"/>
  <c r="O1014" i="24"/>
  <c r="K1014" i="24"/>
  <c r="E1014" i="24"/>
  <c r="A1014" i="24"/>
  <c r="Q1013" i="24"/>
  <c r="M1013" i="24"/>
  <c r="G1013" i="24"/>
  <c r="C1013" i="24"/>
  <c r="S1012" i="24"/>
  <c r="O1012" i="24"/>
  <c r="K1012" i="24"/>
  <c r="E1012" i="24"/>
  <c r="A1012" i="24"/>
  <c r="Q1011" i="24"/>
  <c r="M1011" i="24"/>
  <c r="G1011" i="24"/>
  <c r="C1011" i="24"/>
  <c r="S1010" i="24"/>
  <c r="O1010" i="24"/>
  <c r="K1010" i="24"/>
  <c r="E1010" i="24"/>
  <c r="A1010" i="24"/>
  <c r="Q1009" i="24"/>
  <c r="M1009" i="24"/>
  <c r="G1009" i="24"/>
  <c r="C1009" i="24"/>
  <c r="S1008" i="24"/>
  <c r="O1008" i="24"/>
  <c r="K1008" i="24"/>
  <c r="E1008" i="24"/>
  <c r="A1008" i="24"/>
  <c r="Q1007" i="24"/>
  <c r="M1007" i="24"/>
  <c r="G1007" i="24"/>
  <c r="C1007" i="24"/>
  <c r="S1006" i="24"/>
  <c r="O1006" i="24"/>
  <c r="K1006" i="24"/>
  <c r="E1006" i="24"/>
  <c r="A1006" i="24"/>
  <c r="Q1005" i="24"/>
  <c r="M1005" i="24"/>
  <c r="G1005" i="24"/>
  <c r="C1005" i="24"/>
  <c r="S1004" i="24"/>
  <c r="O1004" i="24"/>
  <c r="K1004" i="24"/>
  <c r="E1004" i="24"/>
  <c r="A1004" i="24"/>
  <c r="Q1003" i="24"/>
  <c r="M1003" i="24"/>
  <c r="G1003" i="24"/>
  <c r="C1003" i="24"/>
  <c r="S1002" i="24"/>
  <c r="O1002" i="24"/>
  <c r="K1002" i="24"/>
  <c r="E1002" i="24"/>
  <c r="A1002" i="24"/>
  <c r="Q1001" i="24"/>
  <c r="M1001" i="24"/>
  <c r="G1001" i="24"/>
  <c r="C1001" i="24"/>
  <c r="S1000" i="24"/>
  <c r="O1000" i="24"/>
  <c r="K1000" i="24"/>
  <c r="E1000" i="24"/>
  <c r="A1000" i="24"/>
  <c r="Q999" i="24"/>
  <c r="M999" i="24"/>
  <c r="G999" i="24"/>
  <c r="C999" i="24"/>
  <c r="S998" i="24"/>
  <c r="O998" i="24"/>
  <c r="K998" i="24"/>
  <c r="E998" i="24"/>
  <c r="A998" i="24"/>
  <c r="Q997" i="24"/>
  <c r="M997" i="24"/>
  <c r="G997" i="24"/>
  <c r="C997" i="24"/>
  <c r="S996" i="24"/>
  <c r="O996" i="24"/>
  <c r="K996" i="24"/>
  <c r="E996" i="24"/>
  <c r="A996" i="24"/>
  <c r="Q995" i="24"/>
  <c r="M995" i="24"/>
  <c r="G995" i="24"/>
  <c r="C995" i="24"/>
  <c r="S994" i="24"/>
  <c r="O994" i="24"/>
  <c r="K994" i="24"/>
  <c r="E994" i="24"/>
  <c r="A994" i="24"/>
  <c r="Q993" i="24"/>
  <c r="M993" i="24"/>
  <c r="G993" i="24"/>
  <c r="C993" i="24"/>
  <c r="S992" i="24"/>
  <c r="O992" i="24"/>
  <c r="K992" i="24"/>
  <c r="E992" i="24"/>
  <c r="A992" i="24"/>
  <c r="Q991" i="24"/>
  <c r="M991" i="24"/>
  <c r="G991" i="24"/>
  <c r="C991" i="24"/>
  <c r="S990" i="24"/>
  <c r="O990" i="24"/>
  <c r="K990" i="24"/>
  <c r="E990" i="24"/>
  <c r="A990" i="24"/>
  <c r="Q989" i="24"/>
  <c r="M989" i="24"/>
  <c r="G989" i="24"/>
  <c r="C989" i="24"/>
  <c r="S988" i="24"/>
  <c r="O988" i="24"/>
  <c r="K988" i="24"/>
  <c r="E988" i="24"/>
  <c r="A988" i="24"/>
  <c r="Q987" i="24"/>
  <c r="M987" i="24"/>
  <c r="G987" i="24"/>
  <c r="C987" i="24"/>
  <c r="S986" i="24"/>
  <c r="O986" i="24"/>
  <c r="K986" i="24"/>
  <c r="E986" i="24"/>
  <c r="A986" i="24"/>
  <c r="Q985" i="24"/>
  <c r="M985" i="24"/>
  <c r="G985" i="24"/>
  <c r="C985" i="24"/>
  <c r="S984" i="24"/>
  <c r="O984" i="24"/>
  <c r="K984" i="24"/>
  <c r="E984" i="24"/>
  <c r="A984" i="24"/>
  <c r="Q983" i="24"/>
  <c r="M983" i="24"/>
  <c r="G983" i="24"/>
  <c r="C983" i="24"/>
  <c r="S982" i="24"/>
  <c r="O982" i="24"/>
  <c r="K982" i="24"/>
  <c r="E982" i="24"/>
  <c r="A982" i="24"/>
  <c r="Q981" i="24"/>
  <c r="M981" i="24"/>
  <c r="G981" i="24"/>
  <c r="C981" i="24"/>
  <c r="S980" i="24"/>
  <c r="O980" i="24"/>
  <c r="K980" i="24"/>
  <c r="E980" i="24"/>
  <c r="A980" i="24"/>
  <c r="Q979" i="24"/>
  <c r="M979" i="24"/>
  <c r="G979" i="24"/>
  <c r="C979" i="24"/>
  <c r="S978" i="24"/>
  <c r="O978" i="24"/>
  <c r="K978" i="24"/>
  <c r="E978" i="24"/>
  <c r="A978" i="24"/>
  <c r="Q977" i="24"/>
  <c r="M977" i="24"/>
  <c r="G977" i="24"/>
  <c r="C977" i="24"/>
  <c r="S976" i="24"/>
  <c r="O976" i="24"/>
  <c r="K976" i="24"/>
  <c r="E976" i="24"/>
  <c r="A976" i="24"/>
  <c r="Q975" i="24"/>
  <c r="M975" i="24"/>
  <c r="G975" i="24"/>
  <c r="C975" i="24"/>
  <c r="S974" i="24"/>
  <c r="O974" i="24"/>
  <c r="K974" i="24"/>
  <c r="E974" i="24"/>
  <c r="A974" i="24"/>
  <c r="Q973" i="24"/>
  <c r="M973" i="24"/>
  <c r="G973" i="24"/>
  <c r="C973" i="24"/>
  <c r="S972" i="24"/>
  <c r="O972" i="24"/>
  <c r="K972" i="24"/>
  <c r="E972" i="24"/>
  <c r="A972" i="24"/>
  <c r="Q971" i="24"/>
  <c r="M971" i="24"/>
  <c r="G971" i="24"/>
  <c r="C971" i="24"/>
  <c r="S970" i="24"/>
  <c r="O970" i="24"/>
  <c r="K970" i="24"/>
  <c r="E970" i="24"/>
  <c r="A970" i="24"/>
  <c r="Q969" i="24"/>
  <c r="M969" i="24"/>
  <c r="G969" i="24"/>
  <c r="C969" i="24"/>
  <c r="S968" i="24"/>
  <c r="O968" i="24"/>
  <c r="K968" i="24"/>
  <c r="E968" i="24"/>
  <c r="A968" i="24"/>
  <c r="Q967" i="24"/>
  <c r="M967" i="24"/>
  <c r="G967" i="24"/>
  <c r="C967" i="24"/>
  <c r="S966" i="24"/>
  <c r="O966" i="24"/>
  <c r="K966" i="24"/>
  <c r="E966" i="24"/>
  <c r="A966" i="24"/>
  <c r="Q965" i="24"/>
  <c r="M965" i="24"/>
  <c r="G965" i="24"/>
  <c r="C965" i="24"/>
  <c r="S964" i="24"/>
  <c r="O964" i="24"/>
  <c r="K964" i="24"/>
  <c r="E964" i="24"/>
  <c r="A964" i="24"/>
  <c r="Q963" i="24"/>
  <c r="M963" i="24"/>
  <c r="G963" i="24"/>
  <c r="C963" i="24"/>
  <c r="S962" i="24"/>
  <c r="O962" i="24"/>
  <c r="K962" i="24"/>
  <c r="E962" i="24"/>
  <c r="A962" i="24"/>
  <c r="Q961" i="24"/>
  <c r="M961" i="24"/>
  <c r="G961" i="24"/>
  <c r="C961" i="24"/>
  <c r="S960" i="24"/>
  <c r="O960" i="24"/>
  <c r="K960" i="24"/>
  <c r="E960" i="24"/>
  <c r="A960" i="24"/>
  <c r="Q959" i="24"/>
  <c r="M959" i="24"/>
  <c r="G959" i="24"/>
  <c r="C959" i="24"/>
  <c r="S958" i="24"/>
  <c r="O958" i="24"/>
  <c r="K958" i="24"/>
  <c r="E958" i="24"/>
  <c r="A958" i="24"/>
  <c r="Q957" i="24"/>
  <c r="M957" i="24"/>
  <c r="G957" i="24"/>
  <c r="C957" i="24"/>
  <c r="S956" i="24"/>
  <c r="O956" i="24"/>
  <c r="K956" i="24"/>
  <c r="E956" i="24"/>
  <c r="A956" i="24"/>
  <c r="Q955" i="24"/>
  <c r="M955" i="24"/>
  <c r="G955" i="24"/>
  <c r="C955" i="24"/>
  <c r="S954" i="24"/>
  <c r="O954" i="24"/>
  <c r="K954" i="24"/>
  <c r="E954" i="24"/>
  <c r="A954" i="24"/>
  <c r="Q953" i="24"/>
  <c r="M953" i="24"/>
  <c r="G953" i="24"/>
  <c r="C953" i="24"/>
  <c r="S952" i="24"/>
  <c r="O952" i="24"/>
  <c r="K952" i="24"/>
  <c r="E952" i="24"/>
  <c r="A952" i="24"/>
  <c r="Q951" i="24"/>
  <c r="M951" i="24"/>
  <c r="G951" i="24"/>
  <c r="C951" i="24"/>
  <c r="S950" i="24"/>
  <c r="O950" i="24"/>
  <c r="K950" i="24"/>
  <c r="E950" i="24"/>
  <c r="A950" i="24"/>
  <c r="Q949" i="24"/>
  <c r="M949" i="24"/>
  <c r="G949" i="24"/>
  <c r="C949" i="24"/>
  <c r="S948" i="24"/>
  <c r="O948" i="24"/>
  <c r="K948" i="24"/>
  <c r="E948" i="24"/>
  <c r="A948" i="24"/>
  <c r="Q947" i="24"/>
  <c r="M947" i="24"/>
  <c r="G947" i="24"/>
  <c r="C947" i="24"/>
  <c r="S946" i="24"/>
  <c r="O946" i="24"/>
  <c r="K946" i="24"/>
  <c r="E946" i="24"/>
  <c r="A946" i="24"/>
  <c r="Q945" i="24"/>
  <c r="M945" i="24"/>
  <c r="G945" i="24"/>
  <c r="C945" i="24"/>
  <c r="S944" i="24"/>
  <c r="O944" i="24"/>
  <c r="K944" i="24"/>
  <c r="E944" i="24"/>
  <c r="A944" i="24"/>
  <c r="Q943" i="24"/>
  <c r="M943" i="24"/>
  <c r="G943" i="24"/>
  <c r="C943" i="24"/>
  <c r="S942" i="24"/>
  <c r="O942" i="24"/>
  <c r="K942" i="24"/>
  <c r="E942" i="24"/>
  <c r="A942" i="24"/>
  <c r="Q941" i="24"/>
  <c r="M941" i="24"/>
  <c r="G941" i="24"/>
  <c r="C941" i="24"/>
  <c r="S940" i="24"/>
  <c r="O940" i="24"/>
  <c r="K940" i="24"/>
  <c r="E940" i="24"/>
  <c r="A940" i="24"/>
  <c r="Q939" i="24"/>
  <c r="M939" i="24"/>
  <c r="G939" i="24"/>
  <c r="C939" i="24"/>
  <c r="S938" i="24"/>
  <c r="O938" i="24"/>
  <c r="K938" i="24"/>
  <c r="E938" i="24"/>
  <c r="A938" i="24"/>
  <c r="Q937" i="24"/>
  <c r="M937" i="24"/>
  <c r="G937" i="24"/>
  <c r="C937" i="24"/>
  <c r="S936" i="24"/>
  <c r="O936" i="24"/>
  <c r="K936" i="24"/>
  <c r="E936" i="24"/>
  <c r="A936" i="24"/>
  <c r="Q935" i="24"/>
  <c r="M935" i="24"/>
  <c r="G935" i="24"/>
  <c r="C935" i="24"/>
  <c r="S934" i="24"/>
  <c r="O934" i="24"/>
  <c r="K934" i="24"/>
  <c r="E934" i="24"/>
  <c r="A934" i="24"/>
  <c r="Q933" i="24"/>
  <c r="M933" i="24"/>
  <c r="G933" i="24"/>
  <c r="C933" i="24"/>
  <c r="S932" i="24"/>
  <c r="O932" i="24"/>
  <c r="K932" i="24"/>
  <c r="E932" i="24"/>
  <c r="A932" i="24"/>
  <c r="Q931" i="24"/>
  <c r="M931" i="24"/>
  <c r="G931" i="24"/>
  <c r="C931" i="24"/>
  <c r="S930" i="24"/>
  <c r="O930" i="24"/>
  <c r="K930" i="24"/>
  <c r="E930" i="24"/>
  <c r="A930" i="24"/>
  <c r="Q929" i="24"/>
  <c r="M929" i="24"/>
  <c r="G929" i="24"/>
  <c r="C929" i="24"/>
  <c r="S928" i="24"/>
  <c r="O928" i="24"/>
  <c r="K928" i="24"/>
  <c r="E928" i="24"/>
  <c r="A928" i="24"/>
  <c r="Q927" i="24"/>
  <c r="M927" i="24"/>
  <c r="G927" i="24"/>
  <c r="C927" i="24"/>
  <c r="S926" i="24"/>
  <c r="O926" i="24"/>
  <c r="K926" i="24"/>
  <c r="E926" i="24"/>
  <c r="A926" i="24"/>
  <c r="Q925" i="24"/>
  <c r="M925" i="24"/>
  <c r="G925" i="24"/>
  <c r="C925" i="24"/>
  <c r="S924" i="24"/>
  <c r="O924" i="24"/>
  <c r="K924" i="24"/>
  <c r="E924" i="24"/>
  <c r="A924" i="24"/>
  <c r="Q923" i="24"/>
  <c r="M923" i="24"/>
  <c r="G923" i="24"/>
  <c r="C923" i="24"/>
  <c r="S922" i="24"/>
  <c r="O922" i="24"/>
  <c r="K922" i="24"/>
  <c r="E922" i="24"/>
  <c r="A922" i="24"/>
  <c r="Q921" i="24"/>
  <c r="M921" i="24"/>
  <c r="G921" i="24"/>
  <c r="C921" i="24"/>
  <c r="S920" i="24"/>
  <c r="O920" i="24"/>
  <c r="K920" i="24"/>
  <c r="E920" i="24"/>
  <c r="A920" i="24"/>
  <c r="Q919" i="24"/>
  <c r="M919" i="24"/>
  <c r="G919" i="24"/>
  <c r="C919" i="24"/>
  <c r="S918" i="24"/>
  <c r="O918" i="24"/>
  <c r="K918" i="24"/>
  <c r="E918" i="24"/>
  <c r="A918" i="24"/>
  <c r="Q917" i="24"/>
  <c r="M917" i="24"/>
  <c r="G917" i="24"/>
  <c r="C917" i="24"/>
  <c r="S916" i="24"/>
  <c r="O916" i="24"/>
  <c r="K916" i="24"/>
  <c r="E916" i="24"/>
  <c r="A916" i="24"/>
  <c r="Q915" i="24"/>
  <c r="M915" i="24"/>
  <c r="G915" i="24"/>
  <c r="C915" i="24"/>
  <c r="S914" i="24"/>
  <c r="O914" i="24"/>
  <c r="K914" i="24"/>
  <c r="E914" i="24"/>
  <c r="A914" i="24"/>
  <c r="Q913" i="24"/>
  <c r="M913" i="24"/>
  <c r="G913" i="24"/>
  <c r="C913" i="24"/>
  <c r="S912" i="24"/>
  <c r="O912" i="24"/>
  <c r="K912" i="24"/>
  <c r="E912" i="24"/>
  <c r="A912" i="24"/>
  <c r="Q911" i="24"/>
  <c r="M911" i="24"/>
  <c r="G911" i="24"/>
  <c r="C911" i="24"/>
  <c r="S910" i="24"/>
  <c r="O910" i="24"/>
  <c r="K910" i="24"/>
  <c r="E910" i="24"/>
  <c r="A910" i="24"/>
  <c r="Q909" i="24"/>
  <c r="M909" i="24"/>
  <c r="G909" i="24"/>
  <c r="C909" i="24"/>
  <c r="S908" i="24"/>
  <c r="O908" i="24"/>
  <c r="K908" i="24"/>
  <c r="E908" i="24"/>
  <c r="A908" i="24"/>
  <c r="Q907" i="24"/>
  <c r="M907" i="24"/>
  <c r="G907" i="24"/>
  <c r="C907" i="24"/>
  <c r="S906" i="24"/>
  <c r="O906" i="24"/>
  <c r="K906" i="24"/>
  <c r="E906" i="24"/>
  <c r="A906" i="24"/>
  <c r="Q905" i="24"/>
  <c r="M905" i="24"/>
  <c r="G905" i="24"/>
  <c r="C905" i="24"/>
  <c r="S904" i="24"/>
  <c r="O904" i="24"/>
  <c r="K904" i="24"/>
  <c r="E904" i="24"/>
  <c r="A904" i="24"/>
  <c r="Q903" i="24"/>
  <c r="M903" i="24"/>
  <c r="G903" i="24"/>
  <c r="C903" i="24"/>
  <c r="S902" i="24"/>
  <c r="O902" i="24"/>
  <c r="K902" i="24"/>
  <c r="E902" i="24"/>
  <c r="A902" i="24"/>
  <c r="Q901" i="24"/>
  <c r="M901" i="24"/>
  <c r="G901" i="24"/>
  <c r="C901" i="24"/>
  <c r="S900" i="24"/>
  <c r="O900" i="24"/>
  <c r="K900" i="24"/>
  <c r="E900" i="24"/>
  <c r="A900" i="24"/>
  <c r="Q899" i="24"/>
  <c r="M899" i="24"/>
  <c r="G899" i="24"/>
  <c r="C899" i="24"/>
  <c r="S898" i="24"/>
  <c r="O898" i="24"/>
  <c r="K898" i="24"/>
  <c r="E898" i="24"/>
  <c r="A898" i="24"/>
  <c r="Q897" i="24"/>
  <c r="M897" i="24"/>
  <c r="G897" i="24"/>
  <c r="C897" i="24"/>
  <c r="S896" i="24"/>
  <c r="O896" i="24"/>
  <c r="K896" i="24"/>
  <c r="E896" i="24"/>
  <c r="A896" i="24"/>
  <c r="Q895" i="24"/>
  <c r="M895" i="24"/>
  <c r="G895" i="24"/>
  <c r="C895" i="24"/>
  <c r="S894" i="24"/>
  <c r="O894" i="24"/>
  <c r="K894" i="24"/>
  <c r="E894" i="24"/>
  <c r="A894" i="24"/>
  <c r="Q893" i="24"/>
  <c r="M893" i="24"/>
  <c r="G893" i="24"/>
  <c r="C893" i="24"/>
  <c r="S892" i="24"/>
  <c r="O892" i="24"/>
  <c r="K892" i="24"/>
  <c r="E892" i="24"/>
  <c r="A892" i="24"/>
  <c r="Q891" i="24"/>
  <c r="M891" i="24"/>
  <c r="G891" i="24"/>
  <c r="C891" i="24"/>
  <c r="S890" i="24"/>
  <c r="O890" i="24"/>
  <c r="K890" i="24"/>
  <c r="E890" i="24"/>
  <c r="A890" i="24"/>
  <c r="Q889" i="24"/>
  <c r="M889" i="24"/>
  <c r="G889" i="24"/>
  <c r="C889" i="24"/>
  <c r="S888" i="24"/>
  <c r="O888" i="24"/>
  <c r="K888" i="24"/>
  <c r="E888" i="24"/>
  <c r="A888" i="24"/>
  <c r="Q887" i="24"/>
  <c r="M887" i="24"/>
  <c r="G887" i="24"/>
  <c r="C887" i="24"/>
  <c r="S886" i="24"/>
  <c r="O886" i="24"/>
  <c r="K886" i="24"/>
  <c r="E886" i="24"/>
  <c r="A886" i="24"/>
  <c r="Q885" i="24"/>
  <c r="M885" i="24"/>
  <c r="G885" i="24"/>
  <c r="C885" i="24"/>
  <c r="S884" i="24"/>
  <c r="O884" i="24"/>
  <c r="K884" i="24"/>
  <c r="E884" i="24"/>
  <c r="A884" i="24"/>
  <c r="Q883" i="24"/>
  <c r="M883" i="24"/>
  <c r="G883" i="24"/>
  <c r="C883" i="24"/>
  <c r="S882" i="24"/>
  <c r="O882" i="24"/>
  <c r="K882" i="24"/>
  <c r="E882" i="24"/>
  <c r="A882" i="24"/>
  <c r="Q881" i="24"/>
  <c r="M881" i="24"/>
  <c r="G881" i="24"/>
  <c r="C881" i="24"/>
  <c r="S880" i="24"/>
  <c r="O880" i="24"/>
  <c r="K880" i="24"/>
  <c r="E880" i="24"/>
  <c r="A880" i="24"/>
  <c r="Q879" i="24"/>
  <c r="M879" i="24"/>
  <c r="G879" i="24"/>
  <c r="C879" i="24"/>
  <c r="S878" i="24"/>
  <c r="O878" i="24"/>
  <c r="K878" i="24"/>
  <c r="E878" i="24"/>
  <c r="A878" i="24"/>
  <c r="Q877" i="24"/>
  <c r="M877" i="24"/>
  <c r="G877" i="24"/>
  <c r="C877" i="24"/>
  <c r="S876" i="24"/>
  <c r="O876" i="24"/>
  <c r="K876" i="24"/>
  <c r="E876" i="24"/>
  <c r="A876" i="24"/>
  <c r="Q875" i="24"/>
  <c r="M875" i="24"/>
  <c r="G875" i="24"/>
  <c r="C875" i="24"/>
  <c r="S874" i="24"/>
  <c r="O874" i="24"/>
  <c r="K874" i="24"/>
  <c r="E874" i="24"/>
  <c r="A874" i="24"/>
  <c r="Q873" i="24"/>
  <c r="M873" i="24"/>
  <c r="G873" i="24"/>
  <c r="C873" i="24"/>
  <c r="S872" i="24"/>
  <c r="O872" i="24"/>
  <c r="K872" i="24"/>
  <c r="E872" i="24"/>
  <c r="A872" i="24"/>
  <c r="Q871" i="24"/>
  <c r="M871" i="24"/>
  <c r="G871" i="24"/>
  <c r="C871" i="24"/>
  <c r="S870" i="24"/>
  <c r="O870" i="24"/>
  <c r="K870" i="24"/>
  <c r="E870" i="24"/>
  <c r="A870" i="24"/>
  <c r="Q869" i="24"/>
  <c r="M869" i="24"/>
  <c r="G869" i="24"/>
  <c r="C869" i="24"/>
  <c r="S868" i="24"/>
  <c r="O868" i="24"/>
  <c r="K868" i="24"/>
  <c r="E868" i="24"/>
  <c r="A868" i="24"/>
  <c r="Q867" i="24"/>
  <c r="M867" i="24"/>
  <c r="G867" i="24"/>
  <c r="C867" i="24"/>
  <c r="S866" i="24"/>
  <c r="O866" i="24"/>
  <c r="K866" i="24"/>
  <c r="E866" i="24"/>
  <c r="A866" i="24"/>
  <c r="Q865" i="24"/>
  <c r="M865" i="24"/>
  <c r="G865" i="24"/>
  <c r="C865" i="24"/>
  <c r="S864" i="24"/>
  <c r="O864" i="24"/>
  <c r="K864" i="24"/>
  <c r="E864" i="24"/>
  <c r="A864" i="24"/>
  <c r="Q863" i="24"/>
  <c r="M863" i="24"/>
  <c r="G863" i="24"/>
  <c r="C863" i="24"/>
  <c r="S862" i="24"/>
  <c r="O862" i="24"/>
  <c r="K862" i="24"/>
  <c r="E862" i="24"/>
  <c r="A862" i="24"/>
  <c r="Q861" i="24"/>
  <c r="M861" i="24"/>
  <c r="G861" i="24"/>
  <c r="C861" i="24"/>
  <c r="S860" i="24"/>
  <c r="O860" i="24"/>
  <c r="K860" i="24"/>
  <c r="E860" i="24"/>
  <c r="A860" i="24"/>
  <c r="Q859" i="24"/>
  <c r="M859" i="24"/>
  <c r="G859" i="24"/>
  <c r="C859" i="24"/>
  <c r="S858" i="24"/>
  <c r="O858" i="24"/>
  <c r="K858" i="24"/>
  <c r="E858" i="24"/>
  <c r="A858" i="24"/>
  <c r="Q857" i="24"/>
  <c r="M857" i="24"/>
  <c r="G857" i="24"/>
  <c r="C857" i="24"/>
  <c r="S856" i="24"/>
  <c r="O856" i="24"/>
  <c r="K856" i="24"/>
  <c r="E856" i="24"/>
  <c r="A856" i="24"/>
  <c r="Q855" i="24"/>
  <c r="M855" i="24"/>
  <c r="G855" i="24"/>
  <c r="C855" i="24"/>
  <c r="S854" i="24"/>
  <c r="O854" i="24"/>
  <c r="K854" i="24"/>
  <c r="E854" i="24"/>
  <c r="A854" i="24"/>
  <c r="Q853" i="24"/>
  <c r="M853" i="24"/>
  <c r="G853" i="24"/>
  <c r="C853" i="24"/>
  <c r="S852" i="24"/>
  <c r="O852" i="24"/>
  <c r="K852" i="24"/>
  <c r="E852" i="24"/>
  <c r="A852" i="24"/>
  <c r="Q851" i="24"/>
  <c r="M851" i="24"/>
  <c r="G851" i="24"/>
  <c r="C851" i="24"/>
  <c r="S850" i="24"/>
  <c r="O850" i="24"/>
  <c r="K850" i="24"/>
  <c r="E850" i="24"/>
  <c r="A850" i="24"/>
  <c r="Q849" i="24"/>
  <c r="M849" i="24"/>
  <c r="G849" i="24"/>
  <c r="C849" i="24"/>
  <c r="S848" i="24"/>
  <c r="O848" i="24"/>
  <c r="K848" i="24"/>
  <c r="E848" i="24"/>
  <c r="A848" i="24"/>
  <c r="Q847" i="24"/>
  <c r="M847" i="24"/>
  <c r="G847" i="24"/>
  <c r="C847" i="24"/>
  <c r="S846" i="24"/>
  <c r="O846" i="24"/>
  <c r="K846" i="24"/>
  <c r="E846" i="24"/>
  <c r="A846" i="24"/>
  <c r="Q845" i="24"/>
  <c r="M845" i="24"/>
  <c r="G845" i="24"/>
  <c r="C845" i="24"/>
  <c r="S844" i="24"/>
  <c r="O844" i="24"/>
  <c r="K844" i="24"/>
  <c r="E844" i="24"/>
  <c r="A844" i="24"/>
  <c r="Q843" i="24"/>
  <c r="M843" i="24"/>
  <c r="G843" i="24"/>
  <c r="C843" i="24"/>
  <c r="S842" i="24"/>
  <c r="O842" i="24"/>
  <c r="K842" i="24"/>
  <c r="E842" i="24"/>
  <c r="A842" i="24"/>
  <c r="Q841" i="24"/>
  <c r="M841" i="24"/>
  <c r="G841" i="24"/>
  <c r="C841" i="24"/>
  <c r="S840" i="24"/>
  <c r="O840" i="24"/>
  <c r="K840" i="24"/>
  <c r="E840" i="24"/>
  <c r="A840" i="24"/>
  <c r="Q839" i="24"/>
  <c r="M839" i="24"/>
  <c r="G839" i="24"/>
  <c r="C839" i="24"/>
  <c r="S838" i="24"/>
  <c r="O838" i="24"/>
  <c r="K838" i="24"/>
  <c r="E838" i="24"/>
  <c r="A838" i="24"/>
  <c r="Q837" i="24"/>
  <c r="M837" i="24"/>
  <c r="G837" i="24"/>
  <c r="C837" i="24"/>
  <c r="S836" i="24"/>
  <c r="O836" i="24"/>
  <c r="K836" i="24"/>
  <c r="E836" i="24"/>
  <c r="A836" i="24"/>
  <c r="Q835" i="24"/>
  <c r="M835" i="24"/>
  <c r="G835" i="24"/>
  <c r="C835" i="24"/>
  <c r="S834" i="24"/>
  <c r="O834" i="24"/>
  <c r="K834" i="24"/>
  <c r="E834" i="24"/>
  <c r="A834" i="24"/>
  <c r="Q833" i="24"/>
  <c r="M833" i="24"/>
  <c r="G833" i="24"/>
  <c r="C833" i="24"/>
  <c r="S832" i="24"/>
  <c r="O832" i="24"/>
  <c r="K832" i="24"/>
  <c r="E832" i="24"/>
  <c r="A832" i="24"/>
  <c r="Q831" i="24"/>
  <c r="M831" i="24"/>
  <c r="G831" i="24"/>
  <c r="C831" i="24"/>
  <c r="S830" i="24"/>
  <c r="O830" i="24"/>
  <c r="K830" i="24"/>
  <c r="E830" i="24"/>
  <c r="A830" i="24"/>
  <c r="Q829" i="24"/>
  <c r="M829" i="24"/>
  <c r="G829" i="24"/>
  <c r="C829" i="24"/>
  <c r="S828" i="24"/>
  <c r="O828" i="24"/>
  <c r="K828" i="24"/>
  <c r="E828" i="24"/>
  <c r="A828" i="24"/>
  <c r="Q827" i="24"/>
  <c r="M827" i="24"/>
  <c r="G827" i="24"/>
  <c r="C827" i="24"/>
  <c r="S826" i="24"/>
  <c r="O826" i="24"/>
  <c r="K826" i="24"/>
  <c r="E826" i="24"/>
  <c r="A826" i="24"/>
  <c r="Q825" i="24"/>
  <c r="M825" i="24"/>
  <c r="G825" i="24"/>
  <c r="C825" i="24"/>
  <c r="S824" i="24"/>
  <c r="O824" i="24"/>
  <c r="K824" i="24"/>
  <c r="E824" i="24"/>
  <c r="A824" i="24"/>
  <c r="Q823" i="24"/>
  <c r="M823" i="24"/>
  <c r="G823" i="24"/>
  <c r="C823" i="24"/>
  <c r="S822" i="24"/>
  <c r="O822" i="24"/>
  <c r="K822" i="24"/>
  <c r="E822" i="24"/>
  <c r="A822" i="24"/>
  <c r="Q821" i="24"/>
  <c r="M821" i="24"/>
  <c r="G821" i="24"/>
  <c r="C821" i="24"/>
  <c r="S820" i="24"/>
  <c r="O820" i="24"/>
  <c r="K820" i="24"/>
  <c r="E820" i="24"/>
  <c r="A820" i="24"/>
  <c r="Q819" i="24"/>
  <c r="M819" i="24"/>
  <c r="G819" i="24"/>
  <c r="C819" i="24"/>
  <c r="S818" i="24"/>
  <c r="O818" i="24"/>
  <c r="K818" i="24"/>
  <c r="E818" i="24"/>
  <c r="A818" i="24"/>
  <c r="Q817" i="24"/>
  <c r="M817" i="24"/>
  <c r="G817" i="24"/>
  <c r="C817" i="24"/>
  <c r="S816" i="24"/>
  <c r="O816" i="24"/>
  <c r="K816" i="24"/>
  <c r="E816" i="24"/>
  <c r="A816" i="24"/>
  <c r="Q815" i="24"/>
  <c r="M815" i="24"/>
  <c r="G815" i="24"/>
  <c r="C815" i="24"/>
  <c r="S814" i="24"/>
  <c r="O814" i="24"/>
  <c r="K814" i="24"/>
  <c r="E814" i="24"/>
  <c r="A814" i="24"/>
  <c r="Q813" i="24"/>
  <c r="M813" i="24"/>
  <c r="G813" i="24"/>
  <c r="C813" i="24"/>
  <c r="S812" i="24"/>
  <c r="O812" i="24"/>
  <c r="K812" i="24"/>
  <c r="E812" i="24"/>
  <c r="A812" i="24"/>
  <c r="Q811" i="24"/>
  <c r="M811" i="24"/>
  <c r="G811" i="24"/>
  <c r="C811" i="24"/>
  <c r="S810" i="24"/>
  <c r="O810" i="24"/>
  <c r="K810" i="24"/>
  <c r="E810" i="24"/>
  <c r="A810" i="24"/>
  <c r="Q809" i="24"/>
  <c r="M809" i="24"/>
  <c r="G809" i="24"/>
  <c r="C809" i="24"/>
  <c r="S808" i="24"/>
  <c r="O808" i="24"/>
  <c r="K808" i="24"/>
  <c r="E808" i="24"/>
  <c r="A808" i="24"/>
  <c r="Q807" i="24"/>
  <c r="M807" i="24"/>
  <c r="G807" i="24"/>
  <c r="C807" i="24"/>
  <c r="S806" i="24"/>
  <c r="O806" i="24"/>
  <c r="K806" i="24"/>
  <c r="E806" i="24"/>
  <c r="A806" i="24"/>
  <c r="Q805" i="24"/>
  <c r="M805" i="24"/>
  <c r="G805" i="24"/>
  <c r="C805" i="24"/>
  <c r="S804" i="24"/>
  <c r="O804" i="24"/>
  <c r="K804" i="24"/>
  <c r="E804" i="24"/>
  <c r="A804" i="24"/>
  <c r="Q803" i="24"/>
  <c r="M803" i="24"/>
  <c r="G803" i="24"/>
  <c r="C803" i="24"/>
  <c r="S802" i="24"/>
  <c r="O802" i="24"/>
  <c r="K802" i="24"/>
  <c r="E802" i="24"/>
  <c r="A802" i="24"/>
  <c r="Q801" i="24"/>
  <c r="M801" i="24"/>
  <c r="G801" i="24"/>
  <c r="C801" i="24"/>
  <c r="S800" i="24"/>
  <c r="O800" i="24"/>
  <c r="K800" i="24"/>
  <c r="E800" i="24"/>
  <c r="A800" i="24"/>
  <c r="Q799" i="24"/>
  <c r="M799" i="24"/>
  <c r="G799" i="24"/>
  <c r="C799" i="24"/>
  <c r="S798" i="24"/>
  <c r="O798" i="24"/>
  <c r="K798" i="24"/>
  <c r="E798" i="24"/>
  <c r="A798" i="24"/>
  <c r="Q797" i="24"/>
  <c r="M797" i="24"/>
  <c r="G797" i="24"/>
  <c r="C797" i="24"/>
  <c r="S796" i="24"/>
  <c r="O796" i="24"/>
  <c r="K796" i="24"/>
  <c r="E796" i="24"/>
  <c r="A796" i="24"/>
  <c r="Q795" i="24"/>
  <c r="M795" i="24"/>
  <c r="G795" i="24"/>
  <c r="C795" i="24"/>
  <c r="S794" i="24"/>
  <c r="O794" i="24"/>
  <c r="K794" i="24"/>
  <c r="E794" i="24"/>
  <c r="A794" i="24"/>
  <c r="Q793" i="24"/>
  <c r="M793" i="24"/>
  <c r="G793" i="24"/>
  <c r="C793" i="24"/>
  <c r="S792" i="24"/>
  <c r="O792" i="24"/>
  <c r="K792" i="24"/>
  <c r="E792" i="24"/>
  <c r="A792" i="24"/>
  <c r="Q791" i="24"/>
  <c r="M791" i="24"/>
  <c r="G791" i="24"/>
  <c r="C791" i="24"/>
  <c r="S790" i="24"/>
  <c r="O790" i="24"/>
  <c r="K790" i="24"/>
  <c r="E790" i="24"/>
  <c r="A790" i="24"/>
  <c r="Q789" i="24"/>
  <c r="M789" i="24"/>
  <c r="G789" i="24"/>
  <c r="C789" i="24"/>
  <c r="S788" i="24"/>
  <c r="O788" i="24"/>
  <c r="K788" i="24"/>
  <c r="E788" i="24"/>
  <c r="A788" i="24"/>
  <c r="Q787" i="24"/>
  <c r="M787" i="24"/>
  <c r="G787" i="24"/>
  <c r="C787" i="24"/>
  <c r="S786" i="24"/>
  <c r="O786" i="24"/>
  <c r="K786" i="24"/>
  <c r="E786" i="24"/>
  <c r="A786" i="24"/>
  <c r="Q785" i="24"/>
  <c r="M785" i="24"/>
  <c r="G785" i="24"/>
  <c r="C785" i="24"/>
  <c r="S784" i="24"/>
  <c r="O784" i="24"/>
  <c r="K784" i="24"/>
  <c r="E784" i="24"/>
  <c r="A784" i="24"/>
  <c r="Q783" i="24"/>
  <c r="M783" i="24"/>
  <c r="G783" i="24"/>
  <c r="C783" i="24"/>
  <c r="S782" i="24"/>
  <c r="O782" i="24"/>
  <c r="K782" i="24"/>
  <c r="E782" i="24"/>
  <c r="A782" i="24"/>
  <c r="Q781" i="24"/>
  <c r="M781" i="24"/>
  <c r="G781" i="24"/>
  <c r="C781" i="24"/>
  <c r="S780" i="24"/>
  <c r="O780" i="24"/>
  <c r="K780" i="24"/>
  <c r="E780" i="24"/>
  <c r="A780" i="24"/>
  <c r="Q779" i="24"/>
  <c r="M779" i="24"/>
  <c r="G779" i="24"/>
  <c r="C779" i="24"/>
  <c r="S778" i="24"/>
  <c r="O778" i="24"/>
  <c r="K778" i="24"/>
  <c r="E778" i="24"/>
  <c r="A778" i="24"/>
  <c r="Q777" i="24"/>
  <c r="M777" i="24"/>
  <c r="G777" i="24"/>
  <c r="C777" i="24"/>
  <c r="S776" i="24"/>
  <c r="O776" i="24"/>
  <c r="K776" i="24"/>
  <c r="E776" i="24"/>
  <c r="A776" i="24"/>
  <c r="Q775" i="24"/>
  <c r="M775" i="24"/>
  <c r="G775" i="24"/>
  <c r="C775" i="24"/>
  <c r="S774" i="24"/>
  <c r="O774" i="24"/>
  <c r="K774" i="24"/>
  <c r="E774" i="24"/>
  <c r="A774" i="24"/>
  <c r="Q773" i="24"/>
  <c r="M773" i="24"/>
  <c r="G773" i="24"/>
  <c r="C773" i="24"/>
  <c r="S772" i="24"/>
  <c r="O772" i="24"/>
  <c r="K772" i="24"/>
  <c r="E772" i="24"/>
  <c r="A772" i="24"/>
  <c r="Q771" i="24"/>
  <c r="M771" i="24"/>
  <c r="G771" i="24"/>
  <c r="C771" i="24"/>
  <c r="S770" i="24"/>
  <c r="O770" i="24"/>
  <c r="K770" i="24"/>
  <c r="E770" i="24"/>
  <c r="A770" i="24"/>
  <c r="Q769" i="24"/>
  <c r="M769" i="24"/>
  <c r="G769" i="24"/>
  <c r="C769" i="24"/>
  <c r="S768" i="24"/>
  <c r="O768" i="24"/>
  <c r="K768" i="24"/>
  <c r="E768" i="24"/>
  <c r="A768" i="24"/>
  <c r="Q767" i="24"/>
  <c r="M767" i="24"/>
  <c r="G767" i="24"/>
  <c r="C767" i="24"/>
  <c r="S766" i="24"/>
  <c r="O766" i="24"/>
  <c r="K766" i="24"/>
  <c r="E766" i="24"/>
  <c r="A766" i="24"/>
  <c r="Q765" i="24"/>
  <c r="M765" i="24"/>
  <c r="G765" i="24"/>
  <c r="C765" i="24"/>
  <c r="S764" i="24"/>
  <c r="O764" i="24"/>
  <c r="K764" i="24"/>
  <c r="E764" i="24"/>
  <c r="A764" i="24"/>
  <c r="Q763" i="24"/>
  <c r="M763" i="24"/>
  <c r="G763" i="24"/>
  <c r="C763" i="24"/>
  <c r="S762" i="24"/>
  <c r="O762" i="24"/>
  <c r="K762" i="24"/>
  <c r="E762" i="24"/>
  <c r="A762" i="24"/>
  <c r="Q761" i="24"/>
  <c r="M761" i="24"/>
  <c r="G761" i="24"/>
  <c r="C761" i="24"/>
  <c r="S760" i="24"/>
  <c r="O760" i="24"/>
  <c r="K760" i="24"/>
  <c r="E760" i="24"/>
  <c r="A760" i="24"/>
  <c r="Q759" i="24"/>
  <c r="M759" i="24"/>
  <c r="G759" i="24"/>
  <c r="C759" i="24"/>
  <c r="S758" i="24"/>
  <c r="O758" i="24"/>
  <c r="K758" i="24"/>
  <c r="E758" i="24"/>
  <c r="A758" i="24"/>
  <c r="Q757" i="24"/>
  <c r="M757" i="24"/>
  <c r="G757" i="24"/>
  <c r="C757" i="24"/>
  <c r="S756" i="24"/>
  <c r="O756" i="24"/>
  <c r="K756" i="24"/>
  <c r="E756" i="24"/>
  <c r="A756" i="24"/>
  <c r="Q755" i="24"/>
  <c r="M755" i="24"/>
  <c r="G755" i="24"/>
  <c r="C755" i="24"/>
  <c r="S754" i="24"/>
  <c r="O754" i="24"/>
  <c r="K754" i="24"/>
  <c r="E754" i="24"/>
  <c r="A754" i="24"/>
  <c r="Q753" i="24"/>
  <c r="M753" i="24"/>
  <c r="G753" i="24"/>
  <c r="C753" i="24"/>
  <c r="S752" i="24"/>
  <c r="O752" i="24"/>
  <c r="K752" i="24"/>
  <c r="E752" i="24"/>
  <c r="A752" i="24"/>
  <c r="Q751" i="24"/>
  <c r="M751" i="24"/>
  <c r="G751" i="24"/>
  <c r="C751" i="24"/>
  <c r="S750" i="24"/>
  <c r="O750" i="24"/>
  <c r="K750" i="24"/>
  <c r="E750" i="24"/>
  <c r="A750" i="24"/>
  <c r="Q749" i="24"/>
  <c r="M749" i="24"/>
  <c r="G749" i="24"/>
  <c r="C749" i="24"/>
  <c r="S748" i="24"/>
  <c r="O748" i="24"/>
  <c r="K748" i="24"/>
  <c r="E748" i="24"/>
  <c r="A748" i="24"/>
  <c r="Q747" i="24"/>
  <c r="M747" i="24"/>
  <c r="G747" i="24"/>
  <c r="C747" i="24"/>
  <c r="S746" i="24"/>
  <c r="O746" i="24"/>
  <c r="K746" i="24"/>
  <c r="E746" i="24"/>
  <c r="A746" i="24"/>
  <c r="Q745" i="24"/>
  <c r="M745" i="24"/>
  <c r="G745" i="24"/>
  <c r="C745" i="24"/>
  <c r="S744" i="24"/>
  <c r="O744" i="24"/>
  <c r="K744" i="24"/>
  <c r="E744" i="24"/>
  <c r="A744" i="24"/>
  <c r="Q743" i="24"/>
  <c r="M743" i="24"/>
  <c r="G743" i="24"/>
  <c r="C743" i="24"/>
  <c r="S742" i="24"/>
  <c r="O742" i="24"/>
  <c r="K742" i="24"/>
  <c r="E742" i="24"/>
  <c r="A742" i="24"/>
  <c r="Q741" i="24"/>
  <c r="M741" i="24"/>
  <c r="G741" i="24"/>
  <c r="C741" i="24"/>
  <c r="S740" i="24"/>
  <c r="O740" i="24"/>
  <c r="K740" i="24"/>
  <c r="E740" i="24"/>
  <c r="A740" i="24"/>
  <c r="Q739" i="24"/>
  <c r="M739" i="24"/>
  <c r="G739" i="24"/>
  <c r="C739" i="24"/>
  <c r="S738" i="24"/>
  <c r="O738" i="24"/>
  <c r="K738" i="24"/>
  <c r="E738" i="24"/>
  <c r="A738" i="24"/>
  <c r="Q737" i="24"/>
  <c r="M737" i="24"/>
  <c r="G737" i="24"/>
  <c r="C737" i="24"/>
  <c r="S736" i="24"/>
  <c r="O736" i="24"/>
  <c r="K736" i="24"/>
  <c r="E736" i="24"/>
  <c r="A736" i="24"/>
  <c r="Q735" i="24"/>
  <c r="M735" i="24"/>
  <c r="G735" i="24"/>
  <c r="C735" i="24"/>
  <c r="S734" i="24"/>
  <c r="O734" i="24"/>
  <c r="K734" i="24"/>
  <c r="E734" i="24"/>
  <c r="A734" i="24"/>
  <c r="Q733" i="24"/>
  <c r="M733" i="24"/>
  <c r="G733" i="24"/>
  <c r="C733" i="24"/>
  <c r="S732" i="24"/>
  <c r="O732" i="24"/>
  <c r="K732" i="24"/>
  <c r="E732" i="24"/>
  <c r="A732" i="24"/>
  <c r="Q731" i="24"/>
  <c r="M731" i="24"/>
  <c r="G731" i="24"/>
  <c r="C731" i="24"/>
  <c r="S730" i="24"/>
  <c r="O730" i="24"/>
  <c r="K730" i="24"/>
  <c r="E730" i="24"/>
  <c r="A730" i="24"/>
  <c r="Q729" i="24"/>
  <c r="M729" i="24"/>
  <c r="G729" i="24"/>
  <c r="C729" i="24"/>
  <c r="S728" i="24"/>
  <c r="O728" i="24"/>
  <c r="K728" i="24"/>
  <c r="E728" i="24"/>
  <c r="A728" i="24"/>
  <c r="Q727" i="24"/>
  <c r="M727" i="24"/>
  <c r="G727" i="24"/>
  <c r="C727" i="24"/>
  <c r="S726" i="24"/>
  <c r="O726" i="24"/>
  <c r="K726" i="24"/>
  <c r="E726" i="24"/>
  <c r="A726" i="24"/>
  <c r="Q725" i="24"/>
  <c r="M725" i="24"/>
  <c r="G725" i="24"/>
  <c r="C725" i="24"/>
  <c r="S724" i="24"/>
  <c r="O724" i="24"/>
  <c r="K724" i="24"/>
  <c r="E724" i="24"/>
  <c r="A724" i="24"/>
  <c r="Q723" i="24"/>
  <c r="M723" i="24"/>
  <c r="G723" i="24"/>
  <c r="C723" i="24"/>
  <c r="S722" i="24"/>
  <c r="O722" i="24"/>
  <c r="K722" i="24"/>
  <c r="E722" i="24"/>
  <c r="A722" i="24"/>
  <c r="Q721" i="24"/>
  <c r="M721" i="24"/>
  <c r="G721" i="24"/>
  <c r="C721" i="24"/>
  <c r="S720" i="24"/>
  <c r="O720" i="24"/>
  <c r="K720" i="24"/>
  <c r="E720" i="24"/>
  <c r="A720" i="24"/>
  <c r="Q719" i="24"/>
  <c r="M719" i="24"/>
  <c r="G719" i="24"/>
  <c r="C719" i="24"/>
  <c r="S718" i="24"/>
  <c r="O718" i="24"/>
  <c r="H2224" i="24"/>
  <c r="N2110" i="24"/>
  <c r="N2039" i="24"/>
  <c r="S2007" i="24"/>
  <c r="K1979" i="24"/>
  <c r="P1959" i="24"/>
  <c r="L1945" i="24"/>
  <c r="F1931" i="24"/>
  <c r="B1917" i="24"/>
  <c r="R1902" i="24"/>
  <c r="N1888" i="24"/>
  <c r="H1874" i="24"/>
  <c r="D1860" i="24"/>
  <c r="T1845" i="24"/>
  <c r="P1831" i="24"/>
  <c r="L1817" i="24"/>
  <c r="O1808" i="24"/>
  <c r="M1801" i="24"/>
  <c r="K1794" i="24"/>
  <c r="G1787" i="24"/>
  <c r="E1780" i="24"/>
  <c r="D1775" i="24"/>
  <c r="N1771" i="24"/>
  <c r="B1768" i="24"/>
  <c r="L1764" i="24"/>
  <c r="T1760" i="24"/>
  <c r="H1757" i="24"/>
  <c r="R1753" i="24"/>
  <c r="F1750" i="24"/>
  <c r="P1746" i="24"/>
  <c r="D1743" i="24"/>
  <c r="N1739" i="24"/>
  <c r="B1736" i="24"/>
  <c r="L1732" i="24"/>
  <c r="T1728" i="24"/>
  <c r="H1725" i="24"/>
  <c r="R1721" i="24"/>
  <c r="F1718" i="24"/>
  <c r="P1714" i="24"/>
  <c r="D1711" i="24"/>
  <c r="N1707" i="24"/>
  <c r="B1704" i="24"/>
  <c r="L1700" i="24"/>
  <c r="T1696" i="24"/>
  <c r="H1693" i="24"/>
  <c r="R1689" i="24"/>
  <c r="F1686" i="24"/>
  <c r="P1682" i="24"/>
  <c r="D1679" i="24"/>
  <c r="N1675" i="24"/>
  <c r="B1672" i="24"/>
  <c r="L1668" i="24"/>
  <c r="T1664" i="24"/>
  <c r="H1661" i="24"/>
  <c r="R1657" i="24"/>
  <c r="F1654" i="24"/>
  <c r="P1650" i="24"/>
  <c r="D1647" i="24"/>
  <c r="N1643" i="24"/>
  <c r="B1640" i="24"/>
  <c r="L1636" i="24"/>
  <c r="T1632" i="24"/>
  <c r="H1629" i="24"/>
  <c r="R1625" i="24"/>
  <c r="F1622" i="24"/>
  <c r="P1618" i="24"/>
  <c r="D1615" i="24"/>
  <c r="N1611" i="24"/>
  <c r="B1608" i="24"/>
  <c r="L1604" i="24"/>
  <c r="T1600" i="24"/>
  <c r="H1597" i="24"/>
  <c r="R1593" i="24"/>
  <c r="F1590" i="24"/>
  <c r="P1586" i="24"/>
  <c r="D1583" i="24"/>
  <c r="N1579" i="24"/>
  <c r="B1576" i="24"/>
  <c r="L1572" i="24"/>
  <c r="T1568" i="24"/>
  <c r="H1565" i="24"/>
  <c r="R1561" i="24"/>
  <c r="F1558" i="24"/>
  <c r="P1554" i="24"/>
  <c r="D1551" i="24"/>
  <c r="N1547" i="24"/>
  <c r="B1544" i="24"/>
  <c r="L1540" i="24"/>
  <c r="T1536" i="24"/>
  <c r="H1533" i="24"/>
  <c r="R1529" i="24"/>
  <c r="F1526" i="24"/>
  <c r="P1522" i="24"/>
  <c r="D1519" i="24"/>
  <c r="N1515" i="24"/>
  <c r="B1512" i="24"/>
  <c r="L1508" i="24"/>
  <c r="T1504" i="24"/>
  <c r="H1501" i="24"/>
  <c r="R1497" i="24"/>
  <c r="F1494" i="24"/>
  <c r="P1490" i="24"/>
  <c r="D1487" i="24"/>
  <c r="N1483" i="24"/>
  <c r="B1480" i="24"/>
  <c r="L1476" i="24"/>
  <c r="T1472" i="24"/>
  <c r="H1469" i="24"/>
  <c r="R1465" i="24"/>
  <c r="F1462" i="24"/>
  <c r="P1458" i="24"/>
  <c r="D1455" i="24"/>
  <c r="N1451" i="24"/>
  <c r="B1448" i="24"/>
  <c r="L1444" i="24"/>
  <c r="T1440" i="24"/>
  <c r="H1437" i="24"/>
  <c r="R1433" i="24"/>
  <c r="F1430" i="24"/>
  <c r="P1426" i="24"/>
  <c r="D1423" i="24"/>
  <c r="N1419" i="24"/>
  <c r="B1416" i="24"/>
  <c r="L1412" i="24"/>
  <c r="N1409" i="24"/>
  <c r="R1407" i="24"/>
  <c r="B1406" i="24"/>
  <c r="F1404" i="24"/>
  <c r="L1402" i="24"/>
  <c r="P1400" i="24"/>
  <c r="T1398" i="24"/>
  <c r="H1397" i="24"/>
  <c r="L1396" i="24"/>
  <c r="N1395" i="24"/>
  <c r="P1394" i="24"/>
  <c r="R1393" i="24"/>
  <c r="T1392" i="24"/>
  <c r="B1392" i="24"/>
  <c r="D1391" i="24"/>
  <c r="F1390" i="24"/>
  <c r="H1389" i="24"/>
  <c r="L1388" i="24"/>
  <c r="N1387" i="24"/>
  <c r="P1386" i="24"/>
  <c r="R1385" i="24"/>
  <c r="T1384" i="24"/>
  <c r="B1384" i="24"/>
  <c r="D1383" i="24"/>
  <c r="F1382" i="24"/>
  <c r="H1381" i="24"/>
  <c r="L1380" i="24"/>
  <c r="N1379" i="24"/>
  <c r="P1378" i="24"/>
  <c r="R1377" i="24"/>
  <c r="T1376" i="24"/>
  <c r="B1376" i="24"/>
  <c r="D1375" i="24"/>
  <c r="F1374" i="24"/>
  <c r="H1373" i="24"/>
  <c r="L1372" i="24"/>
  <c r="N1371" i="24"/>
  <c r="P1370" i="24"/>
  <c r="R1369" i="24"/>
  <c r="T1368" i="24"/>
  <c r="B1368" i="24"/>
  <c r="D1367" i="24"/>
  <c r="F1366" i="24"/>
  <c r="H1365" i="24"/>
  <c r="L1364" i="24"/>
  <c r="N1363" i="24"/>
  <c r="P1362" i="24"/>
  <c r="R1361" i="24"/>
  <c r="T1360" i="24"/>
  <c r="B1360" i="24"/>
  <c r="D1359" i="24"/>
  <c r="F1358" i="24"/>
  <c r="H1357" i="24"/>
  <c r="L1356" i="24"/>
  <c r="N1355" i="24"/>
  <c r="P1354" i="24"/>
  <c r="R1353" i="24"/>
  <c r="T1352" i="24"/>
  <c r="B1352" i="24"/>
  <c r="D1351" i="24"/>
  <c r="F1350" i="24"/>
  <c r="H1349" i="24"/>
  <c r="L1348" i="24"/>
  <c r="N1347" i="24"/>
  <c r="P1346" i="24"/>
  <c r="R1345" i="24"/>
  <c r="T1344" i="24"/>
  <c r="B1344" i="24"/>
  <c r="D1343" i="24"/>
  <c r="F1342" i="24"/>
  <c r="H1341" i="24"/>
  <c r="L1340" i="24"/>
  <c r="N1339" i="24"/>
  <c r="P1338" i="24"/>
  <c r="R1337" i="24"/>
  <c r="T1336" i="24"/>
  <c r="B1336" i="24"/>
  <c r="D1335" i="24"/>
  <c r="F1334" i="24"/>
  <c r="H1333" i="24"/>
  <c r="L1332" i="24"/>
  <c r="N1331" i="24"/>
  <c r="P1330" i="24"/>
  <c r="R1329" i="24"/>
  <c r="T1328" i="24"/>
  <c r="B1328" i="24"/>
  <c r="D1327" i="24"/>
  <c r="F1326" i="24"/>
  <c r="H1325" i="24"/>
  <c r="L1324" i="24"/>
  <c r="N1323" i="24"/>
  <c r="P1322" i="24"/>
  <c r="R1321" i="24"/>
  <c r="T1320" i="24"/>
  <c r="B1320" i="24"/>
  <c r="D1319" i="24"/>
  <c r="F1318" i="24"/>
  <c r="H1317" i="24"/>
  <c r="L1316" i="24"/>
  <c r="N1315" i="24"/>
  <c r="P1314" i="24"/>
  <c r="R1313" i="24"/>
  <c r="T1312" i="24"/>
  <c r="B1312" i="24"/>
  <c r="D1311" i="24"/>
  <c r="F1310" i="24"/>
  <c r="H1309" i="24"/>
  <c r="L1308" i="24"/>
  <c r="N1307" i="24"/>
  <c r="P1306" i="24"/>
  <c r="R1305" i="24"/>
  <c r="T1304" i="24"/>
  <c r="B1304" i="24"/>
  <c r="D1303" i="24"/>
  <c r="F1302" i="24"/>
  <c r="H1301" i="24"/>
  <c r="L1300" i="24"/>
  <c r="N1299" i="24"/>
  <c r="P1298" i="24"/>
  <c r="R1297" i="24"/>
  <c r="T1296" i="24"/>
  <c r="B1296" i="24"/>
  <c r="D1295" i="24"/>
  <c r="F1294" i="24"/>
  <c r="H1293" i="24"/>
  <c r="L1292" i="24"/>
  <c r="N1291" i="24"/>
  <c r="P1290" i="24"/>
  <c r="R1289" i="24"/>
  <c r="T1288" i="24"/>
  <c r="B1288" i="24"/>
  <c r="D1287" i="24"/>
  <c r="F1286" i="24"/>
  <c r="H1285" i="24"/>
  <c r="L1284" i="24"/>
  <c r="N1283" i="24"/>
  <c r="P1282" i="24"/>
  <c r="R1281" i="24"/>
  <c r="T1280" i="24"/>
  <c r="B1280" i="24"/>
  <c r="D1279" i="24"/>
  <c r="F1278" i="24"/>
  <c r="H1277" i="24"/>
  <c r="L1276" i="24"/>
  <c r="N1275" i="24"/>
  <c r="P1274" i="24"/>
  <c r="R1273" i="24"/>
  <c r="T1272" i="24"/>
  <c r="B1272" i="24"/>
  <c r="D1271" i="24"/>
  <c r="F1270" i="24"/>
  <c r="H1269" i="24"/>
  <c r="L1268" i="24"/>
  <c r="N1267" i="24"/>
  <c r="P1266" i="24"/>
  <c r="R1265" i="24"/>
  <c r="T1264" i="24"/>
  <c r="B1264" i="24"/>
  <c r="D1263" i="24"/>
  <c r="F1262" i="24"/>
  <c r="H1261" i="24"/>
  <c r="L1260" i="24"/>
  <c r="N1259" i="24"/>
  <c r="P1258" i="24"/>
  <c r="R1257" i="24"/>
  <c r="T1256" i="24"/>
  <c r="B1256" i="24"/>
  <c r="D1255" i="24"/>
  <c r="F1254" i="24"/>
  <c r="H1253" i="24"/>
  <c r="L1252" i="24"/>
  <c r="N1251" i="24"/>
  <c r="P1250" i="24"/>
  <c r="R1249" i="24"/>
  <c r="T1248" i="24"/>
  <c r="B1248" i="24"/>
  <c r="D1247" i="24"/>
  <c r="F1246" i="24"/>
  <c r="H1245" i="24"/>
  <c r="L1244" i="24"/>
  <c r="N1243" i="24"/>
  <c r="P1242" i="24"/>
  <c r="R1241" i="24"/>
  <c r="T1240" i="24"/>
  <c r="B1240" i="24"/>
  <c r="D1239" i="24"/>
  <c r="F1238" i="24"/>
  <c r="H1237" i="24"/>
  <c r="L1236" i="24"/>
  <c r="N1235" i="24"/>
  <c r="P1234" i="24"/>
  <c r="R1233" i="24"/>
  <c r="T1232" i="24"/>
  <c r="B1232" i="24"/>
  <c r="D1231" i="24"/>
  <c r="F1230" i="24"/>
  <c r="H1229" i="24"/>
  <c r="L1228" i="24"/>
  <c r="N1227" i="24"/>
  <c r="P1226" i="24"/>
  <c r="R1225" i="24"/>
  <c r="T1224" i="24"/>
  <c r="B1224" i="24"/>
  <c r="D1223" i="24"/>
  <c r="F1222" i="24"/>
  <c r="H1221" i="24"/>
  <c r="L1220" i="24"/>
  <c r="N1219" i="24"/>
  <c r="P1218" i="24"/>
  <c r="R1217" i="24"/>
  <c r="T1216" i="24"/>
  <c r="B1216" i="24"/>
  <c r="D1215" i="24"/>
  <c r="F1214" i="24"/>
  <c r="H1213" i="24"/>
  <c r="L1212" i="24"/>
  <c r="N1211" i="24"/>
  <c r="P1210" i="24"/>
  <c r="R1209" i="24"/>
  <c r="T1208" i="24"/>
  <c r="B1208" i="24"/>
  <c r="D1207" i="24"/>
  <c r="F1206" i="24"/>
  <c r="H1205" i="24"/>
  <c r="L1204" i="24"/>
  <c r="N1203" i="24"/>
  <c r="P1202" i="24"/>
  <c r="R1201" i="24"/>
  <c r="T1200" i="24"/>
  <c r="B1200" i="24"/>
  <c r="D1199" i="24"/>
  <c r="F1198" i="24"/>
  <c r="H1197" i="24"/>
  <c r="L1196" i="24"/>
  <c r="N1195" i="24"/>
  <c r="P1194" i="24"/>
  <c r="R1193" i="24"/>
  <c r="T1192" i="24"/>
  <c r="B1192" i="24"/>
  <c r="D1191" i="24"/>
  <c r="F1190" i="24"/>
  <c r="H1189" i="24"/>
  <c r="L1188" i="24"/>
  <c r="N1187" i="24"/>
  <c r="P1186" i="24"/>
  <c r="R1185" i="24"/>
  <c r="T1184" i="24"/>
  <c r="B1184" i="24"/>
  <c r="D1183" i="24"/>
  <c r="F1182" i="24"/>
  <c r="H1181" i="24"/>
  <c r="L1180" i="24"/>
  <c r="N1179" i="24"/>
  <c r="P1178" i="24"/>
  <c r="R1177" i="24"/>
  <c r="T1176" i="24"/>
  <c r="B1176" i="24"/>
  <c r="D1175" i="24"/>
  <c r="F1174" i="24"/>
  <c r="H1173" i="24"/>
  <c r="L1172" i="24"/>
  <c r="N1171" i="24"/>
  <c r="P1170" i="24"/>
  <c r="R1169" i="24"/>
  <c r="T1168" i="24"/>
  <c r="B1168" i="24"/>
  <c r="D1167" i="24"/>
  <c r="F1166" i="24"/>
  <c r="H1165" i="24"/>
  <c r="L1164" i="24"/>
  <c r="N1163" i="24"/>
  <c r="P1162" i="24"/>
  <c r="R1161" i="24"/>
  <c r="T1160" i="24"/>
  <c r="B1160" i="24"/>
  <c r="D1159" i="24"/>
  <c r="F1158" i="24"/>
  <c r="H1157" i="24"/>
  <c r="L1156" i="24"/>
  <c r="N1155" i="24"/>
  <c r="P1154" i="24"/>
  <c r="R1153" i="24"/>
  <c r="T1152" i="24"/>
  <c r="B1152" i="24"/>
  <c r="D1151" i="24"/>
  <c r="F1150" i="24"/>
  <c r="H1149" i="24"/>
  <c r="L1148" i="24"/>
  <c r="N1147" i="24"/>
  <c r="P1146" i="24"/>
  <c r="R1145" i="24"/>
  <c r="T1144" i="24"/>
  <c r="B1144" i="24"/>
  <c r="D1143" i="24"/>
  <c r="F1142" i="24"/>
  <c r="H1141" i="24"/>
  <c r="L1140" i="24"/>
  <c r="N1139" i="24"/>
  <c r="P1138" i="24"/>
  <c r="R1137" i="24"/>
  <c r="T1136" i="24"/>
  <c r="B1136" i="24"/>
  <c r="D1135" i="24"/>
  <c r="F1134" i="24"/>
  <c r="H1133" i="24"/>
  <c r="L1132" i="24"/>
  <c r="N1131" i="24"/>
  <c r="P1130" i="24"/>
  <c r="R1129" i="24"/>
  <c r="T1128" i="24"/>
  <c r="B1128" i="24"/>
  <c r="D1127" i="24"/>
  <c r="F1126" i="24"/>
  <c r="H1125" i="24"/>
  <c r="L1124" i="24"/>
  <c r="N1123" i="24"/>
  <c r="P1122" i="24"/>
  <c r="R1121" i="24"/>
  <c r="T1120" i="24"/>
  <c r="B1120" i="24"/>
  <c r="D1119" i="24"/>
  <c r="F1118" i="24"/>
  <c r="H1117" i="24"/>
  <c r="L1116" i="24"/>
  <c r="N1115" i="24"/>
  <c r="P1114" i="24"/>
  <c r="R1113" i="24"/>
  <c r="T1112" i="24"/>
  <c r="B1112" i="24"/>
  <c r="D1111" i="24"/>
  <c r="F1110" i="24"/>
  <c r="H1109" i="24"/>
  <c r="L1108" i="24"/>
  <c r="N1107" i="24"/>
  <c r="P1106" i="24"/>
  <c r="R1105" i="24"/>
  <c r="T1104" i="24"/>
  <c r="B1104" i="24"/>
  <c r="D1103" i="24"/>
  <c r="F1102" i="24"/>
  <c r="H1101" i="24"/>
  <c r="L1100" i="24"/>
  <c r="N1099" i="24"/>
  <c r="P1098" i="24"/>
  <c r="R1097" i="24"/>
  <c r="T1096" i="24"/>
  <c r="B1096" i="24"/>
  <c r="D1095" i="24"/>
  <c r="F1094" i="24"/>
  <c r="H1093" i="24"/>
  <c r="L1092" i="24"/>
  <c r="N1091" i="24"/>
  <c r="P1090" i="24"/>
  <c r="R1089" i="24"/>
  <c r="T1088" i="24"/>
  <c r="B1088" i="24"/>
  <c r="D1087" i="24"/>
  <c r="F1086" i="24"/>
  <c r="H1085" i="24"/>
  <c r="L1084" i="24"/>
  <c r="N1083" i="24"/>
  <c r="P1082" i="24"/>
  <c r="R1081" i="24"/>
  <c r="T1080" i="24"/>
  <c r="B1080" i="24"/>
  <c r="D1079" i="24"/>
  <c r="F1078" i="24"/>
  <c r="H1077" i="24"/>
  <c r="L1076" i="24"/>
  <c r="N1075" i="24"/>
  <c r="P1074" i="24"/>
  <c r="R1073" i="24"/>
  <c r="T1072" i="24"/>
  <c r="B1072" i="24"/>
  <c r="D1071" i="24"/>
  <c r="F1070" i="24"/>
  <c r="H1069" i="24"/>
  <c r="L1068" i="24"/>
  <c r="N1067" i="24"/>
  <c r="P1066" i="24"/>
  <c r="R1065" i="24"/>
  <c r="T1064" i="24"/>
  <c r="B1064" i="24"/>
  <c r="D1063" i="24"/>
  <c r="F1062" i="24"/>
  <c r="H1061" i="24"/>
  <c r="L1060" i="24"/>
  <c r="R1059" i="24"/>
  <c r="L1059" i="24"/>
  <c r="F1059" i="24"/>
  <c r="B1059" i="24"/>
  <c r="R1058" i="24"/>
  <c r="N1058" i="24"/>
  <c r="H1058" i="24"/>
  <c r="D1058" i="24"/>
  <c r="T1057" i="24"/>
  <c r="P1057" i="24"/>
  <c r="L1057" i="24"/>
  <c r="F1057" i="24"/>
  <c r="B1057" i="24"/>
  <c r="R1056" i="24"/>
  <c r="N1056" i="24"/>
  <c r="H1056" i="24"/>
  <c r="D1056" i="24"/>
  <c r="T1055" i="24"/>
  <c r="P1055" i="24"/>
  <c r="L1055" i="24"/>
  <c r="F1055" i="24"/>
  <c r="B1055" i="24"/>
  <c r="R1054" i="24"/>
  <c r="N1054" i="24"/>
  <c r="H1054" i="24"/>
  <c r="D1054" i="24"/>
  <c r="T1053" i="24"/>
  <c r="P1053" i="24"/>
  <c r="L1053" i="24"/>
  <c r="F1053" i="24"/>
  <c r="B1053" i="24"/>
  <c r="R1052" i="24"/>
  <c r="N1052" i="24"/>
  <c r="H1052" i="24"/>
  <c r="D1052" i="24"/>
  <c r="T1051" i="24"/>
  <c r="P1051" i="24"/>
  <c r="L1051" i="24"/>
  <c r="F1051" i="24"/>
  <c r="B1051" i="24"/>
  <c r="R1050" i="24"/>
  <c r="N1050" i="24"/>
  <c r="H1050" i="24"/>
  <c r="D1050" i="24"/>
  <c r="T1049" i="24"/>
  <c r="P1049" i="24"/>
  <c r="L1049" i="24"/>
  <c r="F1049" i="24"/>
  <c r="B1049" i="24"/>
  <c r="R1048" i="24"/>
  <c r="N1048" i="24"/>
  <c r="H1048" i="24"/>
  <c r="D1048" i="24"/>
  <c r="T1047" i="24"/>
  <c r="P1047" i="24"/>
  <c r="L1047" i="24"/>
  <c r="F1047" i="24"/>
  <c r="B1047" i="24"/>
  <c r="R1046" i="24"/>
  <c r="N1046" i="24"/>
  <c r="H1046" i="24"/>
  <c r="D1046" i="24"/>
  <c r="T1045" i="24"/>
  <c r="P1045" i="24"/>
  <c r="L1045" i="24"/>
  <c r="F1045" i="24"/>
  <c r="B1045" i="24"/>
  <c r="R1044" i="24"/>
  <c r="N1044" i="24"/>
  <c r="H1044" i="24"/>
  <c r="D1044" i="24"/>
  <c r="T1043" i="24"/>
  <c r="P1043" i="24"/>
  <c r="L1043" i="24"/>
  <c r="F1043" i="24"/>
  <c r="B1043" i="24"/>
  <c r="R1042" i="24"/>
  <c r="N1042" i="24"/>
  <c r="H1042" i="24"/>
  <c r="D1042" i="24"/>
  <c r="T1041" i="24"/>
  <c r="P1041" i="24"/>
  <c r="L1041" i="24"/>
  <c r="F1041" i="24"/>
  <c r="B1041" i="24"/>
  <c r="R1040" i="24"/>
  <c r="N1040" i="24"/>
  <c r="H1040" i="24"/>
  <c r="D1040" i="24"/>
  <c r="T1039" i="24"/>
  <c r="P1039" i="24"/>
  <c r="L1039" i="24"/>
  <c r="F1039" i="24"/>
  <c r="B1039" i="24"/>
  <c r="R1038" i="24"/>
  <c r="N1038" i="24"/>
  <c r="H1038" i="24"/>
  <c r="D1038" i="24"/>
  <c r="T1037" i="24"/>
  <c r="P1037" i="24"/>
  <c r="L1037" i="24"/>
  <c r="F1037" i="24"/>
  <c r="B1037" i="24"/>
  <c r="R1036" i="24"/>
  <c r="N1036" i="24"/>
  <c r="H1036" i="24"/>
  <c r="D1036" i="24"/>
  <c r="T1035" i="24"/>
  <c r="P1035" i="24"/>
  <c r="L1035" i="24"/>
  <c r="F1035" i="24"/>
  <c r="B1035" i="24"/>
  <c r="R1034" i="24"/>
  <c r="N1034" i="24"/>
  <c r="H1034" i="24"/>
  <c r="D1034" i="24"/>
  <c r="T1033" i="24"/>
  <c r="P1033" i="24"/>
  <c r="L1033" i="24"/>
  <c r="F1033" i="24"/>
  <c r="B1033" i="24"/>
  <c r="R1032" i="24"/>
  <c r="N1032" i="24"/>
  <c r="H1032" i="24"/>
  <c r="D1032" i="24"/>
  <c r="T1031" i="24"/>
  <c r="P1031" i="24"/>
  <c r="L1031" i="24"/>
  <c r="F1031" i="24"/>
  <c r="B1031" i="24"/>
  <c r="R1030" i="24"/>
  <c r="N1030" i="24"/>
  <c r="H1030" i="24"/>
  <c r="D1030" i="24"/>
  <c r="T1029" i="24"/>
  <c r="P1029" i="24"/>
  <c r="L1029" i="24"/>
  <c r="F1029" i="24"/>
  <c r="B1029" i="24"/>
  <c r="R1028" i="24"/>
  <c r="N1028" i="24"/>
  <c r="H1028" i="24"/>
  <c r="D1028" i="24"/>
  <c r="T1027" i="24"/>
  <c r="P1027" i="24"/>
  <c r="L1027" i="24"/>
  <c r="F1027" i="24"/>
  <c r="B1027" i="24"/>
  <c r="R1026" i="24"/>
  <c r="N1026" i="24"/>
  <c r="H1026" i="24"/>
  <c r="D1026" i="24"/>
  <c r="T1025" i="24"/>
  <c r="P1025" i="24"/>
  <c r="L1025" i="24"/>
  <c r="F1025" i="24"/>
  <c r="B1025" i="24"/>
  <c r="R1024" i="24"/>
  <c r="N1024" i="24"/>
  <c r="H1024" i="24"/>
  <c r="D1024" i="24"/>
  <c r="T1023" i="24"/>
  <c r="P1023" i="24"/>
  <c r="L1023" i="24"/>
  <c r="F1023" i="24"/>
  <c r="B1023" i="24"/>
  <c r="R1022" i="24"/>
  <c r="N1022" i="24"/>
  <c r="H1022" i="24"/>
  <c r="D1022" i="24"/>
  <c r="T1021" i="24"/>
  <c r="P1021" i="24"/>
  <c r="L1021" i="24"/>
  <c r="F1021" i="24"/>
  <c r="B1021" i="24"/>
  <c r="R1020" i="24"/>
  <c r="N1020" i="24"/>
  <c r="H1020" i="24"/>
  <c r="D1020" i="24"/>
  <c r="T1019" i="24"/>
  <c r="P1019" i="24"/>
  <c r="L1019" i="24"/>
  <c r="F1019" i="24"/>
  <c r="B1019" i="24"/>
  <c r="R1018" i="24"/>
  <c r="N1018" i="24"/>
  <c r="H1018" i="24"/>
  <c r="D1018" i="24"/>
  <c r="T1017" i="24"/>
  <c r="P1017" i="24"/>
  <c r="L1017" i="24"/>
  <c r="F1017" i="24"/>
  <c r="B1017" i="24"/>
  <c r="R1016" i="24"/>
  <c r="N1016" i="24"/>
  <c r="H1016" i="24"/>
  <c r="D1016" i="24"/>
  <c r="T1015" i="24"/>
  <c r="P1015" i="24"/>
  <c r="L1015" i="24"/>
  <c r="F1015" i="24"/>
  <c r="B1015" i="24"/>
  <c r="R1014" i="24"/>
  <c r="N1014" i="24"/>
  <c r="H1014" i="24"/>
  <c r="D1014" i="24"/>
  <c r="T1013" i="24"/>
  <c r="P1013" i="24"/>
  <c r="L1013" i="24"/>
  <c r="F1013" i="24"/>
  <c r="B1013" i="24"/>
  <c r="R1012" i="24"/>
  <c r="N1012" i="24"/>
  <c r="H1012" i="24"/>
  <c r="D1012" i="24"/>
  <c r="T1011" i="24"/>
  <c r="P1011" i="24"/>
  <c r="L1011" i="24"/>
  <c r="F1011" i="24"/>
  <c r="B1011" i="24"/>
  <c r="R1010" i="24"/>
  <c r="N1010" i="24"/>
  <c r="H1010" i="24"/>
  <c r="D1010" i="24"/>
  <c r="T1009" i="24"/>
  <c r="P1009" i="24"/>
  <c r="L1009" i="24"/>
  <c r="F1009" i="24"/>
  <c r="B1009" i="24"/>
  <c r="R1008" i="24"/>
  <c r="N1008" i="24"/>
  <c r="H1008" i="24"/>
  <c r="D1008" i="24"/>
  <c r="T1007" i="24"/>
  <c r="P1007" i="24"/>
  <c r="L1007" i="24"/>
  <c r="F1007" i="24"/>
  <c r="B1007" i="24"/>
  <c r="R1006" i="24"/>
  <c r="N1006" i="24"/>
  <c r="H1006" i="24"/>
  <c r="D1006" i="24"/>
  <c r="T1005" i="24"/>
  <c r="P1005" i="24"/>
  <c r="L1005" i="24"/>
  <c r="F1005" i="24"/>
  <c r="B1005" i="24"/>
  <c r="R1004" i="24"/>
  <c r="N1004" i="24"/>
  <c r="H1004" i="24"/>
  <c r="D1004" i="24"/>
  <c r="T1003" i="24"/>
  <c r="P1003" i="24"/>
  <c r="L1003" i="24"/>
  <c r="F1003" i="24"/>
  <c r="B1003" i="24"/>
  <c r="R1002" i="24"/>
  <c r="N1002" i="24"/>
  <c r="H1002" i="24"/>
  <c r="D1002" i="24"/>
  <c r="T1001" i="24"/>
  <c r="P1001" i="24"/>
  <c r="L1001" i="24"/>
  <c r="F1001" i="24"/>
  <c r="B1001" i="24"/>
  <c r="R1000" i="24"/>
  <c r="N1000" i="24"/>
  <c r="H1000" i="24"/>
  <c r="D1000" i="24"/>
  <c r="T999" i="24"/>
  <c r="P999" i="24"/>
  <c r="L999" i="24"/>
  <c r="F999" i="24"/>
  <c r="B999" i="24"/>
  <c r="R998" i="24"/>
  <c r="N998" i="24"/>
  <c r="H998" i="24"/>
  <c r="D998" i="24"/>
  <c r="T997" i="24"/>
  <c r="P997" i="24"/>
  <c r="L997" i="24"/>
  <c r="F997" i="24"/>
  <c r="B997" i="24"/>
  <c r="R996" i="24"/>
  <c r="N996" i="24"/>
  <c r="H996" i="24"/>
  <c r="D996" i="24"/>
  <c r="T995" i="24"/>
  <c r="P995" i="24"/>
  <c r="L995" i="24"/>
  <c r="F995" i="24"/>
  <c r="B995" i="24"/>
  <c r="R994" i="24"/>
  <c r="N994" i="24"/>
  <c r="H994" i="24"/>
  <c r="D994" i="24"/>
  <c r="T993" i="24"/>
  <c r="P993" i="24"/>
  <c r="L993" i="24"/>
  <c r="F993" i="24"/>
  <c r="B993" i="24"/>
  <c r="R992" i="24"/>
  <c r="N992" i="24"/>
  <c r="H992" i="24"/>
  <c r="D992" i="24"/>
  <c r="T991" i="24"/>
  <c r="P991" i="24"/>
  <c r="L991" i="24"/>
  <c r="F991" i="24"/>
  <c r="B991" i="24"/>
  <c r="R990" i="24"/>
  <c r="N990" i="24"/>
  <c r="H990" i="24"/>
  <c r="D990" i="24"/>
  <c r="T989" i="24"/>
  <c r="P989" i="24"/>
  <c r="L989" i="24"/>
  <c r="F989" i="24"/>
  <c r="B989" i="24"/>
  <c r="R988" i="24"/>
  <c r="N988" i="24"/>
  <c r="H988" i="24"/>
  <c r="D988" i="24"/>
  <c r="T987" i="24"/>
  <c r="P987" i="24"/>
  <c r="L987" i="24"/>
  <c r="F987" i="24"/>
  <c r="B987" i="24"/>
  <c r="R986" i="24"/>
  <c r="N986" i="24"/>
  <c r="H986" i="24"/>
  <c r="D986" i="24"/>
  <c r="T985" i="24"/>
  <c r="P985" i="24"/>
  <c r="L985" i="24"/>
  <c r="F985" i="24"/>
  <c r="B985" i="24"/>
  <c r="R984" i="24"/>
  <c r="N984" i="24"/>
  <c r="H984" i="24"/>
  <c r="D984" i="24"/>
  <c r="T983" i="24"/>
  <c r="P983" i="24"/>
  <c r="L983" i="24"/>
  <c r="F983" i="24"/>
  <c r="B983" i="24"/>
  <c r="R982" i="24"/>
  <c r="N982" i="24"/>
  <c r="H982" i="24"/>
  <c r="D982" i="24"/>
  <c r="T981" i="24"/>
  <c r="P981" i="24"/>
  <c r="L981" i="24"/>
  <c r="F981" i="24"/>
  <c r="B981" i="24"/>
  <c r="R980" i="24"/>
  <c r="N980" i="24"/>
  <c r="H980" i="24"/>
  <c r="D980" i="24"/>
  <c r="T979" i="24"/>
  <c r="P979" i="24"/>
  <c r="L979" i="24"/>
  <c r="F979" i="24"/>
  <c r="B979" i="24"/>
  <c r="R978" i="24"/>
  <c r="N978" i="24"/>
  <c r="H978" i="24"/>
  <c r="D978" i="24"/>
  <c r="T977" i="24"/>
  <c r="P977" i="24"/>
  <c r="L977" i="24"/>
  <c r="F977" i="24"/>
  <c r="B977" i="24"/>
  <c r="R976" i="24"/>
  <c r="N976" i="24"/>
  <c r="H976" i="24"/>
  <c r="D976" i="24"/>
  <c r="T975" i="24"/>
  <c r="P975" i="24"/>
  <c r="L975" i="24"/>
  <c r="F975" i="24"/>
  <c r="B975" i="24"/>
  <c r="R974" i="24"/>
  <c r="N974" i="24"/>
  <c r="H974" i="24"/>
  <c r="D974" i="24"/>
  <c r="T973" i="24"/>
  <c r="P973" i="24"/>
  <c r="L973" i="24"/>
  <c r="F973" i="24"/>
  <c r="B973" i="24"/>
  <c r="R972" i="24"/>
  <c r="N972" i="24"/>
  <c r="H972" i="24"/>
  <c r="D972" i="24"/>
  <c r="T971" i="24"/>
  <c r="P971" i="24"/>
  <c r="L971" i="24"/>
  <c r="F971" i="24"/>
  <c r="B971" i="24"/>
  <c r="R970" i="24"/>
  <c r="N970" i="24"/>
  <c r="H970" i="24"/>
  <c r="D970" i="24"/>
  <c r="T969" i="24"/>
  <c r="P969" i="24"/>
  <c r="L969" i="24"/>
  <c r="F969" i="24"/>
  <c r="B969" i="24"/>
  <c r="R968" i="24"/>
  <c r="N968" i="24"/>
  <c r="H968" i="24"/>
  <c r="D968" i="24"/>
  <c r="T967" i="24"/>
  <c r="P967" i="24"/>
  <c r="L967" i="24"/>
  <c r="F967" i="24"/>
  <c r="B967" i="24"/>
  <c r="R966" i="24"/>
  <c r="N966" i="24"/>
  <c r="H966" i="24"/>
  <c r="D966" i="24"/>
  <c r="T965" i="24"/>
  <c r="P965" i="24"/>
  <c r="L965" i="24"/>
  <c r="F965" i="24"/>
  <c r="B965" i="24"/>
  <c r="R964" i="24"/>
  <c r="N964" i="24"/>
  <c r="H964" i="24"/>
  <c r="D964" i="24"/>
  <c r="T963" i="24"/>
  <c r="P963" i="24"/>
  <c r="L963" i="24"/>
  <c r="F963" i="24"/>
  <c r="B963" i="24"/>
  <c r="R962" i="24"/>
  <c r="N962" i="24"/>
  <c r="H962" i="24"/>
  <c r="D962" i="24"/>
  <c r="T961" i="24"/>
  <c r="P961" i="24"/>
  <c r="L961" i="24"/>
  <c r="F961" i="24"/>
  <c r="B961" i="24"/>
  <c r="R960" i="24"/>
  <c r="N960" i="24"/>
  <c r="H960" i="24"/>
  <c r="D960" i="24"/>
  <c r="T959" i="24"/>
  <c r="P959" i="24"/>
  <c r="L959" i="24"/>
  <c r="F959" i="24"/>
  <c r="B959" i="24"/>
  <c r="R958" i="24"/>
  <c r="N958" i="24"/>
  <c r="H958" i="24"/>
  <c r="D958" i="24"/>
  <c r="T957" i="24"/>
  <c r="P957" i="24"/>
  <c r="L957" i="24"/>
  <c r="F957" i="24"/>
  <c r="B957" i="24"/>
  <c r="R956" i="24"/>
  <c r="N956" i="24"/>
  <c r="H956" i="24"/>
  <c r="D956" i="24"/>
  <c r="T955" i="24"/>
  <c r="P955" i="24"/>
  <c r="L955" i="24"/>
  <c r="F955" i="24"/>
  <c r="B955" i="24"/>
  <c r="R954" i="24"/>
  <c r="N954" i="24"/>
  <c r="H954" i="24"/>
  <c r="D954" i="24"/>
  <c r="T953" i="24"/>
  <c r="P953" i="24"/>
  <c r="L953" i="24"/>
  <c r="F953" i="24"/>
  <c r="B953" i="24"/>
  <c r="R952" i="24"/>
  <c r="N952" i="24"/>
  <c r="H952" i="24"/>
  <c r="D952" i="24"/>
  <c r="T951" i="24"/>
  <c r="P951" i="24"/>
  <c r="L951" i="24"/>
  <c r="F951" i="24"/>
  <c r="B951" i="24"/>
  <c r="R950" i="24"/>
  <c r="N950" i="24"/>
  <c r="H950" i="24"/>
  <c r="D950" i="24"/>
  <c r="T949" i="24"/>
  <c r="P949" i="24"/>
  <c r="L949" i="24"/>
  <c r="F949" i="24"/>
  <c r="B949" i="24"/>
  <c r="R948" i="24"/>
  <c r="N948" i="24"/>
  <c r="H948" i="24"/>
  <c r="D948" i="24"/>
  <c r="T947" i="24"/>
  <c r="P947" i="24"/>
  <c r="L947" i="24"/>
  <c r="F947" i="24"/>
  <c r="B947" i="24"/>
  <c r="R946" i="24"/>
  <c r="N946" i="24"/>
  <c r="H946" i="24"/>
  <c r="D946" i="24"/>
  <c r="T945" i="24"/>
  <c r="P945" i="24"/>
  <c r="L945" i="24"/>
  <c r="F945" i="24"/>
  <c r="B945" i="24"/>
  <c r="R944" i="24"/>
  <c r="N944" i="24"/>
  <c r="H944" i="24"/>
  <c r="D944" i="24"/>
  <c r="T943" i="24"/>
  <c r="P943" i="24"/>
  <c r="L943" i="24"/>
  <c r="F943" i="24"/>
  <c r="B943" i="24"/>
  <c r="R942" i="24"/>
  <c r="N942" i="24"/>
  <c r="H942" i="24"/>
  <c r="D942" i="24"/>
  <c r="T941" i="24"/>
  <c r="P941" i="24"/>
  <c r="L941" i="24"/>
  <c r="F941" i="24"/>
  <c r="B941" i="24"/>
  <c r="R940" i="24"/>
  <c r="N940" i="24"/>
  <c r="H940" i="24"/>
  <c r="D940" i="24"/>
  <c r="T939" i="24"/>
  <c r="P939" i="24"/>
  <c r="L939" i="24"/>
  <c r="F939" i="24"/>
  <c r="B939" i="24"/>
  <c r="R938" i="24"/>
  <c r="N938" i="24"/>
  <c r="H938" i="24"/>
  <c r="D938" i="24"/>
  <c r="T937" i="24"/>
  <c r="P937" i="24"/>
  <c r="L937" i="24"/>
  <c r="F937" i="24"/>
  <c r="B937" i="24"/>
  <c r="R936" i="24"/>
  <c r="N936" i="24"/>
  <c r="H936" i="24"/>
  <c r="D936" i="24"/>
  <c r="T935" i="24"/>
  <c r="P935" i="24"/>
  <c r="L935" i="24"/>
  <c r="F935" i="24"/>
  <c r="B935" i="24"/>
  <c r="R934" i="24"/>
  <c r="N934" i="24"/>
  <c r="H934" i="24"/>
  <c r="D934" i="24"/>
  <c r="T933" i="24"/>
  <c r="P933" i="24"/>
  <c r="L933" i="24"/>
  <c r="F933" i="24"/>
  <c r="B933" i="24"/>
  <c r="R932" i="24"/>
  <c r="N932" i="24"/>
  <c r="H932" i="24"/>
  <c r="D932" i="24"/>
  <c r="T931" i="24"/>
  <c r="P931" i="24"/>
  <c r="L931" i="24"/>
  <c r="F931" i="24"/>
  <c r="B931" i="24"/>
  <c r="R930" i="24"/>
  <c r="N930" i="24"/>
  <c r="H930" i="24"/>
  <c r="D930" i="24"/>
  <c r="T929" i="24"/>
  <c r="P929" i="24"/>
  <c r="L929" i="24"/>
  <c r="F929" i="24"/>
  <c r="B929" i="24"/>
  <c r="R928" i="24"/>
  <c r="N928" i="24"/>
  <c r="H928" i="24"/>
  <c r="D928" i="24"/>
  <c r="T927" i="24"/>
  <c r="P927" i="24"/>
  <c r="L927" i="24"/>
  <c r="F927" i="24"/>
  <c r="B927" i="24"/>
  <c r="R926" i="24"/>
  <c r="N926" i="24"/>
  <c r="H926" i="24"/>
  <c r="D926" i="24"/>
  <c r="T925" i="24"/>
  <c r="P925" i="24"/>
  <c r="L925" i="24"/>
  <c r="F925" i="24"/>
  <c r="B925" i="24"/>
  <c r="R924" i="24"/>
  <c r="N924" i="24"/>
  <c r="H924" i="24"/>
  <c r="D924" i="24"/>
  <c r="T923" i="24"/>
  <c r="P923" i="24"/>
  <c r="L923" i="24"/>
  <c r="F923" i="24"/>
  <c r="B923" i="24"/>
  <c r="R922" i="24"/>
  <c r="N922" i="24"/>
  <c r="H922" i="24"/>
  <c r="D922" i="24"/>
  <c r="T921" i="24"/>
  <c r="P921" i="24"/>
  <c r="L921" i="24"/>
  <c r="F921" i="24"/>
  <c r="B921" i="24"/>
  <c r="R920" i="24"/>
  <c r="N920" i="24"/>
  <c r="H920" i="24"/>
  <c r="D920" i="24"/>
  <c r="T919" i="24"/>
  <c r="P919" i="24"/>
  <c r="L919" i="24"/>
  <c r="F919" i="24"/>
  <c r="B919" i="24"/>
  <c r="R918" i="24"/>
  <c r="N918" i="24"/>
  <c r="H918" i="24"/>
  <c r="D918" i="24"/>
  <c r="T917" i="24"/>
  <c r="P917" i="24"/>
  <c r="L917" i="24"/>
  <c r="F917" i="24"/>
  <c r="B917" i="24"/>
  <c r="R916" i="24"/>
  <c r="N916" i="24"/>
  <c r="H916" i="24"/>
  <c r="D916" i="24"/>
  <c r="T915" i="24"/>
  <c r="P915" i="24"/>
  <c r="L915" i="24"/>
  <c r="F915" i="24"/>
  <c r="B915" i="24"/>
  <c r="R914" i="24"/>
  <c r="N914" i="24"/>
  <c r="H914" i="24"/>
  <c r="D914" i="24"/>
  <c r="T913" i="24"/>
  <c r="P913" i="24"/>
  <c r="L913" i="24"/>
  <c r="F913" i="24"/>
  <c r="B913" i="24"/>
  <c r="R912" i="24"/>
  <c r="N912" i="24"/>
  <c r="H912" i="24"/>
  <c r="D912" i="24"/>
  <c r="T911" i="24"/>
  <c r="P911" i="24"/>
  <c r="L911" i="24"/>
  <c r="F911" i="24"/>
  <c r="B911" i="24"/>
  <c r="R910" i="24"/>
  <c r="N910" i="24"/>
  <c r="H910" i="24"/>
  <c r="D910" i="24"/>
  <c r="T909" i="24"/>
  <c r="P909" i="24"/>
  <c r="L909" i="24"/>
  <c r="F909" i="24"/>
  <c r="B909" i="24"/>
  <c r="R908" i="24"/>
  <c r="N908" i="24"/>
  <c r="H908" i="24"/>
  <c r="D908" i="24"/>
  <c r="T907" i="24"/>
  <c r="P907" i="24"/>
  <c r="L907" i="24"/>
  <c r="F907" i="24"/>
  <c r="B907" i="24"/>
  <c r="R906" i="24"/>
  <c r="N906" i="24"/>
  <c r="H906" i="24"/>
  <c r="D906" i="24"/>
  <c r="T905" i="24"/>
  <c r="P905" i="24"/>
  <c r="L905" i="24"/>
  <c r="F905" i="24"/>
  <c r="B905" i="24"/>
  <c r="R904" i="24"/>
  <c r="N904" i="24"/>
  <c r="H904" i="24"/>
  <c r="D904" i="24"/>
  <c r="T903" i="24"/>
  <c r="P903" i="24"/>
  <c r="L903" i="24"/>
  <c r="F903" i="24"/>
  <c r="B903" i="24"/>
  <c r="R902" i="24"/>
  <c r="N902" i="24"/>
  <c r="H902" i="24"/>
  <c r="D902" i="24"/>
  <c r="T901" i="24"/>
  <c r="P901" i="24"/>
  <c r="L901" i="24"/>
  <c r="F901" i="24"/>
  <c r="B901" i="24"/>
  <c r="R900" i="24"/>
  <c r="N900" i="24"/>
  <c r="H900" i="24"/>
  <c r="D900" i="24"/>
  <c r="T899" i="24"/>
  <c r="P899" i="24"/>
  <c r="L899" i="24"/>
  <c r="F899" i="24"/>
  <c r="B899" i="24"/>
  <c r="R898" i="24"/>
  <c r="N898" i="24"/>
  <c r="H898" i="24"/>
  <c r="D898" i="24"/>
  <c r="T897" i="24"/>
  <c r="P897" i="24"/>
  <c r="L897" i="24"/>
  <c r="F897" i="24"/>
  <c r="B897" i="24"/>
  <c r="R896" i="24"/>
  <c r="N896" i="24"/>
  <c r="H896" i="24"/>
  <c r="D896" i="24"/>
  <c r="T895" i="24"/>
  <c r="P895" i="24"/>
  <c r="L895" i="24"/>
  <c r="F895" i="24"/>
  <c r="B895" i="24"/>
  <c r="R894" i="24"/>
  <c r="N894" i="24"/>
  <c r="H894" i="24"/>
  <c r="D894" i="24"/>
  <c r="T893" i="24"/>
  <c r="P893" i="24"/>
  <c r="L893" i="24"/>
  <c r="F893" i="24"/>
  <c r="B893" i="24"/>
  <c r="R892" i="24"/>
  <c r="N892" i="24"/>
  <c r="H892" i="24"/>
  <c r="D892" i="24"/>
  <c r="T891" i="24"/>
  <c r="P891" i="24"/>
  <c r="L891" i="24"/>
  <c r="F891" i="24"/>
  <c r="B891" i="24"/>
  <c r="R890" i="24"/>
  <c r="N890" i="24"/>
  <c r="H890" i="24"/>
  <c r="D890" i="24"/>
  <c r="T889" i="24"/>
  <c r="P889" i="24"/>
  <c r="L889" i="24"/>
  <c r="F889" i="24"/>
  <c r="B889" i="24"/>
  <c r="R888" i="24"/>
  <c r="N888" i="24"/>
  <c r="H888" i="24"/>
  <c r="D888" i="24"/>
  <c r="T887" i="24"/>
  <c r="P887" i="24"/>
  <c r="L887" i="24"/>
  <c r="F887" i="24"/>
  <c r="B887" i="24"/>
  <c r="R886" i="24"/>
  <c r="N886" i="24"/>
  <c r="H886" i="24"/>
  <c r="D886" i="24"/>
  <c r="T885" i="24"/>
  <c r="P885" i="24"/>
  <c r="L885" i="24"/>
  <c r="F885" i="24"/>
  <c r="B885" i="24"/>
  <c r="R884" i="24"/>
  <c r="N884" i="24"/>
  <c r="H884" i="24"/>
  <c r="D884" i="24"/>
  <c r="T883" i="24"/>
  <c r="P883" i="24"/>
  <c r="L883" i="24"/>
  <c r="F883" i="24"/>
  <c r="B883" i="24"/>
  <c r="R882" i="24"/>
  <c r="N882" i="24"/>
  <c r="H882" i="24"/>
  <c r="D882" i="24"/>
  <c r="T881" i="24"/>
  <c r="P881" i="24"/>
  <c r="L881" i="24"/>
  <c r="F881" i="24"/>
  <c r="B881" i="24"/>
  <c r="R880" i="24"/>
  <c r="N880" i="24"/>
  <c r="H880" i="24"/>
  <c r="D880" i="24"/>
  <c r="T879" i="24"/>
  <c r="P879" i="24"/>
  <c r="L879" i="24"/>
  <c r="F879" i="24"/>
  <c r="B879" i="24"/>
  <c r="R878" i="24"/>
  <c r="N878" i="24"/>
  <c r="H878" i="24"/>
  <c r="D878" i="24"/>
  <c r="T877" i="24"/>
  <c r="P877" i="24"/>
  <c r="L877" i="24"/>
  <c r="F877" i="24"/>
  <c r="B877" i="24"/>
  <c r="R876" i="24"/>
  <c r="N876" i="24"/>
  <c r="H876" i="24"/>
  <c r="D876" i="24"/>
  <c r="T875" i="24"/>
  <c r="P875" i="24"/>
  <c r="L875" i="24"/>
  <c r="F875" i="24"/>
  <c r="B875" i="24"/>
  <c r="R874" i="24"/>
  <c r="N874" i="24"/>
  <c r="H874" i="24"/>
  <c r="D874" i="24"/>
  <c r="T873" i="24"/>
  <c r="P873" i="24"/>
  <c r="L873" i="24"/>
  <c r="F873" i="24"/>
  <c r="B873" i="24"/>
  <c r="R872" i="24"/>
  <c r="N872" i="24"/>
  <c r="H872" i="24"/>
  <c r="D872" i="24"/>
  <c r="T871" i="24"/>
  <c r="P871" i="24"/>
  <c r="L871" i="24"/>
  <c r="F871" i="24"/>
  <c r="B871" i="24"/>
  <c r="R870" i="24"/>
  <c r="N870" i="24"/>
  <c r="H870" i="24"/>
  <c r="D870" i="24"/>
  <c r="T869" i="24"/>
  <c r="P869" i="24"/>
  <c r="L869" i="24"/>
  <c r="F869" i="24"/>
  <c r="B869" i="24"/>
  <c r="R868" i="24"/>
  <c r="N868" i="24"/>
  <c r="H868" i="24"/>
  <c r="D868" i="24"/>
  <c r="T867" i="24"/>
  <c r="P867" i="24"/>
  <c r="L867" i="24"/>
  <c r="F867" i="24"/>
  <c r="B867" i="24"/>
  <c r="R866" i="24"/>
  <c r="N866" i="24"/>
  <c r="H866" i="24"/>
  <c r="D866" i="24"/>
  <c r="T865" i="24"/>
  <c r="P865" i="24"/>
  <c r="L865" i="24"/>
  <c r="F865" i="24"/>
  <c r="B865" i="24"/>
  <c r="R864" i="24"/>
  <c r="N864" i="24"/>
  <c r="H864" i="24"/>
  <c r="D864" i="24"/>
  <c r="T863" i="24"/>
  <c r="P863" i="24"/>
  <c r="L863" i="24"/>
  <c r="F863" i="24"/>
  <c r="B863" i="24"/>
  <c r="R862" i="24"/>
  <c r="N862" i="24"/>
  <c r="H862" i="24"/>
  <c r="D862" i="24"/>
  <c r="T861" i="24"/>
  <c r="P861" i="24"/>
  <c r="L861" i="24"/>
  <c r="F861" i="24"/>
  <c r="B861" i="24"/>
  <c r="R860" i="24"/>
  <c r="N860" i="24"/>
  <c r="H860" i="24"/>
  <c r="D860" i="24"/>
  <c r="T859" i="24"/>
  <c r="P859" i="24"/>
  <c r="L859" i="24"/>
  <c r="F859" i="24"/>
  <c r="B859" i="24"/>
  <c r="R858" i="24"/>
  <c r="N858" i="24"/>
  <c r="H858" i="24"/>
  <c r="D858" i="24"/>
  <c r="T857" i="24"/>
  <c r="P857" i="24"/>
  <c r="L857" i="24"/>
  <c r="F857" i="24"/>
  <c r="B857" i="24"/>
  <c r="R856" i="24"/>
  <c r="N856" i="24"/>
  <c r="H856" i="24"/>
  <c r="D856" i="24"/>
  <c r="T855" i="24"/>
  <c r="P855" i="24"/>
  <c r="L855" i="24"/>
  <c r="F855" i="24"/>
  <c r="B855" i="24"/>
  <c r="R854" i="24"/>
  <c r="N854" i="24"/>
  <c r="H854" i="24"/>
  <c r="D854" i="24"/>
  <c r="T853" i="24"/>
  <c r="P853" i="24"/>
  <c r="L853" i="24"/>
  <c r="F853" i="24"/>
  <c r="B853" i="24"/>
  <c r="R852" i="24"/>
  <c r="N852" i="24"/>
  <c r="H852" i="24"/>
  <c r="D852" i="24"/>
  <c r="T851" i="24"/>
  <c r="P851" i="24"/>
  <c r="L851" i="24"/>
  <c r="F851" i="24"/>
  <c r="B851" i="24"/>
  <c r="R850" i="24"/>
  <c r="N850" i="24"/>
  <c r="H850" i="24"/>
  <c r="D850" i="24"/>
  <c r="T849" i="24"/>
  <c r="P849" i="24"/>
  <c r="L849" i="24"/>
  <c r="F849" i="24"/>
  <c r="B849" i="24"/>
  <c r="R848" i="24"/>
  <c r="N848" i="24"/>
  <c r="H848" i="24"/>
  <c r="D848" i="24"/>
  <c r="T847" i="24"/>
  <c r="P847" i="24"/>
  <c r="L847" i="24"/>
  <c r="F847" i="24"/>
  <c r="B847" i="24"/>
  <c r="R846" i="24"/>
  <c r="N846" i="24"/>
  <c r="H846" i="24"/>
  <c r="D846" i="24"/>
  <c r="T845" i="24"/>
  <c r="P845" i="24"/>
  <c r="L845" i="24"/>
  <c r="F845" i="24"/>
  <c r="B845" i="24"/>
  <c r="R844" i="24"/>
  <c r="N844" i="24"/>
  <c r="H844" i="24"/>
  <c r="D844" i="24"/>
  <c r="T843" i="24"/>
  <c r="P843" i="24"/>
  <c r="L843" i="24"/>
  <c r="F843" i="24"/>
  <c r="B843" i="24"/>
  <c r="R842" i="24"/>
  <c r="N842" i="24"/>
  <c r="H842" i="24"/>
  <c r="D842" i="24"/>
  <c r="T841" i="24"/>
  <c r="P841" i="24"/>
  <c r="L841" i="24"/>
  <c r="F841" i="24"/>
  <c r="B841" i="24"/>
  <c r="R840" i="24"/>
  <c r="N840" i="24"/>
  <c r="H840" i="24"/>
  <c r="D840" i="24"/>
  <c r="T839" i="24"/>
  <c r="P839" i="24"/>
  <c r="L839" i="24"/>
  <c r="F839" i="24"/>
  <c r="B839" i="24"/>
  <c r="R838" i="24"/>
  <c r="N838" i="24"/>
  <c r="H838" i="24"/>
  <c r="D838" i="24"/>
  <c r="T837" i="24"/>
  <c r="P837" i="24"/>
  <c r="L837" i="24"/>
  <c r="F837" i="24"/>
  <c r="B837" i="24"/>
  <c r="R836" i="24"/>
  <c r="N836" i="24"/>
  <c r="H836" i="24"/>
  <c r="D836" i="24"/>
  <c r="T835" i="24"/>
  <c r="P835" i="24"/>
  <c r="L835" i="24"/>
  <c r="F835" i="24"/>
  <c r="B835" i="24"/>
  <c r="R834" i="24"/>
  <c r="N834" i="24"/>
  <c r="H834" i="24"/>
  <c r="D834" i="24"/>
  <c r="T833" i="24"/>
  <c r="P833" i="24"/>
  <c r="L833" i="24"/>
  <c r="F833" i="24"/>
  <c r="B833" i="24"/>
  <c r="R832" i="24"/>
  <c r="N832" i="24"/>
  <c r="H832" i="24"/>
  <c r="D832" i="24"/>
  <c r="T831" i="24"/>
  <c r="P831" i="24"/>
  <c r="L831" i="24"/>
  <c r="F831" i="24"/>
  <c r="B831" i="24"/>
  <c r="R830" i="24"/>
  <c r="N830" i="24"/>
  <c r="H830" i="24"/>
  <c r="D830" i="24"/>
  <c r="T829" i="24"/>
  <c r="P829" i="24"/>
  <c r="L829" i="24"/>
  <c r="F829" i="24"/>
  <c r="B829" i="24"/>
  <c r="R828" i="24"/>
  <c r="N828" i="24"/>
  <c r="H828" i="24"/>
  <c r="D828" i="24"/>
  <c r="T827" i="24"/>
  <c r="P827" i="24"/>
  <c r="L827" i="24"/>
  <c r="F827" i="24"/>
  <c r="B827" i="24"/>
  <c r="R826" i="24"/>
  <c r="N826" i="24"/>
  <c r="H826" i="24"/>
  <c r="D826" i="24"/>
  <c r="T825" i="24"/>
  <c r="P825" i="24"/>
  <c r="L825" i="24"/>
  <c r="F825" i="24"/>
  <c r="B825" i="24"/>
  <c r="R824" i="24"/>
  <c r="N824" i="24"/>
  <c r="H824" i="24"/>
  <c r="D824" i="24"/>
  <c r="T823" i="24"/>
  <c r="P823" i="24"/>
  <c r="L823" i="24"/>
  <c r="F823" i="24"/>
  <c r="B823" i="24"/>
  <c r="R822" i="24"/>
  <c r="N822" i="24"/>
  <c r="H822" i="24"/>
  <c r="D822" i="24"/>
  <c r="T821" i="24"/>
  <c r="P821" i="24"/>
  <c r="L821" i="24"/>
  <c r="F821" i="24"/>
  <c r="B821" i="24"/>
  <c r="R820" i="24"/>
  <c r="N820" i="24"/>
  <c r="H820" i="24"/>
  <c r="D820" i="24"/>
  <c r="T819" i="24"/>
  <c r="P819" i="24"/>
  <c r="L819" i="24"/>
  <c r="F819" i="24"/>
  <c r="B819" i="24"/>
  <c r="R818" i="24"/>
  <c r="N818" i="24"/>
  <c r="H818" i="24"/>
  <c r="D818" i="24"/>
  <c r="T817" i="24"/>
  <c r="P817" i="24"/>
  <c r="L817" i="24"/>
  <c r="F817" i="24"/>
  <c r="B817" i="24"/>
  <c r="R816" i="24"/>
  <c r="N816" i="24"/>
  <c r="H816" i="24"/>
  <c r="D816" i="24"/>
  <c r="T815" i="24"/>
  <c r="P815" i="24"/>
  <c r="L815" i="24"/>
  <c r="F815" i="24"/>
  <c r="B815" i="24"/>
  <c r="R814" i="24"/>
  <c r="N814" i="24"/>
  <c r="H814" i="24"/>
  <c r="D814" i="24"/>
  <c r="T813" i="24"/>
  <c r="P813" i="24"/>
  <c r="L813" i="24"/>
  <c r="F813" i="24"/>
  <c r="B813" i="24"/>
  <c r="R812" i="24"/>
  <c r="N812" i="24"/>
  <c r="H812" i="24"/>
  <c r="D812" i="24"/>
  <c r="T811" i="24"/>
  <c r="P811" i="24"/>
  <c r="L811" i="24"/>
  <c r="F811" i="24"/>
  <c r="B811" i="24"/>
  <c r="R810" i="24"/>
  <c r="N810" i="24"/>
  <c r="H810" i="24"/>
  <c r="D810" i="24"/>
  <c r="T809" i="24"/>
  <c r="P809" i="24"/>
  <c r="L809" i="24"/>
  <c r="F809" i="24"/>
  <c r="B809" i="24"/>
  <c r="R808" i="24"/>
  <c r="N808" i="24"/>
  <c r="H808" i="24"/>
  <c r="D808" i="24"/>
  <c r="T807" i="24"/>
  <c r="P807" i="24"/>
  <c r="L807" i="24"/>
  <c r="F807" i="24"/>
  <c r="B807" i="24"/>
  <c r="R806" i="24"/>
  <c r="N806" i="24"/>
  <c r="H806" i="24"/>
  <c r="D806" i="24"/>
  <c r="T805" i="24"/>
  <c r="P805" i="24"/>
  <c r="L805" i="24"/>
  <c r="F805" i="24"/>
  <c r="B805" i="24"/>
  <c r="R804" i="24"/>
  <c r="N804" i="24"/>
  <c r="H804" i="24"/>
  <c r="D804" i="24"/>
  <c r="T803" i="24"/>
  <c r="P803" i="24"/>
  <c r="L803" i="24"/>
  <c r="F803" i="24"/>
  <c r="B803" i="24"/>
  <c r="R802" i="24"/>
  <c r="N802" i="24"/>
  <c r="H802" i="24"/>
  <c r="D802" i="24"/>
  <c r="T801" i="24"/>
  <c r="P801" i="24"/>
  <c r="L801" i="24"/>
  <c r="F801" i="24"/>
  <c r="B801" i="24"/>
  <c r="R800" i="24"/>
  <c r="N800" i="24"/>
  <c r="H800" i="24"/>
  <c r="D800" i="24"/>
  <c r="T799" i="24"/>
  <c r="P799" i="24"/>
  <c r="L799" i="24"/>
  <c r="F799" i="24"/>
  <c r="B799" i="24"/>
  <c r="R798" i="24"/>
  <c r="N798" i="24"/>
  <c r="H798" i="24"/>
  <c r="D798" i="24"/>
  <c r="T797" i="24"/>
  <c r="P797" i="24"/>
  <c r="L797" i="24"/>
  <c r="F797" i="24"/>
  <c r="B797" i="24"/>
  <c r="R796" i="24"/>
  <c r="N796" i="24"/>
  <c r="H796" i="24"/>
  <c r="D796" i="24"/>
  <c r="T795" i="24"/>
  <c r="P795" i="24"/>
  <c r="L795" i="24"/>
  <c r="F795" i="24"/>
  <c r="B795" i="24"/>
  <c r="R794" i="24"/>
  <c r="N794" i="24"/>
  <c r="H794" i="24"/>
  <c r="D794" i="24"/>
  <c r="T793" i="24"/>
  <c r="P793" i="24"/>
  <c r="L793" i="24"/>
  <c r="F793" i="24"/>
  <c r="B793" i="24"/>
  <c r="R792" i="24"/>
  <c r="N792" i="24"/>
  <c r="H792" i="24"/>
  <c r="D792" i="24"/>
  <c r="T791" i="24"/>
  <c r="P791" i="24"/>
  <c r="L791" i="24"/>
  <c r="F791" i="24"/>
  <c r="B791" i="24"/>
  <c r="R790" i="24"/>
  <c r="N790" i="24"/>
  <c r="H790" i="24"/>
  <c r="D790" i="24"/>
  <c r="T789" i="24"/>
  <c r="P789" i="24"/>
  <c r="L789" i="24"/>
  <c r="F789" i="24"/>
  <c r="B789" i="24"/>
  <c r="R788" i="24"/>
  <c r="N788" i="24"/>
  <c r="H788" i="24"/>
  <c r="D788" i="24"/>
  <c r="T787" i="24"/>
  <c r="P787" i="24"/>
  <c r="L787" i="24"/>
  <c r="F787" i="24"/>
  <c r="B787" i="24"/>
  <c r="R786" i="24"/>
  <c r="N786" i="24"/>
  <c r="H786" i="24"/>
  <c r="D786" i="24"/>
  <c r="T785" i="24"/>
  <c r="P785" i="24"/>
  <c r="L785" i="24"/>
  <c r="F785" i="24"/>
  <c r="B785" i="24"/>
  <c r="R784" i="24"/>
  <c r="N784" i="24"/>
  <c r="H784" i="24"/>
  <c r="D784" i="24"/>
  <c r="T783" i="24"/>
  <c r="P783" i="24"/>
  <c r="L783" i="24"/>
  <c r="F783" i="24"/>
  <c r="B783" i="24"/>
  <c r="R782" i="24"/>
  <c r="N782" i="24"/>
  <c r="H782" i="24"/>
  <c r="D782" i="24"/>
  <c r="T781" i="24"/>
  <c r="P781" i="24"/>
  <c r="L781" i="24"/>
  <c r="F781" i="24"/>
  <c r="B781" i="24"/>
  <c r="R780" i="24"/>
  <c r="N780" i="24"/>
  <c r="H780" i="24"/>
  <c r="D780" i="24"/>
  <c r="T779" i="24"/>
  <c r="P779" i="24"/>
  <c r="L779" i="24"/>
  <c r="F779" i="24"/>
  <c r="B779" i="24"/>
  <c r="R778" i="24"/>
  <c r="N778" i="24"/>
  <c r="H778" i="24"/>
  <c r="D778" i="24"/>
  <c r="T777" i="24"/>
  <c r="P777" i="24"/>
  <c r="L777" i="24"/>
  <c r="F777" i="24"/>
  <c r="B777" i="24"/>
  <c r="R776" i="24"/>
  <c r="N776" i="24"/>
  <c r="H776" i="24"/>
  <c r="D776" i="24"/>
  <c r="T775" i="24"/>
  <c r="P775" i="24"/>
  <c r="L775" i="24"/>
  <c r="F775" i="24"/>
  <c r="B775" i="24"/>
  <c r="R774" i="24"/>
  <c r="N774" i="24"/>
  <c r="H774" i="24"/>
  <c r="D774" i="24"/>
  <c r="T773" i="24"/>
  <c r="P773" i="24"/>
  <c r="L773" i="24"/>
  <c r="F773" i="24"/>
  <c r="B773" i="24"/>
  <c r="R772" i="24"/>
  <c r="N772" i="24"/>
  <c r="H772" i="24"/>
  <c r="D772" i="24"/>
  <c r="T771" i="24"/>
  <c r="P771" i="24"/>
  <c r="L771" i="24"/>
  <c r="F771" i="24"/>
  <c r="B771" i="24"/>
  <c r="R770" i="24"/>
  <c r="N770" i="24"/>
  <c r="H770" i="24"/>
  <c r="D770" i="24"/>
  <c r="T769" i="24"/>
  <c r="P769" i="24"/>
  <c r="L769" i="24"/>
  <c r="F769" i="24"/>
  <c r="B769" i="24"/>
  <c r="R768" i="24"/>
  <c r="N768" i="24"/>
  <c r="H768" i="24"/>
  <c r="D768" i="24"/>
  <c r="T767" i="24"/>
  <c r="P767" i="24"/>
  <c r="L767" i="24"/>
  <c r="F767" i="24"/>
  <c r="B767" i="24"/>
  <c r="R766" i="24"/>
  <c r="N766" i="24"/>
  <c r="H766" i="24"/>
  <c r="D766" i="24"/>
  <c r="T765" i="24"/>
  <c r="P765" i="24"/>
  <c r="L765" i="24"/>
  <c r="F765" i="24"/>
  <c r="B765" i="24"/>
  <c r="R764" i="24"/>
  <c r="N764" i="24"/>
  <c r="H764" i="24"/>
  <c r="D764" i="24"/>
  <c r="T763" i="24"/>
  <c r="P763" i="24"/>
  <c r="L763" i="24"/>
  <c r="F763" i="24"/>
  <c r="B763" i="24"/>
  <c r="R762" i="24"/>
  <c r="N762" i="24"/>
  <c r="H762" i="24"/>
  <c r="D762" i="24"/>
  <c r="T761" i="24"/>
  <c r="P761" i="24"/>
  <c r="L761" i="24"/>
  <c r="F761" i="24"/>
  <c r="B761" i="24"/>
  <c r="R760" i="24"/>
  <c r="N760" i="24"/>
  <c r="H760" i="24"/>
  <c r="D760" i="24"/>
  <c r="T759" i="24"/>
  <c r="P759" i="24"/>
  <c r="L759" i="24"/>
  <c r="F759" i="24"/>
  <c r="B759" i="24"/>
  <c r="R758" i="24"/>
  <c r="N758" i="24"/>
  <c r="H758" i="24"/>
  <c r="D758" i="24"/>
  <c r="T757" i="24"/>
  <c r="P757" i="24"/>
  <c r="L757" i="24"/>
  <c r="F757" i="24"/>
  <c r="B757" i="24"/>
  <c r="R756" i="24"/>
  <c r="N756" i="24"/>
  <c r="H756" i="24"/>
  <c r="D756" i="24"/>
  <c r="T755" i="24"/>
  <c r="P755" i="24"/>
  <c r="L755" i="24"/>
  <c r="F755" i="24"/>
  <c r="B755" i="24"/>
  <c r="R754" i="24"/>
  <c r="N754" i="24"/>
  <c r="H754" i="24"/>
  <c r="D754" i="24"/>
  <c r="T753" i="24"/>
  <c r="P753" i="24"/>
  <c r="L753" i="24"/>
  <c r="F753" i="24"/>
  <c r="B753" i="24"/>
  <c r="R752" i="24"/>
  <c r="N752" i="24"/>
  <c r="H752" i="24"/>
  <c r="D752" i="24"/>
  <c r="T751" i="24"/>
  <c r="P751" i="24"/>
  <c r="L751" i="24"/>
  <c r="F751" i="24"/>
  <c r="B751" i="24"/>
  <c r="R750" i="24"/>
  <c r="N750" i="24"/>
  <c r="H750" i="24"/>
  <c r="D750" i="24"/>
  <c r="T749" i="24"/>
  <c r="P749" i="24"/>
  <c r="L749" i="24"/>
  <c r="F749" i="24"/>
  <c r="B749" i="24"/>
  <c r="R748" i="24"/>
  <c r="N748" i="24"/>
  <c r="H748" i="24"/>
  <c r="D748" i="24"/>
  <c r="T747" i="24"/>
  <c r="P747" i="24"/>
  <c r="L747" i="24"/>
  <c r="F747" i="24"/>
  <c r="B747" i="24"/>
  <c r="R746" i="24"/>
  <c r="N746" i="24"/>
  <c r="H746" i="24"/>
  <c r="D746" i="24"/>
  <c r="T745" i="24"/>
  <c r="P745" i="24"/>
  <c r="L745" i="24"/>
  <c r="F745" i="24"/>
  <c r="B745" i="24"/>
  <c r="R744" i="24"/>
  <c r="N744" i="24"/>
  <c r="H744" i="24"/>
  <c r="D744" i="24"/>
  <c r="T743" i="24"/>
  <c r="P743" i="24"/>
  <c r="L743" i="24"/>
  <c r="F743" i="24"/>
  <c r="B743" i="24"/>
  <c r="R742" i="24"/>
  <c r="N742" i="24"/>
  <c r="H742" i="24"/>
  <c r="D742" i="24"/>
  <c r="T741" i="24"/>
  <c r="P741" i="24"/>
  <c r="L741" i="24"/>
  <c r="F741" i="24"/>
  <c r="B741" i="24"/>
  <c r="R740" i="24"/>
  <c r="N740" i="24"/>
  <c r="H740" i="24"/>
  <c r="D740" i="24"/>
  <c r="T739" i="24"/>
  <c r="P739" i="24"/>
  <c r="L739" i="24"/>
  <c r="F739" i="24"/>
  <c r="B739" i="24"/>
  <c r="R738" i="24"/>
  <c r="N738" i="24"/>
  <c r="H738" i="24"/>
  <c r="D738" i="24"/>
  <c r="T737" i="24"/>
  <c r="P737" i="24"/>
  <c r="L737" i="24"/>
  <c r="F737" i="24"/>
  <c r="B737" i="24"/>
  <c r="R736" i="24"/>
  <c r="N736" i="24"/>
  <c r="H736" i="24"/>
  <c r="D736" i="24"/>
  <c r="T735" i="24"/>
  <c r="P735" i="24"/>
  <c r="L735" i="24"/>
  <c r="F735" i="24"/>
  <c r="B735" i="24"/>
  <c r="R734" i="24"/>
  <c r="N734" i="24"/>
  <c r="H734" i="24"/>
  <c r="D734" i="24"/>
  <c r="T733" i="24"/>
  <c r="P733" i="24"/>
  <c r="L733" i="24"/>
  <c r="F733" i="24"/>
  <c r="B733" i="24"/>
  <c r="R732" i="24"/>
  <c r="N732" i="24"/>
  <c r="H732" i="24"/>
  <c r="D732" i="24"/>
  <c r="T731" i="24"/>
  <c r="P731" i="24"/>
  <c r="L731" i="24"/>
  <c r="F731" i="24"/>
  <c r="B731" i="24"/>
  <c r="R730" i="24"/>
  <c r="N730" i="24"/>
  <c r="H730" i="24"/>
  <c r="D730" i="24"/>
  <c r="T729" i="24"/>
  <c r="P729" i="24"/>
  <c r="L729" i="24"/>
  <c r="F729" i="24"/>
  <c r="B729" i="24"/>
  <c r="R728" i="24"/>
  <c r="N728" i="24"/>
  <c r="H728" i="24"/>
  <c r="D728" i="24"/>
  <c r="T727" i="24"/>
  <c r="P727" i="24"/>
  <c r="L727" i="24"/>
  <c r="F727" i="24"/>
  <c r="B727" i="24"/>
  <c r="R726" i="24"/>
  <c r="N726" i="24"/>
  <c r="H726" i="24"/>
  <c r="D726" i="24"/>
  <c r="T725" i="24"/>
  <c r="P725" i="24"/>
  <c r="L725" i="24"/>
  <c r="F725" i="24"/>
  <c r="B725" i="24"/>
  <c r="R724" i="24"/>
  <c r="N724" i="24"/>
  <c r="H724" i="24"/>
  <c r="D724" i="24"/>
  <c r="T723" i="24"/>
  <c r="P723" i="24"/>
  <c r="L723" i="24"/>
  <c r="F723" i="24"/>
  <c r="B723" i="24"/>
  <c r="R722" i="24"/>
  <c r="N722" i="24"/>
  <c r="H722" i="24"/>
  <c r="D722" i="24"/>
  <c r="T721" i="24"/>
  <c r="P721" i="24"/>
  <c r="L721" i="24"/>
  <c r="F721" i="24"/>
  <c r="B721" i="24"/>
  <c r="R720" i="24"/>
  <c r="N720" i="24"/>
  <c r="H720" i="24"/>
  <c r="D720" i="24"/>
  <c r="T719" i="24"/>
  <c r="P719" i="24"/>
  <c r="L719" i="24"/>
  <c r="F719" i="24"/>
  <c r="B719" i="24"/>
  <c r="R718" i="24"/>
  <c r="N718" i="24"/>
  <c r="H718" i="24"/>
  <c r="D718" i="24"/>
  <c r="T717" i="24"/>
  <c r="P717" i="24"/>
  <c r="L717" i="24"/>
  <c r="F717" i="24"/>
  <c r="B717" i="24"/>
  <c r="R716" i="24"/>
  <c r="N716" i="24"/>
  <c r="H716" i="24"/>
  <c r="D716" i="24"/>
  <c r="T715" i="24"/>
  <c r="P715" i="24"/>
  <c r="L715" i="24"/>
  <c r="F715" i="24"/>
  <c r="B715" i="24"/>
  <c r="R714" i="24"/>
  <c r="N714" i="24"/>
  <c r="H714" i="24"/>
  <c r="D714" i="24"/>
  <c r="T713" i="24"/>
  <c r="P713" i="24"/>
  <c r="L713" i="24"/>
  <c r="F713" i="24"/>
  <c r="B713" i="24"/>
  <c r="R712" i="24"/>
  <c r="N712" i="24"/>
  <c r="H712" i="24"/>
  <c r="D712" i="24"/>
  <c r="T711" i="24"/>
  <c r="P711" i="24"/>
  <c r="L711" i="24"/>
  <c r="F711" i="24"/>
  <c r="B711" i="24"/>
  <c r="R710" i="24"/>
  <c r="N710" i="24"/>
  <c r="H710" i="24"/>
  <c r="D710" i="24"/>
  <c r="T709" i="24"/>
  <c r="P709" i="24"/>
  <c r="L709" i="24"/>
  <c r="F709" i="24"/>
  <c r="B709" i="24"/>
  <c r="R708" i="24"/>
  <c r="N708" i="24"/>
  <c r="H708" i="24"/>
  <c r="D708" i="24"/>
  <c r="T707" i="24"/>
  <c r="P707" i="24"/>
  <c r="L707" i="24"/>
  <c r="F707" i="24"/>
  <c r="B707" i="24"/>
  <c r="R706" i="24"/>
  <c r="N706" i="24"/>
  <c r="H706" i="24"/>
  <c r="D706" i="24"/>
  <c r="T705" i="24"/>
  <c r="P705" i="24"/>
  <c r="L705" i="24"/>
  <c r="F705" i="24"/>
  <c r="B705" i="24"/>
  <c r="R704" i="24"/>
  <c r="N704" i="24"/>
  <c r="H704" i="24"/>
  <c r="D704" i="24"/>
  <c r="T703" i="24"/>
  <c r="P703" i="24"/>
  <c r="L703" i="24"/>
  <c r="F703" i="24"/>
  <c r="B703" i="24"/>
  <c r="R702" i="24"/>
  <c r="N702" i="24"/>
  <c r="H702" i="24"/>
  <c r="D702" i="24"/>
  <c r="T701" i="24"/>
  <c r="P701" i="24"/>
  <c r="L701" i="24"/>
  <c r="F701" i="24"/>
  <c r="B701" i="24"/>
  <c r="R700" i="24"/>
  <c r="N700" i="24"/>
  <c r="H700" i="24"/>
  <c r="D700" i="24"/>
  <c r="T699" i="24"/>
  <c r="P699" i="24"/>
  <c r="L699" i="24"/>
  <c r="F699" i="24"/>
  <c r="B699" i="24"/>
  <c r="R698" i="24"/>
  <c r="N698" i="24"/>
  <c r="H698" i="24"/>
  <c r="D698" i="24"/>
  <c r="T697" i="24"/>
  <c r="P697" i="24"/>
  <c r="L697" i="24"/>
  <c r="F697" i="24"/>
  <c r="B697" i="24"/>
  <c r="R696" i="24"/>
  <c r="N696" i="24"/>
  <c r="H696" i="24"/>
  <c r="D696" i="24"/>
  <c r="T695" i="24"/>
  <c r="P695" i="24"/>
  <c r="L695" i="24"/>
  <c r="F695" i="24"/>
  <c r="B695" i="24"/>
  <c r="R694" i="24"/>
  <c r="N694" i="24"/>
  <c r="H694" i="24"/>
  <c r="D694" i="24"/>
  <c r="T693" i="24"/>
  <c r="P693" i="24"/>
  <c r="L693" i="24"/>
  <c r="F693" i="24"/>
  <c r="B693" i="24"/>
  <c r="R692" i="24"/>
  <c r="N692" i="24"/>
  <c r="H692" i="24"/>
  <c r="D692" i="24"/>
  <c r="T691" i="24"/>
  <c r="P691" i="24"/>
  <c r="L691" i="24"/>
  <c r="F691" i="24"/>
  <c r="B691" i="24"/>
  <c r="R690" i="24"/>
  <c r="N690" i="24"/>
  <c r="H690" i="24"/>
  <c r="D690" i="24"/>
  <c r="T689" i="24"/>
  <c r="P689" i="24"/>
  <c r="L689" i="24"/>
  <c r="F689" i="24"/>
  <c r="B689" i="24"/>
  <c r="R688" i="24"/>
  <c r="N688" i="24"/>
  <c r="H688" i="24"/>
  <c r="D688" i="24"/>
  <c r="T687" i="24"/>
  <c r="P687" i="24"/>
  <c r="L687" i="24"/>
  <c r="F687" i="24"/>
  <c r="B687" i="24"/>
  <c r="R686" i="24"/>
  <c r="N686" i="24"/>
  <c r="H686" i="24"/>
  <c r="D686" i="24"/>
  <c r="T685" i="24"/>
  <c r="P685" i="24"/>
  <c r="L685" i="24"/>
  <c r="F685" i="24"/>
  <c r="B685" i="24"/>
  <c r="R684" i="24"/>
  <c r="N684" i="24"/>
  <c r="H684" i="24"/>
  <c r="D684" i="24"/>
  <c r="T683" i="24"/>
  <c r="P683" i="24"/>
  <c r="L683" i="24"/>
  <c r="F683" i="24"/>
  <c r="B683" i="24"/>
  <c r="R682" i="24"/>
  <c r="N682" i="24"/>
  <c r="H682" i="24"/>
  <c r="D682" i="24"/>
  <c r="T681" i="24"/>
  <c r="P681" i="24"/>
  <c r="L681" i="24"/>
  <c r="F681" i="24"/>
  <c r="B681" i="24"/>
  <c r="R680" i="24"/>
  <c r="N680" i="24"/>
  <c r="H680" i="24"/>
  <c r="D680" i="24"/>
  <c r="T679" i="24"/>
  <c r="P679" i="24"/>
  <c r="L679" i="24"/>
  <c r="F679" i="24"/>
  <c r="B679" i="24"/>
  <c r="R678" i="24"/>
  <c r="N678" i="24"/>
  <c r="H678" i="24"/>
  <c r="D678" i="24"/>
  <c r="T677" i="24"/>
  <c r="P677" i="24"/>
  <c r="L677" i="24"/>
  <c r="F677" i="24"/>
  <c r="B677" i="24"/>
  <c r="R676" i="24"/>
  <c r="N676" i="24"/>
  <c r="H676" i="24"/>
  <c r="D676" i="24"/>
  <c r="T675" i="24"/>
  <c r="P675" i="24"/>
  <c r="L675" i="24"/>
  <c r="F675" i="24"/>
  <c r="B675" i="24"/>
  <c r="R674" i="24"/>
  <c r="N674" i="24"/>
  <c r="H674" i="24"/>
  <c r="D674" i="24"/>
  <c r="T673" i="24"/>
  <c r="P673" i="24"/>
  <c r="L673" i="24"/>
  <c r="F673" i="24"/>
  <c r="B673" i="24"/>
  <c r="R672" i="24"/>
  <c r="N672" i="24"/>
  <c r="H672" i="24"/>
  <c r="D672" i="24"/>
  <c r="T671" i="24"/>
  <c r="P671" i="24"/>
  <c r="L671" i="24"/>
  <c r="F671" i="24"/>
  <c r="B671" i="24"/>
  <c r="R670" i="24"/>
  <c r="N670" i="24"/>
  <c r="H670" i="24"/>
  <c r="D670" i="24"/>
  <c r="T669" i="24"/>
  <c r="P669" i="24"/>
  <c r="L669" i="24"/>
  <c r="F669" i="24"/>
  <c r="B669" i="24"/>
  <c r="R668" i="24"/>
  <c r="N668" i="24"/>
  <c r="H668" i="24"/>
  <c r="D668" i="24"/>
  <c r="T667" i="24"/>
  <c r="P667" i="24"/>
  <c r="L667" i="24"/>
  <c r="F667" i="24"/>
  <c r="B667" i="24"/>
  <c r="R666" i="24"/>
  <c r="N666" i="24"/>
  <c r="H666" i="24"/>
  <c r="D666" i="24"/>
  <c r="T665" i="24"/>
  <c r="P665" i="24"/>
  <c r="L665" i="24"/>
  <c r="F665" i="24"/>
  <c r="B665" i="24"/>
  <c r="R664" i="24"/>
  <c r="N664" i="24"/>
  <c r="H664" i="24"/>
  <c r="D664" i="24"/>
  <c r="T663" i="24"/>
  <c r="P663" i="24"/>
  <c r="L663" i="24"/>
  <c r="F663" i="24"/>
  <c r="B663" i="24"/>
  <c r="R662" i="24"/>
  <c r="N662" i="24"/>
  <c r="H662" i="24"/>
  <c r="D662" i="24"/>
  <c r="T661" i="24"/>
  <c r="P661" i="24"/>
  <c r="L661" i="24"/>
  <c r="F661" i="24"/>
  <c r="B661" i="24"/>
  <c r="R660" i="24"/>
  <c r="N660" i="24"/>
  <c r="H660" i="24"/>
  <c r="D660" i="24"/>
  <c r="T659" i="24"/>
  <c r="P659" i="24"/>
  <c r="L659" i="24"/>
  <c r="F659" i="24"/>
  <c r="B659" i="24"/>
  <c r="R658" i="24"/>
  <c r="N658" i="24"/>
  <c r="H658" i="24"/>
  <c r="D658" i="24"/>
  <c r="T657" i="24"/>
  <c r="P657" i="24"/>
  <c r="L657" i="24"/>
  <c r="F657" i="24"/>
  <c r="B657" i="24"/>
  <c r="R656" i="24"/>
  <c r="N656" i="24"/>
  <c r="H656" i="24"/>
  <c r="D656" i="24"/>
  <c r="T655" i="24"/>
  <c r="P655" i="24"/>
  <c r="L655" i="24"/>
  <c r="F655" i="24"/>
  <c r="B655" i="24"/>
  <c r="R654" i="24"/>
  <c r="N654" i="24"/>
  <c r="H654" i="24"/>
  <c r="D654" i="24"/>
  <c r="T653" i="24"/>
  <c r="P653" i="24"/>
  <c r="L653" i="24"/>
  <c r="F653" i="24"/>
  <c r="B653" i="24"/>
  <c r="R652" i="24"/>
  <c r="N652" i="24"/>
  <c r="H652" i="24"/>
  <c r="D652" i="24"/>
  <c r="T651" i="24"/>
  <c r="P651" i="24"/>
  <c r="L651" i="24"/>
  <c r="F651" i="24"/>
  <c r="B651" i="24"/>
  <c r="R650" i="24"/>
  <c r="N650" i="24"/>
  <c r="H650" i="24"/>
  <c r="D650" i="24"/>
  <c r="T649" i="24"/>
  <c r="P649" i="24"/>
  <c r="L649" i="24"/>
  <c r="F649" i="24"/>
  <c r="B649" i="24"/>
  <c r="R648" i="24"/>
  <c r="N648" i="24"/>
  <c r="H648" i="24"/>
  <c r="D648" i="24"/>
  <c r="T647" i="24"/>
  <c r="P647" i="24"/>
  <c r="L647" i="24"/>
  <c r="F647" i="24"/>
  <c r="B647" i="24"/>
  <c r="R646" i="24"/>
  <c r="N646" i="24"/>
  <c r="H646" i="24"/>
  <c r="D646" i="24"/>
  <c r="T645" i="24"/>
  <c r="P645" i="24"/>
  <c r="L645" i="24"/>
  <c r="F645" i="24"/>
  <c r="B645" i="24"/>
  <c r="R644" i="24"/>
  <c r="N644" i="24"/>
  <c r="H644" i="24"/>
  <c r="D644" i="24"/>
  <c r="T643" i="24"/>
  <c r="P643" i="24"/>
  <c r="L643" i="24"/>
  <c r="F643" i="24"/>
  <c r="B643" i="24"/>
  <c r="R642" i="24"/>
  <c r="N642" i="24"/>
  <c r="H642" i="24"/>
  <c r="D642" i="24"/>
  <c r="T641" i="24"/>
  <c r="P641" i="24"/>
  <c r="L641" i="24"/>
  <c r="F641" i="24"/>
  <c r="B641" i="24"/>
  <c r="R640" i="24"/>
  <c r="N640" i="24"/>
  <c r="H640" i="24"/>
  <c r="D640" i="24"/>
  <c r="T639" i="24"/>
  <c r="P639" i="24"/>
  <c r="L639" i="24"/>
  <c r="F639" i="24"/>
  <c r="B639" i="24"/>
  <c r="R638" i="24"/>
  <c r="N638" i="24"/>
  <c r="H638" i="24"/>
  <c r="D638" i="24"/>
  <c r="T637" i="24"/>
  <c r="P637" i="24"/>
  <c r="L637" i="24"/>
  <c r="F637" i="24"/>
  <c r="B637" i="24"/>
  <c r="R636" i="24"/>
  <c r="N636" i="24"/>
  <c r="H636" i="24"/>
  <c r="D636" i="24"/>
  <c r="T635" i="24"/>
  <c r="P635" i="24"/>
  <c r="L635" i="24"/>
  <c r="F635" i="24"/>
  <c r="B635" i="24"/>
  <c r="R634" i="24"/>
  <c r="N634" i="24"/>
  <c r="H634" i="24"/>
  <c r="D634" i="24"/>
  <c r="T633" i="24"/>
  <c r="P633" i="24"/>
  <c r="L633" i="24"/>
  <c r="F633" i="24"/>
  <c r="B633" i="24"/>
  <c r="R632" i="24"/>
  <c r="N632" i="24"/>
  <c r="H632" i="24"/>
  <c r="D632" i="24"/>
  <c r="T631" i="24"/>
  <c r="P631" i="24"/>
  <c r="L631" i="24"/>
  <c r="F631" i="24"/>
  <c r="B631" i="24"/>
  <c r="R630" i="24"/>
  <c r="N630" i="24"/>
  <c r="H630" i="24"/>
  <c r="D630" i="24"/>
  <c r="T629" i="24"/>
  <c r="P629" i="24"/>
  <c r="L629" i="24"/>
  <c r="F629" i="24"/>
  <c r="B629" i="24"/>
  <c r="R628" i="24"/>
  <c r="N628" i="24"/>
  <c r="H628" i="24"/>
  <c r="D628" i="24"/>
  <c r="T627" i="24"/>
  <c r="P627" i="24"/>
  <c r="L627" i="24"/>
  <c r="F627" i="24"/>
  <c r="B627" i="24"/>
  <c r="R626" i="24"/>
  <c r="N626" i="24"/>
  <c r="H626" i="24"/>
  <c r="D626" i="24"/>
  <c r="T625" i="24"/>
  <c r="P625" i="24"/>
  <c r="L625" i="24"/>
  <c r="F625" i="24"/>
  <c r="B625" i="24"/>
  <c r="R624" i="24"/>
  <c r="N624" i="24"/>
  <c r="H624" i="24"/>
  <c r="D624" i="24"/>
  <c r="T623" i="24"/>
  <c r="P623" i="24"/>
  <c r="L623" i="24"/>
  <c r="F623" i="24"/>
  <c r="B623" i="24"/>
  <c r="R622" i="24"/>
  <c r="N622" i="24"/>
  <c r="T2195" i="24"/>
  <c r="F2082" i="24"/>
  <c r="E2029" i="24"/>
  <c r="Q2000" i="24"/>
  <c r="G1972" i="24"/>
  <c r="D1956" i="24"/>
  <c r="T1941" i="24"/>
  <c r="P1927" i="24"/>
  <c r="L1913" i="24"/>
  <c r="F1899" i="24"/>
  <c r="B1885" i="24"/>
  <c r="R1870" i="24"/>
  <c r="N1856" i="24"/>
  <c r="H1842" i="24"/>
  <c r="D1828" i="24"/>
  <c r="A1814" i="24"/>
  <c r="S1806" i="24"/>
  <c r="Q1799" i="24"/>
  <c r="O1792" i="24"/>
  <c r="M1785" i="24"/>
  <c r="K1778" i="24"/>
  <c r="F1774" i="24"/>
  <c r="P1770" i="24"/>
  <c r="D1767" i="24"/>
  <c r="N1763" i="24"/>
  <c r="B1760" i="24"/>
  <c r="L1756" i="24"/>
  <c r="T1752" i="24"/>
  <c r="H1749" i="24"/>
  <c r="R1745" i="24"/>
  <c r="F1742" i="24"/>
  <c r="P1738" i="24"/>
  <c r="D1735" i="24"/>
  <c r="N1731" i="24"/>
  <c r="B1728" i="24"/>
  <c r="L1724" i="24"/>
  <c r="T1720" i="24"/>
  <c r="H1717" i="24"/>
  <c r="R1713" i="24"/>
  <c r="F1710" i="24"/>
  <c r="P1706" i="24"/>
  <c r="D1703" i="24"/>
  <c r="N1699" i="24"/>
  <c r="B1696" i="24"/>
  <c r="L1692" i="24"/>
  <c r="T1688" i="24"/>
  <c r="H1685" i="24"/>
  <c r="R1681" i="24"/>
  <c r="F1678" i="24"/>
  <c r="P1674" i="24"/>
  <c r="D1671" i="24"/>
  <c r="N1667" i="24"/>
  <c r="B1664" i="24"/>
  <c r="L1660" i="24"/>
  <c r="T1656" i="24"/>
  <c r="P1642" i="24"/>
  <c r="L1628" i="24"/>
  <c r="F1614" i="24"/>
  <c r="B1600" i="24"/>
  <c r="R1585" i="24"/>
  <c r="N1571" i="24"/>
  <c r="H1557" i="24"/>
  <c r="D1543" i="24"/>
  <c r="T1528" i="24"/>
  <c r="P1514" i="24"/>
  <c r="L1500" i="24"/>
  <c r="F1486" i="24"/>
  <c r="B1472" i="24"/>
  <c r="R1457" i="24"/>
  <c r="N1443" i="24"/>
  <c r="H1429" i="24"/>
  <c r="D1415" i="24"/>
  <c r="N1405" i="24"/>
  <c r="L1398" i="24"/>
  <c r="L1394" i="24"/>
  <c r="T1390" i="24"/>
  <c r="H1387" i="24"/>
  <c r="R1383" i="24"/>
  <c r="F1380" i="24"/>
  <c r="P1376" i="24"/>
  <c r="D1373" i="24"/>
  <c r="N1369" i="24"/>
  <c r="B1366" i="24"/>
  <c r="L1362" i="24"/>
  <c r="T1358" i="24"/>
  <c r="H1355" i="24"/>
  <c r="R1351" i="24"/>
  <c r="F1348" i="24"/>
  <c r="P1344" i="24"/>
  <c r="D1341" i="24"/>
  <c r="N1337" i="24"/>
  <c r="B1334" i="24"/>
  <c r="L1330" i="24"/>
  <c r="T1326" i="24"/>
  <c r="H1323" i="24"/>
  <c r="R1319" i="24"/>
  <c r="F1316" i="24"/>
  <c r="P1312" i="24"/>
  <c r="D1309" i="24"/>
  <c r="N1305" i="24"/>
  <c r="B1302" i="24"/>
  <c r="L1298" i="24"/>
  <c r="T1294" i="24"/>
  <c r="H1291" i="24"/>
  <c r="R1287" i="24"/>
  <c r="F1284" i="24"/>
  <c r="P1280" i="24"/>
  <c r="D1277" i="24"/>
  <c r="N1273" i="24"/>
  <c r="B1270" i="24"/>
  <c r="L1266" i="24"/>
  <c r="T1262" i="24"/>
  <c r="H1259" i="24"/>
  <c r="R1255" i="24"/>
  <c r="F1252" i="24"/>
  <c r="P1248" i="24"/>
  <c r="D1245" i="24"/>
  <c r="N1241" i="24"/>
  <c r="B1238" i="24"/>
  <c r="L1234" i="24"/>
  <c r="T1230" i="24"/>
  <c r="H1227" i="24"/>
  <c r="R1223" i="24"/>
  <c r="F1220" i="24"/>
  <c r="P1216" i="24"/>
  <c r="D1213" i="24"/>
  <c r="N1209" i="24"/>
  <c r="B1206" i="24"/>
  <c r="L1202" i="24"/>
  <c r="T1198" i="24"/>
  <c r="H1195" i="24"/>
  <c r="R1191" i="24"/>
  <c r="F1188" i="24"/>
  <c r="P1184" i="24"/>
  <c r="D1181" i="24"/>
  <c r="N1177" i="24"/>
  <c r="B1174" i="24"/>
  <c r="L1170" i="24"/>
  <c r="T1166" i="24"/>
  <c r="H1163" i="24"/>
  <c r="R1159" i="24"/>
  <c r="F1156" i="24"/>
  <c r="P1152" i="24"/>
  <c r="D1149" i="24"/>
  <c r="N1145" i="24"/>
  <c r="B1142" i="24"/>
  <c r="L1138" i="24"/>
  <c r="T1134" i="24"/>
  <c r="H1131" i="24"/>
  <c r="R1127" i="24"/>
  <c r="F1124" i="24"/>
  <c r="P1120" i="24"/>
  <c r="D1117" i="24"/>
  <c r="N1113" i="24"/>
  <c r="B1110" i="24"/>
  <c r="L1106" i="24"/>
  <c r="T1102" i="24"/>
  <c r="H1099" i="24"/>
  <c r="R1095" i="24"/>
  <c r="F1092" i="24"/>
  <c r="P1088" i="24"/>
  <c r="D1085" i="24"/>
  <c r="N1081" i="24"/>
  <c r="B1078" i="24"/>
  <c r="L1074" i="24"/>
  <c r="T1070" i="24"/>
  <c r="H1067" i="24"/>
  <c r="R1063" i="24"/>
  <c r="F1060" i="24"/>
  <c r="A1059" i="24"/>
  <c r="C1058" i="24"/>
  <c r="E1057" i="24"/>
  <c r="G1056" i="24"/>
  <c r="K1055" i="24"/>
  <c r="M1054" i="24"/>
  <c r="O1053" i="24"/>
  <c r="Q1052" i="24"/>
  <c r="S1051" i="24"/>
  <c r="A1051" i="24"/>
  <c r="C1050" i="24"/>
  <c r="E1049" i="24"/>
  <c r="G1048" i="24"/>
  <c r="K1047" i="24"/>
  <c r="M1046" i="24"/>
  <c r="O1045" i="24"/>
  <c r="Q1044" i="24"/>
  <c r="S1043" i="24"/>
  <c r="A1043" i="24"/>
  <c r="C1042" i="24"/>
  <c r="E1041" i="24"/>
  <c r="G1040" i="24"/>
  <c r="K1039" i="24"/>
  <c r="M1038" i="24"/>
  <c r="O1037" i="24"/>
  <c r="Q1036" i="24"/>
  <c r="S1035" i="24"/>
  <c r="A1035" i="24"/>
  <c r="C1034" i="24"/>
  <c r="E1033" i="24"/>
  <c r="G1032" i="24"/>
  <c r="K1031" i="24"/>
  <c r="M1030" i="24"/>
  <c r="O1029" i="24"/>
  <c r="Q1028" i="24"/>
  <c r="S1027" i="24"/>
  <c r="A1027" i="24"/>
  <c r="C1026" i="24"/>
  <c r="E1025" i="24"/>
  <c r="G1024" i="24"/>
  <c r="K1023" i="24"/>
  <c r="M1022" i="24"/>
  <c r="O1021" i="24"/>
  <c r="Q1020" i="24"/>
  <c r="S1019" i="24"/>
  <c r="A1019" i="24"/>
  <c r="C1018" i="24"/>
  <c r="E1017" i="24"/>
  <c r="G1016" i="24"/>
  <c r="K1015" i="24"/>
  <c r="M1014" i="24"/>
  <c r="O1013" i="24"/>
  <c r="Q1012" i="24"/>
  <c r="S1011" i="24"/>
  <c r="A1011" i="24"/>
  <c r="C1010" i="24"/>
  <c r="E1009" i="24"/>
  <c r="G1008" i="24"/>
  <c r="K1007" i="24"/>
  <c r="M1006" i="24"/>
  <c r="O1005" i="24"/>
  <c r="Q1004" i="24"/>
  <c r="S1003" i="24"/>
  <c r="A1003" i="24"/>
  <c r="C1002" i="24"/>
  <c r="E1001" i="24"/>
  <c r="G1000" i="24"/>
  <c r="K999" i="24"/>
  <c r="M998" i="24"/>
  <c r="O997" i="24"/>
  <c r="Q996" i="24"/>
  <c r="S995" i="24"/>
  <c r="A995" i="24"/>
  <c r="C994" i="24"/>
  <c r="E993" i="24"/>
  <c r="G992" i="24"/>
  <c r="K991" i="24"/>
  <c r="M990" i="24"/>
  <c r="O989" i="24"/>
  <c r="Q988" i="24"/>
  <c r="S987" i="24"/>
  <c r="A987" i="24"/>
  <c r="C986" i="24"/>
  <c r="E985" i="24"/>
  <c r="G984" i="24"/>
  <c r="K983" i="24"/>
  <c r="M982" i="24"/>
  <c r="O981" i="24"/>
  <c r="Q980" i="24"/>
  <c r="S979" i="24"/>
  <c r="A979" i="24"/>
  <c r="C978" i="24"/>
  <c r="E977" i="24"/>
  <c r="G976" i="24"/>
  <c r="K975" i="24"/>
  <c r="M974" i="24"/>
  <c r="O973" i="24"/>
  <c r="Q972" i="24"/>
  <c r="S971" i="24"/>
  <c r="A971" i="24"/>
  <c r="C970" i="24"/>
  <c r="E969" i="24"/>
  <c r="G968" i="24"/>
  <c r="K967" i="24"/>
  <c r="M966" i="24"/>
  <c r="O965" i="24"/>
  <c r="Q964" i="24"/>
  <c r="S963" i="24"/>
  <c r="A963" i="24"/>
  <c r="C962" i="24"/>
  <c r="E961" i="24"/>
  <c r="G960" i="24"/>
  <c r="K959" i="24"/>
  <c r="M958" i="24"/>
  <c r="O957" i="24"/>
  <c r="Q956" i="24"/>
  <c r="S955" i="24"/>
  <c r="A955" i="24"/>
  <c r="C954" i="24"/>
  <c r="E953" i="24"/>
  <c r="G952" i="24"/>
  <c r="K951" i="24"/>
  <c r="M950" i="24"/>
  <c r="O949" i="24"/>
  <c r="Q948" i="24"/>
  <c r="S947" i="24"/>
  <c r="A947" i="24"/>
  <c r="C946" i="24"/>
  <c r="E945" i="24"/>
  <c r="G944" i="24"/>
  <c r="K943" i="24"/>
  <c r="M942" i="24"/>
  <c r="O941" i="24"/>
  <c r="Q940" i="24"/>
  <c r="S939" i="24"/>
  <c r="A939" i="24"/>
  <c r="C938" i="24"/>
  <c r="E937" i="24"/>
  <c r="G936" i="24"/>
  <c r="K935" i="24"/>
  <c r="M934" i="24"/>
  <c r="O933" i="24"/>
  <c r="Q932" i="24"/>
  <c r="S931" i="24"/>
  <c r="A931" i="24"/>
  <c r="C930" i="24"/>
  <c r="E929" i="24"/>
  <c r="G928" i="24"/>
  <c r="K927" i="24"/>
  <c r="M926" i="24"/>
  <c r="O925" i="24"/>
  <c r="Q924" i="24"/>
  <c r="S923" i="24"/>
  <c r="A923" i="24"/>
  <c r="C922" i="24"/>
  <c r="E921" i="24"/>
  <c r="G920" i="24"/>
  <c r="K919" i="24"/>
  <c r="M918" i="24"/>
  <c r="O917" i="24"/>
  <c r="Q916" i="24"/>
  <c r="S915" i="24"/>
  <c r="A915" i="24"/>
  <c r="C914" i="24"/>
  <c r="E913" i="24"/>
  <c r="G912" i="24"/>
  <c r="K911" i="24"/>
  <c r="M910" i="24"/>
  <c r="O909" i="24"/>
  <c r="Q908" i="24"/>
  <c r="S907" i="24"/>
  <c r="A907" i="24"/>
  <c r="C906" i="24"/>
  <c r="E905" i="24"/>
  <c r="G904" i="24"/>
  <c r="K903" i="24"/>
  <c r="M902" i="24"/>
  <c r="O901" i="24"/>
  <c r="Q900" i="24"/>
  <c r="S899" i="24"/>
  <c r="A899" i="24"/>
  <c r="C898" i="24"/>
  <c r="E897" i="24"/>
  <c r="G896" i="24"/>
  <c r="K895" i="24"/>
  <c r="M894" i="24"/>
  <c r="O893" i="24"/>
  <c r="Q892" i="24"/>
  <c r="S891" i="24"/>
  <c r="A891" i="24"/>
  <c r="C890" i="24"/>
  <c r="E889" i="24"/>
  <c r="G888" i="24"/>
  <c r="K887" i="24"/>
  <c r="M886" i="24"/>
  <c r="O885" i="24"/>
  <c r="Q884" i="24"/>
  <c r="S883" i="24"/>
  <c r="A883" i="24"/>
  <c r="C882" i="24"/>
  <c r="E881" i="24"/>
  <c r="G880" i="24"/>
  <c r="K879" i="24"/>
  <c r="M878" i="24"/>
  <c r="O877" i="24"/>
  <c r="Q876" i="24"/>
  <c r="S875" i="24"/>
  <c r="A875" i="24"/>
  <c r="C874" i="24"/>
  <c r="E873" i="24"/>
  <c r="G872" i="24"/>
  <c r="K871" i="24"/>
  <c r="M870" i="24"/>
  <c r="O869" i="24"/>
  <c r="Q868" i="24"/>
  <c r="S867" i="24"/>
  <c r="A867" i="24"/>
  <c r="C866" i="24"/>
  <c r="E865" i="24"/>
  <c r="G864" i="24"/>
  <c r="K863" i="24"/>
  <c r="M862" i="24"/>
  <c r="O861" i="24"/>
  <c r="Q860" i="24"/>
  <c r="S859" i="24"/>
  <c r="A859" i="24"/>
  <c r="C858" i="24"/>
  <c r="E857" i="24"/>
  <c r="G856" i="24"/>
  <c r="K855" i="24"/>
  <c r="M854" i="24"/>
  <c r="O853" i="24"/>
  <c r="Q852" i="24"/>
  <c r="S851" i="24"/>
  <c r="A851" i="24"/>
  <c r="C850" i="24"/>
  <c r="E849" i="24"/>
  <c r="G848" i="24"/>
  <c r="K847" i="24"/>
  <c r="M846" i="24"/>
  <c r="O845" i="24"/>
  <c r="Q844" i="24"/>
  <c r="S843" i="24"/>
  <c r="A843" i="24"/>
  <c r="C842" i="24"/>
  <c r="E841" i="24"/>
  <c r="G840" i="24"/>
  <c r="K839" i="24"/>
  <c r="M838" i="24"/>
  <c r="O837" i="24"/>
  <c r="Q836" i="24"/>
  <c r="S835" i="24"/>
  <c r="A835" i="24"/>
  <c r="C834" i="24"/>
  <c r="E833" i="24"/>
  <c r="G832" i="24"/>
  <c r="K831" i="24"/>
  <c r="M830" i="24"/>
  <c r="O829" i="24"/>
  <c r="Q828" i="24"/>
  <c r="S827" i="24"/>
  <c r="A827" i="24"/>
  <c r="C826" i="24"/>
  <c r="E825" i="24"/>
  <c r="G824" i="24"/>
  <c r="K823" i="24"/>
  <c r="M822" i="24"/>
  <c r="O821" i="24"/>
  <c r="Q820" i="24"/>
  <c r="S819" i="24"/>
  <c r="A819" i="24"/>
  <c r="C818" i="24"/>
  <c r="E817" i="24"/>
  <c r="G816" i="24"/>
  <c r="K815" i="24"/>
  <c r="M814" i="24"/>
  <c r="O813" i="24"/>
  <c r="Q812" i="24"/>
  <c r="S811" i="24"/>
  <c r="A811" i="24"/>
  <c r="C810" i="24"/>
  <c r="E809" i="24"/>
  <c r="G808" i="24"/>
  <c r="K807" i="24"/>
  <c r="M806" i="24"/>
  <c r="O805" i="24"/>
  <c r="Q804" i="24"/>
  <c r="S803" i="24"/>
  <c r="A803" i="24"/>
  <c r="C802" i="24"/>
  <c r="E801" i="24"/>
  <c r="G800" i="24"/>
  <c r="K799" i="24"/>
  <c r="M798" i="24"/>
  <c r="O797" i="24"/>
  <c r="Q796" i="24"/>
  <c r="S795" i="24"/>
  <c r="A795" i="24"/>
  <c r="C794" i="24"/>
  <c r="E793" i="24"/>
  <c r="G792" i="24"/>
  <c r="K791" i="24"/>
  <c r="M790" i="24"/>
  <c r="O789" i="24"/>
  <c r="Q788" i="24"/>
  <c r="S787" i="24"/>
  <c r="A787" i="24"/>
  <c r="C786" i="24"/>
  <c r="E785" i="24"/>
  <c r="G784" i="24"/>
  <c r="K783" i="24"/>
  <c r="M782" i="24"/>
  <c r="O781" i="24"/>
  <c r="Q780" i="24"/>
  <c r="S779" i="24"/>
  <c r="A779" i="24"/>
  <c r="C778" i="24"/>
  <c r="E777" i="24"/>
  <c r="G776" i="24"/>
  <c r="K775" i="24"/>
  <c r="M774" i="24"/>
  <c r="O773" i="24"/>
  <c r="Q772" i="24"/>
  <c r="S771" i="24"/>
  <c r="A771" i="24"/>
  <c r="C770" i="24"/>
  <c r="E769" i="24"/>
  <c r="G768" i="24"/>
  <c r="K767" i="24"/>
  <c r="M766" i="24"/>
  <c r="O765" i="24"/>
  <c r="Q764" i="24"/>
  <c r="S763" i="24"/>
  <c r="A763" i="24"/>
  <c r="C762" i="24"/>
  <c r="E761" i="24"/>
  <c r="G760" i="24"/>
  <c r="K759" i="24"/>
  <c r="M758" i="24"/>
  <c r="O757" i="24"/>
  <c r="Q756" i="24"/>
  <c r="S755" i="24"/>
  <c r="A755" i="24"/>
  <c r="C754" i="24"/>
  <c r="E753" i="24"/>
  <c r="G752" i="24"/>
  <c r="K751" i="24"/>
  <c r="M750" i="24"/>
  <c r="O749" i="24"/>
  <c r="Q748" i="24"/>
  <c r="S747" i="24"/>
  <c r="A747" i="24"/>
  <c r="C746" i="24"/>
  <c r="E745" i="24"/>
  <c r="G744" i="24"/>
  <c r="K743" i="24"/>
  <c r="M742" i="24"/>
  <c r="O741" i="24"/>
  <c r="Q740" i="24"/>
  <c r="S739" i="24"/>
  <c r="A739" i="24"/>
  <c r="C738" i="24"/>
  <c r="E737" i="24"/>
  <c r="G736" i="24"/>
  <c r="K735" i="24"/>
  <c r="M734" i="24"/>
  <c r="O733" i="24"/>
  <c r="Q732" i="24"/>
  <c r="S731" i="24"/>
  <c r="A731" i="24"/>
  <c r="C730" i="24"/>
  <c r="E729" i="24"/>
  <c r="G728" i="24"/>
  <c r="K727" i="24"/>
  <c r="M726" i="24"/>
  <c r="O725" i="24"/>
  <c r="Q724" i="24"/>
  <c r="S723" i="24"/>
  <c r="A723" i="24"/>
  <c r="C722" i="24"/>
  <c r="E721" i="24"/>
  <c r="G720" i="24"/>
  <c r="K719" i="24"/>
  <c r="M718" i="24"/>
  <c r="C718" i="24"/>
  <c r="O717" i="24"/>
  <c r="E717" i="24"/>
  <c r="Q716" i="24"/>
  <c r="G716" i="24"/>
  <c r="S715" i="24"/>
  <c r="K715" i="24"/>
  <c r="A715" i="24"/>
  <c r="M714" i="24"/>
  <c r="C714" i="24"/>
  <c r="O713" i="24"/>
  <c r="E713" i="24"/>
  <c r="Q712" i="24"/>
  <c r="G712" i="24"/>
  <c r="S711" i="24"/>
  <c r="K711" i="24"/>
  <c r="A711" i="24"/>
  <c r="M710" i="24"/>
  <c r="C710" i="24"/>
  <c r="O709" i="24"/>
  <c r="E709" i="24"/>
  <c r="Q708" i="24"/>
  <c r="H1653" i="24"/>
  <c r="D1639" i="24"/>
  <c r="T1624" i="24"/>
  <c r="P1610" i="24"/>
  <c r="L1596" i="24"/>
  <c r="F1582" i="24"/>
  <c r="B1568" i="24"/>
  <c r="R1553" i="24"/>
  <c r="N1539" i="24"/>
  <c r="H1525" i="24"/>
  <c r="D1511" i="24"/>
  <c r="T1496" i="24"/>
  <c r="P1482" i="24"/>
  <c r="L1468" i="24"/>
  <c r="F1454" i="24"/>
  <c r="B1440" i="24"/>
  <c r="R1425" i="24"/>
  <c r="N1411" i="24"/>
  <c r="R1403" i="24"/>
  <c r="D1397" i="24"/>
  <c r="N1393" i="24"/>
  <c r="B1390" i="24"/>
  <c r="L1386" i="24"/>
  <c r="T1382" i="24"/>
  <c r="H1379" i="24"/>
  <c r="R1375" i="24"/>
  <c r="F1372" i="24"/>
  <c r="P1368" i="24"/>
  <c r="D1365" i="24"/>
  <c r="N1361" i="24"/>
  <c r="B1358" i="24"/>
  <c r="L1354" i="24"/>
  <c r="T1350" i="24"/>
  <c r="H1347" i="24"/>
  <c r="R1343" i="24"/>
  <c r="F1340" i="24"/>
  <c r="P1336" i="24"/>
  <c r="D1333" i="24"/>
  <c r="N1329" i="24"/>
  <c r="B1326" i="24"/>
  <c r="L1322" i="24"/>
  <c r="T1318" i="24"/>
  <c r="H1315" i="24"/>
  <c r="R1311" i="24"/>
  <c r="F1308" i="24"/>
  <c r="P1304" i="24"/>
  <c r="D1301" i="24"/>
  <c r="N1297" i="24"/>
  <c r="B1294" i="24"/>
  <c r="L1290" i="24"/>
  <c r="T1286" i="24"/>
  <c r="H1283" i="24"/>
  <c r="R1279" i="24"/>
  <c r="F1276" i="24"/>
  <c r="P1272" i="24"/>
  <c r="D1269" i="24"/>
  <c r="N1265" i="24"/>
  <c r="B1262" i="24"/>
  <c r="L1258" i="24"/>
  <c r="T1254" i="24"/>
  <c r="H1251" i="24"/>
  <c r="R1247" i="24"/>
  <c r="F1244" i="24"/>
  <c r="P1240" i="24"/>
  <c r="D1237" i="24"/>
  <c r="N1233" i="24"/>
  <c r="B1230" i="24"/>
  <c r="L1226" i="24"/>
  <c r="T1222" i="24"/>
  <c r="H1219" i="24"/>
  <c r="R1215" i="24"/>
  <c r="F1212" i="24"/>
  <c r="P1208" i="24"/>
  <c r="D1205" i="24"/>
  <c r="N1201" i="24"/>
  <c r="B1198" i="24"/>
  <c r="L1194" i="24"/>
  <c r="T1190" i="24"/>
  <c r="H1187" i="24"/>
  <c r="R1183" i="24"/>
  <c r="F1180" i="24"/>
  <c r="P1176" i="24"/>
  <c r="D1173" i="24"/>
  <c r="N1169" i="24"/>
  <c r="B1166" i="24"/>
  <c r="L1162" i="24"/>
  <c r="T1158" i="24"/>
  <c r="H1155" i="24"/>
  <c r="R1151" i="24"/>
  <c r="F1148" i="24"/>
  <c r="P1144" i="24"/>
  <c r="D1141" i="24"/>
  <c r="N1137" i="24"/>
  <c r="B1134" i="24"/>
  <c r="L1130" i="24"/>
  <c r="T1126" i="24"/>
  <c r="H1123" i="24"/>
  <c r="R1119" i="24"/>
  <c r="F1116" i="24"/>
  <c r="P1112" i="24"/>
  <c r="D1109" i="24"/>
  <c r="N1105" i="24"/>
  <c r="B1102" i="24"/>
  <c r="L1098" i="24"/>
  <c r="T1094" i="24"/>
  <c r="H1091" i="24"/>
  <c r="R1087" i="24"/>
  <c r="F1084" i="24"/>
  <c r="P1080" i="24"/>
  <c r="D1077" i="24"/>
  <c r="N1073" i="24"/>
  <c r="B1070" i="24"/>
  <c r="L1066" i="24"/>
  <c r="T1062" i="24"/>
  <c r="Q1059" i="24"/>
  <c r="Q1058" i="24"/>
  <c r="S1057" i="24"/>
  <c r="A1057" i="24"/>
  <c r="C1056" i="24"/>
  <c r="E1055" i="24"/>
  <c r="G1054" i="24"/>
  <c r="K1053" i="24"/>
  <c r="M1052" i="24"/>
  <c r="O1051" i="24"/>
  <c r="Q1050" i="24"/>
  <c r="S1049" i="24"/>
  <c r="A1049" i="24"/>
  <c r="C1048" i="24"/>
  <c r="E1047" i="24"/>
  <c r="G1046" i="24"/>
  <c r="K1045" i="24"/>
  <c r="M1044" i="24"/>
  <c r="O1043" i="24"/>
  <c r="Q1042" i="24"/>
  <c r="S1041" i="24"/>
  <c r="A1041" i="24"/>
  <c r="C1040" i="24"/>
  <c r="E1039" i="24"/>
  <c r="G1038" i="24"/>
  <c r="K1037" i="24"/>
  <c r="M1036" i="24"/>
  <c r="O1035" i="24"/>
  <c r="Q1034" i="24"/>
  <c r="S1033" i="24"/>
  <c r="A1033" i="24"/>
  <c r="C1032" i="24"/>
  <c r="E1031" i="24"/>
  <c r="G1030" i="24"/>
  <c r="K1029" i="24"/>
  <c r="M1028" i="24"/>
  <c r="O1027" i="24"/>
  <c r="Q1026" i="24"/>
  <c r="S1025" i="24"/>
  <c r="A1025" i="24"/>
  <c r="C1024" i="24"/>
  <c r="E1023" i="24"/>
  <c r="G1022" i="24"/>
  <c r="K1021" i="24"/>
  <c r="M1020" i="24"/>
  <c r="O1019" i="24"/>
  <c r="Q1018" i="24"/>
  <c r="S1017" i="24"/>
  <c r="A1017" i="24"/>
  <c r="C1016" i="24"/>
  <c r="E1015" i="24"/>
  <c r="G1014" i="24"/>
  <c r="K1013" i="24"/>
  <c r="M1012" i="24"/>
  <c r="O1011" i="24"/>
  <c r="Q1010" i="24"/>
  <c r="S1009" i="24"/>
  <c r="A1009" i="24"/>
  <c r="C1008" i="24"/>
  <c r="E1007" i="24"/>
  <c r="G1006" i="24"/>
  <c r="K1005" i="24"/>
  <c r="M1004" i="24"/>
  <c r="O1003" i="24"/>
  <c r="Q1002" i="24"/>
  <c r="S1001" i="24"/>
  <c r="A1001" i="24"/>
  <c r="C1000" i="24"/>
  <c r="E999" i="24"/>
  <c r="G998" i="24"/>
  <c r="K997" i="24"/>
  <c r="M996" i="24"/>
  <c r="O995" i="24"/>
  <c r="Q994" i="24"/>
  <c r="S993" i="24"/>
  <c r="A993" i="24"/>
  <c r="C992" i="24"/>
  <c r="E991" i="24"/>
  <c r="G990" i="24"/>
  <c r="K989" i="24"/>
  <c r="M988" i="24"/>
  <c r="O987" i="24"/>
  <c r="Q986" i="24"/>
  <c r="S985" i="24"/>
  <c r="A985" i="24"/>
  <c r="C984" i="24"/>
  <c r="E983" i="24"/>
  <c r="G982" i="24"/>
  <c r="K981" i="24"/>
  <c r="M980" i="24"/>
  <c r="O979" i="24"/>
  <c r="Q978" i="24"/>
  <c r="S977" i="24"/>
  <c r="A977" i="24"/>
  <c r="C976" i="24"/>
  <c r="E975" i="24"/>
  <c r="G974" i="24"/>
  <c r="K973" i="24"/>
  <c r="M972" i="24"/>
  <c r="O971" i="24"/>
  <c r="Q970" i="24"/>
  <c r="S969" i="24"/>
  <c r="A969" i="24"/>
  <c r="C968" i="24"/>
  <c r="E967" i="24"/>
  <c r="G966" i="24"/>
  <c r="K965" i="24"/>
  <c r="M964" i="24"/>
  <c r="O963" i="24"/>
  <c r="Q962" i="24"/>
  <c r="S961" i="24"/>
  <c r="A961" i="24"/>
  <c r="C960" i="24"/>
  <c r="E959" i="24"/>
  <c r="G958" i="24"/>
  <c r="K957" i="24"/>
  <c r="M956" i="24"/>
  <c r="O955" i="24"/>
  <c r="Q954" i="24"/>
  <c r="S953" i="24"/>
  <c r="A953" i="24"/>
  <c r="C952" i="24"/>
  <c r="E951" i="24"/>
  <c r="G950" i="24"/>
  <c r="K949" i="24"/>
  <c r="M948" i="24"/>
  <c r="O947" i="24"/>
  <c r="Q946" i="24"/>
  <c r="S945" i="24"/>
  <c r="A945" i="24"/>
  <c r="C944" i="24"/>
  <c r="E943" i="24"/>
  <c r="G942" i="24"/>
  <c r="K941" i="24"/>
  <c r="M940" i="24"/>
  <c r="O939" i="24"/>
  <c r="Q938" i="24"/>
  <c r="S937" i="24"/>
  <c r="A937" i="24"/>
  <c r="C936" i="24"/>
  <c r="E935" i="24"/>
  <c r="G934" i="24"/>
  <c r="K933" i="24"/>
  <c r="M932" i="24"/>
  <c r="O931" i="24"/>
  <c r="Q930" i="24"/>
  <c r="S929" i="24"/>
  <c r="A929" i="24"/>
  <c r="C928" i="24"/>
  <c r="E927" i="24"/>
  <c r="G926" i="24"/>
  <c r="K925" i="24"/>
  <c r="M924" i="24"/>
  <c r="O923" i="24"/>
  <c r="Q922" i="24"/>
  <c r="S921" i="24"/>
  <c r="A921" i="24"/>
  <c r="C920" i="24"/>
  <c r="E919" i="24"/>
  <c r="G918" i="24"/>
  <c r="K917" i="24"/>
  <c r="M916" i="24"/>
  <c r="O915" i="24"/>
  <c r="Q914" i="24"/>
  <c r="S913" i="24"/>
  <c r="A913" i="24"/>
  <c r="C912" i="24"/>
  <c r="E911" i="24"/>
  <c r="G910" i="24"/>
  <c r="K909" i="24"/>
  <c r="M908" i="24"/>
  <c r="O907" i="24"/>
  <c r="Q906" i="24"/>
  <c r="S905" i="24"/>
  <c r="A905" i="24"/>
  <c r="C904" i="24"/>
  <c r="E903" i="24"/>
  <c r="G902" i="24"/>
  <c r="K901" i="24"/>
  <c r="M900" i="24"/>
  <c r="O899" i="24"/>
  <c r="Q898" i="24"/>
  <c r="S897" i="24"/>
  <c r="A897" i="24"/>
  <c r="C896" i="24"/>
  <c r="E895" i="24"/>
  <c r="G894" i="24"/>
  <c r="K893" i="24"/>
  <c r="M892" i="24"/>
  <c r="O891" i="24"/>
  <c r="Q890" i="24"/>
  <c r="S889" i="24"/>
  <c r="A889" i="24"/>
  <c r="C888" i="24"/>
  <c r="E887" i="24"/>
  <c r="G886" i="24"/>
  <c r="K885" i="24"/>
  <c r="M884" i="24"/>
  <c r="O883" i="24"/>
  <c r="Q882" i="24"/>
  <c r="S881" i="24"/>
  <c r="A881" i="24"/>
  <c r="C880" i="24"/>
  <c r="E879" i="24"/>
  <c r="G878" i="24"/>
  <c r="K877" i="24"/>
  <c r="M876" i="24"/>
  <c r="O875" i="24"/>
  <c r="Q874" i="24"/>
  <c r="S873" i="24"/>
  <c r="A873" i="24"/>
  <c r="C872" i="24"/>
  <c r="E871" i="24"/>
  <c r="G870" i="24"/>
  <c r="K869" i="24"/>
  <c r="M868" i="24"/>
  <c r="O867" i="24"/>
  <c r="Q866" i="24"/>
  <c r="S865" i="24"/>
  <c r="A865" i="24"/>
  <c r="C864" i="24"/>
  <c r="E863" i="24"/>
  <c r="G862" i="24"/>
  <c r="K861" i="24"/>
  <c r="M860" i="24"/>
  <c r="O859" i="24"/>
  <c r="Q858" i="24"/>
  <c r="S857" i="24"/>
  <c r="A857" i="24"/>
  <c r="C856" i="24"/>
  <c r="E855" i="24"/>
  <c r="G854" i="24"/>
  <c r="K853" i="24"/>
  <c r="M852" i="24"/>
  <c r="O851" i="24"/>
  <c r="Q850" i="24"/>
  <c r="S849" i="24"/>
  <c r="A849" i="24"/>
  <c r="C848" i="24"/>
  <c r="E847" i="24"/>
  <c r="G846" i="24"/>
  <c r="K845" i="24"/>
  <c r="M844" i="24"/>
  <c r="O843" i="24"/>
  <c r="Q842" i="24"/>
  <c r="S841" i="24"/>
  <c r="A841" i="24"/>
  <c r="C840" i="24"/>
  <c r="E839" i="24"/>
  <c r="G838" i="24"/>
  <c r="K837" i="24"/>
  <c r="M836" i="24"/>
  <c r="O835" i="24"/>
  <c r="Q834" i="24"/>
  <c r="S833" i="24"/>
  <c r="A833" i="24"/>
  <c r="C832" i="24"/>
  <c r="E831" i="24"/>
  <c r="G830" i="24"/>
  <c r="K829" i="24"/>
  <c r="M828" i="24"/>
  <c r="O827" i="24"/>
  <c r="Q826" i="24"/>
  <c r="S825" i="24"/>
  <c r="A825" i="24"/>
  <c r="C824" i="24"/>
  <c r="E823" i="24"/>
  <c r="G822" i="24"/>
  <c r="K821" i="24"/>
  <c r="M820" i="24"/>
  <c r="O819" i="24"/>
  <c r="Q818" i="24"/>
  <c r="S817" i="24"/>
  <c r="A817" i="24"/>
  <c r="C816" i="24"/>
  <c r="E815" i="24"/>
  <c r="G814" i="24"/>
  <c r="K813" i="24"/>
  <c r="M812" i="24"/>
  <c r="O811" i="24"/>
  <c r="Q810" i="24"/>
  <c r="S809" i="24"/>
  <c r="A809" i="24"/>
  <c r="C808" i="24"/>
  <c r="E807" i="24"/>
  <c r="G806" i="24"/>
  <c r="K805" i="24"/>
  <c r="M804" i="24"/>
  <c r="O803" i="24"/>
  <c r="Q802" i="24"/>
  <c r="S801" i="24"/>
  <c r="A801" i="24"/>
  <c r="C800" i="24"/>
  <c r="E799" i="24"/>
  <c r="G798" i="24"/>
  <c r="K797" i="24"/>
  <c r="M796" i="24"/>
  <c r="O795" i="24"/>
  <c r="Q794" i="24"/>
  <c r="S793" i="24"/>
  <c r="A793" i="24"/>
  <c r="C792" i="24"/>
  <c r="E791" i="24"/>
  <c r="G790" i="24"/>
  <c r="K789" i="24"/>
  <c r="M788" i="24"/>
  <c r="O787" i="24"/>
  <c r="Q786" i="24"/>
  <c r="S785" i="24"/>
  <c r="A785" i="24"/>
  <c r="C784" i="24"/>
  <c r="E783" i="24"/>
  <c r="G782" i="24"/>
  <c r="K781" i="24"/>
  <c r="M780" i="24"/>
  <c r="O779" i="24"/>
  <c r="Q778" i="24"/>
  <c r="S777" i="24"/>
  <c r="A777" i="24"/>
  <c r="C776" i="24"/>
  <c r="E775" i="24"/>
  <c r="G774" i="24"/>
  <c r="K773" i="24"/>
  <c r="M772" i="24"/>
  <c r="O771" i="24"/>
  <c r="Q770" i="24"/>
  <c r="S769" i="24"/>
  <c r="A769" i="24"/>
  <c r="C768" i="24"/>
  <c r="E767" i="24"/>
  <c r="G766" i="24"/>
  <c r="K765" i="24"/>
  <c r="M764" i="24"/>
  <c r="O763" i="24"/>
  <c r="Q762" i="24"/>
  <c r="S761" i="24"/>
  <c r="A761" i="24"/>
  <c r="C760" i="24"/>
  <c r="E759" i="24"/>
  <c r="G758" i="24"/>
  <c r="K757" i="24"/>
  <c r="M756" i="24"/>
  <c r="O755" i="24"/>
  <c r="Q754" i="24"/>
  <c r="S753" i="24"/>
  <c r="A753" i="24"/>
  <c r="C752" i="24"/>
  <c r="E751" i="24"/>
  <c r="G750" i="24"/>
  <c r="K749" i="24"/>
  <c r="M748" i="24"/>
  <c r="O747" i="24"/>
  <c r="Q746" i="24"/>
  <c r="S745" i="24"/>
  <c r="A745" i="24"/>
  <c r="C744" i="24"/>
  <c r="E743" i="24"/>
  <c r="G742" i="24"/>
  <c r="K741" i="24"/>
  <c r="M740" i="24"/>
  <c r="O739" i="24"/>
  <c r="Q738" i="24"/>
  <c r="S737" i="24"/>
  <c r="A737" i="24"/>
  <c r="C736" i="24"/>
  <c r="E735" i="24"/>
  <c r="G734" i="24"/>
  <c r="K733" i="24"/>
  <c r="M732" i="24"/>
  <c r="O731" i="24"/>
  <c r="Q730" i="24"/>
  <c r="S729" i="24"/>
  <c r="A729" i="24"/>
  <c r="C728" i="24"/>
  <c r="E727" i="24"/>
  <c r="G726" i="24"/>
  <c r="K725" i="24"/>
  <c r="M724" i="24"/>
  <c r="O723" i="24"/>
  <c r="Q722" i="24"/>
  <c r="S721" i="24"/>
  <c r="A721" i="24"/>
  <c r="C720" i="24"/>
  <c r="E719" i="24"/>
  <c r="K718" i="24"/>
  <c r="A718" i="24"/>
  <c r="M717" i="24"/>
  <c r="C717" i="24"/>
  <c r="O716" i="24"/>
  <c r="E716" i="24"/>
  <c r="Q715" i="24"/>
  <c r="G715" i="24"/>
  <c r="S714" i="24"/>
  <c r="K714" i="24"/>
  <c r="A714" i="24"/>
  <c r="M713" i="24"/>
  <c r="C713" i="24"/>
  <c r="O712" i="24"/>
  <c r="E712" i="24"/>
  <c r="Q711" i="24"/>
  <c r="G711" i="24"/>
  <c r="S710" i="24"/>
  <c r="K710" i="24"/>
  <c r="A710" i="24"/>
  <c r="M709" i="24"/>
  <c r="C709" i="24"/>
  <c r="O708" i="24"/>
  <c r="E708" i="24"/>
  <c r="Q707" i="24"/>
  <c r="G707" i="24"/>
  <c r="S706" i="24"/>
  <c r="K706" i="24"/>
  <c r="A706" i="24"/>
  <c r="M705" i="24"/>
  <c r="C705" i="24"/>
  <c r="O704" i="24"/>
  <c r="E704" i="24"/>
  <c r="Q703" i="24"/>
  <c r="G703" i="24"/>
  <c r="S702" i="24"/>
  <c r="K702" i="24"/>
  <c r="A702" i="24"/>
  <c r="M701" i="24"/>
  <c r="C701" i="24"/>
  <c r="O700" i="24"/>
  <c r="E700" i="24"/>
  <c r="Q699" i="24"/>
  <c r="G699" i="24"/>
  <c r="S698" i="24"/>
  <c r="K698" i="24"/>
  <c r="A698" i="24"/>
  <c r="M697" i="24"/>
  <c r="C697" i="24"/>
  <c r="O696" i="24"/>
  <c r="E696" i="24"/>
  <c r="Q695" i="24"/>
  <c r="G695" i="24"/>
  <c r="S694" i="24"/>
  <c r="K694" i="24"/>
  <c r="A694" i="24"/>
  <c r="M693" i="24"/>
  <c r="C693" i="24"/>
  <c r="O692" i="24"/>
  <c r="E692" i="24"/>
  <c r="Q691" i="24"/>
  <c r="G691" i="24"/>
  <c r="S690" i="24"/>
  <c r="K690" i="24"/>
  <c r="A690" i="24"/>
  <c r="M689" i="24"/>
  <c r="C689" i="24"/>
  <c r="O688" i="24"/>
  <c r="E688" i="24"/>
  <c r="Q687" i="24"/>
  <c r="G687" i="24"/>
  <c r="S686" i="24"/>
  <c r="K686" i="24"/>
  <c r="A686" i="24"/>
  <c r="M685" i="24"/>
  <c r="C685" i="24"/>
  <c r="O684" i="24"/>
  <c r="E684" i="24"/>
  <c r="Q683" i="24"/>
  <c r="G683" i="24"/>
  <c r="S682" i="24"/>
  <c r="K682" i="24"/>
  <c r="A682" i="24"/>
  <c r="M681" i="24"/>
  <c r="C681" i="24"/>
  <c r="O680" i="24"/>
  <c r="E680" i="24"/>
  <c r="Q679" i="24"/>
  <c r="G679" i="24"/>
  <c r="S678" i="24"/>
  <c r="K678" i="24"/>
  <c r="A678" i="24"/>
  <c r="M677" i="24"/>
  <c r="C677" i="24"/>
  <c r="O676" i="24"/>
  <c r="E676" i="24"/>
  <c r="Q675" i="24"/>
  <c r="G675" i="24"/>
  <c r="S674" i="24"/>
  <c r="K674" i="24"/>
  <c r="A674" i="24"/>
  <c r="M673" i="24"/>
  <c r="C673" i="24"/>
  <c r="O672" i="24"/>
  <c r="E672" i="24"/>
  <c r="Q671" i="24"/>
  <c r="G671" i="24"/>
  <c r="S670" i="24"/>
  <c r="K670" i="24"/>
  <c r="A670" i="24"/>
  <c r="M669" i="24"/>
  <c r="C669" i="24"/>
  <c r="O668" i="24"/>
  <c r="E668" i="24"/>
  <c r="Q667" i="24"/>
  <c r="G667" i="24"/>
  <c r="S666" i="24"/>
  <c r="K666" i="24"/>
  <c r="A666" i="24"/>
  <c r="M665" i="24"/>
  <c r="C665" i="24"/>
  <c r="O664" i="24"/>
  <c r="E664" i="24"/>
  <c r="Q663" i="24"/>
  <c r="G663" i="24"/>
  <c r="S662" i="24"/>
  <c r="K662" i="24"/>
  <c r="A662" i="24"/>
  <c r="M661" i="24"/>
  <c r="C661" i="24"/>
  <c r="O660" i="24"/>
  <c r="E660" i="24"/>
  <c r="Q659" i="24"/>
  <c r="G659" i="24"/>
  <c r="S658" i="24"/>
  <c r="K658" i="24"/>
  <c r="A658" i="24"/>
  <c r="M657" i="24"/>
  <c r="C657" i="24"/>
  <c r="O656" i="24"/>
  <c r="E656" i="24"/>
  <c r="Q655" i="24"/>
  <c r="G655" i="24"/>
  <c r="S654" i="24"/>
  <c r="K654" i="24"/>
  <c r="A654" i="24"/>
  <c r="M653" i="24"/>
  <c r="C653" i="24"/>
  <c r="O652" i="24"/>
  <c r="E652" i="24"/>
  <c r="Q651" i="24"/>
  <c r="G651" i="24"/>
  <c r="S650" i="24"/>
  <c r="K650" i="24"/>
  <c r="A650" i="24"/>
  <c r="M649" i="24"/>
  <c r="C649" i="24"/>
  <c r="O648" i="24"/>
  <c r="E648" i="24"/>
  <c r="Q647" i="24"/>
  <c r="G647" i="24"/>
  <c r="S646" i="24"/>
  <c r="K646" i="24"/>
  <c r="A646" i="24"/>
  <c r="M645" i="24"/>
  <c r="C645" i="24"/>
  <c r="O644" i="24"/>
  <c r="E644" i="24"/>
  <c r="Q643" i="24"/>
  <c r="G643" i="24"/>
  <c r="S642" i="24"/>
  <c r="K642" i="24"/>
  <c r="A642" i="24"/>
  <c r="M641" i="24"/>
  <c r="C641" i="24"/>
  <c r="O640" i="24"/>
  <c r="E640" i="24"/>
  <c r="Q639" i="24"/>
  <c r="G639" i="24"/>
  <c r="S638" i="24"/>
  <c r="K638" i="24"/>
  <c r="A638" i="24"/>
  <c r="M637" i="24"/>
  <c r="C637" i="24"/>
  <c r="O636" i="24"/>
  <c r="E636" i="24"/>
  <c r="Q635" i="24"/>
  <c r="G635" i="24"/>
  <c r="S634" i="24"/>
  <c r="K634" i="24"/>
  <c r="A634" i="24"/>
  <c r="M633" i="24"/>
  <c r="C633" i="24"/>
  <c r="O632" i="24"/>
  <c r="E632" i="24"/>
  <c r="Q631" i="24"/>
  <c r="G631" i="24"/>
  <c r="S630" i="24"/>
  <c r="K630" i="24"/>
  <c r="A630" i="24"/>
  <c r="M629" i="24"/>
  <c r="C629" i="24"/>
  <c r="O628" i="24"/>
  <c r="E628" i="24"/>
  <c r="Q627" i="24"/>
  <c r="G627" i="24"/>
  <c r="S626" i="24"/>
  <c r="K626" i="24"/>
  <c r="A626" i="24"/>
  <c r="M625" i="24"/>
  <c r="C625" i="24"/>
  <c r="O624" i="24"/>
  <c r="E624" i="24"/>
  <c r="Q623" i="24"/>
  <c r="G623" i="24"/>
  <c r="S622" i="24"/>
  <c r="K622" i="24"/>
  <c r="D622" i="24"/>
  <c r="S621" i="24"/>
  <c r="M621" i="24"/>
  <c r="F621" i="24"/>
  <c r="A621" i="24"/>
  <c r="O620" i="24"/>
  <c r="H620" i="24"/>
  <c r="C620" i="24"/>
  <c r="Q619" i="24"/>
  <c r="L619" i="24"/>
  <c r="E619" i="24"/>
  <c r="S618" i="24"/>
  <c r="N618" i="24"/>
  <c r="G618" i="24"/>
  <c r="A618" i="24"/>
  <c r="P617" i="24"/>
  <c r="K617" i="24"/>
  <c r="C617" i="24"/>
  <c r="R616" i="24"/>
  <c r="M616" i="24"/>
  <c r="E616" i="24"/>
  <c r="T615" i="24"/>
  <c r="O615" i="24"/>
  <c r="G615" i="24"/>
  <c r="B615" i="24"/>
  <c r="Q614" i="24"/>
  <c r="K614" i="24"/>
  <c r="E614" i="24"/>
  <c r="A614" i="24"/>
  <c r="Q613" i="24"/>
  <c r="M613" i="24"/>
  <c r="G613" i="24"/>
  <c r="C613" i="24"/>
  <c r="S612" i="24"/>
  <c r="O612" i="24"/>
  <c r="K612" i="24"/>
  <c r="E612" i="24"/>
  <c r="A612" i="24"/>
  <c r="Q611" i="24"/>
  <c r="M611" i="24"/>
  <c r="G611" i="24"/>
  <c r="C611" i="24"/>
  <c r="S610" i="24"/>
  <c r="O610" i="24"/>
  <c r="K610" i="24"/>
  <c r="E610" i="24"/>
  <c r="A610" i="24"/>
  <c r="Q609" i="24"/>
  <c r="M609" i="24"/>
  <c r="G609" i="24"/>
  <c r="C609" i="24"/>
  <c r="S608" i="24"/>
  <c r="O608" i="24"/>
  <c r="K608" i="24"/>
  <c r="E608" i="24"/>
  <c r="A608" i="24"/>
  <c r="Q607" i="24"/>
  <c r="M607" i="24"/>
  <c r="G607" i="24"/>
  <c r="C607" i="24"/>
  <c r="S606" i="24"/>
  <c r="O606" i="24"/>
  <c r="K606" i="24"/>
  <c r="E606" i="24"/>
  <c r="A606" i="24"/>
  <c r="Q605" i="24"/>
  <c r="M605" i="24"/>
  <c r="G605" i="24"/>
  <c r="C605" i="24"/>
  <c r="S604" i="24"/>
  <c r="O604" i="24"/>
  <c r="K604" i="24"/>
  <c r="E604" i="24"/>
  <c r="A604" i="24"/>
  <c r="Q603" i="24"/>
  <c r="M603" i="24"/>
  <c r="G603" i="24"/>
  <c r="C603" i="24"/>
  <c r="S602" i="24"/>
  <c r="O602" i="24"/>
  <c r="K602" i="24"/>
  <c r="E602" i="24"/>
  <c r="A602" i="24"/>
  <c r="Q601" i="24"/>
  <c r="M601" i="24"/>
  <c r="G601" i="24"/>
  <c r="C601" i="24"/>
  <c r="S600" i="24"/>
  <c r="O600" i="24"/>
  <c r="K600" i="24"/>
  <c r="E600" i="24"/>
  <c r="A600" i="24"/>
  <c r="Q599" i="24"/>
  <c r="M599" i="24"/>
  <c r="G599" i="24"/>
  <c r="C599" i="24"/>
  <c r="S598" i="24"/>
  <c r="O598" i="24"/>
  <c r="K598" i="24"/>
  <c r="E598" i="24"/>
  <c r="A598" i="24"/>
  <c r="Q597" i="24"/>
  <c r="M597" i="24"/>
  <c r="G597" i="24"/>
  <c r="C597" i="24"/>
  <c r="S596" i="24"/>
  <c r="O596" i="24"/>
  <c r="K596" i="24"/>
  <c r="E596" i="24"/>
  <c r="A596" i="24"/>
  <c r="Q595" i="24"/>
  <c r="M595" i="24"/>
  <c r="G595" i="24"/>
  <c r="C595" i="24"/>
  <c r="S594" i="24"/>
  <c r="O594" i="24"/>
  <c r="K594" i="24"/>
  <c r="E594" i="24"/>
  <c r="A594" i="24"/>
  <c r="Q593" i="24"/>
  <c r="M593" i="24"/>
  <c r="G593" i="24"/>
  <c r="C593" i="24"/>
  <c r="S592" i="24"/>
  <c r="O592" i="24"/>
  <c r="K592" i="24"/>
  <c r="E592" i="24"/>
  <c r="A592" i="24"/>
  <c r="Q591" i="24"/>
  <c r="M591" i="24"/>
  <c r="G591" i="24"/>
  <c r="C591" i="24"/>
  <c r="S590" i="24"/>
  <c r="O590" i="24"/>
  <c r="K590" i="24"/>
  <c r="E590" i="24"/>
  <c r="A590" i="24"/>
  <c r="Q589" i="24"/>
  <c r="M589" i="24"/>
  <c r="G589" i="24"/>
  <c r="C589" i="24"/>
  <c r="S588" i="24"/>
  <c r="O588" i="24"/>
  <c r="K588" i="24"/>
  <c r="E588" i="24"/>
  <c r="A588" i="24"/>
  <c r="Q587" i="24"/>
  <c r="M587" i="24"/>
  <c r="G587" i="24"/>
  <c r="C587" i="24"/>
  <c r="S586" i="24"/>
  <c r="O586" i="24"/>
  <c r="K586" i="24"/>
  <c r="E586" i="24"/>
  <c r="A586" i="24"/>
  <c r="Q585" i="24"/>
  <c r="M585" i="24"/>
  <c r="G585" i="24"/>
  <c r="C585" i="24"/>
  <c r="S584" i="24"/>
  <c r="O584" i="24"/>
  <c r="K584" i="24"/>
  <c r="E584" i="24"/>
  <c r="A584" i="24"/>
  <c r="Q583" i="24"/>
  <c r="M583" i="24"/>
  <c r="G583" i="24"/>
  <c r="C583" i="24"/>
  <c r="S582" i="24"/>
  <c r="O582" i="24"/>
  <c r="K582" i="24"/>
  <c r="E582" i="24"/>
  <c r="A582" i="24"/>
  <c r="Q581" i="24"/>
  <c r="M581" i="24"/>
  <c r="G581" i="24"/>
  <c r="C581" i="24"/>
  <c r="S580" i="24"/>
  <c r="O580" i="24"/>
  <c r="K580" i="24"/>
  <c r="E580" i="24"/>
  <c r="A580" i="24"/>
  <c r="Q579" i="24"/>
  <c r="M579" i="24"/>
  <c r="G579" i="24"/>
  <c r="C579" i="24"/>
  <c r="S578" i="24"/>
  <c r="O578" i="24"/>
  <c r="K578" i="24"/>
  <c r="E578" i="24"/>
  <c r="A578" i="24"/>
  <c r="Q577" i="24"/>
  <c r="M577" i="24"/>
  <c r="G577" i="24"/>
  <c r="C577" i="24"/>
  <c r="S576" i="24"/>
  <c r="O576" i="24"/>
  <c r="K576" i="24"/>
  <c r="E576" i="24"/>
  <c r="A576" i="24"/>
  <c r="Q575" i="24"/>
  <c r="M575" i="24"/>
  <c r="G575" i="24"/>
  <c r="C575" i="24"/>
  <c r="S574" i="24"/>
  <c r="O574" i="24"/>
  <c r="K574" i="24"/>
  <c r="E574" i="24"/>
  <c r="A574" i="24"/>
  <c r="Q573" i="24"/>
  <c r="M573" i="24"/>
  <c r="G573" i="24"/>
  <c r="C573" i="24"/>
  <c r="S572" i="24"/>
  <c r="O572" i="24"/>
  <c r="K572" i="24"/>
  <c r="E572" i="24"/>
  <c r="A572" i="24"/>
  <c r="Q571" i="24"/>
  <c r="M571" i="24"/>
  <c r="G571" i="24"/>
  <c r="C571" i="24"/>
  <c r="S570" i="24"/>
  <c r="O570" i="24"/>
  <c r="K570" i="24"/>
  <c r="E570" i="24"/>
  <c r="A570" i="24"/>
  <c r="Q569" i="24"/>
  <c r="M569" i="24"/>
  <c r="G569" i="24"/>
  <c r="C569" i="24"/>
  <c r="S568" i="24"/>
  <c r="O568" i="24"/>
  <c r="K568" i="24"/>
  <c r="E568" i="24"/>
  <c r="A568" i="24"/>
  <c r="Q567" i="24"/>
  <c r="M567" i="24"/>
  <c r="G567" i="24"/>
  <c r="C567" i="24"/>
  <c r="S566" i="24"/>
  <c r="O566" i="24"/>
  <c r="K566" i="24"/>
  <c r="E566" i="24"/>
  <c r="A566" i="24"/>
  <c r="Q565" i="24"/>
  <c r="M565" i="24"/>
  <c r="G565" i="24"/>
  <c r="C565" i="24"/>
  <c r="S564" i="24"/>
  <c r="O564" i="24"/>
  <c r="K564" i="24"/>
  <c r="E564" i="24"/>
  <c r="A564" i="24"/>
  <c r="Q563" i="24"/>
  <c r="M563" i="24"/>
  <c r="G563" i="24"/>
  <c r="C563" i="24"/>
  <c r="S562" i="24"/>
  <c r="O562" i="24"/>
  <c r="K562" i="24"/>
  <c r="E562" i="24"/>
  <c r="A562" i="24"/>
  <c r="Q561" i="24"/>
  <c r="M561" i="24"/>
  <c r="G561" i="24"/>
  <c r="C561" i="24"/>
  <c r="S560" i="24"/>
  <c r="O560" i="24"/>
  <c r="K560" i="24"/>
  <c r="E560" i="24"/>
  <c r="A560" i="24"/>
  <c r="Q559" i="24"/>
  <c r="M559" i="24"/>
  <c r="G559" i="24"/>
  <c r="C559" i="24"/>
  <c r="S558" i="24"/>
  <c r="O558" i="24"/>
  <c r="K558" i="24"/>
  <c r="E558" i="24"/>
  <c r="A558" i="24"/>
  <c r="Q557" i="24"/>
  <c r="M557" i="24"/>
  <c r="G557" i="24"/>
  <c r="C557" i="24"/>
  <c r="S556" i="24"/>
  <c r="O556" i="24"/>
  <c r="K556" i="24"/>
  <c r="E556" i="24"/>
  <c r="A556" i="24"/>
  <c r="Q555" i="24"/>
  <c r="M555" i="24"/>
  <c r="G555" i="24"/>
  <c r="C555" i="24"/>
  <c r="S554" i="24"/>
  <c r="O554" i="24"/>
  <c r="K554" i="24"/>
  <c r="E554" i="24"/>
  <c r="A554" i="24"/>
  <c r="Q553" i="24"/>
  <c r="M553" i="24"/>
  <c r="G553" i="24"/>
  <c r="C553" i="24"/>
  <c r="S552" i="24"/>
  <c r="R1649" i="24"/>
  <c r="N1635" i="24"/>
  <c r="H1621" i="24"/>
  <c r="D1607" i="24"/>
  <c r="T1592" i="24"/>
  <c r="P1578" i="24"/>
  <c r="L1564" i="24"/>
  <c r="F1550" i="24"/>
  <c r="B1536" i="24"/>
  <c r="R1521" i="24"/>
  <c r="N1507" i="24"/>
  <c r="H1493" i="24"/>
  <c r="D1479" i="24"/>
  <c r="T1464" i="24"/>
  <c r="P1450" i="24"/>
  <c r="L1436" i="24"/>
  <c r="F1422" i="24"/>
  <c r="D1409" i="24"/>
  <c r="B1402" i="24"/>
  <c r="F1396" i="24"/>
  <c r="P1392" i="24"/>
  <c r="D1389" i="24"/>
  <c r="N1385" i="24"/>
  <c r="B1382" i="24"/>
  <c r="L1378" i="24"/>
  <c r="T1374" i="24"/>
  <c r="H1371" i="24"/>
  <c r="R1367" i="24"/>
  <c r="F1364" i="24"/>
  <c r="P1360" i="24"/>
  <c r="D1357" i="24"/>
  <c r="N1353" i="24"/>
  <c r="B1350" i="24"/>
  <c r="L1346" i="24"/>
  <c r="T1342" i="24"/>
  <c r="H1339" i="24"/>
  <c r="R1335" i="24"/>
  <c r="F1332" i="24"/>
  <c r="P1328" i="24"/>
  <c r="D1325" i="24"/>
  <c r="N1321" i="24"/>
  <c r="B1318" i="24"/>
  <c r="L1314" i="24"/>
  <c r="T1310" i="24"/>
  <c r="H1307" i="24"/>
  <c r="R1303" i="24"/>
  <c r="F1300" i="24"/>
  <c r="P1296" i="24"/>
  <c r="D1293" i="24"/>
  <c r="N1289" i="24"/>
  <c r="B1286" i="24"/>
  <c r="L1282" i="24"/>
  <c r="T1278" i="24"/>
  <c r="H1275" i="24"/>
  <c r="R1271" i="24"/>
  <c r="F1268" i="24"/>
  <c r="P1264" i="24"/>
  <c r="D1261" i="24"/>
  <c r="N1257" i="24"/>
  <c r="B1254" i="24"/>
  <c r="L1250" i="24"/>
  <c r="T1246" i="24"/>
  <c r="H1243" i="24"/>
  <c r="R1239" i="24"/>
  <c r="F1236" i="24"/>
  <c r="P1232" i="24"/>
  <c r="D1229" i="24"/>
  <c r="N1225" i="24"/>
  <c r="B1222" i="24"/>
  <c r="L1218" i="24"/>
  <c r="T1214" i="24"/>
  <c r="H1211" i="24"/>
  <c r="R1207" i="24"/>
  <c r="F1204" i="24"/>
  <c r="P1200" i="24"/>
  <c r="D1197" i="24"/>
  <c r="N1193" i="24"/>
  <c r="B1190" i="24"/>
  <c r="L1186" i="24"/>
  <c r="T1182" i="24"/>
  <c r="H1179" i="24"/>
  <c r="R1175" i="24"/>
  <c r="F1172" i="24"/>
  <c r="P1168" i="24"/>
  <c r="D1165" i="24"/>
  <c r="N1161" i="24"/>
  <c r="B1158" i="24"/>
  <c r="L1154" i="24"/>
  <c r="T1150" i="24"/>
  <c r="H1147" i="24"/>
  <c r="R1143" i="24"/>
  <c r="F1140" i="24"/>
  <c r="P1136" i="24"/>
  <c r="D1133" i="24"/>
  <c r="N1129" i="24"/>
  <c r="B1126" i="24"/>
  <c r="L1122" i="24"/>
  <c r="T1118" i="24"/>
  <c r="H1115" i="24"/>
  <c r="R1111" i="24"/>
  <c r="F1108" i="24"/>
  <c r="P1104" i="24"/>
  <c r="D1101" i="24"/>
  <c r="N1097" i="24"/>
  <c r="B1094" i="24"/>
  <c r="L1090" i="24"/>
  <c r="T1086" i="24"/>
  <c r="H1083" i="24"/>
  <c r="R1079" i="24"/>
  <c r="F1076" i="24"/>
  <c r="P1072" i="24"/>
  <c r="D1069" i="24"/>
  <c r="N1065" i="24"/>
  <c r="B1062" i="24"/>
  <c r="K1059" i="24"/>
  <c r="M1058" i="24"/>
  <c r="O1057" i="24"/>
  <c r="Q1056" i="24"/>
  <c r="S1055" i="24"/>
  <c r="A1055" i="24"/>
  <c r="C1054" i="24"/>
  <c r="E1053" i="24"/>
  <c r="G1052" i="24"/>
  <c r="K1051" i="24"/>
  <c r="M1050" i="24"/>
  <c r="O1049" i="24"/>
  <c r="Q1048" i="24"/>
  <c r="S1047" i="24"/>
  <c r="A1047" i="24"/>
  <c r="C1046" i="24"/>
  <c r="E1045" i="24"/>
  <c r="G1044" i="24"/>
  <c r="K1043" i="24"/>
  <c r="M1042" i="24"/>
  <c r="O1041" i="24"/>
  <c r="Q1040" i="24"/>
  <c r="S1039" i="24"/>
  <c r="A1039" i="24"/>
  <c r="C1038" i="24"/>
  <c r="E1037" i="24"/>
  <c r="G1036" i="24"/>
  <c r="K1035" i="24"/>
  <c r="M1034" i="24"/>
  <c r="O1033" i="24"/>
  <c r="Q1032" i="24"/>
  <c r="S1031" i="24"/>
  <c r="A1031" i="24"/>
  <c r="C1030" i="24"/>
  <c r="E1029" i="24"/>
  <c r="G1028" i="24"/>
  <c r="K1027" i="24"/>
  <c r="M1026" i="24"/>
  <c r="O1025" i="24"/>
  <c r="Q1024" i="24"/>
  <c r="S1023" i="24"/>
  <c r="A1023" i="24"/>
  <c r="C1022" i="24"/>
  <c r="E1021" i="24"/>
  <c r="G1020" i="24"/>
  <c r="K1019" i="24"/>
  <c r="M1018" i="24"/>
  <c r="O1017" i="24"/>
  <c r="Q1016" i="24"/>
  <c r="S1015" i="24"/>
  <c r="A1015" i="24"/>
  <c r="C1014" i="24"/>
  <c r="E1013" i="24"/>
  <c r="G1012" i="24"/>
  <c r="K1011" i="24"/>
  <c r="M1010" i="24"/>
  <c r="O1009" i="24"/>
  <c r="Q1008" i="24"/>
  <c r="S1007" i="24"/>
  <c r="A1007" i="24"/>
  <c r="C1006" i="24"/>
  <c r="E1005" i="24"/>
  <c r="G1004" i="24"/>
  <c r="K1003" i="24"/>
  <c r="M1002" i="24"/>
  <c r="O1001" i="24"/>
  <c r="Q1000" i="24"/>
  <c r="S999" i="24"/>
  <c r="A999" i="24"/>
  <c r="C998" i="24"/>
  <c r="E997" i="24"/>
  <c r="G996" i="24"/>
  <c r="K995" i="24"/>
  <c r="M994" i="24"/>
  <c r="O993" i="24"/>
  <c r="Q992" i="24"/>
  <c r="S991" i="24"/>
  <c r="A991" i="24"/>
  <c r="C990" i="24"/>
  <c r="E989" i="24"/>
  <c r="G988" i="24"/>
  <c r="K987" i="24"/>
  <c r="M986" i="24"/>
  <c r="O985" i="24"/>
  <c r="Q984" i="24"/>
  <c r="S983" i="24"/>
  <c r="A983" i="24"/>
  <c r="C982" i="24"/>
  <c r="E981" i="24"/>
  <c r="G980" i="24"/>
  <c r="K979" i="24"/>
  <c r="M978" i="24"/>
  <c r="O977" i="24"/>
  <c r="Q976" i="24"/>
  <c r="S975" i="24"/>
  <c r="A975" i="24"/>
  <c r="C974" i="24"/>
  <c r="E973" i="24"/>
  <c r="G972" i="24"/>
  <c r="K971" i="24"/>
  <c r="M970" i="24"/>
  <c r="O969" i="24"/>
  <c r="Q968" i="24"/>
  <c r="S967" i="24"/>
  <c r="A967" i="24"/>
  <c r="C966" i="24"/>
  <c r="E965" i="24"/>
  <c r="G964" i="24"/>
  <c r="K963" i="24"/>
  <c r="M962" i="24"/>
  <c r="O961" i="24"/>
  <c r="Q960" i="24"/>
  <c r="S959" i="24"/>
  <c r="A959" i="24"/>
  <c r="C958" i="24"/>
  <c r="E957" i="24"/>
  <c r="G956" i="24"/>
  <c r="K955" i="24"/>
  <c r="M954" i="24"/>
  <c r="O953" i="24"/>
  <c r="Q952" i="24"/>
  <c r="S951" i="24"/>
  <c r="A951" i="24"/>
  <c r="C950" i="24"/>
  <c r="E949" i="24"/>
  <c r="G948" i="24"/>
  <c r="K947" i="24"/>
  <c r="M946" i="24"/>
  <c r="O945" i="24"/>
  <c r="Q944" i="24"/>
  <c r="S943" i="24"/>
  <c r="A943" i="24"/>
  <c r="C942" i="24"/>
  <c r="E941" i="24"/>
  <c r="G940" i="24"/>
  <c r="K939" i="24"/>
  <c r="M938" i="24"/>
  <c r="O937" i="24"/>
  <c r="Q936" i="24"/>
  <c r="S935" i="24"/>
  <c r="A935" i="24"/>
  <c r="C934" i="24"/>
  <c r="E933" i="24"/>
  <c r="G932" i="24"/>
  <c r="K931" i="24"/>
  <c r="M930" i="24"/>
  <c r="O929" i="24"/>
  <c r="Q928" i="24"/>
  <c r="S927" i="24"/>
  <c r="A927" i="24"/>
  <c r="C926" i="24"/>
  <c r="E925" i="24"/>
  <c r="G924" i="24"/>
  <c r="K923" i="24"/>
  <c r="M922" i="24"/>
  <c r="O921" i="24"/>
  <c r="Q920" i="24"/>
  <c r="S919" i="24"/>
  <c r="A919" i="24"/>
  <c r="C918" i="24"/>
  <c r="E917" i="24"/>
  <c r="G916" i="24"/>
  <c r="K915" i="24"/>
  <c r="M914" i="24"/>
  <c r="O913" i="24"/>
  <c r="Q912" i="24"/>
  <c r="S911" i="24"/>
  <c r="A911" i="24"/>
  <c r="C910" i="24"/>
  <c r="E909" i="24"/>
  <c r="G908" i="24"/>
  <c r="K907" i="24"/>
  <c r="M906" i="24"/>
  <c r="O905" i="24"/>
  <c r="Q904" i="24"/>
  <c r="S903" i="24"/>
  <c r="A903" i="24"/>
  <c r="C902" i="24"/>
  <c r="E901" i="24"/>
  <c r="G900" i="24"/>
  <c r="K899" i="24"/>
  <c r="M898" i="24"/>
  <c r="O897" i="24"/>
  <c r="Q896" i="24"/>
  <c r="S895" i="24"/>
  <c r="A895" i="24"/>
  <c r="C894" i="24"/>
  <c r="E893" i="24"/>
  <c r="G892" i="24"/>
  <c r="K891" i="24"/>
  <c r="M890" i="24"/>
  <c r="O889" i="24"/>
  <c r="Q888" i="24"/>
  <c r="S887" i="24"/>
  <c r="A887" i="24"/>
  <c r="C886" i="24"/>
  <c r="E885" i="24"/>
  <c r="G884" i="24"/>
  <c r="K883" i="24"/>
  <c r="M882" i="24"/>
  <c r="O881" i="24"/>
  <c r="Q880" i="24"/>
  <c r="S879" i="24"/>
  <c r="A879" i="24"/>
  <c r="C878" i="24"/>
  <c r="E877" i="24"/>
  <c r="G876" i="24"/>
  <c r="K875" i="24"/>
  <c r="M874" i="24"/>
  <c r="O873" i="24"/>
  <c r="Q872" i="24"/>
  <c r="S871" i="24"/>
  <c r="A871" i="24"/>
  <c r="C870" i="24"/>
  <c r="E869" i="24"/>
  <c r="G868" i="24"/>
  <c r="K867" i="24"/>
  <c r="M866" i="24"/>
  <c r="O865" i="24"/>
  <c r="Q864" i="24"/>
  <c r="S863" i="24"/>
  <c r="A863" i="24"/>
  <c r="C862" i="24"/>
  <c r="E861" i="24"/>
  <c r="G860" i="24"/>
  <c r="K859" i="24"/>
  <c r="M858" i="24"/>
  <c r="O857" i="24"/>
  <c r="Q856" i="24"/>
  <c r="S855" i="24"/>
  <c r="A855" i="24"/>
  <c r="C854" i="24"/>
  <c r="E853" i="24"/>
  <c r="G852" i="24"/>
  <c r="K851" i="24"/>
  <c r="M850" i="24"/>
  <c r="O849" i="24"/>
  <c r="Q848" i="24"/>
  <c r="S847" i="24"/>
  <c r="A847" i="24"/>
  <c r="C846" i="24"/>
  <c r="E845" i="24"/>
  <c r="G844" i="24"/>
  <c r="K843" i="24"/>
  <c r="M842" i="24"/>
  <c r="O841" i="24"/>
  <c r="Q840" i="24"/>
  <c r="S839" i="24"/>
  <c r="A839" i="24"/>
  <c r="C838" i="24"/>
  <c r="E837" i="24"/>
  <c r="G836" i="24"/>
  <c r="K835" i="24"/>
  <c r="M834" i="24"/>
  <c r="O833" i="24"/>
  <c r="Q832" i="24"/>
  <c r="S831" i="24"/>
  <c r="A831" i="24"/>
  <c r="C830" i="24"/>
  <c r="E829" i="24"/>
  <c r="G828" i="24"/>
  <c r="K827" i="24"/>
  <c r="M826" i="24"/>
  <c r="O825" i="24"/>
  <c r="Q824" i="24"/>
  <c r="S823" i="24"/>
  <c r="A823" i="24"/>
  <c r="C822" i="24"/>
  <c r="E821" i="24"/>
  <c r="G820" i="24"/>
  <c r="K819" i="24"/>
  <c r="M818" i="24"/>
  <c r="O817" i="24"/>
  <c r="Q816" i="24"/>
  <c r="S815" i="24"/>
  <c r="A815" i="24"/>
  <c r="C814" i="24"/>
  <c r="E813" i="24"/>
  <c r="G812" i="24"/>
  <c r="K811" i="24"/>
  <c r="M810" i="24"/>
  <c r="O809" i="24"/>
  <c r="Q808" i="24"/>
  <c r="S807" i="24"/>
  <c r="A807" i="24"/>
  <c r="C806" i="24"/>
  <c r="E805" i="24"/>
  <c r="G804" i="24"/>
  <c r="K803" i="24"/>
  <c r="M802" i="24"/>
  <c r="O801" i="24"/>
  <c r="Q800" i="24"/>
  <c r="S799" i="24"/>
  <c r="A799" i="24"/>
  <c r="C798" i="24"/>
  <c r="E797" i="24"/>
  <c r="G796" i="24"/>
  <c r="K795" i="24"/>
  <c r="M794" i="24"/>
  <c r="O793" i="24"/>
  <c r="Q792" i="24"/>
  <c r="S791" i="24"/>
  <c r="A791" i="24"/>
  <c r="C790" i="24"/>
  <c r="E789" i="24"/>
  <c r="G788" i="24"/>
  <c r="K787" i="24"/>
  <c r="M786" i="24"/>
  <c r="O785" i="24"/>
  <c r="Q784" i="24"/>
  <c r="S783" i="24"/>
  <c r="A783" i="24"/>
  <c r="C782" i="24"/>
  <c r="E781" i="24"/>
  <c r="G780" i="24"/>
  <c r="K779" i="24"/>
  <c r="M778" i="24"/>
  <c r="O777" i="24"/>
  <c r="Q776" i="24"/>
  <c r="S775" i="24"/>
  <c r="A775" i="24"/>
  <c r="C774" i="24"/>
  <c r="E773" i="24"/>
  <c r="G772" i="24"/>
  <c r="K771" i="24"/>
  <c r="M770" i="24"/>
  <c r="O769" i="24"/>
  <c r="Q768" i="24"/>
  <c r="S767" i="24"/>
  <c r="A767" i="24"/>
  <c r="C766" i="24"/>
  <c r="E765" i="24"/>
  <c r="G764" i="24"/>
  <c r="K763" i="24"/>
  <c r="M762" i="24"/>
  <c r="O761" i="24"/>
  <c r="Q760" i="24"/>
  <c r="S759" i="24"/>
  <c r="A759" i="24"/>
  <c r="C758" i="24"/>
  <c r="E757" i="24"/>
  <c r="G756" i="24"/>
  <c r="K755" i="24"/>
  <c r="M754" i="24"/>
  <c r="O753" i="24"/>
  <c r="Q752" i="24"/>
  <c r="S751" i="24"/>
  <c r="A751" i="24"/>
  <c r="C750" i="24"/>
  <c r="E749" i="24"/>
  <c r="G748" i="24"/>
  <c r="K747" i="24"/>
  <c r="M746" i="24"/>
  <c r="O745" i="24"/>
  <c r="Q744" i="24"/>
  <c r="S743" i="24"/>
  <c r="A743" i="24"/>
  <c r="C742" i="24"/>
  <c r="E741" i="24"/>
  <c r="G740" i="24"/>
  <c r="K739" i="24"/>
  <c r="M738" i="24"/>
  <c r="O737" i="24"/>
  <c r="Q736" i="24"/>
  <c r="S735" i="24"/>
  <c r="A735" i="24"/>
  <c r="C734" i="24"/>
  <c r="E733" i="24"/>
  <c r="G732" i="24"/>
  <c r="K731" i="24"/>
  <c r="M730" i="24"/>
  <c r="O729" i="24"/>
  <c r="Q728" i="24"/>
  <c r="S727" i="24"/>
  <c r="A727" i="24"/>
  <c r="C726" i="24"/>
  <c r="E725" i="24"/>
  <c r="G724" i="24"/>
  <c r="K723" i="24"/>
  <c r="M722" i="24"/>
  <c r="O721" i="24"/>
  <c r="Q720" i="24"/>
  <c r="S719" i="24"/>
  <c r="A719" i="24"/>
  <c r="G718" i="24"/>
  <c r="S717" i="24"/>
  <c r="K717" i="24"/>
  <c r="A717" i="24"/>
  <c r="M716" i="24"/>
  <c r="C716" i="24"/>
  <c r="O715" i="24"/>
  <c r="E715" i="24"/>
  <c r="Q714" i="24"/>
  <c r="G714" i="24"/>
  <c r="S713" i="24"/>
  <c r="K713" i="24"/>
  <c r="A713" i="24"/>
  <c r="M712" i="24"/>
  <c r="C712" i="24"/>
  <c r="O711" i="24"/>
  <c r="E711" i="24"/>
  <c r="Q710" i="24"/>
  <c r="G710" i="24"/>
  <c r="S709" i="24"/>
  <c r="K709" i="24"/>
  <c r="A709" i="24"/>
  <c r="M708" i="24"/>
  <c r="C708" i="24"/>
  <c r="O707" i="24"/>
  <c r="E707" i="24"/>
  <c r="Q706" i="24"/>
  <c r="G706" i="24"/>
  <c r="S705" i="24"/>
  <c r="K705" i="24"/>
  <c r="A705" i="24"/>
  <c r="M704" i="24"/>
  <c r="C704" i="24"/>
  <c r="O703" i="24"/>
  <c r="E703" i="24"/>
  <c r="Q702" i="24"/>
  <c r="G702" i="24"/>
  <c r="S701" i="24"/>
  <c r="K701" i="24"/>
  <c r="A701" i="24"/>
  <c r="M700" i="24"/>
  <c r="C700" i="24"/>
  <c r="O699" i="24"/>
  <c r="E699" i="24"/>
  <c r="Q698" i="24"/>
  <c r="G698" i="24"/>
  <c r="S697" i="24"/>
  <c r="K697" i="24"/>
  <c r="A697" i="24"/>
  <c r="M696" i="24"/>
  <c r="C696" i="24"/>
  <c r="O695" i="24"/>
  <c r="E695" i="24"/>
  <c r="Q694" i="24"/>
  <c r="G694" i="24"/>
  <c r="S693" i="24"/>
  <c r="K693" i="24"/>
  <c r="A693" i="24"/>
  <c r="M692" i="24"/>
  <c r="C692" i="24"/>
  <c r="O691" i="24"/>
  <c r="E691" i="24"/>
  <c r="Q690" i="24"/>
  <c r="G690" i="24"/>
  <c r="S689" i="24"/>
  <c r="K689" i="24"/>
  <c r="A689" i="24"/>
  <c r="M688" i="24"/>
  <c r="C688" i="24"/>
  <c r="O687" i="24"/>
  <c r="E687" i="24"/>
  <c r="Q686" i="24"/>
  <c r="G686" i="24"/>
  <c r="S685" i="24"/>
  <c r="K685" i="24"/>
  <c r="A685" i="24"/>
  <c r="M684" i="24"/>
  <c r="C684" i="24"/>
  <c r="O683" i="24"/>
  <c r="E683" i="24"/>
  <c r="Q682" i="24"/>
  <c r="G682" i="24"/>
  <c r="S681" i="24"/>
  <c r="K681" i="24"/>
  <c r="A681" i="24"/>
  <c r="M680" i="24"/>
  <c r="C680" i="24"/>
  <c r="O679" i="24"/>
  <c r="E679" i="24"/>
  <c r="Q678" i="24"/>
  <c r="G678" i="24"/>
  <c r="S677" i="24"/>
  <c r="K677" i="24"/>
  <c r="A677" i="24"/>
  <c r="M676" i="24"/>
  <c r="C676" i="24"/>
  <c r="O675" i="24"/>
  <c r="E675" i="24"/>
  <c r="Q674" i="24"/>
  <c r="G674" i="24"/>
  <c r="S673" i="24"/>
  <c r="K673" i="24"/>
  <c r="A673" i="24"/>
  <c r="M672" i="24"/>
  <c r="C672" i="24"/>
  <c r="O671" i="24"/>
  <c r="E671" i="24"/>
  <c r="Q670" i="24"/>
  <c r="G670" i="24"/>
  <c r="S669" i="24"/>
  <c r="K669" i="24"/>
  <c r="A669" i="24"/>
  <c r="M668" i="24"/>
  <c r="C668" i="24"/>
  <c r="O667" i="24"/>
  <c r="E667" i="24"/>
  <c r="Q666" i="24"/>
  <c r="G666" i="24"/>
  <c r="S665" i="24"/>
  <c r="K665" i="24"/>
  <c r="A665" i="24"/>
  <c r="M664" i="24"/>
  <c r="C664" i="24"/>
  <c r="O663" i="24"/>
  <c r="E663" i="24"/>
  <c r="Q662" i="24"/>
  <c r="G662" i="24"/>
  <c r="S661" i="24"/>
  <c r="K661" i="24"/>
  <c r="A661" i="24"/>
  <c r="M660" i="24"/>
  <c r="C660" i="24"/>
  <c r="O659" i="24"/>
  <c r="E659" i="24"/>
  <c r="Q658" i="24"/>
  <c r="G658" i="24"/>
  <c r="S657" i="24"/>
  <c r="K657" i="24"/>
  <c r="A657" i="24"/>
  <c r="M656" i="24"/>
  <c r="C656" i="24"/>
  <c r="O655" i="24"/>
  <c r="E655" i="24"/>
  <c r="Q654" i="24"/>
  <c r="G654" i="24"/>
  <c r="S653" i="24"/>
  <c r="K653" i="24"/>
  <c r="A653" i="24"/>
  <c r="M652" i="24"/>
  <c r="C652" i="24"/>
  <c r="O651" i="24"/>
  <c r="E651" i="24"/>
  <c r="Q650" i="24"/>
  <c r="G650" i="24"/>
  <c r="S649" i="24"/>
  <c r="K649" i="24"/>
  <c r="A649" i="24"/>
  <c r="M648" i="24"/>
  <c r="C648" i="24"/>
  <c r="O647" i="24"/>
  <c r="E647" i="24"/>
  <c r="Q646" i="24"/>
  <c r="G646" i="24"/>
  <c r="S645" i="24"/>
  <c r="K645" i="24"/>
  <c r="A645" i="24"/>
  <c r="M644" i="24"/>
  <c r="C644" i="24"/>
  <c r="O643" i="24"/>
  <c r="E643" i="24"/>
  <c r="Q642" i="24"/>
  <c r="G642" i="24"/>
  <c r="S641" i="24"/>
  <c r="K641" i="24"/>
  <c r="A641" i="24"/>
  <c r="M640" i="24"/>
  <c r="C640" i="24"/>
  <c r="O639" i="24"/>
  <c r="E639" i="24"/>
  <c r="Q638" i="24"/>
  <c r="G638" i="24"/>
  <c r="S637" i="24"/>
  <c r="K637" i="24"/>
  <c r="A637" i="24"/>
  <c r="M636" i="24"/>
  <c r="C636" i="24"/>
  <c r="O635" i="24"/>
  <c r="E635" i="24"/>
  <c r="Q634" i="24"/>
  <c r="G634" i="24"/>
  <c r="S633" i="24"/>
  <c r="K633" i="24"/>
  <c r="A633" i="24"/>
  <c r="M632" i="24"/>
  <c r="C632" i="24"/>
  <c r="O631" i="24"/>
  <c r="E631" i="24"/>
  <c r="Q630" i="24"/>
  <c r="G630" i="24"/>
  <c r="S629" i="24"/>
  <c r="K629" i="24"/>
  <c r="A629" i="24"/>
  <c r="M628" i="24"/>
  <c r="C628" i="24"/>
  <c r="O627" i="24"/>
  <c r="E627" i="24"/>
  <c r="Q626" i="24"/>
  <c r="G626" i="24"/>
  <c r="S625" i="24"/>
  <c r="K625" i="24"/>
  <c r="A625" i="24"/>
  <c r="M624" i="24"/>
  <c r="C624" i="24"/>
  <c r="O623" i="24"/>
  <c r="E623" i="24"/>
  <c r="Q622" i="24"/>
  <c r="H622" i="24"/>
  <c r="C622" i="24"/>
  <c r="Q621" i="24"/>
  <c r="L621" i="24"/>
  <c r="E621" i="24"/>
  <c r="S620" i="24"/>
  <c r="N620" i="24"/>
  <c r="G620" i="24"/>
  <c r="A620" i="24"/>
  <c r="P619" i="24"/>
  <c r="K619" i="24"/>
  <c r="C619" i="24"/>
  <c r="R618" i="24"/>
  <c r="M618" i="24"/>
  <c r="E618" i="24"/>
  <c r="T617" i="24"/>
  <c r="O617" i="24"/>
  <c r="G617" i="24"/>
  <c r="B617" i="24"/>
  <c r="Q616" i="24"/>
  <c r="K616" i="24"/>
  <c r="D616" i="24"/>
  <c r="S615" i="24"/>
  <c r="M615" i="24"/>
  <c r="F615" i="24"/>
  <c r="A615" i="24"/>
  <c r="O614" i="24"/>
  <c r="H614" i="24"/>
  <c r="D614" i="24"/>
  <c r="T613" i="24"/>
  <c r="P613" i="24"/>
  <c r="L613" i="24"/>
  <c r="F613" i="24"/>
  <c r="B613" i="24"/>
  <c r="R612" i="24"/>
  <c r="N612" i="24"/>
  <c r="H612" i="24"/>
  <c r="D612" i="24"/>
  <c r="T611" i="24"/>
  <c r="P611" i="24"/>
  <c r="L611" i="24"/>
  <c r="F611" i="24"/>
  <c r="B611" i="24"/>
  <c r="R610" i="24"/>
  <c r="N610" i="24"/>
  <c r="H610" i="24"/>
  <c r="D610" i="24"/>
  <c r="T609" i="24"/>
  <c r="P609" i="24"/>
  <c r="L609" i="24"/>
  <c r="F609" i="24"/>
  <c r="B609" i="24"/>
  <c r="R608" i="24"/>
  <c r="N608" i="24"/>
  <c r="H608" i="24"/>
  <c r="D608" i="24"/>
  <c r="T607" i="24"/>
  <c r="P607" i="24"/>
  <c r="L607" i="24"/>
  <c r="F607" i="24"/>
  <c r="B607" i="24"/>
  <c r="R606" i="24"/>
  <c r="N606" i="24"/>
  <c r="H606" i="24"/>
  <c r="D606" i="24"/>
  <c r="T605" i="24"/>
  <c r="P605" i="24"/>
  <c r="L605" i="24"/>
  <c r="F605" i="24"/>
  <c r="B605" i="24"/>
  <c r="R604" i="24"/>
  <c r="N604" i="24"/>
  <c r="H604" i="24"/>
  <c r="D604" i="24"/>
  <c r="T603" i="24"/>
  <c r="P603" i="24"/>
  <c r="L603" i="24"/>
  <c r="F603" i="24"/>
  <c r="B603" i="24"/>
  <c r="R602" i="24"/>
  <c r="N602" i="24"/>
  <c r="H602" i="24"/>
  <c r="D602" i="24"/>
  <c r="T601" i="24"/>
  <c r="P601" i="24"/>
  <c r="L601" i="24"/>
  <c r="F601" i="24"/>
  <c r="B601" i="24"/>
  <c r="R600" i="24"/>
  <c r="N600" i="24"/>
  <c r="H600" i="24"/>
  <c r="D600" i="24"/>
  <c r="T599" i="24"/>
  <c r="P599" i="24"/>
  <c r="L599" i="24"/>
  <c r="F599" i="24"/>
  <c r="B599" i="24"/>
  <c r="R598" i="24"/>
  <c r="N598" i="24"/>
  <c r="H598" i="24"/>
  <c r="D598" i="24"/>
  <c r="T597" i="24"/>
  <c r="P597" i="24"/>
  <c r="L597" i="24"/>
  <c r="F597" i="24"/>
  <c r="B597" i="24"/>
  <c r="R596" i="24"/>
  <c r="N596" i="24"/>
  <c r="H596" i="24"/>
  <c r="D596" i="24"/>
  <c r="T595" i="24"/>
  <c r="P595" i="24"/>
  <c r="L595" i="24"/>
  <c r="F595" i="24"/>
  <c r="B595" i="24"/>
  <c r="R594" i="24"/>
  <c r="N594" i="24"/>
  <c r="H594" i="24"/>
  <c r="D594" i="24"/>
  <c r="T593" i="24"/>
  <c r="P593" i="24"/>
  <c r="L593" i="24"/>
  <c r="F593" i="24"/>
  <c r="B593" i="24"/>
  <c r="R592" i="24"/>
  <c r="N592" i="24"/>
  <c r="H592" i="24"/>
  <c r="D592" i="24"/>
  <c r="T591" i="24"/>
  <c r="P591" i="24"/>
  <c r="L591" i="24"/>
  <c r="F591" i="24"/>
  <c r="B591" i="24"/>
  <c r="R590" i="24"/>
  <c r="N590" i="24"/>
  <c r="H590" i="24"/>
  <c r="D590" i="24"/>
  <c r="T589" i="24"/>
  <c r="P589" i="24"/>
  <c r="L589" i="24"/>
  <c r="F589" i="24"/>
  <c r="B589" i="24"/>
  <c r="R588" i="24"/>
  <c r="N588" i="24"/>
  <c r="H588" i="24"/>
  <c r="D588" i="24"/>
  <c r="T587" i="24"/>
  <c r="P587" i="24"/>
  <c r="L587" i="24"/>
  <c r="F587" i="24"/>
  <c r="B587" i="24"/>
  <c r="R586" i="24"/>
  <c r="N586" i="24"/>
  <c r="H586" i="24"/>
  <c r="D586" i="24"/>
  <c r="T585" i="24"/>
  <c r="P585" i="24"/>
  <c r="L585" i="24"/>
  <c r="F585" i="24"/>
  <c r="B585" i="24"/>
  <c r="R584" i="24"/>
  <c r="N584" i="24"/>
  <c r="H584" i="24"/>
  <c r="D584" i="24"/>
  <c r="T583" i="24"/>
  <c r="P583" i="24"/>
  <c r="L583" i="24"/>
  <c r="F583" i="24"/>
  <c r="B583" i="24"/>
  <c r="R582" i="24"/>
  <c r="N582" i="24"/>
  <c r="H582" i="24"/>
  <c r="D582" i="24"/>
  <c r="T581" i="24"/>
  <c r="P581" i="24"/>
  <c r="L581" i="24"/>
  <c r="F581" i="24"/>
  <c r="B581" i="24"/>
  <c r="R580" i="24"/>
  <c r="N580" i="24"/>
  <c r="H580" i="24"/>
  <c r="D580" i="24"/>
  <c r="T579" i="24"/>
  <c r="P579" i="24"/>
  <c r="L579" i="24"/>
  <c r="F579" i="24"/>
  <c r="B579" i="24"/>
  <c r="R578" i="24"/>
  <c r="N578" i="24"/>
  <c r="H578" i="24"/>
  <c r="D578" i="24"/>
  <c r="T577" i="24"/>
  <c r="P577" i="24"/>
  <c r="L577" i="24"/>
  <c r="F577" i="24"/>
  <c r="B577" i="24"/>
  <c r="R576" i="24"/>
  <c r="N576" i="24"/>
  <c r="H576" i="24"/>
  <c r="D576" i="24"/>
  <c r="T575" i="24"/>
  <c r="P575" i="24"/>
  <c r="L575" i="24"/>
  <c r="F575" i="24"/>
  <c r="B575" i="24"/>
  <c r="R574" i="24"/>
  <c r="N574" i="24"/>
  <c r="H574" i="24"/>
  <c r="D574" i="24"/>
  <c r="T573" i="24"/>
  <c r="P573" i="24"/>
  <c r="L573" i="24"/>
  <c r="F573" i="24"/>
  <c r="B573" i="24"/>
  <c r="R572" i="24"/>
  <c r="N572" i="24"/>
  <c r="H572" i="24"/>
  <c r="D572" i="24"/>
  <c r="T571" i="24"/>
  <c r="P571" i="24"/>
  <c r="L571" i="24"/>
  <c r="F571" i="24"/>
  <c r="B571" i="24"/>
  <c r="R570" i="24"/>
  <c r="N570" i="24"/>
  <c r="H570" i="24"/>
  <c r="D570" i="24"/>
  <c r="T569" i="24"/>
  <c r="P569" i="24"/>
  <c r="L569" i="24"/>
  <c r="F569" i="24"/>
  <c r="B569" i="24"/>
  <c r="R568" i="24"/>
  <c r="N568" i="24"/>
  <c r="H568" i="24"/>
  <c r="D568" i="24"/>
  <c r="T567" i="24"/>
  <c r="P567" i="24"/>
  <c r="L567" i="24"/>
  <c r="F567" i="24"/>
  <c r="B567" i="24"/>
  <c r="R566" i="24"/>
  <c r="N566" i="24"/>
  <c r="H566" i="24"/>
  <c r="D566" i="24"/>
  <c r="T565" i="24"/>
  <c r="P565" i="24"/>
  <c r="L565" i="24"/>
  <c r="F565" i="24"/>
  <c r="B565" i="24"/>
  <c r="R564" i="24"/>
  <c r="N564" i="24"/>
  <c r="H564" i="24"/>
  <c r="D564" i="24"/>
  <c r="T563" i="24"/>
  <c r="P563" i="24"/>
  <c r="L563" i="24"/>
  <c r="F563" i="24"/>
  <c r="B563" i="24"/>
  <c r="R562" i="24"/>
  <c r="N562" i="24"/>
  <c r="H562" i="24"/>
  <c r="D562" i="24"/>
  <c r="T561" i="24"/>
  <c r="P561" i="24"/>
  <c r="L561" i="24"/>
  <c r="F561" i="24"/>
  <c r="B561" i="24"/>
  <c r="R560" i="24"/>
  <c r="N560" i="24"/>
  <c r="H560" i="24"/>
  <c r="D560" i="24"/>
  <c r="T559" i="24"/>
  <c r="P559" i="24"/>
  <c r="L559" i="24"/>
  <c r="F559" i="24"/>
  <c r="B559" i="24"/>
  <c r="R558" i="24"/>
  <c r="N558" i="24"/>
  <c r="H558" i="24"/>
  <c r="D558" i="24"/>
  <c r="T557" i="24"/>
  <c r="P557" i="24"/>
  <c r="L557" i="24"/>
  <c r="F557" i="24"/>
  <c r="B557" i="24"/>
  <c r="R556" i="24"/>
  <c r="N556" i="24"/>
  <c r="H556" i="24"/>
  <c r="D556" i="24"/>
  <c r="T555" i="24"/>
  <c r="P555" i="24"/>
  <c r="L555" i="24"/>
  <c r="F555" i="24"/>
  <c r="B555" i="24"/>
  <c r="R554" i="24"/>
  <c r="N554" i="24"/>
  <c r="H554" i="24"/>
  <c r="D554" i="24"/>
  <c r="T553" i="24"/>
  <c r="P553" i="24"/>
  <c r="L553" i="24"/>
  <c r="F553" i="24"/>
  <c r="B553" i="24"/>
  <c r="R552" i="24"/>
  <c r="N552" i="24"/>
  <c r="H552" i="24"/>
  <c r="D552" i="24"/>
  <c r="T551" i="24"/>
  <c r="F1646" i="24"/>
  <c r="B1632" i="24"/>
  <c r="R1617" i="24"/>
  <c r="N1603" i="24"/>
  <c r="H1589" i="24"/>
  <c r="D1575" i="24"/>
  <c r="T1560" i="24"/>
  <c r="P1546" i="24"/>
  <c r="L1532" i="24"/>
  <c r="F1518" i="24"/>
  <c r="B1504" i="24"/>
  <c r="R1489" i="24"/>
  <c r="N1475" i="24"/>
  <c r="H1461" i="24"/>
  <c r="D1447" i="24"/>
  <c r="T1432" i="24"/>
  <c r="P1418" i="24"/>
  <c r="H1407" i="24"/>
  <c r="F1400" i="24"/>
  <c r="H1395" i="24"/>
  <c r="R1391" i="24"/>
  <c r="F1388" i="24"/>
  <c r="P1384" i="24"/>
  <c r="D1381" i="24"/>
  <c r="N1377" i="24"/>
  <c r="B1374" i="24"/>
  <c r="L1370" i="24"/>
  <c r="T1366" i="24"/>
  <c r="H1363" i="24"/>
  <c r="R1359" i="24"/>
  <c r="F1356" i="24"/>
  <c r="P1352" i="24"/>
  <c r="D1349" i="24"/>
  <c r="N1345" i="24"/>
  <c r="B1342" i="24"/>
  <c r="L1338" i="24"/>
  <c r="T1334" i="24"/>
  <c r="H1331" i="24"/>
  <c r="R1327" i="24"/>
  <c r="F1324" i="24"/>
  <c r="P1320" i="24"/>
  <c r="D1317" i="24"/>
  <c r="N1313" i="24"/>
  <c r="B1310" i="24"/>
  <c r="L1306" i="24"/>
  <c r="T1302" i="24"/>
  <c r="H1299" i="24"/>
  <c r="R1295" i="24"/>
  <c r="F1292" i="24"/>
  <c r="P1288" i="24"/>
  <c r="D1285" i="24"/>
  <c r="N1281" i="24"/>
  <c r="B1278" i="24"/>
  <c r="L1274" i="24"/>
  <c r="T1270" i="24"/>
  <c r="H1267" i="24"/>
  <c r="R1263" i="24"/>
  <c r="F1260" i="24"/>
  <c r="P1256" i="24"/>
  <c r="D1253" i="24"/>
  <c r="N1249" i="24"/>
  <c r="B1246" i="24"/>
  <c r="L1242" i="24"/>
  <c r="T1238" i="24"/>
  <c r="H1235" i="24"/>
  <c r="R1231" i="24"/>
  <c r="F1228" i="24"/>
  <c r="P1224" i="24"/>
  <c r="D1221" i="24"/>
  <c r="N1217" i="24"/>
  <c r="B1214" i="24"/>
  <c r="L1210" i="24"/>
  <c r="T1206" i="24"/>
  <c r="H1203" i="24"/>
  <c r="R1199" i="24"/>
  <c r="F1196" i="24"/>
  <c r="P1192" i="24"/>
  <c r="D1189" i="24"/>
  <c r="N1185" i="24"/>
  <c r="B1182" i="24"/>
  <c r="L1178" i="24"/>
  <c r="T1174" i="24"/>
  <c r="H1171" i="24"/>
  <c r="R1167" i="24"/>
  <c r="F1164" i="24"/>
  <c r="P1160" i="24"/>
  <c r="D1157" i="24"/>
  <c r="N1153" i="24"/>
  <c r="B1150" i="24"/>
  <c r="L1146" i="24"/>
  <c r="T1142" i="24"/>
  <c r="H1139" i="24"/>
  <c r="R1135" i="24"/>
  <c r="F1132" i="24"/>
  <c r="P1128" i="24"/>
  <c r="D1125" i="24"/>
  <c r="N1121" i="24"/>
  <c r="B1118" i="24"/>
  <c r="L1114" i="24"/>
  <c r="T1110" i="24"/>
  <c r="H1107" i="24"/>
  <c r="R1103" i="24"/>
  <c r="F1100" i="24"/>
  <c r="P1096" i="24"/>
  <c r="D1093" i="24"/>
  <c r="N1089" i="24"/>
  <c r="B1086" i="24"/>
  <c r="L1082" i="24"/>
  <c r="T1078" i="24"/>
  <c r="H1075" i="24"/>
  <c r="R1071" i="24"/>
  <c r="F1068" i="24"/>
  <c r="P1064" i="24"/>
  <c r="D1061" i="24"/>
  <c r="E1059" i="24"/>
  <c r="G1058" i="24"/>
  <c r="K1057" i="24"/>
  <c r="M1056" i="24"/>
  <c r="O1055" i="24"/>
  <c r="Q1054" i="24"/>
  <c r="S1053" i="24"/>
  <c r="A1053" i="24"/>
  <c r="C1052" i="24"/>
  <c r="E1051" i="24"/>
  <c r="G1050" i="24"/>
  <c r="K1049" i="24"/>
  <c r="M1048" i="24"/>
  <c r="O1047" i="24"/>
  <c r="Q1046" i="24"/>
  <c r="S1045" i="24"/>
  <c r="A1045" i="24"/>
  <c r="C1044" i="24"/>
  <c r="E1043" i="24"/>
  <c r="G1042" i="24"/>
  <c r="K1041" i="24"/>
  <c r="M1040" i="24"/>
  <c r="O1039" i="24"/>
  <c r="Q1038" i="24"/>
  <c r="S1037" i="24"/>
  <c r="A1037" i="24"/>
  <c r="C1036" i="24"/>
  <c r="E1035" i="24"/>
  <c r="G1034" i="24"/>
  <c r="K1033" i="24"/>
  <c r="M1032" i="24"/>
  <c r="O1031" i="24"/>
  <c r="Q1030" i="24"/>
  <c r="S1029" i="24"/>
  <c r="A1029" i="24"/>
  <c r="C1028" i="24"/>
  <c r="E1027" i="24"/>
  <c r="G1026" i="24"/>
  <c r="K1025" i="24"/>
  <c r="M1024" i="24"/>
  <c r="O1023" i="24"/>
  <c r="Q1022" i="24"/>
  <c r="S1021" i="24"/>
  <c r="A1021" i="24"/>
  <c r="C1020" i="24"/>
  <c r="E1019" i="24"/>
  <c r="G1018" i="24"/>
  <c r="K1017" i="24"/>
  <c r="M1016" i="24"/>
  <c r="O1015" i="24"/>
  <c r="Q1014" i="24"/>
  <c r="S1013" i="24"/>
  <c r="A1013" i="24"/>
  <c r="C1012" i="24"/>
  <c r="E1011" i="24"/>
  <c r="G1010" i="24"/>
  <c r="K1009" i="24"/>
  <c r="M1008" i="24"/>
  <c r="O1007" i="24"/>
  <c r="Q1006" i="24"/>
  <c r="S1005" i="24"/>
  <c r="A1005" i="24"/>
  <c r="C1004" i="24"/>
  <c r="E1003" i="24"/>
  <c r="G1002" i="24"/>
  <c r="K1001" i="24"/>
  <c r="M1000" i="24"/>
  <c r="O999" i="24"/>
  <c r="Q998" i="24"/>
  <c r="S997" i="24"/>
  <c r="A997" i="24"/>
  <c r="C996" i="24"/>
  <c r="E995" i="24"/>
  <c r="G994" i="24"/>
  <c r="K993" i="24"/>
  <c r="M992" i="24"/>
  <c r="O991" i="24"/>
  <c r="Q990" i="24"/>
  <c r="S989" i="24"/>
  <c r="A989" i="24"/>
  <c r="C988" i="24"/>
  <c r="E987" i="24"/>
  <c r="G986" i="24"/>
  <c r="K985" i="24"/>
  <c r="M984" i="24"/>
  <c r="O983" i="24"/>
  <c r="Q982" i="24"/>
  <c r="S981" i="24"/>
  <c r="A981" i="24"/>
  <c r="C980" i="24"/>
  <c r="E979" i="24"/>
  <c r="G978" i="24"/>
  <c r="K977" i="24"/>
  <c r="M976" i="24"/>
  <c r="O975" i="24"/>
  <c r="Q974" i="24"/>
  <c r="S973" i="24"/>
  <c r="A973" i="24"/>
  <c r="C972" i="24"/>
  <c r="E971" i="24"/>
  <c r="G970" i="24"/>
  <c r="K969" i="24"/>
  <c r="M968" i="24"/>
  <c r="O967" i="24"/>
  <c r="Q966" i="24"/>
  <c r="S965" i="24"/>
  <c r="A965" i="24"/>
  <c r="C964" i="24"/>
  <c r="E963" i="24"/>
  <c r="G962" i="24"/>
  <c r="K961" i="24"/>
  <c r="M960" i="24"/>
  <c r="O959" i="24"/>
  <c r="Q958" i="24"/>
  <c r="S957" i="24"/>
  <c r="A957" i="24"/>
  <c r="C956" i="24"/>
  <c r="E955" i="24"/>
  <c r="G954" i="24"/>
  <c r="K953" i="24"/>
  <c r="M952" i="24"/>
  <c r="O951" i="24"/>
  <c r="Q950" i="24"/>
  <c r="S949" i="24"/>
  <c r="A949" i="24"/>
  <c r="C948" i="24"/>
  <c r="E947" i="24"/>
  <c r="G946" i="24"/>
  <c r="K945" i="24"/>
  <c r="M944" i="24"/>
  <c r="O943" i="24"/>
  <c r="Q942" i="24"/>
  <c r="S941" i="24"/>
  <c r="A941" i="24"/>
  <c r="C940" i="24"/>
  <c r="E939" i="24"/>
  <c r="G938" i="24"/>
  <c r="K937" i="24"/>
  <c r="M936" i="24"/>
  <c r="O935" i="24"/>
  <c r="Q934" i="24"/>
  <c r="S933" i="24"/>
  <c r="A933" i="24"/>
  <c r="C932" i="24"/>
  <c r="E931" i="24"/>
  <c r="G930" i="24"/>
  <c r="K929" i="24"/>
  <c r="M928" i="24"/>
  <c r="O927" i="24"/>
  <c r="Q926" i="24"/>
  <c r="S925" i="24"/>
  <c r="A925" i="24"/>
  <c r="C924" i="24"/>
  <c r="E923" i="24"/>
  <c r="G922" i="24"/>
  <c r="K921" i="24"/>
  <c r="M920" i="24"/>
  <c r="O919" i="24"/>
  <c r="Q918" i="24"/>
  <c r="S917" i="24"/>
  <c r="A917" i="24"/>
  <c r="C916" i="24"/>
  <c r="E915" i="24"/>
  <c r="G914" i="24"/>
  <c r="K913" i="24"/>
  <c r="M912" i="24"/>
  <c r="O911" i="24"/>
  <c r="Q910" i="24"/>
  <c r="S909" i="24"/>
  <c r="A909" i="24"/>
  <c r="C908" i="24"/>
  <c r="E907" i="24"/>
  <c r="G906" i="24"/>
  <c r="K905" i="24"/>
  <c r="M904" i="24"/>
  <c r="O903" i="24"/>
  <c r="Q902" i="24"/>
  <c r="S901" i="24"/>
  <c r="A901" i="24"/>
  <c r="C900" i="24"/>
  <c r="E899" i="24"/>
  <c r="G898" i="24"/>
  <c r="K897" i="24"/>
  <c r="M896" i="24"/>
  <c r="O895" i="24"/>
  <c r="Q894" i="24"/>
  <c r="S893" i="24"/>
  <c r="A893" i="24"/>
  <c r="C892" i="24"/>
  <c r="E891" i="24"/>
  <c r="G890" i="24"/>
  <c r="K889" i="24"/>
  <c r="M888" i="24"/>
  <c r="O887" i="24"/>
  <c r="Q886" i="24"/>
  <c r="S885" i="24"/>
  <c r="A885" i="24"/>
  <c r="C884" i="24"/>
  <c r="E883" i="24"/>
  <c r="G882" i="24"/>
  <c r="K881" i="24"/>
  <c r="M880" i="24"/>
  <c r="O879" i="24"/>
  <c r="Q878" i="24"/>
  <c r="S877" i="24"/>
  <c r="A877" i="24"/>
  <c r="C876" i="24"/>
  <c r="E875" i="24"/>
  <c r="G874" i="24"/>
  <c r="K873" i="24"/>
  <c r="M872" i="24"/>
  <c r="O871" i="24"/>
  <c r="Q870" i="24"/>
  <c r="S869" i="24"/>
  <c r="A869" i="24"/>
  <c r="C868" i="24"/>
  <c r="E867" i="24"/>
  <c r="G866" i="24"/>
  <c r="K865" i="24"/>
  <c r="M864" i="24"/>
  <c r="O863" i="24"/>
  <c r="Q862" i="24"/>
  <c r="S861" i="24"/>
  <c r="A861" i="24"/>
  <c r="C860" i="24"/>
  <c r="E859" i="24"/>
  <c r="G858" i="24"/>
  <c r="K857" i="24"/>
  <c r="M856" i="24"/>
  <c r="O855" i="24"/>
  <c r="Q854" i="24"/>
  <c r="S853" i="24"/>
  <c r="A853" i="24"/>
  <c r="C852" i="24"/>
  <c r="E851" i="24"/>
  <c r="G850" i="24"/>
  <c r="K849" i="24"/>
  <c r="M848" i="24"/>
  <c r="O847" i="24"/>
  <c r="Q846" i="24"/>
  <c r="S845" i="24"/>
  <c r="A845" i="24"/>
  <c r="C844" i="24"/>
  <c r="E843" i="24"/>
  <c r="G842" i="24"/>
  <c r="K841" i="24"/>
  <c r="M840" i="24"/>
  <c r="O839" i="24"/>
  <c r="Q838" i="24"/>
  <c r="S837" i="24"/>
  <c r="A837" i="24"/>
  <c r="C836" i="24"/>
  <c r="E835" i="24"/>
  <c r="G834" i="24"/>
  <c r="K833" i="24"/>
  <c r="M832" i="24"/>
  <c r="O831" i="24"/>
  <c r="Q830" i="24"/>
  <c r="S829" i="24"/>
  <c r="A829" i="24"/>
  <c r="C828" i="24"/>
  <c r="E827" i="24"/>
  <c r="G826" i="24"/>
  <c r="K825" i="24"/>
  <c r="M824" i="24"/>
  <c r="O823" i="24"/>
  <c r="Q822" i="24"/>
  <c r="S821" i="24"/>
  <c r="A821" i="24"/>
  <c r="C820" i="24"/>
  <c r="E819" i="24"/>
  <c r="G818" i="24"/>
  <c r="K817" i="24"/>
  <c r="M816" i="24"/>
  <c r="O815" i="24"/>
  <c r="Q814" i="24"/>
  <c r="S813" i="24"/>
  <c r="A813" i="24"/>
  <c r="C812" i="24"/>
  <c r="E811" i="24"/>
  <c r="G810" i="24"/>
  <c r="K809" i="24"/>
  <c r="M808" i="24"/>
  <c r="O807" i="24"/>
  <c r="Q806" i="24"/>
  <c r="S805" i="24"/>
  <c r="A805" i="24"/>
  <c r="C804" i="24"/>
  <c r="E803" i="24"/>
  <c r="G802" i="24"/>
  <c r="K801" i="24"/>
  <c r="M800" i="24"/>
  <c r="O799" i="24"/>
  <c r="Q798" i="24"/>
  <c r="S797" i="24"/>
  <c r="A797" i="24"/>
  <c r="C796" i="24"/>
  <c r="E795" i="24"/>
  <c r="G794" i="24"/>
  <c r="K793" i="24"/>
  <c r="M792" i="24"/>
  <c r="O791" i="24"/>
  <c r="Q790" i="24"/>
  <c r="S789" i="24"/>
  <c r="A789" i="24"/>
  <c r="C788" i="24"/>
  <c r="E787" i="24"/>
  <c r="G786" i="24"/>
  <c r="K785" i="24"/>
  <c r="M784" i="24"/>
  <c r="O783" i="24"/>
  <c r="Q782" i="24"/>
  <c r="S781" i="24"/>
  <c r="A781" i="24"/>
  <c r="C780" i="24"/>
  <c r="E779" i="24"/>
  <c r="G778" i="24"/>
  <c r="K777" i="24"/>
  <c r="M776" i="24"/>
  <c r="O775" i="24"/>
  <c r="Q774" i="24"/>
  <c r="S773" i="24"/>
  <c r="A773" i="24"/>
  <c r="C772" i="24"/>
  <c r="E771" i="24"/>
  <c r="G770" i="24"/>
  <c r="K769" i="24"/>
  <c r="M768" i="24"/>
  <c r="O767" i="24"/>
  <c r="Q766" i="24"/>
  <c r="S765" i="24"/>
  <c r="A765" i="24"/>
  <c r="C764" i="24"/>
  <c r="E763" i="24"/>
  <c r="G762" i="24"/>
  <c r="K761" i="24"/>
  <c r="M760" i="24"/>
  <c r="O759" i="24"/>
  <c r="Q758" i="24"/>
  <c r="S757" i="24"/>
  <c r="A757" i="24"/>
  <c r="C756" i="24"/>
  <c r="E755" i="24"/>
  <c r="G754" i="24"/>
  <c r="K753" i="24"/>
  <c r="M752" i="24"/>
  <c r="O751" i="24"/>
  <c r="Q750" i="24"/>
  <c r="S749" i="24"/>
  <c r="A749" i="24"/>
  <c r="C748" i="24"/>
  <c r="E747" i="24"/>
  <c r="G746" i="24"/>
  <c r="K745" i="24"/>
  <c r="M744" i="24"/>
  <c r="O743" i="24"/>
  <c r="Q742" i="24"/>
  <c r="S741" i="24"/>
  <c r="A741" i="24"/>
  <c r="C740" i="24"/>
  <c r="E739" i="24"/>
  <c r="G738" i="24"/>
  <c r="K737" i="24"/>
  <c r="M736" i="24"/>
  <c r="O735" i="24"/>
  <c r="Q734" i="24"/>
  <c r="S733" i="24"/>
  <c r="A733" i="24"/>
  <c r="C732" i="24"/>
  <c r="E731" i="24"/>
  <c r="G730" i="24"/>
  <c r="K729" i="24"/>
  <c r="M728" i="24"/>
  <c r="O727" i="24"/>
  <c r="Q726" i="24"/>
  <c r="S725" i="24"/>
  <c r="A725" i="24"/>
  <c r="C724" i="24"/>
  <c r="E723" i="24"/>
  <c r="G722" i="24"/>
  <c r="K721" i="24"/>
  <c r="M720" i="24"/>
  <c r="O719" i="24"/>
  <c r="Q718" i="24"/>
  <c r="E718" i="24"/>
  <c r="Q717" i="24"/>
  <c r="G717" i="24"/>
  <c r="S716" i="24"/>
  <c r="K716" i="24"/>
  <c r="A716" i="24"/>
  <c r="M715" i="24"/>
  <c r="C715" i="24"/>
  <c r="O714" i="24"/>
  <c r="E714" i="24"/>
  <c r="Q713" i="24"/>
  <c r="G713" i="24"/>
  <c r="S712" i="24"/>
  <c r="K712" i="24"/>
  <c r="A712" i="24"/>
  <c r="M711" i="24"/>
  <c r="C711" i="24"/>
  <c r="O710" i="24"/>
  <c r="E710" i="24"/>
  <c r="Q709" i="24"/>
  <c r="G709" i="24"/>
  <c r="S708" i="24"/>
  <c r="K708" i="24"/>
  <c r="A708" i="24"/>
  <c r="M707" i="24"/>
  <c r="C707" i="24"/>
  <c r="O706" i="24"/>
  <c r="E706" i="24"/>
  <c r="Q705" i="24"/>
  <c r="G705" i="24"/>
  <c r="S704" i="24"/>
  <c r="K704" i="24"/>
  <c r="A704" i="24"/>
  <c r="M703" i="24"/>
  <c r="C703" i="24"/>
  <c r="O702" i="24"/>
  <c r="E702" i="24"/>
  <c r="Q701" i="24"/>
  <c r="G701" i="24"/>
  <c r="S700" i="24"/>
  <c r="K700" i="24"/>
  <c r="A700" i="24"/>
  <c r="M699" i="24"/>
  <c r="C699" i="24"/>
  <c r="O698" i="24"/>
  <c r="E698" i="24"/>
  <c r="Q697" i="24"/>
  <c r="G697" i="24"/>
  <c r="S696" i="24"/>
  <c r="K696" i="24"/>
  <c r="A696" i="24"/>
  <c r="M695" i="24"/>
  <c r="C695" i="24"/>
  <c r="O694" i="24"/>
  <c r="E694" i="24"/>
  <c r="Q693" i="24"/>
  <c r="G693" i="24"/>
  <c r="S692" i="24"/>
  <c r="K692" i="24"/>
  <c r="A692" i="24"/>
  <c r="M691" i="24"/>
  <c r="C691" i="24"/>
  <c r="O690" i="24"/>
  <c r="E690" i="24"/>
  <c r="Q689" i="24"/>
  <c r="G689" i="24"/>
  <c r="S688" i="24"/>
  <c r="K688" i="24"/>
  <c r="A688" i="24"/>
  <c r="M687" i="24"/>
  <c r="C687" i="24"/>
  <c r="O686" i="24"/>
  <c r="E686" i="24"/>
  <c r="Q685" i="24"/>
  <c r="G685" i="24"/>
  <c r="S684" i="24"/>
  <c r="K684" i="24"/>
  <c r="A684" i="24"/>
  <c r="M683" i="24"/>
  <c r="C683" i="24"/>
  <c r="O682" i="24"/>
  <c r="E682" i="24"/>
  <c r="Q681" i="24"/>
  <c r="G681" i="24"/>
  <c r="S680" i="24"/>
  <c r="K680" i="24"/>
  <c r="A680" i="24"/>
  <c r="M679" i="24"/>
  <c r="C679" i="24"/>
  <c r="O678" i="24"/>
  <c r="E678" i="24"/>
  <c r="Q677" i="24"/>
  <c r="G677" i="24"/>
  <c r="S676" i="24"/>
  <c r="K676" i="24"/>
  <c r="A676" i="24"/>
  <c r="M675" i="24"/>
  <c r="C675" i="24"/>
  <c r="O674" i="24"/>
  <c r="E674" i="24"/>
  <c r="Q673" i="24"/>
  <c r="G673" i="24"/>
  <c r="S672" i="24"/>
  <c r="K672" i="24"/>
  <c r="A672" i="24"/>
  <c r="M671" i="24"/>
  <c r="C671" i="24"/>
  <c r="O670" i="24"/>
  <c r="E670" i="24"/>
  <c r="Q669" i="24"/>
  <c r="G669" i="24"/>
  <c r="S668" i="24"/>
  <c r="K668" i="24"/>
  <c r="A668" i="24"/>
  <c r="M667" i="24"/>
  <c r="C667" i="24"/>
  <c r="O666" i="24"/>
  <c r="E666" i="24"/>
  <c r="Q665" i="24"/>
  <c r="G665" i="24"/>
  <c r="S664" i="24"/>
  <c r="K664" i="24"/>
  <c r="A664" i="24"/>
  <c r="M663" i="24"/>
  <c r="C663" i="24"/>
  <c r="O662" i="24"/>
  <c r="E662" i="24"/>
  <c r="Q661" i="24"/>
  <c r="G661" i="24"/>
  <c r="S660" i="24"/>
  <c r="K660" i="24"/>
  <c r="A660" i="24"/>
  <c r="M659" i="24"/>
  <c r="C659" i="24"/>
  <c r="O658" i="24"/>
  <c r="E658" i="24"/>
  <c r="Q657" i="24"/>
  <c r="G657" i="24"/>
  <c r="S656" i="24"/>
  <c r="K656" i="24"/>
  <c r="A656" i="24"/>
  <c r="M655" i="24"/>
  <c r="C655" i="24"/>
  <c r="O654" i="24"/>
  <c r="E654" i="24"/>
  <c r="Q653" i="24"/>
  <c r="G653" i="24"/>
  <c r="S652" i="24"/>
  <c r="K652" i="24"/>
  <c r="A652" i="24"/>
  <c r="M651" i="24"/>
  <c r="C651" i="24"/>
  <c r="O650" i="24"/>
  <c r="E650" i="24"/>
  <c r="Q649" i="24"/>
  <c r="G649" i="24"/>
  <c r="S648" i="24"/>
  <c r="K648" i="24"/>
  <c r="A648" i="24"/>
  <c r="M647" i="24"/>
  <c r="C647" i="24"/>
  <c r="O646" i="24"/>
  <c r="E646" i="24"/>
  <c r="Q645" i="24"/>
  <c r="G645" i="24"/>
  <c r="S644" i="24"/>
  <c r="K644" i="24"/>
  <c r="A644" i="24"/>
  <c r="M643" i="24"/>
  <c r="C643" i="24"/>
  <c r="O642" i="24"/>
  <c r="E642" i="24"/>
  <c r="Q641" i="24"/>
  <c r="G641" i="24"/>
  <c r="S640" i="24"/>
  <c r="K640" i="24"/>
  <c r="A640" i="24"/>
  <c r="M639" i="24"/>
  <c r="C639" i="24"/>
  <c r="O638" i="24"/>
  <c r="E638" i="24"/>
  <c r="Q637" i="24"/>
  <c r="G637" i="24"/>
  <c r="S636" i="24"/>
  <c r="K636" i="24"/>
  <c r="A636" i="24"/>
  <c r="M635" i="24"/>
  <c r="C635" i="24"/>
  <c r="O634" i="24"/>
  <c r="E634" i="24"/>
  <c r="Q633" i="24"/>
  <c r="G633" i="24"/>
  <c r="S632" i="24"/>
  <c r="K632" i="24"/>
  <c r="A632" i="24"/>
  <c r="M631" i="24"/>
  <c r="C631" i="24"/>
  <c r="O630" i="24"/>
  <c r="E630" i="24"/>
  <c r="Q629" i="24"/>
  <c r="G629" i="24"/>
  <c r="S628" i="24"/>
  <c r="K628" i="24"/>
  <c r="A628" i="24"/>
  <c r="M627" i="24"/>
  <c r="C627" i="24"/>
  <c r="O626" i="24"/>
  <c r="E626" i="24"/>
  <c r="Q625" i="24"/>
  <c r="G625" i="24"/>
  <c r="S624" i="24"/>
  <c r="K624" i="24"/>
  <c r="A624" i="24"/>
  <c r="M623" i="24"/>
  <c r="C623" i="24"/>
  <c r="O622" i="24"/>
  <c r="G622" i="24"/>
  <c r="A622" i="24"/>
  <c r="P621" i="24"/>
  <c r="K621" i="24"/>
  <c r="C621" i="24"/>
  <c r="R620" i="24"/>
  <c r="M620" i="24"/>
  <c r="E620" i="24"/>
  <c r="T619" i="24"/>
  <c r="O619" i="24"/>
  <c r="G619" i="24"/>
  <c r="B619" i="24"/>
  <c r="Q618" i="24"/>
  <c r="K618" i="24"/>
  <c r="D618" i="24"/>
  <c r="S617" i="24"/>
  <c r="M617" i="24"/>
  <c r="F617" i="24"/>
  <c r="A617" i="24"/>
  <c r="O616" i="24"/>
  <c r="H616" i="24"/>
  <c r="C616" i="24"/>
  <c r="Q615" i="24"/>
  <c r="L615" i="24"/>
  <c r="E615" i="24"/>
  <c r="S614" i="24"/>
  <c r="N614" i="24"/>
  <c r="G614" i="24"/>
  <c r="C614" i="24"/>
  <c r="S613" i="24"/>
  <c r="O613" i="24"/>
  <c r="K613" i="24"/>
  <c r="E613" i="24"/>
  <c r="A613" i="24"/>
  <c r="Q612" i="24"/>
  <c r="M612" i="24"/>
  <c r="G612" i="24"/>
  <c r="C612" i="24"/>
  <c r="S611" i="24"/>
  <c r="O611" i="24"/>
  <c r="K611" i="24"/>
  <c r="E611" i="24"/>
  <c r="A611" i="24"/>
  <c r="Q610" i="24"/>
  <c r="M610" i="24"/>
  <c r="G610" i="24"/>
  <c r="C610" i="24"/>
  <c r="S609" i="24"/>
  <c r="O609" i="24"/>
  <c r="K609" i="24"/>
  <c r="E609" i="24"/>
  <c r="A609" i="24"/>
  <c r="Q608" i="24"/>
  <c r="M608" i="24"/>
  <c r="G608" i="24"/>
  <c r="C608" i="24"/>
  <c r="S607" i="24"/>
  <c r="O607" i="24"/>
  <c r="K607" i="24"/>
  <c r="E607" i="24"/>
  <c r="A607" i="24"/>
  <c r="Q606" i="24"/>
  <c r="M606" i="24"/>
  <c r="G606" i="24"/>
  <c r="C606" i="24"/>
  <c r="S605" i="24"/>
  <c r="O605" i="24"/>
  <c r="K605" i="24"/>
  <c r="E605" i="24"/>
  <c r="A605" i="24"/>
  <c r="Q604" i="24"/>
  <c r="M604" i="24"/>
  <c r="G604" i="24"/>
  <c r="C604" i="24"/>
  <c r="S603" i="24"/>
  <c r="O603" i="24"/>
  <c r="K603" i="24"/>
  <c r="E603" i="24"/>
  <c r="A603" i="24"/>
  <c r="Q602" i="24"/>
  <c r="M602" i="24"/>
  <c r="G602" i="24"/>
  <c r="C602" i="24"/>
  <c r="S601" i="24"/>
  <c r="O601" i="24"/>
  <c r="K601" i="24"/>
  <c r="E601" i="24"/>
  <c r="A601" i="24"/>
  <c r="Q600" i="24"/>
  <c r="M600" i="24"/>
  <c r="G600" i="24"/>
  <c r="C600" i="24"/>
  <c r="S599" i="24"/>
  <c r="O599" i="24"/>
  <c r="K599" i="24"/>
  <c r="E599" i="24"/>
  <c r="A599" i="24"/>
  <c r="Q598" i="24"/>
  <c r="M598" i="24"/>
  <c r="G598" i="24"/>
  <c r="C598" i="24"/>
  <c r="S597" i="24"/>
  <c r="O597" i="24"/>
  <c r="K597" i="24"/>
  <c r="E597" i="24"/>
  <c r="A597" i="24"/>
  <c r="Q596" i="24"/>
  <c r="M596" i="24"/>
  <c r="G596" i="24"/>
  <c r="C596" i="24"/>
  <c r="S595" i="24"/>
  <c r="O595" i="24"/>
  <c r="K595" i="24"/>
  <c r="E595" i="24"/>
  <c r="A595" i="24"/>
  <c r="Q594" i="24"/>
  <c r="M594" i="24"/>
  <c r="G594" i="24"/>
  <c r="C594" i="24"/>
  <c r="S593" i="24"/>
  <c r="O593" i="24"/>
  <c r="K593" i="24"/>
  <c r="E593" i="24"/>
  <c r="A593" i="24"/>
  <c r="Q592" i="24"/>
  <c r="M592" i="24"/>
  <c r="G592" i="24"/>
  <c r="C592" i="24"/>
  <c r="S591" i="24"/>
  <c r="O591" i="24"/>
  <c r="K591" i="24"/>
  <c r="E591" i="24"/>
  <c r="A591" i="24"/>
  <c r="Q590" i="24"/>
  <c r="M590" i="24"/>
  <c r="G590" i="24"/>
  <c r="C590" i="24"/>
  <c r="S589" i="24"/>
  <c r="O589" i="24"/>
  <c r="K589" i="24"/>
  <c r="E589" i="24"/>
  <c r="A589" i="24"/>
  <c r="Q588" i="24"/>
  <c r="M588" i="24"/>
  <c r="G588" i="24"/>
  <c r="C588" i="24"/>
  <c r="S587" i="24"/>
  <c r="O587" i="24"/>
  <c r="K587" i="24"/>
  <c r="E587" i="24"/>
  <c r="A587" i="24"/>
  <c r="Q586" i="24"/>
  <c r="M586" i="24"/>
  <c r="G586" i="24"/>
  <c r="C586" i="24"/>
  <c r="S585" i="24"/>
  <c r="O585" i="24"/>
  <c r="K585" i="24"/>
  <c r="E585" i="24"/>
  <c r="A585" i="24"/>
  <c r="Q584" i="24"/>
  <c r="M584" i="24"/>
  <c r="G584" i="24"/>
  <c r="C584" i="24"/>
  <c r="S583" i="24"/>
  <c r="O583" i="24"/>
  <c r="K583" i="24"/>
  <c r="E583" i="24"/>
  <c r="A583" i="24"/>
  <c r="Q582" i="24"/>
  <c r="M582" i="24"/>
  <c r="G582" i="24"/>
  <c r="C582" i="24"/>
  <c r="S581" i="24"/>
  <c r="O581" i="24"/>
  <c r="K581" i="24"/>
  <c r="E581" i="24"/>
  <c r="A581" i="24"/>
  <c r="Q580" i="24"/>
  <c r="M580" i="24"/>
  <c r="G580" i="24"/>
  <c r="C580" i="24"/>
  <c r="S579" i="24"/>
  <c r="O579" i="24"/>
  <c r="K579" i="24"/>
  <c r="E579" i="24"/>
  <c r="A579" i="24"/>
  <c r="Q578" i="24"/>
  <c r="M578" i="24"/>
  <c r="G578" i="24"/>
  <c r="C578" i="24"/>
  <c r="S577" i="24"/>
  <c r="O577" i="24"/>
  <c r="K577" i="24"/>
  <c r="E577" i="24"/>
  <c r="A577" i="24"/>
  <c r="Q576" i="24"/>
  <c r="M576" i="24"/>
  <c r="G576" i="24"/>
  <c r="C576" i="24"/>
  <c r="S575" i="24"/>
  <c r="O575" i="24"/>
  <c r="K575" i="24"/>
  <c r="E575" i="24"/>
  <c r="A575" i="24"/>
  <c r="Q574" i="24"/>
  <c r="M574" i="24"/>
  <c r="G574" i="24"/>
  <c r="C574" i="24"/>
  <c r="S573" i="24"/>
  <c r="O573" i="24"/>
  <c r="K573" i="24"/>
  <c r="E573" i="24"/>
  <c r="A573" i="24"/>
  <c r="Q572" i="24"/>
  <c r="M572" i="24"/>
  <c r="G572" i="24"/>
  <c r="C572" i="24"/>
  <c r="S571" i="24"/>
  <c r="O571" i="24"/>
  <c r="K571" i="24"/>
  <c r="E571" i="24"/>
  <c r="A571" i="24"/>
  <c r="Q570" i="24"/>
  <c r="M570" i="24"/>
  <c r="G570" i="24"/>
  <c r="C570" i="24"/>
  <c r="S569" i="24"/>
  <c r="O569" i="24"/>
  <c r="K569" i="24"/>
  <c r="E569" i="24"/>
  <c r="A569" i="24"/>
  <c r="Q568" i="24"/>
  <c r="M568" i="24"/>
  <c r="G568" i="24"/>
  <c r="C568" i="24"/>
  <c r="S567" i="24"/>
  <c r="O567" i="24"/>
  <c r="K567" i="24"/>
  <c r="E567" i="24"/>
  <c r="A567" i="24"/>
  <c r="Q566" i="24"/>
  <c r="M566" i="24"/>
  <c r="G566" i="24"/>
  <c r="C566" i="24"/>
  <c r="S565" i="24"/>
  <c r="O565" i="24"/>
  <c r="K565" i="24"/>
  <c r="E565" i="24"/>
  <c r="A565" i="24"/>
  <c r="Q564" i="24"/>
  <c r="M564" i="24"/>
  <c r="G564" i="24"/>
  <c r="C564" i="24"/>
  <c r="S563" i="24"/>
  <c r="O563" i="24"/>
  <c r="K563" i="24"/>
  <c r="E563" i="24"/>
  <c r="A563" i="24"/>
  <c r="Q562" i="24"/>
  <c r="M562" i="24"/>
  <c r="G562" i="24"/>
  <c r="C562" i="24"/>
  <c r="S561" i="24"/>
  <c r="O561" i="24"/>
  <c r="K561" i="24"/>
  <c r="E561" i="24"/>
  <c r="A561" i="24"/>
  <c r="Q560" i="24"/>
  <c r="M560" i="24"/>
  <c r="G560" i="24"/>
  <c r="C560" i="24"/>
  <c r="S559" i="24"/>
  <c r="O559" i="24"/>
  <c r="K559" i="24"/>
  <c r="E559" i="24"/>
  <c r="A559" i="24"/>
  <c r="Q558" i="24"/>
  <c r="M558" i="24"/>
  <c r="G558" i="24"/>
  <c r="C558" i="24"/>
  <c r="S557" i="24"/>
  <c r="O557" i="24"/>
  <c r="K557" i="24"/>
  <c r="E557" i="24"/>
  <c r="A557" i="24"/>
  <c r="Q556" i="24"/>
  <c r="M556" i="24"/>
  <c r="G556" i="24"/>
  <c r="C556" i="24"/>
  <c r="S555" i="24"/>
  <c r="O555" i="24"/>
  <c r="K555" i="24"/>
  <c r="E555" i="24"/>
  <c r="A555" i="24"/>
  <c r="Q554" i="24"/>
  <c r="M554" i="24"/>
  <c r="G554" i="24"/>
  <c r="C554" i="24"/>
  <c r="S553" i="24"/>
  <c r="O553" i="24"/>
  <c r="K553" i="24"/>
  <c r="E553" i="24"/>
  <c r="A553" i="24"/>
  <c r="Q552" i="24"/>
  <c r="M552" i="24"/>
  <c r="G552" i="24"/>
  <c r="C552" i="24"/>
  <c r="S551" i="24"/>
  <c r="G708" i="24"/>
  <c r="M706" i="24"/>
  <c r="Q704" i="24"/>
  <c r="A703" i="24"/>
  <c r="E701" i="24"/>
  <c r="K699" i="24"/>
  <c r="O697" i="24"/>
  <c r="S695" i="24"/>
  <c r="C694" i="24"/>
  <c r="G692" i="24"/>
  <c r="M690" i="24"/>
  <c r="Q688" i="24"/>
  <c r="A687" i="24"/>
  <c r="E685" i="24"/>
  <c r="K683" i="24"/>
  <c r="O681" i="24"/>
  <c r="S679" i="24"/>
  <c r="C678" i="24"/>
  <c r="G676" i="24"/>
  <c r="M674" i="24"/>
  <c r="Q672" i="24"/>
  <c r="A671" i="24"/>
  <c r="E669" i="24"/>
  <c r="K667" i="24"/>
  <c r="O665" i="24"/>
  <c r="S663" i="24"/>
  <c r="C662" i="24"/>
  <c r="G660" i="24"/>
  <c r="M658" i="24"/>
  <c r="Q656" i="24"/>
  <c r="A655" i="24"/>
  <c r="E653" i="24"/>
  <c r="K651" i="24"/>
  <c r="O649" i="24"/>
  <c r="S647" i="24"/>
  <c r="C646" i="24"/>
  <c r="G644" i="24"/>
  <c r="M642" i="24"/>
  <c r="Q640" i="24"/>
  <c r="A639" i="24"/>
  <c r="E637" i="24"/>
  <c r="K635" i="24"/>
  <c r="O633" i="24"/>
  <c r="S631" i="24"/>
  <c r="C630" i="24"/>
  <c r="G628" i="24"/>
  <c r="M626" i="24"/>
  <c r="Q624" i="24"/>
  <c r="A623" i="24"/>
  <c r="O621" i="24"/>
  <c r="K620" i="24"/>
  <c r="F619" i="24"/>
  <c r="C618" i="24"/>
  <c r="S616" i="24"/>
  <c r="P615" i="24"/>
  <c r="M614" i="24"/>
  <c r="N613" i="24"/>
  <c r="P612" i="24"/>
  <c r="R611" i="24"/>
  <c r="T610" i="24"/>
  <c r="B610" i="24"/>
  <c r="D609" i="24"/>
  <c r="F608" i="24"/>
  <c r="H607" i="24"/>
  <c r="L606" i="24"/>
  <c r="N605" i="24"/>
  <c r="P604" i="24"/>
  <c r="R603" i="24"/>
  <c r="T602" i="24"/>
  <c r="B602" i="24"/>
  <c r="D601" i="24"/>
  <c r="F600" i="24"/>
  <c r="H599" i="24"/>
  <c r="L598" i="24"/>
  <c r="N597" i="24"/>
  <c r="P596" i="24"/>
  <c r="R595" i="24"/>
  <c r="T594" i="24"/>
  <c r="B594" i="24"/>
  <c r="D593" i="24"/>
  <c r="F592" i="24"/>
  <c r="H591" i="24"/>
  <c r="L590" i="24"/>
  <c r="N589" i="24"/>
  <c r="P588" i="24"/>
  <c r="R587" i="24"/>
  <c r="T586" i="24"/>
  <c r="B586" i="24"/>
  <c r="D585" i="24"/>
  <c r="F584" i="24"/>
  <c r="H583" i="24"/>
  <c r="L582" i="24"/>
  <c r="N581" i="24"/>
  <c r="P580" i="24"/>
  <c r="R579" i="24"/>
  <c r="T578" i="24"/>
  <c r="B578" i="24"/>
  <c r="D577" i="24"/>
  <c r="F576" i="24"/>
  <c r="H575" i="24"/>
  <c r="L574" i="24"/>
  <c r="N573" i="24"/>
  <c r="P572" i="24"/>
  <c r="R571" i="24"/>
  <c r="T570" i="24"/>
  <c r="B570" i="24"/>
  <c r="D569" i="24"/>
  <c r="F568" i="24"/>
  <c r="H567" i="24"/>
  <c r="L566" i="24"/>
  <c r="N565" i="24"/>
  <c r="P564" i="24"/>
  <c r="R563" i="24"/>
  <c r="T562" i="24"/>
  <c r="B562" i="24"/>
  <c r="D561" i="24"/>
  <c r="F560" i="24"/>
  <c r="H559" i="24"/>
  <c r="L558" i="24"/>
  <c r="N557" i="24"/>
  <c r="P556" i="24"/>
  <c r="R555" i="24"/>
  <c r="T554" i="24"/>
  <c r="B554" i="24"/>
  <c r="D553" i="24"/>
  <c r="L552" i="24"/>
  <c r="B552" i="24"/>
  <c r="P551" i="24"/>
  <c r="L551" i="24"/>
  <c r="F551" i="24"/>
  <c r="B551" i="24"/>
  <c r="R550" i="24"/>
  <c r="N550" i="24"/>
  <c r="H550" i="24"/>
  <c r="D550" i="24"/>
  <c r="T549" i="24"/>
  <c r="P549" i="24"/>
  <c r="L549" i="24"/>
  <c r="F549" i="24"/>
  <c r="B549" i="24"/>
  <c r="R548" i="24"/>
  <c r="N548" i="24"/>
  <c r="H548" i="24"/>
  <c r="D548" i="24"/>
  <c r="T547" i="24"/>
  <c r="P547" i="24"/>
  <c r="L547" i="24"/>
  <c r="F547" i="24"/>
  <c r="B547" i="24"/>
  <c r="R546" i="24"/>
  <c r="N546" i="24"/>
  <c r="H546" i="24"/>
  <c r="D546" i="24"/>
  <c r="T545" i="24"/>
  <c r="P545" i="24"/>
  <c r="L545" i="24"/>
  <c r="F545" i="24"/>
  <c r="B545" i="24"/>
  <c r="R544" i="24"/>
  <c r="N544" i="24"/>
  <c r="H544" i="24"/>
  <c r="D544" i="24"/>
  <c r="T543" i="24"/>
  <c r="P543" i="24"/>
  <c r="L543" i="24"/>
  <c r="F543" i="24"/>
  <c r="B543" i="24"/>
  <c r="R542" i="24"/>
  <c r="N542" i="24"/>
  <c r="H542" i="24"/>
  <c r="D542" i="24"/>
  <c r="T541" i="24"/>
  <c r="P541" i="24"/>
  <c r="L541" i="24"/>
  <c r="F541" i="24"/>
  <c r="B541" i="24"/>
  <c r="R540" i="24"/>
  <c r="N540" i="24"/>
  <c r="H540" i="24"/>
  <c r="D540" i="24"/>
  <c r="T539" i="24"/>
  <c r="P539" i="24"/>
  <c r="L539" i="24"/>
  <c r="F539" i="24"/>
  <c r="B539" i="24"/>
  <c r="R538" i="24"/>
  <c r="N538" i="24"/>
  <c r="H538" i="24"/>
  <c r="D538" i="24"/>
  <c r="T537" i="24"/>
  <c r="P537" i="24"/>
  <c r="L537" i="24"/>
  <c r="F537" i="24"/>
  <c r="B537" i="24"/>
  <c r="R536" i="24"/>
  <c r="N536" i="24"/>
  <c r="H536" i="24"/>
  <c r="D536" i="24"/>
  <c r="T535" i="24"/>
  <c r="P535" i="24"/>
  <c r="L535" i="24"/>
  <c r="F535" i="24"/>
  <c r="B535" i="24"/>
  <c r="R534" i="24"/>
  <c r="N534" i="24"/>
  <c r="H534" i="24"/>
  <c r="D534" i="24"/>
  <c r="T533" i="24"/>
  <c r="P533" i="24"/>
  <c r="L533" i="24"/>
  <c r="F533" i="24"/>
  <c r="B533" i="24"/>
  <c r="R532" i="24"/>
  <c r="N532" i="24"/>
  <c r="H532" i="24"/>
  <c r="D532" i="24"/>
  <c r="T531" i="24"/>
  <c r="P531" i="24"/>
  <c r="L531" i="24"/>
  <c r="F531" i="24"/>
  <c r="B531" i="24"/>
  <c r="R530" i="24"/>
  <c r="N530" i="24"/>
  <c r="H530" i="24"/>
  <c r="D530" i="24"/>
  <c r="T529" i="24"/>
  <c r="P529" i="24"/>
  <c r="L529" i="24"/>
  <c r="F529" i="24"/>
  <c r="B529" i="24"/>
  <c r="R528" i="24"/>
  <c r="N528" i="24"/>
  <c r="H528" i="24"/>
  <c r="D528" i="24"/>
  <c r="T527" i="24"/>
  <c r="P527" i="24"/>
  <c r="L527" i="24"/>
  <c r="F527" i="24"/>
  <c r="B527" i="24"/>
  <c r="R526" i="24"/>
  <c r="N526" i="24"/>
  <c r="H526" i="24"/>
  <c r="D526" i="24"/>
  <c r="T525" i="24"/>
  <c r="P525" i="24"/>
  <c r="L525" i="24"/>
  <c r="F525" i="24"/>
  <c r="B525" i="24"/>
  <c r="R524" i="24"/>
  <c r="N524" i="24"/>
  <c r="H524" i="24"/>
  <c r="D524" i="24"/>
  <c r="T523" i="24"/>
  <c r="P523" i="24"/>
  <c r="L523" i="24"/>
  <c r="F523" i="24"/>
  <c r="B523" i="24"/>
  <c r="R522" i="24"/>
  <c r="N522" i="24"/>
  <c r="H522" i="24"/>
  <c r="D522" i="24"/>
  <c r="T521" i="24"/>
  <c r="P521" i="24"/>
  <c r="L521" i="24"/>
  <c r="F521" i="24"/>
  <c r="B521" i="24"/>
  <c r="R520" i="24"/>
  <c r="N520" i="24"/>
  <c r="H520" i="24"/>
  <c r="D520" i="24"/>
  <c r="T519" i="24"/>
  <c r="P519" i="24"/>
  <c r="L519" i="24"/>
  <c r="F519" i="24"/>
  <c r="B519" i="24"/>
  <c r="R518" i="24"/>
  <c r="N518" i="24"/>
  <c r="H518" i="24"/>
  <c r="D518" i="24"/>
  <c r="T517" i="24"/>
  <c r="P517" i="24"/>
  <c r="L517" i="24"/>
  <c r="F517" i="24"/>
  <c r="B517" i="24"/>
  <c r="R516" i="24"/>
  <c r="N516" i="24"/>
  <c r="H516" i="24"/>
  <c r="D516" i="24"/>
  <c r="T515" i="24"/>
  <c r="P515" i="24"/>
  <c r="L515" i="24"/>
  <c r="F515" i="24"/>
  <c r="B515" i="24"/>
  <c r="R514" i="24"/>
  <c r="N514" i="24"/>
  <c r="H514" i="24"/>
  <c r="D514" i="24"/>
  <c r="T513" i="24"/>
  <c r="P513" i="24"/>
  <c r="L513" i="24"/>
  <c r="F513" i="24"/>
  <c r="B513" i="24"/>
  <c r="R512" i="24"/>
  <c r="N512" i="24"/>
  <c r="H512" i="24"/>
  <c r="D512" i="24"/>
  <c r="T511" i="24"/>
  <c r="P511" i="24"/>
  <c r="L511" i="24"/>
  <c r="F511" i="24"/>
  <c r="B511" i="24"/>
  <c r="R510" i="24"/>
  <c r="N510" i="24"/>
  <c r="H510" i="24"/>
  <c r="D510" i="24"/>
  <c r="T509" i="24"/>
  <c r="P509" i="24"/>
  <c r="L509" i="24"/>
  <c r="F509" i="24"/>
  <c r="B509" i="24"/>
  <c r="R508" i="24"/>
  <c r="N508" i="24"/>
  <c r="H508" i="24"/>
  <c r="D508" i="24"/>
  <c r="T507" i="24"/>
  <c r="P507" i="24"/>
  <c r="L507" i="24"/>
  <c r="F507" i="24"/>
  <c r="B507" i="24"/>
  <c r="R506" i="24"/>
  <c r="N506" i="24"/>
  <c r="H506" i="24"/>
  <c r="D506" i="24"/>
  <c r="T505" i="24"/>
  <c r="P505" i="24"/>
  <c r="L505" i="24"/>
  <c r="F505" i="24"/>
  <c r="B505" i="24"/>
  <c r="R504" i="24"/>
  <c r="N504" i="24"/>
  <c r="H504" i="24"/>
  <c r="D504" i="24"/>
  <c r="T503" i="24"/>
  <c r="P503" i="24"/>
  <c r="L503" i="24"/>
  <c r="F503" i="24"/>
  <c r="B503" i="24"/>
  <c r="R502" i="24"/>
  <c r="N502" i="24"/>
  <c r="H502" i="24"/>
  <c r="D502" i="24"/>
  <c r="T501" i="24"/>
  <c r="P501" i="24"/>
  <c r="L501" i="24"/>
  <c r="F501" i="24"/>
  <c r="B501" i="24"/>
  <c r="R500" i="24"/>
  <c r="N500" i="24"/>
  <c r="H500" i="24"/>
  <c r="D500" i="24"/>
  <c r="T499" i="24"/>
  <c r="P499" i="24"/>
  <c r="L499" i="24"/>
  <c r="F499" i="24"/>
  <c r="B499" i="24"/>
  <c r="R498" i="24"/>
  <c r="N498" i="24"/>
  <c r="H498" i="24"/>
  <c r="D498" i="24"/>
  <c r="T497" i="24"/>
  <c r="P497" i="24"/>
  <c r="L497" i="24"/>
  <c r="F497" i="24"/>
  <c r="B497" i="24"/>
  <c r="R496" i="24"/>
  <c r="N496" i="24"/>
  <c r="H496" i="24"/>
  <c r="D496" i="24"/>
  <c r="T495" i="24"/>
  <c r="P495" i="24"/>
  <c r="L495" i="24"/>
  <c r="F495" i="24"/>
  <c r="B495" i="24"/>
  <c r="R494" i="24"/>
  <c r="N494" i="24"/>
  <c r="H494" i="24"/>
  <c r="D494" i="24"/>
  <c r="T493" i="24"/>
  <c r="P493" i="24"/>
  <c r="L493" i="24"/>
  <c r="F493" i="24"/>
  <c r="B493" i="24"/>
  <c r="R492" i="24"/>
  <c r="N492" i="24"/>
  <c r="H492" i="24"/>
  <c r="D492" i="24"/>
  <c r="T491" i="24"/>
  <c r="P491" i="24"/>
  <c r="L491" i="24"/>
  <c r="F491" i="24"/>
  <c r="B491" i="24"/>
  <c r="R490" i="24"/>
  <c r="N490" i="24"/>
  <c r="H490" i="24"/>
  <c r="D490" i="24"/>
  <c r="T489" i="24"/>
  <c r="P489" i="24"/>
  <c r="L489" i="24"/>
  <c r="F489" i="24"/>
  <c r="B489" i="24"/>
  <c r="R488" i="24"/>
  <c r="N488" i="24"/>
  <c r="H488" i="24"/>
  <c r="D488" i="24"/>
  <c r="T487" i="24"/>
  <c r="P487" i="24"/>
  <c r="L487" i="24"/>
  <c r="F487" i="24"/>
  <c r="B487" i="24"/>
  <c r="R486" i="24"/>
  <c r="N486" i="24"/>
  <c r="H486" i="24"/>
  <c r="D486" i="24"/>
  <c r="T485" i="24"/>
  <c r="P485" i="24"/>
  <c r="L485" i="24"/>
  <c r="F485" i="24"/>
  <c r="B485" i="24"/>
  <c r="R484" i="24"/>
  <c r="N484" i="24"/>
  <c r="H484" i="24"/>
  <c r="D484" i="24"/>
  <c r="T483" i="24"/>
  <c r="P483" i="24"/>
  <c r="L483" i="24"/>
  <c r="F483" i="24"/>
  <c r="B483" i="24"/>
  <c r="R482" i="24"/>
  <c r="N482" i="24"/>
  <c r="H482" i="24"/>
  <c r="D482" i="24"/>
  <c r="T481" i="24"/>
  <c r="P481" i="24"/>
  <c r="L481" i="24"/>
  <c r="F481" i="24"/>
  <c r="B481" i="24"/>
  <c r="R480" i="24"/>
  <c r="N480" i="24"/>
  <c r="H480" i="24"/>
  <c r="D480" i="24"/>
  <c r="T479" i="24"/>
  <c r="P479" i="24"/>
  <c r="L479" i="24"/>
  <c r="F479" i="24"/>
  <c r="B479" i="24"/>
  <c r="R478" i="24"/>
  <c r="N478" i="24"/>
  <c r="H478" i="24"/>
  <c r="D478" i="24"/>
  <c r="T477" i="24"/>
  <c r="P477" i="24"/>
  <c r="L477" i="24"/>
  <c r="F477" i="24"/>
  <c r="B477" i="24"/>
  <c r="R476" i="24"/>
  <c r="N476" i="24"/>
  <c r="H476" i="24"/>
  <c r="D476" i="24"/>
  <c r="T475" i="24"/>
  <c r="P475" i="24"/>
  <c r="L475" i="24"/>
  <c r="F475" i="24"/>
  <c r="B475" i="24"/>
  <c r="R474" i="24"/>
  <c r="N474" i="24"/>
  <c r="H474" i="24"/>
  <c r="D474" i="24"/>
  <c r="T473" i="24"/>
  <c r="P473" i="24"/>
  <c r="L473" i="24"/>
  <c r="F473" i="24"/>
  <c r="B473" i="24"/>
  <c r="R472" i="24"/>
  <c r="N472" i="24"/>
  <c r="H472" i="24"/>
  <c r="D472" i="24"/>
  <c r="T471" i="24"/>
  <c r="P471" i="24"/>
  <c r="L471" i="24"/>
  <c r="F471" i="24"/>
  <c r="B471" i="24"/>
  <c r="R470" i="24"/>
  <c r="N470" i="24"/>
  <c r="H470" i="24"/>
  <c r="D470" i="24"/>
  <c r="T469" i="24"/>
  <c r="P469" i="24"/>
  <c r="L469" i="24"/>
  <c r="F469" i="24"/>
  <c r="B469" i="24"/>
  <c r="R468" i="24"/>
  <c r="N468" i="24"/>
  <c r="H468" i="24"/>
  <c r="D468" i="24"/>
  <c r="T467" i="24"/>
  <c r="P467" i="24"/>
  <c r="L467" i="24"/>
  <c r="F467" i="24"/>
  <c r="B467" i="24"/>
  <c r="R466" i="24"/>
  <c r="N466" i="24"/>
  <c r="H466" i="24"/>
  <c r="D466" i="24"/>
  <c r="T465" i="24"/>
  <c r="P465" i="24"/>
  <c r="L465" i="24"/>
  <c r="F465" i="24"/>
  <c r="B465" i="24"/>
  <c r="R464" i="24"/>
  <c r="N464" i="24"/>
  <c r="H464" i="24"/>
  <c r="D464" i="24"/>
  <c r="T463" i="24"/>
  <c r="P463" i="24"/>
  <c r="L463" i="24"/>
  <c r="F463" i="24"/>
  <c r="B463" i="24"/>
  <c r="R462" i="24"/>
  <c r="N462" i="24"/>
  <c r="H462" i="24"/>
  <c r="D462" i="24"/>
  <c r="T461" i="24"/>
  <c r="P461" i="24"/>
  <c r="L461" i="24"/>
  <c r="F461" i="24"/>
  <c r="B461" i="24"/>
  <c r="R460" i="24"/>
  <c r="N460" i="24"/>
  <c r="H460" i="24"/>
  <c r="D460" i="24"/>
  <c r="T459" i="24"/>
  <c r="P459" i="24"/>
  <c r="L459" i="24"/>
  <c r="F459" i="24"/>
  <c r="B459" i="24"/>
  <c r="R458" i="24"/>
  <c r="N458" i="24"/>
  <c r="H458" i="24"/>
  <c r="D458" i="24"/>
  <c r="T457" i="24"/>
  <c r="P457" i="24"/>
  <c r="L457" i="24"/>
  <c r="F457" i="24"/>
  <c r="B457" i="24"/>
  <c r="R456" i="24"/>
  <c r="N456" i="24"/>
  <c r="H456" i="24"/>
  <c r="D456" i="24"/>
  <c r="T455" i="24"/>
  <c r="P455" i="24"/>
  <c r="L455" i="24"/>
  <c r="F455" i="24"/>
  <c r="B455" i="24"/>
  <c r="R454" i="24"/>
  <c r="N454" i="24"/>
  <c r="H454" i="24"/>
  <c r="D454" i="24"/>
  <c r="T453" i="24"/>
  <c r="P453" i="24"/>
  <c r="L453" i="24"/>
  <c r="F453" i="24"/>
  <c r="B453" i="24"/>
  <c r="R452" i="24"/>
  <c r="N452" i="24"/>
  <c r="H452" i="24"/>
  <c r="D452" i="24"/>
  <c r="T451" i="24"/>
  <c r="P451" i="24"/>
  <c r="L451" i="24"/>
  <c r="F451" i="24"/>
  <c r="B451" i="24"/>
  <c r="R450" i="24"/>
  <c r="N450" i="24"/>
  <c r="H450" i="24"/>
  <c r="D450" i="24"/>
  <c r="T449" i="24"/>
  <c r="P449" i="24"/>
  <c r="L449" i="24"/>
  <c r="F449" i="24"/>
  <c r="B449" i="24"/>
  <c r="R448" i="24"/>
  <c r="N448" i="24"/>
  <c r="H448" i="24"/>
  <c r="D448" i="24"/>
  <c r="T447" i="24"/>
  <c r="P447" i="24"/>
  <c r="L447" i="24"/>
  <c r="F447" i="24"/>
  <c r="B447" i="24"/>
  <c r="R446" i="24"/>
  <c r="N446" i="24"/>
  <c r="H446" i="24"/>
  <c r="D446" i="24"/>
  <c r="T445" i="24"/>
  <c r="P445" i="24"/>
  <c r="L445" i="24"/>
  <c r="F445" i="24"/>
  <c r="B445" i="24"/>
  <c r="R444" i="24"/>
  <c r="N444" i="24"/>
  <c r="H444" i="24"/>
  <c r="D444" i="24"/>
  <c r="T443" i="24"/>
  <c r="P443" i="24"/>
  <c r="L443" i="24"/>
  <c r="F443" i="24"/>
  <c r="B443" i="24"/>
  <c r="R442" i="24"/>
  <c r="N442" i="24"/>
  <c r="H442" i="24"/>
  <c r="D442" i="24"/>
  <c r="T441" i="24"/>
  <c r="P441" i="24"/>
  <c r="L441" i="24"/>
  <c r="F441" i="24"/>
  <c r="B441" i="24"/>
  <c r="R440" i="24"/>
  <c r="N440" i="24"/>
  <c r="H440" i="24"/>
  <c r="D440" i="24"/>
  <c r="T439" i="24"/>
  <c r="P439" i="24"/>
  <c r="L439" i="24"/>
  <c r="F439" i="24"/>
  <c r="B439" i="24"/>
  <c r="R438" i="24"/>
  <c r="N438" i="24"/>
  <c r="H438" i="24"/>
  <c r="D438" i="24"/>
  <c r="T437" i="24"/>
  <c r="P437" i="24"/>
  <c r="L437" i="24"/>
  <c r="F437" i="24"/>
  <c r="B437" i="24"/>
  <c r="R436" i="24"/>
  <c r="N436" i="24"/>
  <c r="H436" i="24"/>
  <c r="D436" i="24"/>
  <c r="T435" i="24"/>
  <c r="P435" i="24"/>
  <c r="L435" i="24"/>
  <c r="F435" i="24"/>
  <c r="B435" i="24"/>
  <c r="R434" i="24"/>
  <c r="N434" i="24"/>
  <c r="H434" i="24"/>
  <c r="D434" i="24"/>
  <c r="T433" i="24"/>
  <c r="P433" i="24"/>
  <c r="L433" i="24"/>
  <c r="F433" i="24"/>
  <c r="B433" i="24"/>
  <c r="R432" i="24"/>
  <c r="N432" i="24"/>
  <c r="H432" i="24"/>
  <c r="D432" i="24"/>
  <c r="T431" i="24"/>
  <c r="P431" i="24"/>
  <c r="L431" i="24"/>
  <c r="F431" i="24"/>
  <c r="B431" i="24"/>
  <c r="R430" i="24"/>
  <c r="N430" i="24"/>
  <c r="H430" i="24"/>
  <c r="D430" i="24"/>
  <c r="T429" i="24"/>
  <c r="P429" i="24"/>
  <c r="L429" i="24"/>
  <c r="F429" i="24"/>
  <c r="B429" i="24"/>
  <c r="R428" i="24"/>
  <c r="N428" i="24"/>
  <c r="H428" i="24"/>
  <c r="D428" i="24"/>
  <c r="T427" i="24"/>
  <c r="P427" i="24"/>
  <c r="L427" i="24"/>
  <c r="F427" i="24"/>
  <c r="B427" i="24"/>
  <c r="R426" i="24"/>
  <c r="N426" i="24"/>
  <c r="H426" i="24"/>
  <c r="D426" i="24"/>
  <c r="T425" i="24"/>
  <c r="P425" i="24"/>
  <c r="L425" i="24"/>
  <c r="F425" i="24"/>
  <c r="B425" i="24"/>
  <c r="R424" i="24"/>
  <c r="N424" i="24"/>
  <c r="H424" i="24"/>
  <c r="D424" i="24"/>
  <c r="T423" i="24"/>
  <c r="P423" i="24"/>
  <c r="L423" i="24"/>
  <c r="F423" i="24"/>
  <c r="B423" i="24"/>
  <c r="R422" i="24"/>
  <c r="N422" i="24"/>
  <c r="H422" i="24"/>
  <c r="D422" i="24"/>
  <c r="T421" i="24"/>
  <c r="P421" i="24"/>
  <c r="L421" i="24"/>
  <c r="F421" i="24"/>
  <c r="B421" i="24"/>
  <c r="R420" i="24"/>
  <c r="N420" i="24"/>
  <c r="H420" i="24"/>
  <c r="D420" i="24"/>
  <c r="T419" i="24"/>
  <c r="P419" i="24"/>
  <c r="L419" i="24"/>
  <c r="F419" i="24"/>
  <c r="B419" i="24"/>
  <c r="R418" i="24"/>
  <c r="N418" i="24"/>
  <c r="H418" i="24"/>
  <c r="D418" i="24"/>
  <c r="T417" i="24"/>
  <c r="P417" i="24"/>
  <c r="L417" i="24"/>
  <c r="F417" i="24"/>
  <c r="B417" i="24"/>
  <c r="R416" i="24"/>
  <c r="N416" i="24"/>
  <c r="H416" i="24"/>
  <c r="D416" i="24"/>
  <c r="T415" i="24"/>
  <c r="P415" i="24"/>
  <c r="L415" i="24"/>
  <c r="F415" i="24"/>
  <c r="B415" i="24"/>
  <c r="R414" i="24"/>
  <c r="N414" i="24"/>
  <c r="H414" i="24"/>
  <c r="D414" i="24"/>
  <c r="T413" i="24"/>
  <c r="P413" i="24"/>
  <c r="L413" i="24"/>
  <c r="F413" i="24"/>
  <c r="B413" i="24"/>
  <c r="R412" i="24"/>
  <c r="N412" i="24"/>
  <c r="H412" i="24"/>
  <c r="D412" i="24"/>
  <c r="T411" i="24"/>
  <c r="P411" i="24"/>
  <c r="L411" i="24"/>
  <c r="F411" i="24"/>
  <c r="B411" i="24"/>
  <c r="R410" i="24"/>
  <c r="N410" i="24"/>
  <c r="H410" i="24"/>
  <c r="D410" i="24"/>
  <c r="T409" i="24"/>
  <c r="P409" i="24"/>
  <c r="L409" i="24"/>
  <c r="F409" i="24"/>
  <c r="B409" i="24"/>
  <c r="R408" i="24"/>
  <c r="N408" i="24"/>
  <c r="H408" i="24"/>
  <c r="D408" i="24"/>
  <c r="T407" i="24"/>
  <c r="P407" i="24"/>
  <c r="L407" i="24"/>
  <c r="F407" i="24"/>
  <c r="B407" i="24"/>
  <c r="R406" i="24"/>
  <c r="N406" i="24"/>
  <c r="H406" i="24"/>
  <c r="D406" i="24"/>
  <c r="T405" i="24"/>
  <c r="P405" i="24"/>
  <c r="L405" i="24"/>
  <c r="F405" i="24"/>
  <c r="B405" i="24"/>
  <c r="R404" i="24"/>
  <c r="N404" i="24"/>
  <c r="H404" i="24"/>
  <c r="D404" i="24"/>
  <c r="T403" i="24"/>
  <c r="P403" i="24"/>
  <c r="L403" i="24"/>
  <c r="F403" i="24"/>
  <c r="B403" i="24"/>
  <c r="R402" i="24"/>
  <c r="N402" i="24"/>
  <c r="H402" i="24"/>
  <c r="D402" i="24"/>
  <c r="T401" i="24"/>
  <c r="P401" i="24"/>
  <c r="L401" i="24"/>
  <c r="F401" i="24"/>
  <c r="B401" i="24"/>
  <c r="R400" i="24"/>
  <c r="N400" i="24"/>
  <c r="H400" i="24"/>
  <c r="D400" i="24"/>
  <c r="T399" i="24"/>
  <c r="P399" i="24"/>
  <c r="L399" i="24"/>
  <c r="F399" i="24"/>
  <c r="B399" i="24"/>
  <c r="R398" i="24"/>
  <c r="N398" i="24"/>
  <c r="H398" i="24"/>
  <c r="D398" i="24"/>
  <c r="T397" i="24"/>
  <c r="P397" i="24"/>
  <c r="L397" i="24"/>
  <c r="F397" i="24"/>
  <c r="B397" i="24"/>
  <c r="R396" i="24"/>
  <c r="N396" i="24"/>
  <c r="H396" i="24"/>
  <c r="D396" i="24"/>
  <c r="T395" i="24"/>
  <c r="P395" i="24"/>
  <c r="L395" i="24"/>
  <c r="F395" i="24"/>
  <c r="B395" i="24"/>
  <c r="R394" i="24"/>
  <c r="N394" i="24"/>
  <c r="H394" i="24"/>
  <c r="D394" i="24"/>
  <c r="T393" i="24"/>
  <c r="P393" i="24"/>
  <c r="L393" i="24"/>
  <c r="F393" i="24"/>
  <c r="B393" i="24"/>
  <c r="R392" i="24"/>
  <c r="N392" i="24"/>
  <c r="H392" i="24"/>
  <c r="D392" i="24"/>
  <c r="T391" i="24"/>
  <c r="P391" i="24"/>
  <c r="L391" i="24"/>
  <c r="F391" i="24"/>
  <c r="B391" i="24"/>
  <c r="R390" i="24"/>
  <c r="N390" i="24"/>
  <c r="H390" i="24"/>
  <c r="D390" i="24"/>
  <c r="T389" i="24"/>
  <c r="P389" i="24"/>
  <c r="L389" i="24"/>
  <c r="F389" i="24"/>
  <c r="B389" i="24"/>
  <c r="R388" i="24"/>
  <c r="N388" i="24"/>
  <c r="H388" i="24"/>
  <c r="D388" i="24"/>
  <c r="T387" i="24"/>
  <c r="P387" i="24"/>
  <c r="L387" i="24"/>
  <c r="F387" i="24"/>
  <c r="B387" i="24"/>
  <c r="R386" i="24"/>
  <c r="N386" i="24"/>
  <c r="H386" i="24"/>
  <c r="D386" i="24"/>
  <c r="T385" i="24"/>
  <c r="P385" i="24"/>
  <c r="L385" i="24"/>
  <c r="F385" i="24"/>
  <c r="B385" i="24"/>
  <c r="R384" i="24"/>
  <c r="N384" i="24"/>
  <c r="H384" i="24"/>
  <c r="D384" i="24"/>
  <c r="T383" i="24"/>
  <c r="P383" i="24"/>
  <c r="L383" i="24"/>
  <c r="F383" i="24"/>
  <c r="B383" i="24"/>
  <c r="R382" i="24"/>
  <c r="N382" i="24"/>
  <c r="H382" i="24"/>
  <c r="D382" i="24"/>
  <c r="T381" i="24"/>
  <c r="P381" i="24"/>
  <c r="L381" i="24"/>
  <c r="F381" i="24"/>
  <c r="B381" i="24"/>
  <c r="R380" i="24"/>
  <c r="N380" i="24"/>
  <c r="H380" i="24"/>
  <c r="D380" i="24"/>
  <c r="T379" i="24"/>
  <c r="P379" i="24"/>
  <c r="L379" i="24"/>
  <c r="F379" i="24"/>
  <c r="B379" i="24"/>
  <c r="R378" i="24"/>
  <c r="N378" i="24"/>
  <c r="H378" i="24"/>
  <c r="D378" i="24"/>
  <c r="T377" i="24"/>
  <c r="P377" i="24"/>
  <c r="L377" i="24"/>
  <c r="F377" i="24"/>
  <c r="B377" i="24"/>
  <c r="R376" i="24"/>
  <c r="N376" i="24"/>
  <c r="H376" i="24"/>
  <c r="D376" i="24"/>
  <c r="T375" i="24"/>
  <c r="P375" i="24"/>
  <c r="L375" i="24"/>
  <c r="F375" i="24"/>
  <c r="B375" i="24"/>
  <c r="R374" i="24"/>
  <c r="N374" i="24"/>
  <c r="H374" i="24"/>
  <c r="D374" i="24"/>
  <c r="T373" i="24"/>
  <c r="P373" i="24"/>
  <c r="L373" i="24"/>
  <c r="F373" i="24"/>
  <c r="B373" i="24"/>
  <c r="R372" i="24"/>
  <c r="N372" i="24"/>
  <c r="H372" i="24"/>
  <c r="D372" i="24"/>
  <c r="T371" i="24"/>
  <c r="P371" i="24"/>
  <c r="L371" i="24"/>
  <c r="F371" i="24"/>
  <c r="B371" i="24"/>
  <c r="R370" i="24"/>
  <c r="N370" i="24"/>
  <c r="H370" i="24"/>
  <c r="D370" i="24"/>
  <c r="T369" i="24"/>
  <c r="P369" i="24"/>
  <c r="L369" i="24"/>
  <c r="F369" i="24"/>
  <c r="B369" i="24"/>
  <c r="R368" i="24"/>
  <c r="N368" i="24"/>
  <c r="H368" i="24"/>
  <c r="D368" i="24"/>
  <c r="T367" i="24"/>
  <c r="P367" i="24"/>
  <c r="L367" i="24"/>
  <c r="F367" i="24"/>
  <c r="B367" i="24"/>
  <c r="R366" i="24"/>
  <c r="N366" i="24"/>
  <c r="H366" i="24"/>
  <c r="D366" i="24"/>
  <c r="T365" i="24"/>
  <c r="P365" i="24"/>
  <c r="L365" i="24"/>
  <c r="F365" i="24"/>
  <c r="B365" i="24"/>
  <c r="R364" i="24"/>
  <c r="N364" i="24"/>
  <c r="H364" i="24"/>
  <c r="D364" i="24"/>
  <c r="T363" i="24"/>
  <c r="P363" i="24"/>
  <c r="L363" i="24"/>
  <c r="F363" i="24"/>
  <c r="B363" i="24"/>
  <c r="R362" i="24"/>
  <c r="N362" i="24"/>
  <c r="H362" i="24"/>
  <c r="D362" i="24"/>
  <c r="T361" i="24"/>
  <c r="P361" i="24"/>
  <c r="L361" i="24"/>
  <c r="F361" i="24"/>
  <c r="B361" i="24"/>
  <c r="R360" i="24"/>
  <c r="N360" i="24"/>
  <c r="H360" i="24"/>
  <c r="D360" i="24"/>
  <c r="T359" i="24"/>
  <c r="P359" i="24"/>
  <c r="L359" i="24"/>
  <c r="F359" i="24"/>
  <c r="B359" i="24"/>
  <c r="R358" i="24"/>
  <c r="N358" i="24"/>
  <c r="H358" i="24"/>
  <c r="D358" i="24"/>
  <c r="T357" i="24"/>
  <c r="P357" i="24"/>
  <c r="L357" i="24"/>
  <c r="F357" i="24"/>
  <c r="B357" i="24"/>
  <c r="R356" i="24"/>
  <c r="N356" i="24"/>
  <c r="H356" i="24"/>
  <c r="D356" i="24"/>
  <c r="T355" i="24"/>
  <c r="P355" i="24"/>
  <c r="L355" i="24"/>
  <c r="F355" i="24"/>
  <c r="B355" i="24"/>
  <c r="R354" i="24"/>
  <c r="N354" i="24"/>
  <c r="H354" i="24"/>
  <c r="D354" i="24"/>
  <c r="T353" i="24"/>
  <c r="P353" i="24"/>
  <c r="L353" i="24"/>
  <c r="F353" i="24"/>
  <c r="B353" i="24"/>
  <c r="R352" i="24"/>
  <c r="N352" i="24"/>
  <c r="H352" i="24"/>
  <c r="D352" i="24"/>
  <c r="T351" i="24"/>
  <c r="P351" i="24"/>
  <c r="L351" i="24"/>
  <c r="F351" i="24"/>
  <c r="B351" i="24"/>
  <c r="R350" i="24"/>
  <c r="N350" i="24"/>
  <c r="H350" i="24"/>
  <c r="D350" i="24"/>
  <c r="T349" i="24"/>
  <c r="P349" i="24"/>
  <c r="L349" i="24"/>
  <c r="F349" i="24"/>
  <c r="B349" i="24"/>
  <c r="R348" i="24"/>
  <c r="N348" i="24"/>
  <c r="H348" i="24"/>
  <c r="D348" i="24"/>
  <c r="T347" i="24"/>
  <c r="P347" i="24"/>
  <c r="L347" i="24"/>
  <c r="F347" i="24"/>
  <c r="B347" i="24"/>
  <c r="R346" i="24"/>
  <c r="N346" i="24"/>
  <c r="H346" i="24"/>
  <c r="D346" i="24"/>
  <c r="T345" i="24"/>
  <c r="P345" i="24"/>
  <c r="L345" i="24"/>
  <c r="F345" i="24"/>
  <c r="B345" i="24"/>
  <c r="R344" i="24"/>
  <c r="N344" i="24"/>
  <c r="H344" i="24"/>
  <c r="D344" i="24"/>
  <c r="T343" i="24"/>
  <c r="P343" i="24"/>
  <c r="L343" i="24"/>
  <c r="F343" i="24"/>
  <c r="B343" i="24"/>
  <c r="R342" i="24"/>
  <c r="N342" i="24"/>
  <c r="H342" i="24"/>
  <c r="D342" i="24"/>
  <c r="T341" i="24"/>
  <c r="P341" i="24"/>
  <c r="L341" i="24"/>
  <c r="F341" i="24"/>
  <c r="B341" i="24"/>
  <c r="R340" i="24"/>
  <c r="N340" i="24"/>
  <c r="H340" i="24"/>
  <c r="D340" i="24"/>
  <c r="T339" i="24"/>
  <c r="P339" i="24"/>
  <c r="L339" i="24"/>
  <c r="F339" i="24"/>
  <c r="B339" i="24"/>
  <c r="R338" i="24"/>
  <c r="N338" i="24"/>
  <c r="H338" i="24"/>
  <c r="D338" i="24"/>
  <c r="T337" i="24"/>
  <c r="P337" i="24"/>
  <c r="L337" i="24"/>
  <c r="F337" i="24"/>
  <c r="B337" i="24"/>
  <c r="R336" i="24"/>
  <c r="N336" i="24"/>
  <c r="H336" i="24"/>
  <c r="D336" i="24"/>
  <c r="T335" i="24"/>
  <c r="P335" i="24"/>
  <c r="L335" i="24"/>
  <c r="F335" i="24"/>
  <c r="B335" i="24"/>
  <c r="R334" i="24"/>
  <c r="N334" i="24"/>
  <c r="H334" i="24"/>
  <c r="D334" i="24"/>
  <c r="T333" i="24"/>
  <c r="P333" i="24"/>
  <c r="L333" i="24"/>
  <c r="F333" i="24"/>
  <c r="B333" i="24"/>
  <c r="R332" i="24"/>
  <c r="N332" i="24"/>
  <c r="H332" i="24"/>
  <c r="D332" i="24"/>
  <c r="T331" i="24"/>
  <c r="P331" i="24"/>
  <c r="L331" i="24"/>
  <c r="F331" i="24"/>
  <c r="B331" i="24"/>
  <c r="R330" i="24"/>
  <c r="N330" i="24"/>
  <c r="H330" i="24"/>
  <c r="D330" i="24"/>
  <c r="T329" i="24"/>
  <c r="P329" i="24"/>
  <c r="L329" i="24"/>
  <c r="F329" i="24"/>
  <c r="B329" i="24"/>
  <c r="R328" i="24"/>
  <c r="N328" i="24"/>
  <c r="H328" i="24"/>
  <c r="D328" i="24"/>
  <c r="T327" i="24"/>
  <c r="P327" i="24"/>
  <c r="L327" i="24"/>
  <c r="F327" i="24"/>
  <c r="B327" i="24"/>
  <c r="R326" i="24"/>
  <c r="N326" i="24"/>
  <c r="H326" i="24"/>
  <c r="D326" i="24"/>
  <c r="T325" i="24"/>
  <c r="P325" i="24"/>
  <c r="L325" i="24"/>
  <c r="F325" i="24"/>
  <c r="B325" i="24"/>
  <c r="R324" i="24"/>
  <c r="N324" i="24"/>
  <c r="H324" i="24"/>
  <c r="D324" i="24"/>
  <c r="T323" i="24"/>
  <c r="P323" i="24"/>
  <c r="L323" i="24"/>
  <c r="F323" i="24"/>
  <c r="B323" i="24"/>
  <c r="R322" i="24"/>
  <c r="N322" i="24"/>
  <c r="H322" i="24"/>
  <c r="D322" i="24"/>
  <c r="T321" i="24"/>
  <c r="P321" i="24"/>
  <c r="L321" i="24"/>
  <c r="F321" i="24"/>
  <c r="B321" i="24"/>
  <c r="R320" i="24"/>
  <c r="N320" i="24"/>
  <c r="H320" i="24"/>
  <c r="D320" i="24"/>
  <c r="T319" i="24"/>
  <c r="P319" i="24"/>
  <c r="L319" i="24"/>
  <c r="F319" i="24"/>
  <c r="B319" i="24"/>
  <c r="R318" i="24"/>
  <c r="N318" i="24"/>
  <c r="H318" i="24"/>
  <c r="D318" i="24"/>
  <c r="T317" i="24"/>
  <c r="P317" i="24"/>
  <c r="L317" i="24"/>
  <c r="F317" i="24"/>
  <c r="B317" i="24"/>
  <c r="R316" i="24"/>
  <c r="N316" i="24"/>
  <c r="H316" i="24"/>
  <c r="D316" i="24"/>
  <c r="T315" i="24"/>
  <c r="P315" i="24"/>
  <c r="L315" i="24"/>
  <c r="F315" i="24"/>
  <c r="B315" i="24"/>
  <c r="R314" i="24"/>
  <c r="N314" i="24"/>
  <c r="H314" i="24"/>
  <c r="D314" i="24"/>
  <c r="T313" i="24"/>
  <c r="P313" i="24"/>
  <c r="L313" i="24"/>
  <c r="F313" i="24"/>
  <c r="B313" i="24"/>
  <c r="R312" i="24"/>
  <c r="N312" i="24"/>
  <c r="H312" i="24"/>
  <c r="D312" i="24"/>
  <c r="T311" i="24"/>
  <c r="P311" i="24"/>
  <c r="L311" i="24"/>
  <c r="F311" i="24"/>
  <c r="B311" i="24"/>
  <c r="R310" i="24"/>
  <c r="N310" i="24"/>
  <c r="H310" i="24"/>
  <c r="D310" i="24"/>
  <c r="T309" i="24"/>
  <c r="P309" i="24"/>
  <c r="L309" i="24"/>
  <c r="F309" i="24"/>
  <c r="B309" i="24"/>
  <c r="R308" i="24"/>
  <c r="N308" i="24"/>
  <c r="H308" i="24"/>
  <c r="D308" i="24"/>
  <c r="T307" i="24"/>
  <c r="P307" i="24"/>
  <c r="L307" i="24"/>
  <c r="F307" i="24"/>
  <c r="B307" i="24"/>
  <c r="R306" i="24"/>
  <c r="N306" i="24"/>
  <c r="H306" i="24"/>
  <c r="D306" i="24"/>
  <c r="T305" i="24"/>
  <c r="P305" i="24"/>
  <c r="L305" i="24"/>
  <c r="F305" i="24"/>
  <c r="B305" i="24"/>
  <c r="R304" i="24"/>
  <c r="N304" i="24"/>
  <c r="H304" i="24"/>
  <c r="D304" i="24"/>
  <c r="T303" i="24"/>
  <c r="P303" i="24"/>
  <c r="L303" i="24"/>
  <c r="F303" i="24"/>
  <c r="B303" i="24"/>
  <c r="R302" i="24"/>
  <c r="N302" i="24"/>
  <c r="H302" i="24"/>
  <c r="D302" i="24"/>
  <c r="T301" i="24"/>
  <c r="P301" i="24"/>
  <c r="L301" i="24"/>
  <c r="F301" i="24"/>
  <c r="B301" i="24"/>
  <c r="R300" i="24"/>
  <c r="N300" i="24"/>
  <c r="H300" i="24"/>
  <c r="D300" i="24"/>
  <c r="T299" i="24"/>
  <c r="P299" i="24"/>
  <c r="L299" i="24"/>
  <c r="F299" i="24"/>
  <c r="B299" i="24"/>
  <c r="R298" i="24"/>
  <c r="N298" i="24"/>
  <c r="H298" i="24"/>
  <c r="D298" i="24"/>
  <c r="T297" i="24"/>
  <c r="P297" i="24"/>
  <c r="L297" i="24"/>
  <c r="F297" i="24"/>
  <c r="B297" i="24"/>
  <c r="R296" i="24"/>
  <c r="N296" i="24"/>
  <c r="H296" i="24"/>
  <c r="D296" i="24"/>
  <c r="T295" i="24"/>
  <c r="P295" i="24"/>
  <c r="L295" i="24"/>
  <c r="F295" i="24"/>
  <c r="B295" i="24"/>
  <c r="R294" i="24"/>
  <c r="N294" i="24"/>
  <c r="H294" i="24"/>
  <c r="D294" i="24"/>
  <c r="T293" i="24"/>
  <c r="P293" i="24"/>
  <c r="L293" i="24"/>
  <c r="F293" i="24"/>
  <c r="B293" i="24"/>
  <c r="R292" i="24"/>
  <c r="N292" i="24"/>
  <c r="H292" i="24"/>
  <c r="D292" i="24"/>
  <c r="T291" i="24"/>
  <c r="P291" i="24"/>
  <c r="L291" i="24"/>
  <c r="F291" i="24"/>
  <c r="B291" i="24"/>
  <c r="R290" i="24"/>
  <c r="N290" i="24"/>
  <c r="H290" i="24"/>
  <c r="D290" i="24"/>
  <c r="T289" i="24"/>
  <c r="P289" i="24"/>
  <c r="L289" i="24"/>
  <c r="F289" i="24"/>
  <c r="B289" i="24"/>
  <c r="R288" i="24"/>
  <c r="N288" i="24"/>
  <c r="H288" i="24"/>
  <c r="D288" i="24"/>
  <c r="T287" i="24"/>
  <c r="P287" i="24"/>
  <c r="L287" i="24"/>
  <c r="F287" i="24"/>
  <c r="B287" i="24"/>
  <c r="R286" i="24"/>
  <c r="N286" i="24"/>
  <c r="H286" i="24"/>
  <c r="D286" i="24"/>
  <c r="T285" i="24"/>
  <c r="P285" i="24"/>
  <c r="L285" i="24"/>
  <c r="F285" i="24"/>
  <c r="B285" i="24"/>
  <c r="R284" i="24"/>
  <c r="N284" i="24"/>
  <c r="H284" i="24"/>
  <c r="D284" i="24"/>
  <c r="T283" i="24"/>
  <c r="P283" i="24"/>
  <c r="L283" i="24"/>
  <c r="F283" i="24"/>
  <c r="B283" i="24"/>
  <c r="R282" i="24"/>
  <c r="N282" i="24"/>
  <c r="H282" i="24"/>
  <c r="D282" i="24"/>
  <c r="T281" i="24"/>
  <c r="P281" i="24"/>
  <c r="L281" i="24"/>
  <c r="F281" i="24"/>
  <c r="B281" i="24"/>
  <c r="R280" i="24"/>
  <c r="N280" i="24"/>
  <c r="H280" i="24"/>
  <c r="D280" i="24"/>
  <c r="T279" i="24"/>
  <c r="P279" i="24"/>
  <c r="L279" i="24"/>
  <c r="F279" i="24"/>
  <c r="B279" i="24"/>
  <c r="R278" i="24"/>
  <c r="N278" i="24"/>
  <c r="H278" i="24"/>
  <c r="D278" i="24"/>
  <c r="T277" i="24"/>
  <c r="P277" i="24"/>
  <c r="L277" i="24"/>
  <c r="F277" i="24"/>
  <c r="B277" i="24"/>
  <c r="R276" i="24"/>
  <c r="N276" i="24"/>
  <c r="H276" i="24"/>
  <c r="D276" i="24"/>
  <c r="T275" i="24"/>
  <c r="P275" i="24"/>
  <c r="L275" i="24"/>
  <c r="F275" i="24"/>
  <c r="B275" i="24"/>
  <c r="R274" i="24"/>
  <c r="N274" i="24"/>
  <c r="H274" i="24"/>
  <c r="D274" i="24"/>
  <c r="T273" i="24"/>
  <c r="P273" i="24"/>
  <c r="L273" i="24"/>
  <c r="F273" i="24"/>
  <c r="B273" i="24"/>
  <c r="R272" i="24"/>
  <c r="N272" i="24"/>
  <c r="H272" i="24"/>
  <c r="D272" i="24"/>
  <c r="T271" i="24"/>
  <c r="P271" i="24"/>
  <c r="L271" i="24"/>
  <c r="F271" i="24"/>
  <c r="B271" i="24"/>
  <c r="R270" i="24"/>
  <c r="N270" i="24"/>
  <c r="H270" i="24"/>
  <c r="D270" i="24"/>
  <c r="T269" i="24"/>
  <c r="P269" i="24"/>
  <c r="L269" i="24"/>
  <c r="F269" i="24"/>
  <c r="B269" i="24"/>
  <c r="R268" i="24"/>
  <c r="N268" i="24"/>
  <c r="H268" i="24"/>
  <c r="D268" i="24"/>
  <c r="T267" i="24"/>
  <c r="P267" i="24"/>
  <c r="L267" i="24"/>
  <c r="F267" i="24"/>
  <c r="B267" i="24"/>
  <c r="R266" i="24"/>
  <c r="N266" i="24"/>
  <c r="H266" i="24"/>
  <c r="D266" i="24"/>
  <c r="T265" i="24"/>
  <c r="P265" i="24"/>
  <c r="L265" i="24"/>
  <c r="F265" i="24"/>
  <c r="B265" i="24"/>
  <c r="R264" i="24"/>
  <c r="N264" i="24"/>
  <c r="H264" i="24"/>
  <c r="D264" i="24"/>
  <c r="T263" i="24"/>
  <c r="P263" i="24"/>
  <c r="L263" i="24"/>
  <c r="F263" i="24"/>
  <c r="B263" i="24"/>
  <c r="R262" i="24"/>
  <c r="N262" i="24"/>
  <c r="H262" i="24"/>
  <c r="D262" i="24"/>
  <c r="T261" i="24"/>
  <c r="P261" i="24"/>
  <c r="L261" i="24"/>
  <c r="F261" i="24"/>
  <c r="B261" i="24"/>
  <c r="R260" i="24"/>
  <c r="N260" i="24"/>
  <c r="H260" i="24"/>
  <c r="D260" i="24"/>
  <c r="T259" i="24"/>
  <c r="P259" i="24"/>
  <c r="L259" i="24"/>
  <c r="F259" i="24"/>
  <c r="B259" i="24"/>
  <c r="R258" i="24"/>
  <c r="N258" i="24"/>
  <c r="H258" i="24"/>
  <c r="D258" i="24"/>
  <c r="T257" i="24"/>
  <c r="P257" i="24"/>
  <c r="L257" i="24"/>
  <c r="F257" i="24"/>
  <c r="B257" i="24"/>
  <c r="R256" i="24"/>
  <c r="N256" i="24"/>
  <c r="H256" i="24"/>
  <c r="D256" i="24"/>
  <c r="T255" i="24"/>
  <c r="P255" i="24"/>
  <c r="L255" i="24"/>
  <c r="F255" i="24"/>
  <c r="B255" i="24"/>
  <c r="R254" i="24"/>
  <c r="N254" i="24"/>
  <c r="H254" i="24"/>
  <c r="D254" i="24"/>
  <c r="T253" i="24"/>
  <c r="P253" i="24"/>
  <c r="L253" i="24"/>
  <c r="F253" i="24"/>
  <c r="B253" i="24"/>
  <c r="R252" i="24"/>
  <c r="N252" i="24"/>
  <c r="H252" i="24"/>
  <c r="D252" i="24"/>
  <c r="T251" i="24"/>
  <c r="P251" i="24"/>
  <c r="L251" i="24"/>
  <c r="F251" i="24"/>
  <c r="B251" i="24"/>
  <c r="R250" i="24"/>
  <c r="N250" i="24"/>
  <c r="H250" i="24"/>
  <c r="D250" i="24"/>
  <c r="T249" i="24"/>
  <c r="P249" i="24"/>
  <c r="L249" i="24"/>
  <c r="F249" i="24"/>
  <c r="B249" i="24"/>
  <c r="R248" i="24"/>
  <c r="N248" i="24"/>
  <c r="H248" i="24"/>
  <c r="D248" i="24"/>
  <c r="T247" i="24"/>
  <c r="P247" i="24"/>
  <c r="L247" i="24"/>
  <c r="F247" i="24"/>
  <c r="B247" i="24"/>
  <c r="R246" i="24"/>
  <c r="N246" i="24"/>
  <c r="H246" i="24"/>
  <c r="D246" i="24"/>
  <c r="T245" i="24"/>
  <c r="P245" i="24"/>
  <c r="L245" i="24"/>
  <c r="F245" i="24"/>
  <c r="B245" i="24"/>
  <c r="R244" i="24"/>
  <c r="N244" i="24"/>
  <c r="H244" i="24"/>
  <c r="D244" i="24"/>
  <c r="T243" i="24"/>
  <c r="P243" i="24"/>
  <c r="L243" i="24"/>
  <c r="F243" i="24"/>
  <c r="B243" i="24"/>
  <c r="R242" i="24"/>
  <c r="N242" i="24"/>
  <c r="H242" i="24"/>
  <c r="D242" i="24"/>
  <c r="T241" i="24"/>
  <c r="P241" i="24"/>
  <c r="L241" i="24"/>
  <c r="F241" i="24"/>
  <c r="B241" i="24"/>
  <c r="R240" i="24"/>
  <c r="N240" i="24"/>
  <c r="H240" i="24"/>
  <c r="D240" i="24"/>
  <c r="T239" i="24"/>
  <c r="P239" i="24"/>
  <c r="L239" i="24"/>
  <c r="F239" i="24"/>
  <c r="B239" i="24"/>
  <c r="R238" i="24"/>
  <c r="N238" i="24"/>
  <c r="H238" i="24"/>
  <c r="D238" i="24"/>
  <c r="T237" i="24"/>
  <c r="P237" i="24"/>
  <c r="L237" i="24"/>
  <c r="F237" i="24"/>
  <c r="B237" i="24"/>
  <c r="R236" i="24"/>
  <c r="N236" i="24"/>
  <c r="H236" i="24"/>
  <c r="D236" i="24"/>
  <c r="T235" i="24"/>
  <c r="P235" i="24"/>
  <c r="L235" i="24"/>
  <c r="F235" i="24"/>
  <c r="B235" i="24"/>
  <c r="R234" i="24"/>
  <c r="N234" i="24"/>
  <c r="H234" i="24"/>
  <c r="D234" i="24"/>
  <c r="T233" i="24"/>
  <c r="P233" i="24"/>
  <c r="L233" i="24"/>
  <c r="F233" i="24"/>
  <c r="B233" i="24"/>
  <c r="R232" i="24"/>
  <c r="N232" i="24"/>
  <c r="H232" i="24"/>
  <c r="D232" i="24"/>
  <c r="T231" i="24"/>
  <c r="P231" i="24"/>
  <c r="L231" i="24"/>
  <c r="F231" i="24"/>
  <c r="B231" i="24"/>
  <c r="R230" i="24"/>
  <c r="N230" i="24"/>
  <c r="H230" i="24"/>
  <c r="D230" i="24"/>
  <c r="T229" i="24"/>
  <c r="P229" i="24"/>
  <c r="L229" i="24"/>
  <c r="F229" i="24"/>
  <c r="B229" i="24"/>
  <c r="R228" i="24"/>
  <c r="N228" i="24"/>
  <c r="H228" i="24"/>
  <c r="D228" i="24"/>
  <c r="T227" i="24"/>
  <c r="P227" i="24"/>
  <c r="L227" i="24"/>
  <c r="F227" i="24"/>
  <c r="B227" i="24"/>
  <c r="R226" i="24"/>
  <c r="N226" i="24"/>
  <c r="H226" i="24"/>
  <c r="D226" i="24"/>
  <c r="T225" i="24"/>
  <c r="P225" i="24"/>
  <c r="L225" i="24"/>
  <c r="F225" i="24"/>
  <c r="B225" i="24"/>
  <c r="R224" i="24"/>
  <c r="N224" i="24"/>
  <c r="H224" i="24"/>
  <c r="D224" i="24"/>
  <c r="T223" i="24"/>
  <c r="P223" i="24"/>
  <c r="L223" i="24"/>
  <c r="F223" i="24"/>
  <c r="B223" i="24"/>
  <c r="R222" i="24"/>
  <c r="N222" i="24"/>
  <c r="H222" i="24"/>
  <c r="D222" i="24"/>
  <c r="T221" i="24"/>
  <c r="P221" i="24"/>
  <c r="L221" i="24"/>
  <c r="F221" i="24"/>
  <c r="B221" i="24"/>
  <c r="R220" i="24"/>
  <c r="N220" i="24"/>
  <c r="H220" i="24"/>
  <c r="D220" i="24"/>
  <c r="T219" i="24"/>
  <c r="P219" i="24"/>
  <c r="L219" i="24"/>
  <c r="F219" i="24"/>
  <c r="B219" i="24"/>
  <c r="R218" i="24"/>
  <c r="N218" i="24"/>
  <c r="H218" i="24"/>
  <c r="D218" i="24"/>
  <c r="T217" i="24"/>
  <c r="P217" i="24"/>
  <c r="L217" i="24"/>
  <c r="F217" i="24"/>
  <c r="B217" i="24"/>
  <c r="R216" i="24"/>
  <c r="N216" i="24"/>
  <c r="H216" i="24"/>
  <c r="D216" i="24"/>
  <c r="T215" i="24"/>
  <c r="P215" i="24"/>
  <c r="L215" i="24"/>
  <c r="F215" i="24"/>
  <c r="B215" i="24"/>
  <c r="R214" i="24"/>
  <c r="N214" i="24"/>
  <c r="H214" i="24"/>
  <c r="D214" i="24"/>
  <c r="T213" i="24"/>
  <c r="P213" i="24"/>
  <c r="L213" i="24"/>
  <c r="F213" i="24"/>
  <c r="B213" i="24"/>
  <c r="R212" i="24"/>
  <c r="N212" i="24"/>
  <c r="H212" i="24"/>
  <c r="D212" i="24"/>
  <c r="T211" i="24"/>
  <c r="P211" i="24"/>
  <c r="L211" i="24"/>
  <c r="F211" i="24"/>
  <c r="B211" i="24"/>
  <c r="R210" i="24"/>
  <c r="N210" i="24"/>
  <c r="H210" i="24"/>
  <c r="D210" i="24"/>
  <c r="T209" i="24"/>
  <c r="P209" i="24"/>
  <c r="L209" i="24"/>
  <c r="F209" i="24"/>
  <c r="B209" i="24"/>
  <c r="R208" i="24"/>
  <c r="N208" i="24"/>
  <c r="H208" i="24"/>
  <c r="D208" i="24"/>
  <c r="T207" i="24"/>
  <c r="P207" i="24"/>
  <c r="L207" i="24"/>
  <c r="F207" i="24"/>
  <c r="B207" i="24"/>
  <c r="R206" i="24"/>
  <c r="N206" i="24"/>
  <c r="H206" i="24"/>
  <c r="D206" i="24"/>
  <c r="T205" i="24"/>
  <c r="P205" i="24"/>
  <c r="L205" i="24"/>
  <c r="F205" i="24"/>
  <c r="B205" i="24"/>
  <c r="R204" i="24"/>
  <c r="N204" i="24"/>
  <c r="H204" i="24"/>
  <c r="D204" i="24"/>
  <c r="T203" i="24"/>
  <c r="P203" i="24"/>
  <c r="L203" i="24"/>
  <c r="F203" i="24"/>
  <c r="B203" i="24"/>
  <c r="R202" i="24"/>
  <c r="N202" i="24"/>
  <c r="H202" i="24"/>
  <c r="D202" i="24"/>
  <c r="T201" i="24"/>
  <c r="P201" i="24"/>
  <c r="L201" i="24"/>
  <c r="F201" i="24"/>
  <c r="B201" i="24"/>
  <c r="R200" i="24"/>
  <c r="N200" i="24"/>
  <c r="H200" i="24"/>
  <c r="D200" i="24"/>
  <c r="T199" i="24"/>
  <c r="P199" i="24"/>
  <c r="L199" i="24"/>
  <c r="F199" i="24"/>
  <c r="B199" i="24"/>
  <c r="R198" i="24"/>
  <c r="N198" i="24"/>
  <c r="H198" i="24"/>
  <c r="D198" i="24"/>
  <c r="T197" i="24"/>
  <c r="P197" i="24"/>
  <c r="L197" i="24"/>
  <c r="H197" i="24"/>
  <c r="D197" i="24"/>
  <c r="T196" i="24"/>
  <c r="P196" i="24"/>
  <c r="L196" i="24"/>
  <c r="H196" i="24"/>
  <c r="D196" i="24"/>
  <c r="T195" i="24"/>
  <c r="P195" i="24"/>
  <c r="L195" i="24"/>
  <c r="H195" i="24"/>
  <c r="D195" i="24"/>
  <c r="T194" i="24"/>
  <c r="P194" i="24"/>
  <c r="L194" i="24"/>
  <c r="H194" i="24"/>
  <c r="D194" i="24"/>
  <c r="T193" i="24"/>
  <c r="P193" i="24"/>
  <c r="L193" i="24"/>
  <c r="H193" i="24"/>
  <c r="D193" i="24"/>
  <c r="T192" i="24"/>
  <c r="P192" i="24"/>
  <c r="L192" i="24"/>
  <c r="H192" i="24"/>
  <c r="D192" i="24"/>
  <c r="T191" i="24"/>
  <c r="P191" i="24"/>
  <c r="L191" i="24"/>
  <c r="H191" i="24"/>
  <c r="D191" i="24"/>
  <c r="T190" i="24"/>
  <c r="P190" i="24"/>
  <c r="L190" i="24"/>
  <c r="H190" i="24"/>
  <c r="D190" i="24"/>
  <c r="T189" i="24"/>
  <c r="P189" i="24"/>
  <c r="L189" i="24"/>
  <c r="H189" i="24"/>
  <c r="D189" i="24"/>
  <c r="T188" i="24"/>
  <c r="P188" i="24"/>
  <c r="L188" i="24"/>
  <c r="H188" i="24"/>
  <c r="D188" i="24"/>
  <c r="T187" i="24"/>
  <c r="P187" i="24"/>
  <c r="L187" i="24"/>
  <c r="H187" i="24"/>
  <c r="D187" i="24"/>
  <c r="T186" i="24"/>
  <c r="P186" i="24"/>
  <c r="L186" i="24"/>
  <c r="H186" i="24"/>
  <c r="D186" i="24"/>
  <c r="T185" i="24"/>
  <c r="P185" i="24"/>
  <c r="L185" i="24"/>
  <c r="H185" i="24"/>
  <c r="D185" i="24"/>
  <c r="T184" i="24"/>
  <c r="P184" i="24"/>
  <c r="L184" i="24"/>
  <c r="H184" i="24"/>
  <c r="D184" i="24"/>
  <c r="T183" i="24"/>
  <c r="P183" i="24"/>
  <c r="L183" i="24"/>
  <c r="H183" i="24"/>
  <c r="D183" i="24"/>
  <c r="T182" i="24"/>
  <c r="P182" i="24"/>
  <c r="L182" i="24"/>
  <c r="H182" i="24"/>
  <c r="D182" i="24"/>
  <c r="T181" i="24"/>
  <c r="P181" i="24"/>
  <c r="L181" i="24"/>
  <c r="H181" i="24"/>
  <c r="D181" i="24"/>
  <c r="T180" i="24"/>
  <c r="P180" i="24"/>
  <c r="L180" i="24"/>
  <c r="H180" i="24"/>
  <c r="D180" i="24"/>
  <c r="T179" i="24"/>
  <c r="P179" i="24"/>
  <c r="L179" i="24"/>
  <c r="H179" i="24"/>
  <c r="D179" i="24"/>
  <c r="T178" i="24"/>
  <c r="P178" i="24"/>
  <c r="L178" i="24"/>
  <c r="H178" i="24"/>
  <c r="D178" i="24"/>
  <c r="T177" i="24"/>
  <c r="P177" i="24"/>
  <c r="L177" i="24"/>
  <c r="H177" i="24"/>
  <c r="D177" i="24"/>
  <c r="T176" i="24"/>
  <c r="P176" i="24"/>
  <c r="L176" i="24"/>
  <c r="H176" i="24"/>
  <c r="D176" i="24"/>
  <c r="T175" i="24"/>
  <c r="P175" i="24"/>
  <c r="L175" i="24"/>
  <c r="H175" i="24"/>
  <c r="D175" i="24"/>
  <c r="T174" i="24"/>
  <c r="P174" i="24"/>
  <c r="L174" i="24"/>
  <c r="H174" i="24"/>
  <c r="D174" i="24"/>
  <c r="T173" i="24"/>
  <c r="P173" i="24"/>
  <c r="L173" i="24"/>
  <c r="H173" i="24"/>
  <c r="D173" i="24"/>
  <c r="T172" i="24"/>
  <c r="P172" i="24"/>
  <c r="L172" i="24"/>
  <c r="H172" i="24"/>
  <c r="D172" i="24"/>
  <c r="T171" i="24"/>
  <c r="P171" i="24"/>
  <c r="L171" i="24"/>
  <c r="H171" i="24"/>
  <c r="D171" i="24"/>
  <c r="T170" i="24"/>
  <c r="P170" i="24"/>
  <c r="L170" i="24"/>
  <c r="H170" i="24"/>
  <c r="D170" i="24"/>
  <c r="T169" i="24"/>
  <c r="P169" i="24"/>
  <c r="L169" i="24"/>
  <c r="H169" i="24"/>
  <c r="D169" i="24"/>
  <c r="T168" i="24"/>
  <c r="P168" i="24"/>
  <c r="L168" i="24"/>
  <c r="H168" i="24"/>
  <c r="D168" i="24"/>
  <c r="T167" i="24"/>
  <c r="P167" i="24"/>
  <c r="L167" i="24"/>
  <c r="H167" i="24"/>
  <c r="D167" i="24"/>
  <c r="T166" i="24"/>
  <c r="P166" i="24"/>
  <c r="L166" i="24"/>
  <c r="H166" i="24"/>
  <c r="D166" i="24"/>
  <c r="T165" i="24"/>
  <c r="P165" i="24"/>
  <c r="L165" i="24"/>
  <c r="H165" i="24"/>
  <c r="D165" i="24"/>
  <c r="T164" i="24"/>
  <c r="P164" i="24"/>
  <c r="L164" i="24"/>
  <c r="H164" i="24"/>
  <c r="D164" i="24"/>
  <c r="T163" i="24"/>
  <c r="P163" i="24"/>
  <c r="L163" i="24"/>
  <c r="H163" i="24"/>
  <c r="D163" i="24"/>
  <c r="T162" i="24"/>
  <c r="P162" i="24"/>
  <c r="L162" i="24"/>
  <c r="H162" i="24"/>
  <c r="D162" i="24"/>
  <c r="T161" i="24"/>
  <c r="P161" i="24"/>
  <c r="L161" i="24"/>
  <c r="H161" i="24"/>
  <c r="D161" i="24"/>
  <c r="T160" i="24"/>
  <c r="P160" i="24"/>
  <c r="L160" i="24"/>
  <c r="H160" i="24"/>
  <c r="D160" i="24"/>
  <c r="T159" i="24"/>
  <c r="P159" i="24"/>
  <c r="L159" i="24"/>
  <c r="H159" i="24"/>
  <c r="D159" i="24"/>
  <c r="T158" i="24"/>
  <c r="P158" i="24"/>
  <c r="L158" i="24"/>
  <c r="H158" i="24"/>
  <c r="D158" i="24"/>
  <c r="T157" i="24"/>
  <c r="P157" i="24"/>
  <c r="L157" i="24"/>
  <c r="H157" i="24"/>
  <c r="D157" i="24"/>
  <c r="T156" i="24"/>
  <c r="P156" i="24"/>
  <c r="L156" i="24"/>
  <c r="H156" i="24"/>
  <c r="D156" i="24"/>
  <c r="T155" i="24"/>
  <c r="P155" i="24"/>
  <c r="L155" i="24"/>
  <c r="H155" i="24"/>
  <c r="D155" i="24"/>
  <c r="T154" i="24"/>
  <c r="P154" i="24"/>
  <c r="L154" i="24"/>
  <c r="H154" i="24"/>
  <c r="D154" i="24"/>
  <c r="T153" i="24"/>
  <c r="P153" i="24"/>
  <c r="L153" i="24"/>
  <c r="H153" i="24"/>
  <c r="D153" i="24"/>
  <c r="T152" i="24"/>
  <c r="P152" i="24"/>
  <c r="L152" i="24"/>
  <c r="H152" i="24"/>
  <c r="D152" i="24"/>
  <c r="T151" i="24"/>
  <c r="P151" i="24"/>
  <c r="L151" i="24"/>
  <c r="H151" i="24"/>
  <c r="D151" i="24"/>
  <c r="T150" i="24"/>
  <c r="P150" i="24"/>
  <c r="L150" i="24"/>
  <c r="H150" i="24"/>
  <c r="D150" i="24"/>
  <c r="T149" i="24"/>
  <c r="P149" i="24"/>
  <c r="L149" i="24"/>
  <c r="H149" i="24"/>
  <c r="D149" i="24"/>
  <c r="T148" i="24"/>
  <c r="P148" i="24"/>
  <c r="L148" i="24"/>
  <c r="H148" i="24"/>
  <c r="D148" i="24"/>
  <c r="T147" i="24"/>
  <c r="P147" i="24"/>
  <c r="L147" i="24"/>
  <c r="H147" i="24"/>
  <c r="D147" i="24"/>
  <c r="T146" i="24"/>
  <c r="P146" i="24"/>
  <c r="L146" i="24"/>
  <c r="H146" i="24"/>
  <c r="D146" i="24"/>
  <c r="T145" i="24"/>
  <c r="P145" i="24"/>
  <c r="L145" i="24"/>
  <c r="H145" i="24"/>
  <c r="D145" i="24"/>
  <c r="T144" i="24"/>
  <c r="P144" i="24"/>
  <c r="L144" i="24"/>
  <c r="H144" i="24"/>
  <c r="D144" i="24"/>
  <c r="T143" i="24"/>
  <c r="P143" i="24"/>
  <c r="L143" i="24"/>
  <c r="H143" i="24"/>
  <c r="D143" i="24"/>
  <c r="T142" i="24"/>
  <c r="P142" i="24"/>
  <c r="L142" i="24"/>
  <c r="H142" i="24"/>
  <c r="D142" i="24"/>
  <c r="T141" i="24"/>
  <c r="P141" i="24"/>
  <c r="L141" i="24"/>
  <c r="H141" i="24"/>
  <c r="D141" i="24"/>
  <c r="T140" i="24"/>
  <c r="P140" i="24"/>
  <c r="L140" i="24"/>
  <c r="H140" i="24"/>
  <c r="D140" i="24"/>
  <c r="T139" i="24"/>
  <c r="P139" i="24"/>
  <c r="L139" i="24"/>
  <c r="H139" i="24"/>
  <c r="D139" i="24"/>
  <c r="T138" i="24"/>
  <c r="P138" i="24"/>
  <c r="L138" i="24"/>
  <c r="H138" i="24"/>
  <c r="D138" i="24"/>
  <c r="T137" i="24"/>
  <c r="P137" i="24"/>
  <c r="L137" i="24"/>
  <c r="H137" i="24"/>
  <c r="D137" i="24"/>
  <c r="T136" i="24"/>
  <c r="P136" i="24"/>
  <c r="L136" i="24"/>
  <c r="H136" i="24"/>
  <c r="D136" i="24"/>
  <c r="T135" i="24"/>
  <c r="P135" i="24"/>
  <c r="L135" i="24"/>
  <c r="H135" i="24"/>
  <c r="D135" i="24"/>
  <c r="T134" i="24"/>
  <c r="P134" i="24"/>
  <c r="L134" i="24"/>
  <c r="H134" i="24"/>
  <c r="D134" i="24"/>
  <c r="T133" i="24"/>
  <c r="P133" i="24"/>
  <c r="L133" i="24"/>
  <c r="H133" i="24"/>
  <c r="D133" i="24"/>
  <c r="T132" i="24"/>
  <c r="P132" i="24"/>
  <c r="L132" i="24"/>
  <c r="H132" i="24"/>
  <c r="D132" i="24"/>
  <c r="T131" i="24"/>
  <c r="P131" i="24"/>
  <c r="L131" i="24"/>
  <c r="H131" i="24"/>
  <c r="D131" i="24"/>
  <c r="T130" i="24"/>
  <c r="P130" i="24"/>
  <c r="L130" i="24"/>
  <c r="H130" i="24"/>
  <c r="D130" i="24"/>
  <c r="T129" i="24"/>
  <c r="P129" i="24"/>
  <c r="L129" i="24"/>
  <c r="H129" i="24"/>
  <c r="D129" i="24"/>
  <c r="T128" i="24"/>
  <c r="P128" i="24"/>
  <c r="L128" i="24"/>
  <c r="H128" i="24"/>
  <c r="D128" i="24"/>
  <c r="T127" i="24"/>
  <c r="P127" i="24"/>
  <c r="L127" i="24"/>
  <c r="H127" i="24"/>
  <c r="D127" i="24"/>
  <c r="T126" i="24"/>
  <c r="P126" i="24"/>
  <c r="L126" i="24"/>
  <c r="H126" i="24"/>
  <c r="D126" i="24"/>
  <c r="T125" i="24"/>
  <c r="P125" i="24"/>
  <c r="L125" i="24"/>
  <c r="H125" i="24"/>
  <c r="D125" i="24"/>
  <c r="T124" i="24"/>
  <c r="P124" i="24"/>
  <c r="L124" i="24"/>
  <c r="H124" i="24"/>
  <c r="D124" i="24"/>
  <c r="T123" i="24"/>
  <c r="P123" i="24"/>
  <c r="L123" i="24"/>
  <c r="H123" i="24"/>
  <c r="D123" i="24"/>
  <c r="T122" i="24"/>
  <c r="P122" i="24"/>
  <c r="L122" i="24"/>
  <c r="H122" i="24"/>
  <c r="D122" i="24"/>
  <c r="T121" i="24"/>
  <c r="P121" i="24"/>
  <c r="L121" i="24"/>
  <c r="H121" i="24"/>
  <c r="D121" i="24"/>
  <c r="T120" i="24"/>
  <c r="P120" i="24"/>
  <c r="L120" i="24"/>
  <c r="H120" i="24"/>
  <c r="D120" i="24"/>
  <c r="T119" i="24"/>
  <c r="P119" i="24"/>
  <c r="L119" i="24"/>
  <c r="H119" i="24"/>
  <c r="D119" i="24"/>
  <c r="T118" i="24"/>
  <c r="P118" i="24"/>
  <c r="L118" i="24"/>
  <c r="H118" i="24"/>
  <c r="D118" i="24"/>
  <c r="T117" i="24"/>
  <c r="P117" i="24"/>
  <c r="L117" i="24"/>
  <c r="H117" i="24"/>
  <c r="D117" i="24"/>
  <c r="T116" i="24"/>
  <c r="P116" i="24"/>
  <c r="L116" i="24"/>
  <c r="H116" i="24"/>
  <c r="D116" i="24"/>
  <c r="T115" i="24"/>
  <c r="P115" i="24"/>
  <c r="L115" i="24"/>
  <c r="H115" i="24"/>
  <c r="D115" i="24"/>
  <c r="T114" i="24"/>
  <c r="P114" i="24"/>
  <c r="L114" i="24"/>
  <c r="H114" i="24"/>
  <c r="D114" i="24"/>
  <c r="T113" i="24"/>
  <c r="P113" i="24"/>
  <c r="L113" i="24"/>
  <c r="H113" i="24"/>
  <c r="D113" i="24"/>
  <c r="T112" i="24"/>
  <c r="P112" i="24"/>
  <c r="L112" i="24"/>
  <c r="H112" i="24"/>
  <c r="D112" i="24"/>
  <c r="T111" i="24"/>
  <c r="P111" i="24"/>
  <c r="L111" i="24"/>
  <c r="H111" i="24"/>
  <c r="D111" i="24"/>
  <c r="T110" i="24"/>
  <c r="P110" i="24"/>
  <c r="L110" i="24"/>
  <c r="H110" i="24"/>
  <c r="D110" i="24"/>
  <c r="T109" i="24"/>
  <c r="P109" i="24"/>
  <c r="L109" i="24"/>
  <c r="H109" i="24"/>
  <c r="D109" i="24"/>
  <c r="T108" i="24"/>
  <c r="P108" i="24"/>
  <c r="L108" i="24"/>
  <c r="H108" i="24"/>
  <c r="D108" i="24"/>
  <c r="T107" i="24"/>
  <c r="P107" i="24"/>
  <c r="L107" i="24"/>
  <c r="H107" i="24"/>
  <c r="D107" i="24"/>
  <c r="T106" i="24"/>
  <c r="P106" i="24"/>
  <c r="L106" i="24"/>
  <c r="H106" i="24"/>
  <c r="D106" i="24"/>
  <c r="T105" i="24"/>
  <c r="P105" i="24"/>
  <c r="L105" i="24"/>
  <c r="H105" i="24"/>
  <c r="D105" i="24"/>
  <c r="T104" i="24"/>
  <c r="P104" i="24"/>
  <c r="L104" i="24"/>
  <c r="H104" i="24"/>
  <c r="D104" i="24"/>
  <c r="T103" i="24"/>
  <c r="P103" i="24"/>
  <c r="L103" i="24"/>
  <c r="H103" i="24"/>
  <c r="D103" i="24"/>
  <c r="T102" i="24"/>
  <c r="P102" i="24"/>
  <c r="L102" i="24"/>
  <c r="H102" i="24"/>
  <c r="D102" i="24"/>
  <c r="T101" i="24"/>
  <c r="P101" i="24"/>
  <c r="L101" i="24"/>
  <c r="H101" i="24"/>
  <c r="D101" i="24"/>
  <c r="T100" i="24"/>
  <c r="P100" i="24"/>
  <c r="L100" i="24"/>
  <c r="H100" i="24"/>
  <c r="D100" i="24"/>
  <c r="T99" i="24"/>
  <c r="P99" i="24"/>
  <c r="L99" i="24"/>
  <c r="H99" i="24"/>
  <c r="D99" i="24"/>
  <c r="T98" i="24"/>
  <c r="P98" i="24"/>
  <c r="L98" i="24"/>
  <c r="H98" i="24"/>
  <c r="D98" i="24"/>
  <c r="T97" i="24"/>
  <c r="P97" i="24"/>
  <c r="L97" i="24"/>
  <c r="H97" i="24"/>
  <c r="D97" i="24"/>
  <c r="T96" i="24"/>
  <c r="P96" i="24"/>
  <c r="L96" i="24"/>
  <c r="H96" i="24"/>
  <c r="D96" i="24"/>
  <c r="T95" i="24"/>
  <c r="P95" i="24"/>
  <c r="L95" i="24"/>
  <c r="H95" i="24"/>
  <c r="D95" i="24"/>
  <c r="T94" i="24"/>
  <c r="P94" i="24"/>
  <c r="L94" i="24"/>
  <c r="H94" i="24"/>
  <c r="D94" i="24"/>
  <c r="T93" i="24"/>
  <c r="P93" i="24"/>
  <c r="L93" i="24"/>
  <c r="H93" i="24"/>
  <c r="D93" i="24"/>
  <c r="T92" i="24"/>
  <c r="P92" i="24"/>
  <c r="L92" i="24"/>
  <c r="H92" i="24"/>
  <c r="D92" i="24"/>
  <c r="T91" i="24"/>
  <c r="P91" i="24"/>
  <c r="L91" i="24"/>
  <c r="H91" i="24"/>
  <c r="D91" i="24"/>
  <c r="T90" i="24"/>
  <c r="P90" i="24"/>
  <c r="L90" i="24"/>
  <c r="H90" i="24"/>
  <c r="D90" i="24"/>
  <c r="T89" i="24"/>
  <c r="P89" i="24"/>
  <c r="L89" i="24"/>
  <c r="H89" i="24"/>
  <c r="D89" i="24"/>
  <c r="T88" i="24"/>
  <c r="P88" i="24"/>
  <c r="L88" i="24"/>
  <c r="H88" i="24"/>
  <c r="D88" i="24"/>
  <c r="T87" i="24"/>
  <c r="P87" i="24"/>
  <c r="L87" i="24"/>
  <c r="H87" i="24"/>
  <c r="D87" i="24"/>
  <c r="T86" i="24"/>
  <c r="P86" i="24"/>
  <c r="L86" i="24"/>
  <c r="H86" i="24"/>
  <c r="D86" i="24"/>
  <c r="T85" i="24"/>
  <c r="P85" i="24"/>
  <c r="L85" i="24"/>
  <c r="H85" i="24"/>
  <c r="D85" i="24"/>
  <c r="T84" i="24"/>
  <c r="P84" i="24"/>
  <c r="L84" i="24"/>
  <c r="H84" i="24"/>
  <c r="D84" i="24"/>
  <c r="T83" i="24"/>
  <c r="P83" i="24"/>
  <c r="L83" i="24"/>
  <c r="H83" i="24"/>
  <c r="D83" i="24"/>
  <c r="T82" i="24"/>
  <c r="P82" i="24"/>
  <c r="L82" i="24"/>
  <c r="H82" i="24"/>
  <c r="D82" i="24"/>
  <c r="T81" i="24"/>
  <c r="P81" i="24"/>
  <c r="L81" i="24"/>
  <c r="H81" i="24"/>
  <c r="D81" i="24"/>
  <c r="T80" i="24"/>
  <c r="P80" i="24"/>
  <c r="L80" i="24"/>
  <c r="H80" i="24"/>
  <c r="D80" i="24"/>
  <c r="T79" i="24"/>
  <c r="P79" i="24"/>
  <c r="L79" i="24"/>
  <c r="H79" i="24"/>
  <c r="D79" i="24"/>
  <c r="T78" i="24"/>
  <c r="P78" i="24"/>
  <c r="L78" i="24"/>
  <c r="H78" i="24"/>
  <c r="D78" i="24"/>
  <c r="T77" i="24"/>
  <c r="P77" i="24"/>
  <c r="L77" i="24"/>
  <c r="H77" i="24"/>
  <c r="D77" i="24"/>
  <c r="T76" i="24"/>
  <c r="P76" i="24"/>
  <c r="L76" i="24"/>
  <c r="H76" i="24"/>
  <c r="D76" i="24"/>
  <c r="T75" i="24"/>
  <c r="P75" i="24"/>
  <c r="L75" i="24"/>
  <c r="H75" i="24"/>
  <c r="D75" i="24"/>
  <c r="T74" i="24"/>
  <c r="P74" i="24"/>
  <c r="L74" i="24"/>
  <c r="H74" i="24"/>
  <c r="D74" i="24"/>
  <c r="T73" i="24"/>
  <c r="P73" i="24"/>
  <c r="L73" i="24"/>
  <c r="H73" i="24"/>
  <c r="D73" i="24"/>
  <c r="T72" i="24"/>
  <c r="P72" i="24"/>
  <c r="L72" i="24"/>
  <c r="H72" i="24"/>
  <c r="D72" i="24"/>
  <c r="T71" i="24"/>
  <c r="P71" i="24"/>
  <c r="L71" i="24"/>
  <c r="H71" i="24"/>
  <c r="D71" i="24"/>
  <c r="T70" i="24"/>
  <c r="P70" i="24"/>
  <c r="L70" i="24"/>
  <c r="H70" i="24"/>
  <c r="D70" i="24"/>
  <c r="T69" i="24"/>
  <c r="P69" i="24"/>
  <c r="L69" i="24"/>
  <c r="H69" i="24"/>
  <c r="D69" i="24"/>
  <c r="T68" i="24"/>
  <c r="P68" i="24"/>
  <c r="L68" i="24"/>
  <c r="H68" i="24"/>
  <c r="D68" i="24"/>
  <c r="T67" i="24"/>
  <c r="P67" i="24"/>
  <c r="L67" i="24"/>
  <c r="H67" i="24"/>
  <c r="D67" i="24"/>
  <c r="T66" i="24"/>
  <c r="P66" i="24"/>
  <c r="L66" i="24"/>
  <c r="H66" i="24"/>
  <c r="D66" i="24"/>
  <c r="T65" i="24"/>
  <c r="P65" i="24"/>
  <c r="L65" i="24"/>
  <c r="H65" i="24"/>
  <c r="D65" i="24"/>
  <c r="T64" i="24"/>
  <c r="P64" i="24"/>
  <c r="L64" i="24"/>
  <c r="H64" i="24"/>
  <c r="D64" i="24"/>
  <c r="T63" i="24"/>
  <c r="P63" i="24"/>
  <c r="L63" i="24"/>
  <c r="H63" i="24"/>
  <c r="D63" i="24"/>
  <c r="T62" i="24"/>
  <c r="P62" i="24"/>
  <c r="L62" i="24"/>
  <c r="H62" i="24"/>
  <c r="D62" i="24"/>
  <c r="T61" i="24"/>
  <c r="P61" i="24"/>
  <c r="L61" i="24"/>
  <c r="H61" i="24"/>
  <c r="D61" i="24"/>
  <c r="T60" i="24"/>
  <c r="P60" i="24"/>
  <c r="L60" i="24"/>
  <c r="H60" i="24"/>
  <c r="D60" i="24"/>
  <c r="T59" i="24"/>
  <c r="P59" i="24"/>
  <c r="L59" i="24"/>
  <c r="H59" i="24"/>
  <c r="D59" i="24"/>
  <c r="T58" i="24"/>
  <c r="P58" i="24"/>
  <c r="L58" i="24"/>
  <c r="H58" i="24"/>
  <c r="D58" i="24"/>
  <c r="T57" i="24"/>
  <c r="P57" i="24"/>
  <c r="L57" i="24"/>
  <c r="H57" i="24"/>
  <c r="D57" i="24"/>
  <c r="T56" i="24"/>
  <c r="P56" i="24"/>
  <c r="L56" i="24"/>
  <c r="H56" i="24"/>
  <c r="D56" i="24"/>
  <c r="T55" i="24"/>
  <c r="P55" i="24"/>
  <c r="L55" i="24"/>
  <c r="H55" i="24"/>
  <c r="D55" i="24"/>
  <c r="T54" i="24"/>
  <c r="P54" i="24"/>
  <c r="L54" i="24"/>
  <c r="H54" i="24"/>
  <c r="D54" i="24"/>
  <c r="T53" i="24"/>
  <c r="P53" i="24"/>
  <c r="L53" i="24"/>
  <c r="H53" i="24"/>
  <c r="D53" i="24"/>
  <c r="T52" i="24"/>
  <c r="P52" i="24"/>
  <c r="L52" i="24"/>
  <c r="H52" i="24"/>
  <c r="D52" i="24"/>
  <c r="T51" i="24"/>
  <c r="P51" i="24"/>
  <c r="L51" i="24"/>
  <c r="H51" i="24"/>
  <c r="D51" i="24"/>
  <c r="T50" i="24"/>
  <c r="P50" i="24"/>
  <c r="L50" i="24"/>
  <c r="H50" i="24"/>
  <c r="D50" i="24"/>
  <c r="T49" i="24"/>
  <c r="P49" i="24"/>
  <c r="L49" i="24"/>
  <c r="H49" i="24"/>
  <c r="D49" i="24"/>
  <c r="T48" i="24"/>
  <c r="P48" i="24"/>
  <c r="L48" i="24"/>
  <c r="H48" i="24"/>
  <c r="D48" i="24"/>
  <c r="T47" i="24"/>
  <c r="P47" i="24"/>
  <c r="L47" i="24"/>
  <c r="H47" i="24"/>
  <c r="D47" i="24"/>
  <c r="T46" i="24"/>
  <c r="P46" i="24"/>
  <c r="L46" i="24"/>
  <c r="H46" i="24"/>
  <c r="D46" i="24"/>
  <c r="T45" i="24"/>
  <c r="P45" i="24"/>
  <c r="L45" i="24"/>
  <c r="H45" i="24"/>
  <c r="D45" i="24"/>
  <c r="T44" i="24"/>
  <c r="P44" i="24"/>
  <c r="L44" i="24"/>
  <c r="H44" i="24"/>
  <c r="D44" i="24"/>
  <c r="T43" i="24"/>
  <c r="P43" i="24"/>
  <c r="L43" i="24"/>
  <c r="H43" i="24"/>
  <c r="D43" i="24"/>
  <c r="T42" i="24"/>
  <c r="P42" i="24"/>
  <c r="L42" i="24"/>
  <c r="H42" i="24"/>
  <c r="D42" i="24"/>
  <c r="T41" i="24"/>
  <c r="P41" i="24"/>
  <c r="L41" i="24"/>
  <c r="H41" i="24"/>
  <c r="D41" i="24"/>
  <c r="T40" i="24"/>
  <c r="P40" i="24"/>
  <c r="L40" i="24"/>
  <c r="H40" i="24"/>
  <c r="D40" i="24"/>
  <c r="T39" i="24"/>
  <c r="P39" i="24"/>
  <c r="L39" i="24"/>
  <c r="H39" i="24"/>
  <c r="D39" i="24"/>
  <c r="T38" i="24"/>
  <c r="P38" i="24"/>
  <c r="L38" i="24"/>
  <c r="H38" i="24"/>
  <c r="D38" i="24"/>
  <c r="T37" i="24"/>
  <c r="P37" i="24"/>
  <c r="L37" i="24"/>
  <c r="H37" i="24"/>
  <c r="D37" i="24"/>
  <c r="T36" i="24"/>
  <c r="P36" i="24"/>
  <c r="L36" i="24"/>
  <c r="H36" i="24"/>
  <c r="D36" i="24"/>
  <c r="T35" i="24"/>
  <c r="P35" i="24"/>
  <c r="L35" i="24"/>
  <c r="H35" i="24"/>
  <c r="D35" i="24"/>
  <c r="T34" i="24"/>
  <c r="P34" i="24"/>
  <c r="L34" i="24"/>
  <c r="H34" i="24"/>
  <c r="D34" i="24"/>
  <c r="T33" i="24"/>
  <c r="P33" i="24"/>
  <c r="L33" i="24"/>
  <c r="H33" i="24"/>
  <c r="D33" i="24"/>
  <c r="T32" i="24"/>
  <c r="P32" i="24"/>
  <c r="L32" i="24"/>
  <c r="H32" i="24"/>
  <c r="D32" i="24"/>
  <c r="T31" i="24"/>
  <c r="P31" i="24"/>
  <c r="L31" i="24"/>
  <c r="H31" i="24"/>
  <c r="D31" i="24"/>
  <c r="T30" i="24"/>
  <c r="P30" i="24"/>
  <c r="L30" i="24"/>
  <c r="H30" i="24"/>
  <c r="D30" i="24"/>
  <c r="T29" i="24"/>
  <c r="P29" i="24"/>
  <c r="L29" i="24"/>
  <c r="H29" i="24"/>
  <c r="D29" i="24"/>
  <c r="T28" i="24"/>
  <c r="P28" i="24"/>
  <c r="L28" i="24"/>
  <c r="H28" i="24"/>
  <c r="D28" i="24"/>
  <c r="T27" i="24"/>
  <c r="P27" i="24"/>
  <c r="L27" i="24"/>
  <c r="H27" i="24"/>
  <c r="D27" i="24"/>
  <c r="T26" i="24"/>
  <c r="P26" i="24"/>
  <c r="L26" i="24"/>
  <c r="H26" i="24"/>
  <c r="D26" i="24"/>
  <c r="T25" i="24"/>
  <c r="P25" i="24"/>
  <c r="L25" i="24"/>
  <c r="H25" i="24"/>
  <c r="D25" i="24"/>
  <c r="T24" i="24"/>
  <c r="P24" i="24"/>
  <c r="L24" i="24"/>
  <c r="H24" i="24"/>
  <c r="D24" i="24"/>
  <c r="T23" i="24"/>
  <c r="P23" i="24"/>
  <c r="L23" i="24"/>
  <c r="H23" i="24"/>
  <c r="D23" i="24"/>
  <c r="T22" i="24"/>
  <c r="P22" i="24"/>
  <c r="L22" i="24"/>
  <c r="H22" i="24"/>
  <c r="D22" i="24"/>
  <c r="T21" i="24"/>
  <c r="P21" i="24"/>
  <c r="L21" i="24"/>
  <c r="H21" i="24"/>
  <c r="D21" i="24"/>
  <c r="T20" i="24"/>
  <c r="P20" i="24"/>
  <c r="L20" i="24"/>
  <c r="H20" i="24"/>
  <c r="D20" i="24"/>
  <c r="T19" i="24"/>
  <c r="P19" i="24"/>
  <c r="L19" i="24"/>
  <c r="H19" i="24"/>
  <c r="D19" i="24"/>
  <c r="T18" i="24"/>
  <c r="P18" i="24"/>
  <c r="L18" i="24"/>
  <c r="H18" i="24"/>
  <c r="D18" i="24"/>
  <c r="T17" i="24"/>
  <c r="P17" i="24"/>
  <c r="L17" i="24"/>
  <c r="H17" i="24"/>
  <c r="D17" i="24"/>
  <c r="T16" i="24"/>
  <c r="P16" i="24"/>
  <c r="L16" i="24"/>
  <c r="H16" i="24"/>
  <c r="D16" i="24"/>
  <c r="T15" i="24"/>
  <c r="P15" i="24"/>
  <c r="L15" i="24"/>
  <c r="H15" i="24"/>
  <c r="D15" i="24"/>
  <c r="T14" i="24"/>
  <c r="P14" i="24"/>
  <c r="L14" i="24"/>
  <c r="H14" i="24"/>
  <c r="D14" i="24"/>
  <c r="T13" i="24"/>
  <c r="P13" i="24"/>
  <c r="L13" i="24"/>
  <c r="H13" i="24"/>
  <c r="D13" i="24"/>
  <c r="T12" i="24"/>
  <c r="P12" i="24"/>
  <c r="L12" i="24"/>
  <c r="H12" i="24"/>
  <c r="D12" i="24"/>
  <c r="T11" i="24"/>
  <c r="P11" i="24"/>
  <c r="L11" i="24"/>
  <c r="H11" i="24"/>
  <c r="D11" i="24"/>
  <c r="T10" i="24"/>
  <c r="P10" i="24"/>
  <c r="L10" i="24"/>
  <c r="H10" i="24"/>
  <c r="D10" i="24"/>
  <c r="T9" i="24"/>
  <c r="P9" i="24"/>
  <c r="L9" i="24"/>
  <c r="H9" i="24"/>
  <c r="D9" i="24"/>
  <c r="T8" i="24"/>
  <c r="P8" i="24"/>
  <c r="L8" i="24"/>
  <c r="H8" i="24"/>
  <c r="D8" i="24"/>
  <c r="T7" i="24"/>
  <c r="P7" i="24"/>
  <c r="L7" i="24"/>
  <c r="H7" i="24"/>
  <c r="D7" i="24"/>
  <c r="T6" i="24"/>
  <c r="P6" i="24"/>
  <c r="L6" i="24"/>
  <c r="H6" i="24"/>
  <c r="D6" i="24"/>
  <c r="T5" i="24"/>
  <c r="P5" i="24"/>
  <c r="L5" i="24"/>
  <c r="H5" i="24"/>
  <c r="D5" i="24"/>
  <c r="T4" i="24"/>
  <c r="P4" i="24"/>
  <c r="L4" i="24"/>
  <c r="H4" i="24"/>
  <c r="D4" i="24"/>
  <c r="T3" i="24"/>
  <c r="P3" i="24"/>
  <c r="L3" i="24"/>
  <c r="H3" i="24"/>
  <c r="D3" i="24"/>
  <c r="T2" i="24"/>
  <c r="P2" i="24"/>
  <c r="L2" i="24"/>
  <c r="H2" i="24"/>
  <c r="D2" i="24"/>
  <c r="S514" i="24"/>
  <c r="O496" i="24"/>
  <c r="A496" i="24"/>
  <c r="M495" i="24"/>
  <c r="S494" i="24"/>
  <c r="Q493" i="24"/>
  <c r="S492" i="24"/>
  <c r="K492" i="24"/>
  <c r="Q491" i="24"/>
  <c r="O490" i="24"/>
  <c r="Q489" i="24"/>
  <c r="S488" i="24"/>
  <c r="Q487" i="24"/>
  <c r="C487" i="24"/>
  <c r="E486" i="24"/>
  <c r="M485" i="24"/>
  <c r="O484" i="24"/>
  <c r="Q483" i="24"/>
  <c r="S482" i="24"/>
  <c r="E482" i="24"/>
  <c r="M481" i="24"/>
  <c r="K480" i="24"/>
  <c r="G479" i="24"/>
  <c r="S478" i="24"/>
  <c r="E478" i="24"/>
  <c r="M477" i="24"/>
  <c r="K476" i="24"/>
  <c r="Q475" i="24"/>
  <c r="S474" i="24"/>
  <c r="Q473" i="24"/>
  <c r="C473" i="24"/>
  <c r="E472" i="24"/>
  <c r="Q471" i="24"/>
  <c r="S470" i="24"/>
  <c r="Q469" i="24"/>
  <c r="C469" i="24"/>
  <c r="E468" i="24"/>
  <c r="G467" i="24"/>
  <c r="K466" i="24"/>
  <c r="M465" i="24"/>
  <c r="S464" i="24"/>
  <c r="A464" i="24"/>
  <c r="C463" i="24"/>
  <c r="Q461" i="24"/>
  <c r="C461" i="24"/>
  <c r="E460" i="24"/>
  <c r="C459" i="24"/>
  <c r="Q457" i="24"/>
  <c r="S456" i="24"/>
  <c r="E456" i="24"/>
  <c r="G455" i="24"/>
  <c r="K454" i="24"/>
  <c r="M453" i="24"/>
  <c r="O452" i="24"/>
  <c r="Q451" i="24"/>
  <c r="S450" i="24"/>
  <c r="A450" i="24"/>
  <c r="O448" i="24"/>
  <c r="A448" i="24"/>
  <c r="C447" i="24"/>
  <c r="E446" i="24"/>
  <c r="Q445" i="24"/>
  <c r="S444" i="24"/>
  <c r="M443" i="24"/>
  <c r="S442" i="24"/>
  <c r="S440" i="24"/>
  <c r="A440" i="24"/>
  <c r="S438" i="24"/>
  <c r="A438" i="24"/>
  <c r="C437" i="24"/>
  <c r="K436" i="24"/>
  <c r="M435" i="24"/>
  <c r="K434" i="24"/>
  <c r="G433" i="24"/>
  <c r="K432" i="24"/>
  <c r="M431" i="24"/>
  <c r="O430" i="24"/>
  <c r="A430" i="24"/>
  <c r="M429" i="24"/>
  <c r="S428" i="24"/>
  <c r="G427" i="24"/>
  <c r="K426" i="24"/>
  <c r="Q425" i="24"/>
  <c r="C425" i="24"/>
  <c r="A424" i="24"/>
  <c r="O422" i="24"/>
  <c r="E422" i="24"/>
  <c r="G421" i="24"/>
  <c r="O420" i="24"/>
  <c r="Q419" i="24"/>
  <c r="S418" i="24"/>
  <c r="K418" i="24"/>
  <c r="Q417" i="24"/>
  <c r="C417" i="24"/>
  <c r="A416" i="24"/>
  <c r="M415" i="24"/>
  <c r="O414" i="24"/>
  <c r="A414" i="24"/>
  <c r="C413" i="24"/>
  <c r="E412" i="24"/>
  <c r="G411" i="24"/>
  <c r="K410" i="24"/>
  <c r="A410" i="24"/>
  <c r="C409" i="24"/>
  <c r="E408" i="24"/>
  <c r="M407" i="24"/>
  <c r="K406" i="24"/>
  <c r="Q405" i="24"/>
  <c r="S404" i="24"/>
  <c r="Q403" i="24"/>
  <c r="K402" i="24"/>
  <c r="M401" i="24"/>
  <c r="C401" i="24"/>
  <c r="A400" i="24"/>
  <c r="C399" i="24"/>
  <c r="K398" i="24"/>
  <c r="A398" i="24"/>
  <c r="C397" i="24"/>
  <c r="E396" i="24"/>
  <c r="G395" i="24"/>
  <c r="K394" i="24"/>
  <c r="M393" i="24"/>
  <c r="O392" i="24"/>
  <c r="Q391" i="24"/>
  <c r="C391" i="24"/>
  <c r="E390" i="24"/>
  <c r="G389" i="24"/>
  <c r="K388" i="24"/>
  <c r="G387" i="24"/>
  <c r="O386" i="24"/>
  <c r="Q385" i="24"/>
  <c r="S384" i="24"/>
  <c r="Q383" i="24"/>
  <c r="C383" i="24"/>
  <c r="E382" i="24"/>
  <c r="M381" i="24"/>
  <c r="O380" i="24"/>
  <c r="M379" i="24"/>
  <c r="O378" i="24"/>
  <c r="A378" i="24"/>
  <c r="C377" i="24"/>
  <c r="C375" i="24"/>
  <c r="A374" i="24"/>
  <c r="G373" i="24"/>
  <c r="E372" i="24"/>
  <c r="C371" i="24"/>
  <c r="K370" i="24"/>
  <c r="Q369" i="24"/>
  <c r="S368" i="24"/>
  <c r="Q367" i="24"/>
  <c r="O366" i="24"/>
  <c r="Q365" i="24"/>
  <c r="S364" i="24"/>
  <c r="A364" i="24"/>
  <c r="S362" i="24"/>
  <c r="Q361" i="24"/>
  <c r="S360" i="24"/>
  <c r="A360" i="24"/>
  <c r="G359" i="24"/>
  <c r="K358" i="24"/>
  <c r="Q357" i="24"/>
  <c r="O356" i="24"/>
  <c r="M355" i="24"/>
  <c r="A354" i="24"/>
  <c r="G353" i="24"/>
  <c r="K352" i="24"/>
  <c r="A352" i="24"/>
  <c r="G351" i="24"/>
  <c r="E350" i="24"/>
  <c r="C349" i="24"/>
  <c r="Q347" i="24"/>
  <c r="S346" i="24"/>
  <c r="K346" i="24"/>
  <c r="M345" i="24"/>
  <c r="C345" i="24"/>
  <c r="E344" i="24"/>
  <c r="G343" i="24"/>
  <c r="O342" i="24"/>
  <c r="Q341" i="24"/>
  <c r="S340" i="24"/>
  <c r="A340" i="24"/>
  <c r="G339" i="24"/>
  <c r="K338" i="24"/>
  <c r="M337" i="24"/>
  <c r="S336" i="24"/>
  <c r="E336" i="24"/>
  <c r="C335" i="24"/>
  <c r="K334" i="24"/>
  <c r="Q333" i="24"/>
  <c r="K332" i="24"/>
  <c r="M331" i="24"/>
  <c r="C331" i="24"/>
  <c r="M329" i="24"/>
  <c r="S328" i="24"/>
  <c r="E328" i="24"/>
  <c r="C327" i="24"/>
  <c r="K326" i="24"/>
  <c r="M325" i="24"/>
  <c r="O324" i="24"/>
  <c r="A324" i="24"/>
  <c r="C323" i="24"/>
  <c r="O322" i="24"/>
  <c r="Q321" i="24"/>
  <c r="O320" i="24"/>
  <c r="M319" i="24"/>
  <c r="S318" i="24"/>
  <c r="Q317" i="24"/>
  <c r="S316" i="24"/>
  <c r="A316" i="24"/>
  <c r="C315" i="24"/>
  <c r="E314" i="24"/>
  <c r="G313" i="24"/>
  <c r="O312" i="24"/>
  <c r="Q311" i="24"/>
  <c r="C311" i="24"/>
  <c r="E310" i="24"/>
  <c r="G309" i="24"/>
  <c r="K308" i="24"/>
  <c r="M307" i="24"/>
  <c r="S306" i="24"/>
  <c r="E306" i="24"/>
  <c r="G305" i="24"/>
  <c r="K304" i="24"/>
  <c r="M303" i="24"/>
  <c r="O302" i="24"/>
  <c r="E302" i="24"/>
  <c r="G301" i="24"/>
  <c r="O300" i="24"/>
  <c r="Q299" i="24"/>
  <c r="S298" i="24"/>
  <c r="K298" i="24"/>
  <c r="M297" i="24"/>
  <c r="K296" i="24"/>
  <c r="G295" i="24"/>
  <c r="S294" i="24"/>
  <c r="A294" i="24"/>
  <c r="S292" i="24"/>
  <c r="A292" i="24"/>
  <c r="G291" i="24"/>
  <c r="K290" i="24"/>
  <c r="Q289" i="24"/>
  <c r="S288" i="24"/>
  <c r="A288" i="24"/>
  <c r="S286" i="24"/>
  <c r="E286" i="24"/>
  <c r="O284" i="24"/>
  <c r="Q283" i="24"/>
  <c r="S282" i="24"/>
  <c r="E282" i="24"/>
  <c r="G281" i="24"/>
  <c r="Q279" i="24"/>
  <c r="S278" i="24"/>
  <c r="E278" i="24"/>
  <c r="G277" i="24"/>
  <c r="S276" i="24"/>
  <c r="E276" i="24"/>
  <c r="Q275" i="24"/>
  <c r="G275" i="24"/>
  <c r="S274" i="24"/>
  <c r="A274" i="24"/>
  <c r="C273" i="24"/>
  <c r="E272" i="24"/>
  <c r="C271" i="24"/>
  <c r="A270" i="24"/>
  <c r="G269" i="24"/>
  <c r="O268" i="24"/>
  <c r="Q267" i="24"/>
  <c r="K266" i="24"/>
  <c r="G265" i="24"/>
  <c r="O264" i="24"/>
  <c r="Q263" i="24"/>
  <c r="O262" i="24"/>
  <c r="A262" i="24"/>
  <c r="G261" i="24"/>
  <c r="K260" i="24"/>
  <c r="M259" i="24"/>
  <c r="K258" i="24"/>
  <c r="Q257" i="24"/>
  <c r="C257" i="24"/>
  <c r="E256" i="24"/>
  <c r="G255" i="24"/>
  <c r="E254" i="24"/>
  <c r="G253" i="24"/>
  <c r="K252" i="24"/>
  <c r="M251" i="24"/>
  <c r="O250" i="24"/>
  <c r="Q249" i="24"/>
  <c r="S248" i="24"/>
  <c r="Q247" i="24"/>
  <c r="O246" i="24"/>
  <c r="Q245" i="24"/>
  <c r="C245" i="24"/>
  <c r="A244" i="24"/>
  <c r="C243" i="24"/>
  <c r="E242" i="24"/>
  <c r="G241" i="24"/>
  <c r="K240" i="24"/>
  <c r="M239" i="24"/>
  <c r="S238" i="24"/>
  <c r="Q237" i="24"/>
  <c r="O236" i="24"/>
  <c r="E236" i="24"/>
  <c r="M235" i="24"/>
  <c r="S234" i="24"/>
  <c r="E234" i="24"/>
  <c r="C233" i="24"/>
  <c r="O232" i="24"/>
  <c r="A232" i="24"/>
  <c r="S230" i="24"/>
  <c r="A230" i="24"/>
  <c r="C229" i="24"/>
  <c r="E228" i="24"/>
  <c r="G227" i="24"/>
  <c r="K226" i="24"/>
  <c r="Q225" i="24"/>
  <c r="K224" i="24"/>
  <c r="G223" i="24"/>
  <c r="K222" i="24"/>
  <c r="Q221" i="24"/>
  <c r="S220" i="24"/>
  <c r="E220" i="24"/>
  <c r="G219" i="24"/>
  <c r="E218" i="24"/>
  <c r="G217" i="24"/>
  <c r="K216" i="24"/>
  <c r="M215" i="24"/>
  <c r="O214" i="24"/>
  <c r="M213" i="24"/>
  <c r="O212" i="24"/>
  <c r="Q211" i="24"/>
  <c r="C211" i="24"/>
  <c r="E210" i="24"/>
  <c r="M209" i="24"/>
  <c r="O208" i="24"/>
  <c r="M207" i="24"/>
  <c r="S206" i="24"/>
  <c r="Q205" i="24"/>
  <c r="C205" i="24"/>
  <c r="K204" i="24"/>
  <c r="M203" i="24"/>
  <c r="O202" i="24"/>
  <c r="M201" i="24"/>
  <c r="O200" i="24"/>
  <c r="Q199" i="24"/>
  <c r="S198" i="24"/>
  <c r="M197" i="24"/>
  <c r="Q196" i="24"/>
  <c r="M196" i="24"/>
  <c r="M195" i="24"/>
  <c r="Q194" i="24"/>
  <c r="A194" i="24"/>
  <c r="I193" i="24"/>
  <c r="M192" i="24"/>
  <c r="A192" i="24"/>
  <c r="I191" i="24"/>
  <c r="M190" i="24"/>
  <c r="I189" i="24"/>
  <c r="M188" i="24"/>
  <c r="A188" i="24"/>
  <c r="E187" i="24"/>
  <c r="I186" i="24"/>
  <c r="Q185" i="24"/>
  <c r="A185" i="24"/>
  <c r="E184" i="24"/>
  <c r="M183" i="24"/>
  <c r="A183" i="24"/>
  <c r="I182" i="24"/>
  <c r="M181" i="24"/>
  <c r="A181" i="24"/>
  <c r="I180" i="24"/>
  <c r="Q176" i="24"/>
  <c r="E176" i="24"/>
  <c r="I173" i="24"/>
  <c r="E172" i="24"/>
  <c r="Q171" i="24"/>
  <c r="E171" i="24"/>
  <c r="M170" i="24"/>
  <c r="A170" i="24"/>
  <c r="M169" i="24"/>
  <c r="A169" i="24"/>
  <c r="E168" i="24"/>
  <c r="M167" i="24"/>
  <c r="Q166" i="24"/>
  <c r="A166" i="24"/>
  <c r="E165" i="24"/>
  <c r="E164" i="24"/>
  <c r="I163" i="24"/>
  <c r="Q162" i="24"/>
  <c r="E162" i="24"/>
  <c r="I161" i="24"/>
  <c r="Q160" i="24"/>
  <c r="Q159" i="24"/>
  <c r="A159" i="24"/>
  <c r="E158" i="24"/>
  <c r="I157" i="24"/>
  <c r="M156" i="24"/>
  <c r="Q155" i="24"/>
  <c r="E155" i="24"/>
  <c r="I154" i="24"/>
  <c r="M153" i="24"/>
  <c r="Q152" i="24"/>
  <c r="A152" i="24"/>
  <c r="E151" i="24"/>
  <c r="M150" i="24"/>
  <c r="A150" i="24"/>
  <c r="E149" i="24"/>
  <c r="I148" i="24"/>
  <c r="M147" i="24"/>
  <c r="A147" i="24"/>
  <c r="E146" i="24"/>
  <c r="I145" i="24"/>
  <c r="M144" i="24"/>
  <c r="Q143" i="24"/>
  <c r="A143" i="24"/>
  <c r="E142" i="24"/>
  <c r="E141" i="24"/>
  <c r="I140" i="24"/>
  <c r="M139" i="24"/>
  <c r="A139" i="24"/>
  <c r="E138" i="24"/>
  <c r="I137" i="24"/>
  <c r="I136" i="24"/>
  <c r="Q135" i="24"/>
  <c r="E135" i="24"/>
  <c r="I134" i="24"/>
  <c r="E133" i="24"/>
  <c r="I132" i="24"/>
  <c r="I131" i="24"/>
  <c r="M130" i="24"/>
  <c r="A130" i="24"/>
  <c r="A129" i="24"/>
  <c r="E128" i="24"/>
  <c r="M127" i="24"/>
  <c r="Q126" i="24"/>
  <c r="A126" i="24"/>
  <c r="E125" i="24"/>
  <c r="Q124" i="24"/>
  <c r="M123" i="24"/>
  <c r="Q122" i="24"/>
  <c r="Q121" i="24"/>
  <c r="E121" i="24"/>
  <c r="I120" i="24"/>
  <c r="M119" i="24"/>
  <c r="Q118" i="24"/>
  <c r="A118" i="24"/>
  <c r="E117" i="24"/>
  <c r="E116" i="24"/>
  <c r="I115" i="24"/>
  <c r="M114" i="24"/>
  <c r="M113" i="24"/>
  <c r="E113" i="24"/>
  <c r="I112" i="24"/>
  <c r="Q111" i="24"/>
  <c r="Q110" i="24"/>
  <c r="A110" i="24"/>
  <c r="I109" i="24"/>
  <c r="I108" i="24"/>
  <c r="M107" i="24"/>
  <c r="M106" i="24"/>
  <c r="Q105" i="24"/>
  <c r="A105" i="24"/>
  <c r="E104" i="24"/>
  <c r="I103" i="24"/>
  <c r="M102" i="24"/>
  <c r="E102" i="24"/>
  <c r="I101" i="24"/>
  <c r="Q100" i="24"/>
  <c r="Q99" i="24"/>
  <c r="E99" i="24"/>
  <c r="E98" i="24"/>
  <c r="M97" i="24"/>
  <c r="Q96" i="24"/>
  <c r="A96" i="24"/>
  <c r="A95" i="24"/>
  <c r="A94" i="24"/>
  <c r="I93" i="24"/>
  <c r="M92" i="24"/>
  <c r="A92" i="24"/>
  <c r="A91" i="24"/>
  <c r="I90" i="24"/>
  <c r="M89" i="24"/>
  <c r="M88" i="24"/>
  <c r="Q87" i="24"/>
  <c r="Q86" i="24"/>
  <c r="A86" i="24"/>
  <c r="E85" i="24"/>
  <c r="I84" i="24"/>
  <c r="M83" i="24"/>
  <c r="Q82" i="24"/>
  <c r="A82" i="24"/>
  <c r="E81" i="24"/>
  <c r="I80" i="24"/>
  <c r="M79" i="24"/>
  <c r="A79" i="24"/>
  <c r="I78" i="24"/>
  <c r="I77" i="24"/>
  <c r="M76" i="24"/>
  <c r="Q75" i="24"/>
  <c r="A75" i="24"/>
  <c r="E74" i="24"/>
  <c r="Q73" i="24"/>
  <c r="A73" i="24"/>
  <c r="E72" i="24"/>
  <c r="I71" i="24"/>
  <c r="I70" i="24"/>
  <c r="Q69" i="24"/>
  <c r="Q68" i="24"/>
  <c r="A68" i="24"/>
  <c r="E67" i="24"/>
  <c r="E66" i="24"/>
  <c r="I65" i="24"/>
  <c r="M64" i="24"/>
  <c r="Q63" i="24"/>
  <c r="A63" i="24"/>
  <c r="E62" i="24"/>
  <c r="I61" i="24"/>
  <c r="M60" i="24"/>
  <c r="E60" i="24"/>
  <c r="I59" i="24"/>
  <c r="M58" i="24"/>
  <c r="M57" i="24"/>
  <c r="A57" i="24"/>
  <c r="E56" i="24"/>
  <c r="I55" i="24"/>
  <c r="Q54" i="24"/>
  <c r="Q53" i="24"/>
  <c r="A53" i="24"/>
  <c r="E52" i="24"/>
  <c r="I51" i="24"/>
  <c r="M50" i="24"/>
  <c r="A50" i="24"/>
  <c r="E49" i="24"/>
  <c r="I48" i="24"/>
  <c r="I47" i="24"/>
  <c r="Q46" i="24"/>
  <c r="A46" i="24"/>
  <c r="E45" i="24"/>
  <c r="I44" i="24"/>
  <c r="M43" i="24"/>
  <c r="Q42" i="24"/>
  <c r="A42" i="24"/>
  <c r="E41" i="24"/>
  <c r="M40" i="24"/>
  <c r="I39" i="24"/>
  <c r="E38" i="24"/>
  <c r="I37" i="24"/>
  <c r="A37" i="24"/>
  <c r="E36" i="24"/>
  <c r="A35" i="24"/>
  <c r="E34" i="24"/>
  <c r="A33" i="24"/>
  <c r="E32" i="24"/>
  <c r="Q30" i="24"/>
  <c r="M29" i="24"/>
  <c r="Q28" i="24"/>
  <c r="E28" i="24"/>
  <c r="I27" i="24"/>
  <c r="I26" i="24"/>
  <c r="M25" i="24"/>
  <c r="M24" i="24"/>
  <c r="M23" i="24"/>
  <c r="A23" i="24"/>
  <c r="E22" i="24"/>
  <c r="Q21" i="24"/>
  <c r="E21" i="24"/>
  <c r="M20" i="24"/>
  <c r="A20" i="24"/>
  <c r="E19" i="24"/>
  <c r="I18" i="24"/>
  <c r="M17" i="24"/>
  <c r="Q16" i="24"/>
  <c r="A16" i="24"/>
  <c r="E15" i="24"/>
  <c r="M14" i="24"/>
  <c r="M13" i="24"/>
  <c r="Q12" i="24"/>
  <c r="A12" i="24"/>
  <c r="E11" i="24"/>
  <c r="A10" i="24"/>
  <c r="E9" i="24"/>
  <c r="I8" i="24"/>
  <c r="M7" i="24"/>
  <c r="M6" i="24"/>
  <c r="A6" i="24"/>
  <c r="A5" i="24"/>
  <c r="I4" i="24"/>
  <c r="I3" i="24"/>
  <c r="Q2" i="24"/>
  <c r="A2" i="24"/>
  <c r="S707" i="24"/>
  <c r="C706" i="24"/>
  <c r="G704" i="24"/>
  <c r="M702" i="24"/>
  <c r="Q700" i="24"/>
  <c r="A699" i="24"/>
  <c r="E697" i="24"/>
  <c r="K695" i="24"/>
  <c r="O693" i="24"/>
  <c r="S691" i="24"/>
  <c r="C690" i="24"/>
  <c r="G688" i="24"/>
  <c r="M686" i="24"/>
  <c r="Q684" i="24"/>
  <c r="A683" i="24"/>
  <c r="E681" i="24"/>
  <c r="K679" i="24"/>
  <c r="O677" i="24"/>
  <c r="S675" i="24"/>
  <c r="C674" i="24"/>
  <c r="G672" i="24"/>
  <c r="M670" i="24"/>
  <c r="Q668" i="24"/>
  <c r="A667" i="24"/>
  <c r="E665" i="24"/>
  <c r="K663" i="24"/>
  <c r="O661" i="24"/>
  <c r="S659" i="24"/>
  <c r="C658" i="24"/>
  <c r="G656" i="24"/>
  <c r="M654" i="24"/>
  <c r="Q652" i="24"/>
  <c r="A651" i="24"/>
  <c r="E649" i="24"/>
  <c r="K647" i="24"/>
  <c r="O645" i="24"/>
  <c r="S643" i="24"/>
  <c r="C642" i="24"/>
  <c r="G640" i="24"/>
  <c r="M638" i="24"/>
  <c r="Q636" i="24"/>
  <c r="A635" i="24"/>
  <c r="E633" i="24"/>
  <c r="K631" i="24"/>
  <c r="O629" i="24"/>
  <c r="S627" i="24"/>
  <c r="C626" i="24"/>
  <c r="G624" i="24"/>
  <c r="M622" i="24"/>
  <c r="G621" i="24"/>
  <c r="D620" i="24"/>
  <c r="A619" i="24"/>
  <c r="Q617" i="24"/>
  <c r="N616" i="24"/>
  <c r="K615" i="24"/>
  <c r="F614" i="24"/>
  <c r="H613" i="24"/>
  <c r="L612" i="24"/>
  <c r="N611" i="24"/>
  <c r="P610" i="24"/>
  <c r="R609" i="24"/>
  <c r="T608" i="24"/>
  <c r="B608" i="24"/>
  <c r="D607" i="24"/>
  <c r="F606" i="24"/>
  <c r="H605" i="24"/>
  <c r="L604" i="24"/>
  <c r="N603" i="24"/>
  <c r="P602" i="24"/>
  <c r="R601" i="24"/>
  <c r="T600" i="24"/>
  <c r="B600" i="24"/>
  <c r="D599" i="24"/>
  <c r="F598" i="24"/>
  <c r="H597" i="24"/>
  <c r="L596" i="24"/>
  <c r="N595" i="24"/>
  <c r="P594" i="24"/>
  <c r="R593" i="24"/>
  <c r="T592" i="24"/>
  <c r="B592" i="24"/>
  <c r="D591" i="24"/>
  <c r="F590" i="24"/>
  <c r="H589" i="24"/>
  <c r="L588" i="24"/>
  <c r="N587" i="24"/>
  <c r="P586" i="24"/>
  <c r="R585" i="24"/>
  <c r="T584" i="24"/>
  <c r="B584" i="24"/>
  <c r="D583" i="24"/>
  <c r="F582" i="24"/>
  <c r="H581" i="24"/>
  <c r="L580" i="24"/>
  <c r="N579" i="24"/>
  <c r="P578" i="24"/>
  <c r="R577" i="24"/>
  <c r="T576" i="24"/>
  <c r="B576" i="24"/>
  <c r="D575" i="24"/>
  <c r="F574" i="24"/>
  <c r="H573" i="24"/>
  <c r="L572" i="24"/>
  <c r="N571" i="24"/>
  <c r="P570" i="24"/>
  <c r="R569" i="24"/>
  <c r="T568" i="24"/>
  <c r="B568" i="24"/>
  <c r="D567" i="24"/>
  <c r="F566" i="24"/>
  <c r="H565" i="24"/>
  <c r="L564" i="24"/>
  <c r="N563" i="24"/>
  <c r="P562" i="24"/>
  <c r="R561" i="24"/>
  <c r="T560" i="24"/>
  <c r="B560" i="24"/>
  <c r="D559" i="24"/>
  <c r="F558" i="24"/>
  <c r="H557" i="24"/>
  <c r="L556" i="24"/>
  <c r="N555" i="24"/>
  <c r="P554" i="24"/>
  <c r="R553" i="24"/>
  <c r="T552" i="24"/>
  <c r="K552" i="24"/>
  <c r="A552" i="24"/>
  <c r="O551" i="24"/>
  <c r="K551" i="24"/>
  <c r="E551" i="24"/>
  <c r="A551" i="24"/>
  <c r="Q550" i="24"/>
  <c r="M550" i="24"/>
  <c r="G550" i="24"/>
  <c r="C550" i="24"/>
  <c r="S549" i="24"/>
  <c r="O549" i="24"/>
  <c r="K549" i="24"/>
  <c r="E549" i="24"/>
  <c r="A549" i="24"/>
  <c r="Q548" i="24"/>
  <c r="M548" i="24"/>
  <c r="G548" i="24"/>
  <c r="C548" i="24"/>
  <c r="S547" i="24"/>
  <c r="O547" i="24"/>
  <c r="K547" i="24"/>
  <c r="E547" i="24"/>
  <c r="A547" i="24"/>
  <c r="Q546" i="24"/>
  <c r="M546" i="24"/>
  <c r="G546" i="24"/>
  <c r="C546" i="24"/>
  <c r="S545" i="24"/>
  <c r="O545" i="24"/>
  <c r="K545" i="24"/>
  <c r="E545" i="24"/>
  <c r="A545" i="24"/>
  <c r="Q544" i="24"/>
  <c r="M544" i="24"/>
  <c r="G544" i="24"/>
  <c r="C544" i="24"/>
  <c r="S543" i="24"/>
  <c r="O543" i="24"/>
  <c r="K543" i="24"/>
  <c r="E543" i="24"/>
  <c r="A543" i="24"/>
  <c r="Q542" i="24"/>
  <c r="M542" i="24"/>
  <c r="G542" i="24"/>
  <c r="C542" i="24"/>
  <c r="S541" i="24"/>
  <c r="O541" i="24"/>
  <c r="K541" i="24"/>
  <c r="E541" i="24"/>
  <c r="A541" i="24"/>
  <c r="Q540" i="24"/>
  <c r="M540" i="24"/>
  <c r="G540" i="24"/>
  <c r="C540" i="24"/>
  <c r="S539" i="24"/>
  <c r="O539" i="24"/>
  <c r="K539" i="24"/>
  <c r="E539" i="24"/>
  <c r="A539" i="24"/>
  <c r="Q538" i="24"/>
  <c r="M538" i="24"/>
  <c r="G538" i="24"/>
  <c r="C538" i="24"/>
  <c r="S537" i="24"/>
  <c r="O537" i="24"/>
  <c r="K537" i="24"/>
  <c r="E537" i="24"/>
  <c r="A537" i="24"/>
  <c r="Q536" i="24"/>
  <c r="M536" i="24"/>
  <c r="G536" i="24"/>
  <c r="C536" i="24"/>
  <c r="S535" i="24"/>
  <c r="O535" i="24"/>
  <c r="K535" i="24"/>
  <c r="E535" i="24"/>
  <c r="A535" i="24"/>
  <c r="Q534" i="24"/>
  <c r="M534" i="24"/>
  <c r="G534" i="24"/>
  <c r="C534" i="24"/>
  <c r="S533" i="24"/>
  <c r="O533" i="24"/>
  <c r="K533" i="24"/>
  <c r="E533" i="24"/>
  <c r="A533" i="24"/>
  <c r="Q532" i="24"/>
  <c r="M532" i="24"/>
  <c r="G532" i="24"/>
  <c r="C532" i="24"/>
  <c r="S531" i="24"/>
  <c r="O531" i="24"/>
  <c r="K531" i="24"/>
  <c r="E531" i="24"/>
  <c r="A531" i="24"/>
  <c r="Q530" i="24"/>
  <c r="M530" i="24"/>
  <c r="G530" i="24"/>
  <c r="C530" i="24"/>
  <c r="S529" i="24"/>
  <c r="O529" i="24"/>
  <c r="K529" i="24"/>
  <c r="E529" i="24"/>
  <c r="A529" i="24"/>
  <c r="Q528" i="24"/>
  <c r="M528" i="24"/>
  <c r="G528" i="24"/>
  <c r="C528" i="24"/>
  <c r="S527" i="24"/>
  <c r="O527" i="24"/>
  <c r="K527" i="24"/>
  <c r="E527" i="24"/>
  <c r="A527" i="24"/>
  <c r="Q526" i="24"/>
  <c r="M526" i="24"/>
  <c r="G526" i="24"/>
  <c r="C526" i="24"/>
  <c r="S525" i="24"/>
  <c r="O525" i="24"/>
  <c r="K525" i="24"/>
  <c r="E525" i="24"/>
  <c r="A525" i="24"/>
  <c r="Q524" i="24"/>
  <c r="M524" i="24"/>
  <c r="G524" i="24"/>
  <c r="C524" i="24"/>
  <c r="S523" i="24"/>
  <c r="O523" i="24"/>
  <c r="K523" i="24"/>
  <c r="E523" i="24"/>
  <c r="A523" i="24"/>
  <c r="Q522" i="24"/>
  <c r="M522" i="24"/>
  <c r="G522" i="24"/>
  <c r="C522" i="24"/>
  <c r="S521" i="24"/>
  <c r="O521" i="24"/>
  <c r="K521" i="24"/>
  <c r="E521" i="24"/>
  <c r="A521" i="24"/>
  <c r="Q520" i="24"/>
  <c r="M520" i="24"/>
  <c r="G520" i="24"/>
  <c r="C520" i="24"/>
  <c r="S519" i="24"/>
  <c r="O519" i="24"/>
  <c r="K519" i="24"/>
  <c r="E519" i="24"/>
  <c r="A519" i="24"/>
  <c r="Q518" i="24"/>
  <c r="M518" i="24"/>
  <c r="G518" i="24"/>
  <c r="C518" i="24"/>
  <c r="S517" i="24"/>
  <c r="O517" i="24"/>
  <c r="K517" i="24"/>
  <c r="E517" i="24"/>
  <c r="A517" i="24"/>
  <c r="Q516" i="24"/>
  <c r="M516" i="24"/>
  <c r="G516" i="24"/>
  <c r="C516" i="24"/>
  <c r="S515" i="24"/>
  <c r="O515" i="24"/>
  <c r="K515" i="24"/>
  <c r="E515" i="24"/>
  <c r="A515" i="24"/>
  <c r="Q514" i="24"/>
  <c r="M514" i="24"/>
  <c r="G514" i="24"/>
  <c r="C514" i="24"/>
  <c r="S513" i="24"/>
  <c r="O513" i="24"/>
  <c r="K513" i="24"/>
  <c r="E513" i="24"/>
  <c r="A513" i="24"/>
  <c r="Q512" i="24"/>
  <c r="M512" i="24"/>
  <c r="G512" i="24"/>
  <c r="C512" i="24"/>
  <c r="S511" i="24"/>
  <c r="O511" i="24"/>
  <c r="K511" i="24"/>
  <c r="E511" i="24"/>
  <c r="A511" i="24"/>
  <c r="Q510" i="24"/>
  <c r="M510" i="24"/>
  <c r="G510" i="24"/>
  <c r="C510" i="24"/>
  <c r="S509" i="24"/>
  <c r="O509" i="24"/>
  <c r="K509" i="24"/>
  <c r="E509" i="24"/>
  <c r="A509" i="24"/>
  <c r="Q508" i="24"/>
  <c r="M508" i="24"/>
  <c r="G508" i="24"/>
  <c r="C508" i="24"/>
  <c r="S507" i="24"/>
  <c r="O507" i="24"/>
  <c r="K507" i="24"/>
  <c r="E507" i="24"/>
  <c r="A507" i="24"/>
  <c r="Q506" i="24"/>
  <c r="M506" i="24"/>
  <c r="G506" i="24"/>
  <c r="C506" i="24"/>
  <c r="S505" i="24"/>
  <c r="O505" i="24"/>
  <c r="K505" i="24"/>
  <c r="E505" i="24"/>
  <c r="A505" i="24"/>
  <c r="Q504" i="24"/>
  <c r="M504" i="24"/>
  <c r="G504" i="24"/>
  <c r="C504" i="24"/>
  <c r="S503" i="24"/>
  <c r="O503" i="24"/>
  <c r="K503" i="24"/>
  <c r="E503" i="24"/>
  <c r="A503" i="24"/>
  <c r="Q502" i="24"/>
  <c r="M502" i="24"/>
  <c r="G502" i="24"/>
  <c r="C502" i="24"/>
  <c r="S501" i="24"/>
  <c r="O501" i="24"/>
  <c r="K501" i="24"/>
  <c r="E501" i="24"/>
  <c r="A501" i="24"/>
  <c r="Q500" i="24"/>
  <c r="M500" i="24"/>
  <c r="G500" i="24"/>
  <c r="C500" i="24"/>
  <c r="S499" i="24"/>
  <c r="O499" i="24"/>
  <c r="K499" i="24"/>
  <c r="E499" i="24"/>
  <c r="A499" i="24"/>
  <c r="Q498" i="24"/>
  <c r="M498" i="24"/>
  <c r="G498" i="24"/>
  <c r="C498" i="24"/>
  <c r="S497" i="24"/>
  <c r="O497" i="24"/>
  <c r="K497" i="24"/>
  <c r="E497" i="24"/>
  <c r="A497" i="24"/>
  <c r="Q496" i="24"/>
  <c r="M496" i="24"/>
  <c r="G496" i="24"/>
  <c r="C496" i="24"/>
  <c r="S495" i="24"/>
  <c r="O495" i="24"/>
  <c r="K495" i="24"/>
  <c r="E495" i="24"/>
  <c r="A495" i="24"/>
  <c r="Q494" i="24"/>
  <c r="M494" i="24"/>
  <c r="G494" i="24"/>
  <c r="C494" i="24"/>
  <c r="S493" i="24"/>
  <c r="O493" i="24"/>
  <c r="K493" i="24"/>
  <c r="E493" i="24"/>
  <c r="A493" i="24"/>
  <c r="Q492" i="24"/>
  <c r="M492" i="24"/>
  <c r="G492" i="24"/>
  <c r="C492" i="24"/>
  <c r="S491" i="24"/>
  <c r="O491" i="24"/>
  <c r="K491" i="24"/>
  <c r="E491" i="24"/>
  <c r="A491" i="24"/>
  <c r="Q490" i="24"/>
  <c r="M490" i="24"/>
  <c r="G490" i="24"/>
  <c r="C490" i="24"/>
  <c r="S489" i="24"/>
  <c r="O489" i="24"/>
  <c r="K489" i="24"/>
  <c r="E489" i="24"/>
  <c r="A489" i="24"/>
  <c r="Q488" i="24"/>
  <c r="M488" i="24"/>
  <c r="G488" i="24"/>
  <c r="C488" i="24"/>
  <c r="S487" i="24"/>
  <c r="O487" i="24"/>
  <c r="K487" i="24"/>
  <c r="E487" i="24"/>
  <c r="A487" i="24"/>
  <c r="Q486" i="24"/>
  <c r="M486" i="24"/>
  <c r="G486" i="24"/>
  <c r="C486" i="24"/>
  <c r="S485" i="24"/>
  <c r="O485" i="24"/>
  <c r="K485" i="24"/>
  <c r="E485" i="24"/>
  <c r="A485" i="24"/>
  <c r="Q484" i="24"/>
  <c r="M484" i="24"/>
  <c r="G484" i="24"/>
  <c r="C484" i="24"/>
  <c r="S483" i="24"/>
  <c r="O483" i="24"/>
  <c r="K483" i="24"/>
  <c r="E483" i="24"/>
  <c r="A483" i="24"/>
  <c r="Q482" i="24"/>
  <c r="M482" i="24"/>
  <c r="G482" i="24"/>
  <c r="C482" i="24"/>
  <c r="S481" i="24"/>
  <c r="O481" i="24"/>
  <c r="K481" i="24"/>
  <c r="E481" i="24"/>
  <c r="A481" i="24"/>
  <c r="Q480" i="24"/>
  <c r="M480" i="24"/>
  <c r="G480" i="24"/>
  <c r="C480" i="24"/>
  <c r="S479" i="24"/>
  <c r="O479" i="24"/>
  <c r="K479" i="24"/>
  <c r="E479" i="24"/>
  <c r="A479" i="24"/>
  <c r="Q478" i="24"/>
  <c r="M478" i="24"/>
  <c r="G478" i="24"/>
  <c r="C478" i="24"/>
  <c r="S477" i="24"/>
  <c r="O477" i="24"/>
  <c r="K477" i="24"/>
  <c r="E477" i="24"/>
  <c r="A477" i="24"/>
  <c r="Q476" i="24"/>
  <c r="M476" i="24"/>
  <c r="G476" i="24"/>
  <c r="C476" i="24"/>
  <c r="S475" i="24"/>
  <c r="O475" i="24"/>
  <c r="K475" i="24"/>
  <c r="E475" i="24"/>
  <c r="A475" i="24"/>
  <c r="Q474" i="24"/>
  <c r="M474" i="24"/>
  <c r="G474" i="24"/>
  <c r="C474" i="24"/>
  <c r="S473" i="24"/>
  <c r="O473" i="24"/>
  <c r="K473" i="24"/>
  <c r="E473" i="24"/>
  <c r="A473" i="24"/>
  <c r="Q472" i="24"/>
  <c r="M472" i="24"/>
  <c r="G472" i="24"/>
  <c r="C472" i="24"/>
  <c r="S471" i="24"/>
  <c r="O471" i="24"/>
  <c r="K471" i="24"/>
  <c r="E471" i="24"/>
  <c r="A471" i="24"/>
  <c r="Q470" i="24"/>
  <c r="M470" i="24"/>
  <c r="G470" i="24"/>
  <c r="C470" i="24"/>
  <c r="S469" i="24"/>
  <c r="O469" i="24"/>
  <c r="K469" i="24"/>
  <c r="E469" i="24"/>
  <c r="A469" i="24"/>
  <c r="Q468" i="24"/>
  <c r="M468" i="24"/>
  <c r="G468" i="24"/>
  <c r="C468" i="24"/>
  <c r="S467" i="24"/>
  <c r="O467" i="24"/>
  <c r="K467" i="24"/>
  <c r="E467" i="24"/>
  <c r="A467" i="24"/>
  <c r="Q466" i="24"/>
  <c r="M466" i="24"/>
  <c r="G466" i="24"/>
  <c r="C466" i="24"/>
  <c r="S465" i="24"/>
  <c r="O465" i="24"/>
  <c r="K465" i="24"/>
  <c r="E465" i="24"/>
  <c r="A465" i="24"/>
  <c r="Q464" i="24"/>
  <c r="M464" i="24"/>
  <c r="G464" i="24"/>
  <c r="C464" i="24"/>
  <c r="S463" i="24"/>
  <c r="O463" i="24"/>
  <c r="K463" i="24"/>
  <c r="E463" i="24"/>
  <c r="A463" i="24"/>
  <c r="Q462" i="24"/>
  <c r="M462" i="24"/>
  <c r="G462" i="24"/>
  <c r="C462" i="24"/>
  <c r="S461" i="24"/>
  <c r="O461" i="24"/>
  <c r="K461" i="24"/>
  <c r="E461" i="24"/>
  <c r="A461" i="24"/>
  <c r="Q460" i="24"/>
  <c r="M460" i="24"/>
  <c r="G460" i="24"/>
  <c r="C460" i="24"/>
  <c r="S459" i="24"/>
  <c r="O459" i="24"/>
  <c r="K459" i="24"/>
  <c r="E459" i="24"/>
  <c r="A459" i="24"/>
  <c r="Q458" i="24"/>
  <c r="M458" i="24"/>
  <c r="G458" i="24"/>
  <c r="C458" i="24"/>
  <c r="S457" i="24"/>
  <c r="O457" i="24"/>
  <c r="K457" i="24"/>
  <c r="E457" i="24"/>
  <c r="A457" i="24"/>
  <c r="Q456" i="24"/>
  <c r="M456" i="24"/>
  <c r="G456" i="24"/>
  <c r="C456" i="24"/>
  <c r="S455" i="24"/>
  <c r="O455" i="24"/>
  <c r="K455" i="24"/>
  <c r="E455" i="24"/>
  <c r="A455" i="24"/>
  <c r="Q454" i="24"/>
  <c r="M454" i="24"/>
  <c r="G454" i="24"/>
  <c r="C454" i="24"/>
  <c r="S453" i="24"/>
  <c r="O453" i="24"/>
  <c r="K453" i="24"/>
  <c r="E453" i="24"/>
  <c r="A453" i="24"/>
  <c r="Q452" i="24"/>
  <c r="M452" i="24"/>
  <c r="G452" i="24"/>
  <c r="C452" i="24"/>
  <c r="S451" i="24"/>
  <c r="O451" i="24"/>
  <c r="K451" i="24"/>
  <c r="E451" i="24"/>
  <c r="A451" i="24"/>
  <c r="Q450" i="24"/>
  <c r="M450" i="24"/>
  <c r="G450" i="24"/>
  <c r="C450" i="24"/>
  <c r="S449" i="24"/>
  <c r="O449" i="24"/>
  <c r="K449" i="24"/>
  <c r="E449" i="24"/>
  <c r="A449" i="24"/>
  <c r="Q448" i="24"/>
  <c r="M448" i="24"/>
  <c r="G448" i="24"/>
  <c r="C448" i="24"/>
  <c r="S447" i="24"/>
  <c r="O447" i="24"/>
  <c r="K447" i="24"/>
  <c r="E447" i="24"/>
  <c r="A447" i="24"/>
  <c r="Q446" i="24"/>
  <c r="M446" i="24"/>
  <c r="G446" i="24"/>
  <c r="C446" i="24"/>
  <c r="S445" i="24"/>
  <c r="O445" i="24"/>
  <c r="K445" i="24"/>
  <c r="E445" i="24"/>
  <c r="A445" i="24"/>
  <c r="Q444" i="24"/>
  <c r="M444" i="24"/>
  <c r="G444" i="24"/>
  <c r="C444" i="24"/>
  <c r="S443" i="24"/>
  <c r="O443" i="24"/>
  <c r="K443" i="24"/>
  <c r="E443" i="24"/>
  <c r="A443" i="24"/>
  <c r="Q442" i="24"/>
  <c r="M442" i="24"/>
  <c r="G442" i="24"/>
  <c r="C442" i="24"/>
  <c r="S441" i="24"/>
  <c r="O441" i="24"/>
  <c r="K441" i="24"/>
  <c r="E441" i="24"/>
  <c r="A441" i="24"/>
  <c r="Q440" i="24"/>
  <c r="M440" i="24"/>
  <c r="G440" i="24"/>
  <c r="C440" i="24"/>
  <c r="S439" i="24"/>
  <c r="O439" i="24"/>
  <c r="K439" i="24"/>
  <c r="E439" i="24"/>
  <c r="A439" i="24"/>
  <c r="Q438" i="24"/>
  <c r="M438" i="24"/>
  <c r="G438" i="24"/>
  <c r="C438" i="24"/>
  <c r="S437" i="24"/>
  <c r="O437" i="24"/>
  <c r="K437" i="24"/>
  <c r="E437" i="24"/>
  <c r="A437" i="24"/>
  <c r="Q436" i="24"/>
  <c r="M436" i="24"/>
  <c r="G436" i="24"/>
  <c r="C436" i="24"/>
  <c r="S435" i="24"/>
  <c r="O435" i="24"/>
  <c r="K435" i="24"/>
  <c r="E435" i="24"/>
  <c r="A435" i="24"/>
  <c r="Q434" i="24"/>
  <c r="M434" i="24"/>
  <c r="G434" i="24"/>
  <c r="C434" i="24"/>
  <c r="S433" i="24"/>
  <c r="O433" i="24"/>
  <c r="K433" i="24"/>
  <c r="E433" i="24"/>
  <c r="A433" i="24"/>
  <c r="Q432" i="24"/>
  <c r="M432" i="24"/>
  <c r="G432" i="24"/>
  <c r="C432" i="24"/>
  <c r="S431" i="24"/>
  <c r="O431" i="24"/>
  <c r="K431" i="24"/>
  <c r="E431" i="24"/>
  <c r="A431" i="24"/>
  <c r="Q430" i="24"/>
  <c r="M430" i="24"/>
  <c r="G430" i="24"/>
  <c r="C430" i="24"/>
  <c r="S429" i="24"/>
  <c r="O429" i="24"/>
  <c r="K429" i="24"/>
  <c r="E429" i="24"/>
  <c r="A429" i="24"/>
  <c r="Q428" i="24"/>
  <c r="M428" i="24"/>
  <c r="G428" i="24"/>
  <c r="C428" i="24"/>
  <c r="S427" i="24"/>
  <c r="O427" i="24"/>
  <c r="K427" i="24"/>
  <c r="E427" i="24"/>
  <c r="A427" i="24"/>
  <c r="Q426" i="24"/>
  <c r="M426" i="24"/>
  <c r="G426" i="24"/>
  <c r="C426" i="24"/>
  <c r="S425" i="24"/>
  <c r="O425" i="24"/>
  <c r="K425" i="24"/>
  <c r="E425" i="24"/>
  <c r="A425" i="24"/>
  <c r="Q424" i="24"/>
  <c r="M424" i="24"/>
  <c r="G424" i="24"/>
  <c r="C424" i="24"/>
  <c r="S423" i="24"/>
  <c r="O423" i="24"/>
  <c r="K423" i="24"/>
  <c r="E423" i="24"/>
  <c r="A423" i="24"/>
  <c r="Q422" i="24"/>
  <c r="M422" i="24"/>
  <c r="G422" i="24"/>
  <c r="C422" i="24"/>
  <c r="S421" i="24"/>
  <c r="O421" i="24"/>
  <c r="K421" i="24"/>
  <c r="E421" i="24"/>
  <c r="A421" i="24"/>
  <c r="Q420" i="24"/>
  <c r="M420" i="24"/>
  <c r="G420" i="24"/>
  <c r="C420" i="24"/>
  <c r="S419" i="24"/>
  <c r="O419" i="24"/>
  <c r="K419" i="24"/>
  <c r="E419" i="24"/>
  <c r="A419" i="24"/>
  <c r="Q418" i="24"/>
  <c r="M418" i="24"/>
  <c r="G418" i="24"/>
  <c r="C418" i="24"/>
  <c r="S417" i="24"/>
  <c r="O417" i="24"/>
  <c r="K417" i="24"/>
  <c r="E417" i="24"/>
  <c r="A417" i="24"/>
  <c r="Q416" i="24"/>
  <c r="M416" i="24"/>
  <c r="G416" i="24"/>
  <c r="C416" i="24"/>
  <c r="S415" i="24"/>
  <c r="O415" i="24"/>
  <c r="K415" i="24"/>
  <c r="E415" i="24"/>
  <c r="A415" i="24"/>
  <c r="Q414" i="24"/>
  <c r="M414" i="24"/>
  <c r="G414" i="24"/>
  <c r="C414" i="24"/>
  <c r="S413" i="24"/>
  <c r="O413" i="24"/>
  <c r="K413" i="24"/>
  <c r="E413" i="24"/>
  <c r="A413" i="24"/>
  <c r="Q412" i="24"/>
  <c r="M412" i="24"/>
  <c r="G412" i="24"/>
  <c r="C412" i="24"/>
  <c r="S411" i="24"/>
  <c r="O411" i="24"/>
  <c r="K411" i="24"/>
  <c r="E411" i="24"/>
  <c r="A411" i="24"/>
  <c r="Q410" i="24"/>
  <c r="M410" i="24"/>
  <c r="G410" i="24"/>
  <c r="C410" i="24"/>
  <c r="S409" i="24"/>
  <c r="O409" i="24"/>
  <c r="K409" i="24"/>
  <c r="E409" i="24"/>
  <c r="A409" i="24"/>
  <c r="Q408" i="24"/>
  <c r="M408" i="24"/>
  <c r="G408" i="24"/>
  <c r="C408" i="24"/>
  <c r="S407" i="24"/>
  <c r="O407" i="24"/>
  <c r="K407" i="24"/>
  <c r="E407" i="24"/>
  <c r="A407" i="24"/>
  <c r="Q406" i="24"/>
  <c r="M406" i="24"/>
  <c r="G406" i="24"/>
  <c r="C406" i="24"/>
  <c r="S405" i="24"/>
  <c r="O405" i="24"/>
  <c r="K405" i="24"/>
  <c r="E405" i="24"/>
  <c r="A405" i="24"/>
  <c r="Q404" i="24"/>
  <c r="M404" i="24"/>
  <c r="G404" i="24"/>
  <c r="C404" i="24"/>
  <c r="S403" i="24"/>
  <c r="O403" i="24"/>
  <c r="K403" i="24"/>
  <c r="E403" i="24"/>
  <c r="A403" i="24"/>
  <c r="Q402" i="24"/>
  <c r="M402" i="24"/>
  <c r="G402" i="24"/>
  <c r="C402" i="24"/>
  <c r="S401" i="24"/>
  <c r="O401" i="24"/>
  <c r="K401" i="24"/>
  <c r="E401" i="24"/>
  <c r="A401" i="24"/>
  <c r="Q400" i="24"/>
  <c r="M400" i="24"/>
  <c r="G400" i="24"/>
  <c r="C400" i="24"/>
  <c r="S399" i="24"/>
  <c r="O399" i="24"/>
  <c r="K399" i="24"/>
  <c r="E399" i="24"/>
  <c r="A399" i="24"/>
  <c r="Q398" i="24"/>
  <c r="M398" i="24"/>
  <c r="G398" i="24"/>
  <c r="C398" i="24"/>
  <c r="S397" i="24"/>
  <c r="O397" i="24"/>
  <c r="K397" i="24"/>
  <c r="E397" i="24"/>
  <c r="A397" i="24"/>
  <c r="Q396" i="24"/>
  <c r="M396" i="24"/>
  <c r="G396" i="24"/>
  <c r="C396" i="24"/>
  <c r="S395" i="24"/>
  <c r="O395" i="24"/>
  <c r="K395" i="24"/>
  <c r="E395" i="24"/>
  <c r="A395" i="24"/>
  <c r="Q394" i="24"/>
  <c r="M394" i="24"/>
  <c r="G394" i="24"/>
  <c r="C394" i="24"/>
  <c r="S393" i="24"/>
  <c r="O393" i="24"/>
  <c r="K393" i="24"/>
  <c r="E393" i="24"/>
  <c r="A393" i="24"/>
  <c r="Q392" i="24"/>
  <c r="M392" i="24"/>
  <c r="G392" i="24"/>
  <c r="C392" i="24"/>
  <c r="S391" i="24"/>
  <c r="O391" i="24"/>
  <c r="K391" i="24"/>
  <c r="E391" i="24"/>
  <c r="A391" i="24"/>
  <c r="Q390" i="24"/>
  <c r="M390" i="24"/>
  <c r="G390" i="24"/>
  <c r="C390" i="24"/>
  <c r="S389" i="24"/>
  <c r="O389" i="24"/>
  <c r="K389" i="24"/>
  <c r="E389" i="24"/>
  <c r="A389" i="24"/>
  <c r="Q388" i="24"/>
  <c r="M388" i="24"/>
  <c r="G388" i="24"/>
  <c r="C388" i="24"/>
  <c r="S387" i="24"/>
  <c r="O387" i="24"/>
  <c r="K387" i="24"/>
  <c r="E387" i="24"/>
  <c r="A387" i="24"/>
  <c r="Q386" i="24"/>
  <c r="M386" i="24"/>
  <c r="G386" i="24"/>
  <c r="C386" i="24"/>
  <c r="S385" i="24"/>
  <c r="O385" i="24"/>
  <c r="K385" i="24"/>
  <c r="E385" i="24"/>
  <c r="A385" i="24"/>
  <c r="Q384" i="24"/>
  <c r="M384" i="24"/>
  <c r="G384" i="24"/>
  <c r="C384" i="24"/>
  <c r="S383" i="24"/>
  <c r="O383" i="24"/>
  <c r="K383" i="24"/>
  <c r="E383" i="24"/>
  <c r="A383" i="24"/>
  <c r="Q382" i="24"/>
  <c r="M382" i="24"/>
  <c r="G382" i="24"/>
  <c r="C382" i="24"/>
  <c r="S381" i="24"/>
  <c r="O381" i="24"/>
  <c r="K381" i="24"/>
  <c r="E381" i="24"/>
  <c r="A381" i="24"/>
  <c r="Q380" i="24"/>
  <c r="M380" i="24"/>
  <c r="G380" i="24"/>
  <c r="C380" i="24"/>
  <c r="S379" i="24"/>
  <c r="O379" i="24"/>
  <c r="K379" i="24"/>
  <c r="E379" i="24"/>
  <c r="A379" i="24"/>
  <c r="Q378" i="24"/>
  <c r="M378" i="24"/>
  <c r="G378" i="24"/>
  <c r="C378" i="24"/>
  <c r="S377" i="24"/>
  <c r="O377" i="24"/>
  <c r="K377" i="24"/>
  <c r="E377" i="24"/>
  <c r="A377" i="24"/>
  <c r="Q376" i="24"/>
  <c r="M376" i="24"/>
  <c r="G376" i="24"/>
  <c r="C376" i="24"/>
  <c r="S375" i="24"/>
  <c r="O375" i="24"/>
  <c r="K375" i="24"/>
  <c r="E375" i="24"/>
  <c r="A375" i="24"/>
  <c r="Q374" i="24"/>
  <c r="M374" i="24"/>
  <c r="G374" i="24"/>
  <c r="C374" i="24"/>
  <c r="S373" i="24"/>
  <c r="O373" i="24"/>
  <c r="K373" i="24"/>
  <c r="E373" i="24"/>
  <c r="A373" i="24"/>
  <c r="Q372" i="24"/>
  <c r="M372" i="24"/>
  <c r="G372" i="24"/>
  <c r="C372" i="24"/>
  <c r="S371" i="24"/>
  <c r="O371" i="24"/>
  <c r="K371" i="24"/>
  <c r="E371" i="24"/>
  <c r="A371" i="24"/>
  <c r="Q370" i="24"/>
  <c r="M370" i="24"/>
  <c r="G370" i="24"/>
  <c r="C370" i="24"/>
  <c r="S369" i="24"/>
  <c r="O369" i="24"/>
  <c r="K369" i="24"/>
  <c r="E369" i="24"/>
  <c r="A369" i="24"/>
  <c r="Q368" i="24"/>
  <c r="M368" i="24"/>
  <c r="G368" i="24"/>
  <c r="C368" i="24"/>
  <c r="S367" i="24"/>
  <c r="O367" i="24"/>
  <c r="K367" i="24"/>
  <c r="E367" i="24"/>
  <c r="A367" i="24"/>
  <c r="Q366" i="24"/>
  <c r="M366" i="24"/>
  <c r="G366" i="24"/>
  <c r="C366" i="24"/>
  <c r="S365" i="24"/>
  <c r="O365" i="24"/>
  <c r="K365" i="24"/>
  <c r="E365" i="24"/>
  <c r="A365" i="24"/>
  <c r="Q364" i="24"/>
  <c r="M364" i="24"/>
  <c r="G364" i="24"/>
  <c r="C364" i="24"/>
  <c r="S363" i="24"/>
  <c r="O363" i="24"/>
  <c r="K363" i="24"/>
  <c r="E363" i="24"/>
  <c r="A363" i="24"/>
  <c r="Q362" i="24"/>
  <c r="M362" i="24"/>
  <c r="G362" i="24"/>
  <c r="C362" i="24"/>
  <c r="S361" i="24"/>
  <c r="O361" i="24"/>
  <c r="K361" i="24"/>
  <c r="E361" i="24"/>
  <c r="A361" i="24"/>
  <c r="Q360" i="24"/>
  <c r="M360" i="24"/>
  <c r="G360" i="24"/>
  <c r="C360" i="24"/>
  <c r="S359" i="24"/>
  <c r="O359" i="24"/>
  <c r="K359" i="24"/>
  <c r="E359" i="24"/>
  <c r="A359" i="24"/>
  <c r="Q358" i="24"/>
  <c r="M358" i="24"/>
  <c r="G358" i="24"/>
  <c r="C358" i="24"/>
  <c r="S357" i="24"/>
  <c r="O357" i="24"/>
  <c r="K357" i="24"/>
  <c r="E357" i="24"/>
  <c r="A357" i="24"/>
  <c r="Q356" i="24"/>
  <c r="M356" i="24"/>
  <c r="G356" i="24"/>
  <c r="C356" i="24"/>
  <c r="S355" i="24"/>
  <c r="O355" i="24"/>
  <c r="K355" i="24"/>
  <c r="E355" i="24"/>
  <c r="A355" i="24"/>
  <c r="Q354" i="24"/>
  <c r="M354" i="24"/>
  <c r="G354" i="24"/>
  <c r="C354" i="24"/>
  <c r="S353" i="24"/>
  <c r="O353" i="24"/>
  <c r="K353" i="24"/>
  <c r="E353" i="24"/>
  <c r="A353" i="24"/>
  <c r="Q352" i="24"/>
  <c r="M352" i="24"/>
  <c r="G352" i="24"/>
  <c r="C352" i="24"/>
  <c r="S351" i="24"/>
  <c r="O351" i="24"/>
  <c r="K351" i="24"/>
  <c r="E351" i="24"/>
  <c r="A351" i="24"/>
  <c r="Q350" i="24"/>
  <c r="M350" i="24"/>
  <c r="G350" i="24"/>
  <c r="C350" i="24"/>
  <c r="S349" i="24"/>
  <c r="O349" i="24"/>
  <c r="K349" i="24"/>
  <c r="E349" i="24"/>
  <c r="A349" i="24"/>
  <c r="Q348" i="24"/>
  <c r="M348" i="24"/>
  <c r="G348" i="24"/>
  <c r="C348" i="24"/>
  <c r="S347" i="24"/>
  <c r="O347" i="24"/>
  <c r="K347" i="24"/>
  <c r="E347" i="24"/>
  <c r="A347" i="24"/>
  <c r="Q346" i="24"/>
  <c r="M346" i="24"/>
  <c r="G346" i="24"/>
  <c r="C346" i="24"/>
  <c r="S345" i="24"/>
  <c r="O345" i="24"/>
  <c r="K345" i="24"/>
  <c r="E345" i="24"/>
  <c r="A345" i="24"/>
  <c r="Q344" i="24"/>
  <c r="M344" i="24"/>
  <c r="G344" i="24"/>
  <c r="C344" i="24"/>
  <c r="S343" i="24"/>
  <c r="O343" i="24"/>
  <c r="K343" i="24"/>
  <c r="E343" i="24"/>
  <c r="A343" i="24"/>
  <c r="Q342" i="24"/>
  <c r="M342" i="24"/>
  <c r="G342" i="24"/>
  <c r="C342" i="24"/>
  <c r="S341" i="24"/>
  <c r="O341" i="24"/>
  <c r="K341" i="24"/>
  <c r="E341" i="24"/>
  <c r="A341" i="24"/>
  <c r="Q340" i="24"/>
  <c r="M340" i="24"/>
  <c r="G340" i="24"/>
  <c r="C340" i="24"/>
  <c r="S339" i="24"/>
  <c r="O339" i="24"/>
  <c r="K339" i="24"/>
  <c r="E339" i="24"/>
  <c r="A339" i="24"/>
  <c r="Q338" i="24"/>
  <c r="M338" i="24"/>
  <c r="G338" i="24"/>
  <c r="C338" i="24"/>
  <c r="S337" i="24"/>
  <c r="O337" i="24"/>
  <c r="K337" i="24"/>
  <c r="E337" i="24"/>
  <c r="A337" i="24"/>
  <c r="Q336" i="24"/>
  <c r="M336" i="24"/>
  <c r="G336" i="24"/>
  <c r="C336" i="24"/>
  <c r="S335" i="24"/>
  <c r="O335" i="24"/>
  <c r="K335" i="24"/>
  <c r="E335" i="24"/>
  <c r="A335" i="24"/>
  <c r="Q334" i="24"/>
  <c r="M334" i="24"/>
  <c r="G334" i="24"/>
  <c r="C334" i="24"/>
  <c r="S333" i="24"/>
  <c r="O333" i="24"/>
  <c r="K333" i="24"/>
  <c r="E333" i="24"/>
  <c r="A333" i="24"/>
  <c r="Q332" i="24"/>
  <c r="M332" i="24"/>
  <c r="G332" i="24"/>
  <c r="C332" i="24"/>
  <c r="S331" i="24"/>
  <c r="O331" i="24"/>
  <c r="K331" i="24"/>
  <c r="E331" i="24"/>
  <c r="A331" i="24"/>
  <c r="Q330" i="24"/>
  <c r="M330" i="24"/>
  <c r="G330" i="24"/>
  <c r="C330" i="24"/>
  <c r="S329" i="24"/>
  <c r="O329" i="24"/>
  <c r="K329" i="24"/>
  <c r="E329" i="24"/>
  <c r="A329" i="24"/>
  <c r="Q328" i="24"/>
  <c r="M328" i="24"/>
  <c r="G328" i="24"/>
  <c r="C328" i="24"/>
  <c r="S327" i="24"/>
  <c r="O327" i="24"/>
  <c r="K327" i="24"/>
  <c r="E327" i="24"/>
  <c r="A327" i="24"/>
  <c r="Q326" i="24"/>
  <c r="M326" i="24"/>
  <c r="G326" i="24"/>
  <c r="C326" i="24"/>
  <c r="S325" i="24"/>
  <c r="O325" i="24"/>
  <c r="K325" i="24"/>
  <c r="E325" i="24"/>
  <c r="A325" i="24"/>
  <c r="Q324" i="24"/>
  <c r="M324" i="24"/>
  <c r="G324" i="24"/>
  <c r="C324" i="24"/>
  <c r="S323" i="24"/>
  <c r="O323" i="24"/>
  <c r="K323" i="24"/>
  <c r="E323" i="24"/>
  <c r="A323" i="24"/>
  <c r="Q322" i="24"/>
  <c r="M322" i="24"/>
  <c r="G322" i="24"/>
  <c r="C322" i="24"/>
  <c r="S321" i="24"/>
  <c r="O321" i="24"/>
  <c r="K321" i="24"/>
  <c r="E321" i="24"/>
  <c r="A321" i="24"/>
  <c r="Q320" i="24"/>
  <c r="M320" i="24"/>
  <c r="G320" i="24"/>
  <c r="C320" i="24"/>
  <c r="S319" i="24"/>
  <c r="O319" i="24"/>
  <c r="K319" i="24"/>
  <c r="E319" i="24"/>
  <c r="A319" i="24"/>
  <c r="Q318" i="24"/>
  <c r="M318" i="24"/>
  <c r="G318" i="24"/>
  <c r="C318" i="24"/>
  <c r="S317" i="24"/>
  <c r="O317" i="24"/>
  <c r="K317" i="24"/>
  <c r="E317" i="24"/>
  <c r="A317" i="24"/>
  <c r="Q316" i="24"/>
  <c r="M316" i="24"/>
  <c r="G316" i="24"/>
  <c r="C316" i="24"/>
  <c r="S315" i="24"/>
  <c r="O315" i="24"/>
  <c r="K315" i="24"/>
  <c r="E315" i="24"/>
  <c r="A315" i="24"/>
  <c r="Q314" i="24"/>
  <c r="M314" i="24"/>
  <c r="G314" i="24"/>
  <c r="C314" i="24"/>
  <c r="S313" i="24"/>
  <c r="O313" i="24"/>
  <c r="K313" i="24"/>
  <c r="E313" i="24"/>
  <c r="A313" i="24"/>
  <c r="Q312" i="24"/>
  <c r="M312" i="24"/>
  <c r="G312" i="24"/>
  <c r="C312" i="24"/>
  <c r="S311" i="24"/>
  <c r="O311" i="24"/>
  <c r="K311" i="24"/>
  <c r="E311" i="24"/>
  <c r="A311" i="24"/>
  <c r="Q310" i="24"/>
  <c r="M310" i="24"/>
  <c r="G310" i="24"/>
  <c r="C310" i="24"/>
  <c r="S309" i="24"/>
  <c r="O309" i="24"/>
  <c r="K309" i="24"/>
  <c r="E309" i="24"/>
  <c r="A309" i="24"/>
  <c r="Q308" i="24"/>
  <c r="M308" i="24"/>
  <c r="G308" i="24"/>
  <c r="C308" i="24"/>
  <c r="S307" i="24"/>
  <c r="O307" i="24"/>
  <c r="K307" i="24"/>
  <c r="E307" i="24"/>
  <c r="A307" i="24"/>
  <c r="Q306" i="24"/>
  <c r="M306" i="24"/>
  <c r="G306" i="24"/>
  <c r="C306" i="24"/>
  <c r="S305" i="24"/>
  <c r="O305" i="24"/>
  <c r="K305" i="24"/>
  <c r="E305" i="24"/>
  <c r="A305" i="24"/>
  <c r="Q304" i="24"/>
  <c r="M304" i="24"/>
  <c r="G304" i="24"/>
  <c r="C304" i="24"/>
  <c r="S303" i="24"/>
  <c r="O303" i="24"/>
  <c r="K303" i="24"/>
  <c r="E303" i="24"/>
  <c r="A303" i="24"/>
  <c r="Q302" i="24"/>
  <c r="M302" i="24"/>
  <c r="G302" i="24"/>
  <c r="C302" i="24"/>
  <c r="S301" i="24"/>
  <c r="O301" i="24"/>
  <c r="K301" i="24"/>
  <c r="E301" i="24"/>
  <c r="A301" i="24"/>
  <c r="Q300" i="24"/>
  <c r="M300" i="24"/>
  <c r="G300" i="24"/>
  <c r="C300" i="24"/>
  <c r="S299" i="24"/>
  <c r="O299" i="24"/>
  <c r="K299" i="24"/>
  <c r="E299" i="24"/>
  <c r="A299" i="24"/>
  <c r="Q298" i="24"/>
  <c r="M298" i="24"/>
  <c r="G298" i="24"/>
  <c r="C298" i="24"/>
  <c r="S297" i="24"/>
  <c r="O297" i="24"/>
  <c r="K297" i="24"/>
  <c r="E297" i="24"/>
  <c r="A297" i="24"/>
  <c r="Q296" i="24"/>
  <c r="M296" i="24"/>
  <c r="G296" i="24"/>
  <c r="C296" i="24"/>
  <c r="S295" i="24"/>
  <c r="O295" i="24"/>
  <c r="K295" i="24"/>
  <c r="E295" i="24"/>
  <c r="A295" i="24"/>
  <c r="Q294" i="24"/>
  <c r="M294" i="24"/>
  <c r="G294" i="24"/>
  <c r="C294" i="24"/>
  <c r="S293" i="24"/>
  <c r="O293" i="24"/>
  <c r="K293" i="24"/>
  <c r="E293" i="24"/>
  <c r="A293" i="24"/>
  <c r="Q292" i="24"/>
  <c r="M292" i="24"/>
  <c r="G292" i="24"/>
  <c r="C292" i="24"/>
  <c r="S291" i="24"/>
  <c r="O291" i="24"/>
  <c r="K291" i="24"/>
  <c r="E291" i="24"/>
  <c r="A291" i="24"/>
  <c r="Q290" i="24"/>
  <c r="M290" i="24"/>
  <c r="G290" i="24"/>
  <c r="C290" i="24"/>
  <c r="S289" i="24"/>
  <c r="O289" i="24"/>
  <c r="K289" i="24"/>
  <c r="E289" i="24"/>
  <c r="A289" i="24"/>
  <c r="Q288" i="24"/>
  <c r="M288" i="24"/>
  <c r="G288" i="24"/>
  <c r="C288" i="24"/>
  <c r="S287" i="24"/>
  <c r="O287" i="24"/>
  <c r="K287" i="24"/>
  <c r="E287" i="24"/>
  <c r="A287" i="24"/>
  <c r="Q286" i="24"/>
  <c r="M286" i="24"/>
  <c r="G286" i="24"/>
  <c r="C286" i="24"/>
  <c r="S285" i="24"/>
  <c r="O285" i="24"/>
  <c r="K285" i="24"/>
  <c r="E285" i="24"/>
  <c r="A285" i="24"/>
  <c r="Q284" i="24"/>
  <c r="M284" i="24"/>
  <c r="G284" i="24"/>
  <c r="C284" i="24"/>
  <c r="S283" i="24"/>
  <c r="O283" i="24"/>
  <c r="K283" i="24"/>
  <c r="E283" i="24"/>
  <c r="A283" i="24"/>
  <c r="Q282" i="24"/>
  <c r="M282" i="24"/>
  <c r="G282" i="24"/>
  <c r="C282" i="24"/>
  <c r="S281" i="24"/>
  <c r="O281" i="24"/>
  <c r="K281" i="24"/>
  <c r="E281" i="24"/>
  <c r="A281" i="24"/>
  <c r="Q280" i="24"/>
  <c r="M280" i="24"/>
  <c r="G280" i="24"/>
  <c r="C280" i="24"/>
  <c r="S279" i="24"/>
  <c r="O279" i="24"/>
  <c r="K279" i="24"/>
  <c r="E279" i="24"/>
  <c r="A279" i="24"/>
  <c r="Q278" i="24"/>
  <c r="M278" i="24"/>
  <c r="G278" i="24"/>
  <c r="C278" i="24"/>
  <c r="S277" i="24"/>
  <c r="O277" i="24"/>
  <c r="K277" i="24"/>
  <c r="E277" i="24"/>
  <c r="A277" i="24"/>
  <c r="Q276" i="24"/>
  <c r="M276" i="24"/>
  <c r="G276" i="24"/>
  <c r="C276" i="24"/>
  <c r="S275" i="24"/>
  <c r="O275" i="24"/>
  <c r="K275" i="24"/>
  <c r="E275" i="24"/>
  <c r="A275" i="24"/>
  <c r="Q274" i="24"/>
  <c r="M274" i="24"/>
  <c r="G274" i="24"/>
  <c r="C274" i="24"/>
  <c r="S273" i="24"/>
  <c r="O273" i="24"/>
  <c r="K273" i="24"/>
  <c r="E273" i="24"/>
  <c r="A273" i="24"/>
  <c r="Q272" i="24"/>
  <c r="M272" i="24"/>
  <c r="G272" i="24"/>
  <c r="C272" i="24"/>
  <c r="S271" i="24"/>
  <c r="O271" i="24"/>
  <c r="K271" i="24"/>
  <c r="E271" i="24"/>
  <c r="A271" i="24"/>
  <c r="Q270" i="24"/>
  <c r="M270" i="24"/>
  <c r="G270" i="24"/>
  <c r="C270" i="24"/>
  <c r="S269" i="24"/>
  <c r="O269" i="24"/>
  <c r="K269" i="24"/>
  <c r="E269" i="24"/>
  <c r="A269" i="24"/>
  <c r="Q268" i="24"/>
  <c r="M268" i="24"/>
  <c r="G268" i="24"/>
  <c r="C268" i="24"/>
  <c r="S267" i="24"/>
  <c r="O267" i="24"/>
  <c r="K267" i="24"/>
  <c r="E267" i="24"/>
  <c r="A267" i="24"/>
  <c r="Q266" i="24"/>
  <c r="M266" i="24"/>
  <c r="G266" i="24"/>
  <c r="C266" i="24"/>
  <c r="S265" i="24"/>
  <c r="O265" i="24"/>
  <c r="K265" i="24"/>
  <c r="E265" i="24"/>
  <c r="A265" i="24"/>
  <c r="Q264" i="24"/>
  <c r="M264" i="24"/>
  <c r="G264" i="24"/>
  <c r="C264" i="24"/>
  <c r="S263" i="24"/>
  <c r="O263" i="24"/>
  <c r="K263" i="24"/>
  <c r="E263" i="24"/>
  <c r="A263" i="24"/>
  <c r="Q262" i="24"/>
  <c r="M262" i="24"/>
  <c r="G262" i="24"/>
  <c r="C262" i="24"/>
  <c r="S261" i="24"/>
  <c r="O261" i="24"/>
  <c r="K261" i="24"/>
  <c r="E261" i="24"/>
  <c r="A261" i="24"/>
  <c r="Q260" i="24"/>
  <c r="M260" i="24"/>
  <c r="G260" i="24"/>
  <c r="C260" i="24"/>
  <c r="S259" i="24"/>
  <c r="O259" i="24"/>
  <c r="K259" i="24"/>
  <c r="E259" i="24"/>
  <c r="A259" i="24"/>
  <c r="Q258" i="24"/>
  <c r="M258" i="24"/>
  <c r="G258" i="24"/>
  <c r="C258" i="24"/>
  <c r="S257" i="24"/>
  <c r="O257" i="24"/>
  <c r="K257" i="24"/>
  <c r="E257" i="24"/>
  <c r="A257" i="24"/>
  <c r="Q256" i="24"/>
  <c r="M256" i="24"/>
  <c r="G256" i="24"/>
  <c r="C256" i="24"/>
  <c r="S255" i="24"/>
  <c r="O255" i="24"/>
  <c r="K255" i="24"/>
  <c r="E255" i="24"/>
  <c r="A255" i="24"/>
  <c r="Q254" i="24"/>
  <c r="M254" i="24"/>
  <c r="G254" i="24"/>
  <c r="C254" i="24"/>
  <c r="S253" i="24"/>
  <c r="O253" i="24"/>
  <c r="K253" i="24"/>
  <c r="E253" i="24"/>
  <c r="A253" i="24"/>
  <c r="Q252" i="24"/>
  <c r="M252" i="24"/>
  <c r="G252" i="24"/>
  <c r="C252" i="24"/>
  <c r="S251" i="24"/>
  <c r="O251" i="24"/>
  <c r="K251" i="24"/>
  <c r="E251" i="24"/>
  <c r="A251" i="24"/>
  <c r="Q250" i="24"/>
  <c r="M250" i="24"/>
  <c r="G250" i="24"/>
  <c r="C250" i="24"/>
  <c r="S249" i="24"/>
  <c r="O249" i="24"/>
  <c r="K249" i="24"/>
  <c r="E249" i="24"/>
  <c r="A249" i="24"/>
  <c r="Q248" i="24"/>
  <c r="M248" i="24"/>
  <c r="G248" i="24"/>
  <c r="C248" i="24"/>
  <c r="S247" i="24"/>
  <c r="O247" i="24"/>
  <c r="K247" i="24"/>
  <c r="E247" i="24"/>
  <c r="A247" i="24"/>
  <c r="Q246" i="24"/>
  <c r="M246" i="24"/>
  <c r="G246" i="24"/>
  <c r="C246" i="24"/>
  <c r="S245" i="24"/>
  <c r="O245" i="24"/>
  <c r="K245" i="24"/>
  <c r="E245" i="24"/>
  <c r="A245" i="24"/>
  <c r="Q244" i="24"/>
  <c r="M244" i="24"/>
  <c r="G244" i="24"/>
  <c r="C244" i="24"/>
  <c r="S243" i="24"/>
  <c r="O243" i="24"/>
  <c r="K243" i="24"/>
  <c r="E243" i="24"/>
  <c r="A243" i="24"/>
  <c r="Q242" i="24"/>
  <c r="M242" i="24"/>
  <c r="G242" i="24"/>
  <c r="C242" i="24"/>
  <c r="S241" i="24"/>
  <c r="O241" i="24"/>
  <c r="K241" i="24"/>
  <c r="E241" i="24"/>
  <c r="A241" i="24"/>
  <c r="Q240" i="24"/>
  <c r="M240" i="24"/>
  <c r="G240" i="24"/>
  <c r="C240" i="24"/>
  <c r="S239" i="24"/>
  <c r="O239" i="24"/>
  <c r="K239" i="24"/>
  <c r="E239" i="24"/>
  <c r="A239" i="24"/>
  <c r="Q238" i="24"/>
  <c r="M238" i="24"/>
  <c r="G238" i="24"/>
  <c r="C238" i="24"/>
  <c r="S237" i="24"/>
  <c r="O237" i="24"/>
  <c r="K237" i="24"/>
  <c r="E237" i="24"/>
  <c r="A237" i="24"/>
  <c r="Q236" i="24"/>
  <c r="M236" i="24"/>
  <c r="G236" i="24"/>
  <c r="C236" i="24"/>
  <c r="S235" i="24"/>
  <c r="O235" i="24"/>
  <c r="K235" i="24"/>
  <c r="E235" i="24"/>
  <c r="A235" i="24"/>
  <c r="Q234" i="24"/>
  <c r="M234" i="24"/>
  <c r="G234" i="24"/>
  <c r="C234" i="24"/>
  <c r="S233" i="24"/>
  <c r="O233" i="24"/>
  <c r="K233" i="24"/>
  <c r="E233" i="24"/>
  <c r="A233" i="24"/>
  <c r="Q232" i="24"/>
  <c r="M232" i="24"/>
  <c r="G232" i="24"/>
  <c r="C232" i="24"/>
  <c r="S231" i="24"/>
  <c r="O231" i="24"/>
  <c r="K231" i="24"/>
  <c r="E231" i="24"/>
  <c r="A231" i="24"/>
  <c r="Q230" i="24"/>
  <c r="M230" i="24"/>
  <c r="G230" i="24"/>
  <c r="C230" i="24"/>
  <c r="S229" i="24"/>
  <c r="O229" i="24"/>
  <c r="K229" i="24"/>
  <c r="E229" i="24"/>
  <c r="A229" i="24"/>
  <c r="Q228" i="24"/>
  <c r="M228" i="24"/>
  <c r="G228" i="24"/>
  <c r="C228" i="24"/>
  <c r="S227" i="24"/>
  <c r="O227" i="24"/>
  <c r="K227" i="24"/>
  <c r="E227" i="24"/>
  <c r="A227" i="24"/>
  <c r="Q226" i="24"/>
  <c r="M226" i="24"/>
  <c r="G226" i="24"/>
  <c r="C226" i="24"/>
  <c r="S225" i="24"/>
  <c r="O225" i="24"/>
  <c r="K225" i="24"/>
  <c r="E225" i="24"/>
  <c r="A225" i="24"/>
  <c r="Q224" i="24"/>
  <c r="M224" i="24"/>
  <c r="G224" i="24"/>
  <c r="C224" i="24"/>
  <c r="S223" i="24"/>
  <c r="O223" i="24"/>
  <c r="K223" i="24"/>
  <c r="E223" i="24"/>
  <c r="A223" i="24"/>
  <c r="Q222" i="24"/>
  <c r="M222" i="24"/>
  <c r="G222" i="24"/>
  <c r="C222" i="24"/>
  <c r="S221" i="24"/>
  <c r="O221" i="24"/>
  <c r="K221" i="24"/>
  <c r="E221" i="24"/>
  <c r="A221" i="24"/>
  <c r="Q220" i="24"/>
  <c r="M220" i="24"/>
  <c r="G220" i="24"/>
  <c r="C220" i="24"/>
  <c r="S219" i="24"/>
  <c r="O219" i="24"/>
  <c r="K219" i="24"/>
  <c r="E219" i="24"/>
  <c r="A219" i="24"/>
  <c r="Q218" i="24"/>
  <c r="M218" i="24"/>
  <c r="G218" i="24"/>
  <c r="C218" i="24"/>
  <c r="S217" i="24"/>
  <c r="O217" i="24"/>
  <c r="K217" i="24"/>
  <c r="E217" i="24"/>
  <c r="A217" i="24"/>
  <c r="Q216" i="24"/>
  <c r="M216" i="24"/>
  <c r="G216" i="24"/>
  <c r="C216" i="24"/>
  <c r="S215" i="24"/>
  <c r="O215" i="24"/>
  <c r="K215" i="24"/>
  <c r="E215" i="24"/>
  <c r="A215" i="24"/>
  <c r="Q214" i="24"/>
  <c r="M214" i="24"/>
  <c r="G214" i="24"/>
  <c r="C214" i="24"/>
  <c r="S213" i="24"/>
  <c r="O213" i="24"/>
  <c r="K213" i="24"/>
  <c r="E213" i="24"/>
  <c r="A213" i="24"/>
  <c r="Q212" i="24"/>
  <c r="M212" i="24"/>
  <c r="G212" i="24"/>
  <c r="C212" i="24"/>
  <c r="S211" i="24"/>
  <c r="O211" i="24"/>
  <c r="K211" i="24"/>
  <c r="E211" i="24"/>
  <c r="A211" i="24"/>
  <c r="Q210" i="24"/>
  <c r="M210" i="24"/>
  <c r="G210" i="24"/>
  <c r="C210" i="24"/>
  <c r="S209" i="24"/>
  <c r="O209" i="24"/>
  <c r="K209" i="24"/>
  <c r="E209" i="24"/>
  <c r="A209" i="24"/>
  <c r="Q208" i="24"/>
  <c r="M208" i="24"/>
  <c r="G208" i="24"/>
  <c r="C208" i="24"/>
  <c r="S207" i="24"/>
  <c r="O207" i="24"/>
  <c r="K207" i="24"/>
  <c r="E207" i="24"/>
  <c r="A207" i="24"/>
  <c r="Q206" i="24"/>
  <c r="M206" i="24"/>
  <c r="G206" i="24"/>
  <c r="C206" i="24"/>
  <c r="S205" i="24"/>
  <c r="O205" i="24"/>
  <c r="K205" i="24"/>
  <c r="E205" i="24"/>
  <c r="A205" i="24"/>
  <c r="Q204" i="24"/>
  <c r="M204" i="24"/>
  <c r="G204" i="24"/>
  <c r="C204" i="24"/>
  <c r="S203" i="24"/>
  <c r="O203" i="24"/>
  <c r="K203" i="24"/>
  <c r="E203" i="24"/>
  <c r="A203" i="24"/>
  <c r="Q202" i="24"/>
  <c r="M202" i="24"/>
  <c r="G202" i="24"/>
  <c r="C202" i="24"/>
  <c r="S201" i="24"/>
  <c r="O201" i="24"/>
  <c r="K201" i="24"/>
  <c r="E201" i="24"/>
  <c r="A201" i="24"/>
  <c r="Q200" i="24"/>
  <c r="M200" i="24"/>
  <c r="G200" i="24"/>
  <c r="C200" i="24"/>
  <c r="S199" i="24"/>
  <c r="O199" i="24"/>
  <c r="K199" i="24"/>
  <c r="E199" i="24"/>
  <c r="A199" i="24"/>
  <c r="Q198" i="24"/>
  <c r="M198" i="24"/>
  <c r="G198" i="24"/>
  <c r="C198" i="24"/>
  <c r="S197" i="24"/>
  <c r="O197" i="24"/>
  <c r="K197" i="24"/>
  <c r="G197" i="24"/>
  <c r="C197" i="24"/>
  <c r="S196" i="24"/>
  <c r="O196" i="24"/>
  <c r="K196" i="24"/>
  <c r="G196" i="24"/>
  <c r="C196" i="24"/>
  <c r="S195" i="24"/>
  <c r="O195" i="24"/>
  <c r="K195" i="24"/>
  <c r="G195" i="24"/>
  <c r="C195" i="24"/>
  <c r="S194" i="24"/>
  <c r="O194" i="24"/>
  <c r="K194" i="24"/>
  <c r="G194" i="24"/>
  <c r="C194" i="24"/>
  <c r="S193" i="24"/>
  <c r="O193" i="24"/>
  <c r="K193" i="24"/>
  <c r="G193" i="24"/>
  <c r="C193" i="24"/>
  <c r="S192" i="24"/>
  <c r="O192" i="24"/>
  <c r="K192" i="24"/>
  <c r="G192" i="24"/>
  <c r="C192" i="24"/>
  <c r="S191" i="24"/>
  <c r="O191" i="24"/>
  <c r="K191" i="24"/>
  <c r="G191" i="24"/>
  <c r="C191" i="24"/>
  <c r="S190" i="24"/>
  <c r="O190" i="24"/>
  <c r="K190" i="24"/>
  <c r="G190" i="24"/>
  <c r="C190" i="24"/>
  <c r="S189" i="24"/>
  <c r="O189" i="24"/>
  <c r="K189" i="24"/>
  <c r="G189" i="24"/>
  <c r="C189" i="24"/>
  <c r="S188" i="24"/>
  <c r="O188" i="24"/>
  <c r="K188" i="24"/>
  <c r="G188" i="24"/>
  <c r="C188" i="24"/>
  <c r="S187" i="24"/>
  <c r="O187" i="24"/>
  <c r="K187" i="24"/>
  <c r="G187" i="24"/>
  <c r="C187" i="24"/>
  <c r="S186" i="24"/>
  <c r="O186" i="24"/>
  <c r="K186" i="24"/>
  <c r="G186" i="24"/>
  <c r="C186" i="24"/>
  <c r="S185" i="24"/>
  <c r="O185" i="24"/>
  <c r="K185" i="24"/>
  <c r="G185" i="24"/>
  <c r="C185" i="24"/>
  <c r="S184" i="24"/>
  <c r="O184" i="24"/>
  <c r="K184" i="24"/>
  <c r="G184" i="24"/>
  <c r="C184" i="24"/>
  <c r="S183" i="24"/>
  <c r="O183" i="24"/>
  <c r="K183" i="24"/>
  <c r="G183" i="24"/>
  <c r="C183" i="24"/>
  <c r="S182" i="24"/>
  <c r="O182" i="24"/>
  <c r="K182" i="24"/>
  <c r="G182" i="24"/>
  <c r="C182" i="24"/>
  <c r="S181" i="24"/>
  <c r="O181" i="24"/>
  <c r="K181" i="24"/>
  <c r="G181" i="24"/>
  <c r="C181" i="24"/>
  <c r="S180" i="24"/>
  <c r="O180" i="24"/>
  <c r="K180" i="24"/>
  <c r="G180" i="24"/>
  <c r="C180" i="24"/>
  <c r="S179" i="24"/>
  <c r="O179" i="24"/>
  <c r="K179" i="24"/>
  <c r="G179" i="24"/>
  <c r="C179" i="24"/>
  <c r="S178" i="24"/>
  <c r="O178" i="24"/>
  <c r="K178" i="24"/>
  <c r="G178" i="24"/>
  <c r="C178" i="24"/>
  <c r="S177" i="24"/>
  <c r="O177" i="24"/>
  <c r="K177" i="24"/>
  <c r="G177" i="24"/>
  <c r="C177" i="24"/>
  <c r="S176" i="24"/>
  <c r="O176" i="24"/>
  <c r="K176" i="24"/>
  <c r="G176" i="24"/>
  <c r="C176" i="24"/>
  <c r="S175" i="24"/>
  <c r="O175" i="24"/>
  <c r="K175" i="24"/>
  <c r="G175" i="24"/>
  <c r="C175" i="24"/>
  <c r="S174" i="24"/>
  <c r="O174" i="24"/>
  <c r="K174" i="24"/>
  <c r="G174" i="24"/>
  <c r="C174" i="24"/>
  <c r="S173" i="24"/>
  <c r="O173" i="24"/>
  <c r="K173" i="24"/>
  <c r="G173" i="24"/>
  <c r="C173" i="24"/>
  <c r="S172" i="24"/>
  <c r="O172" i="24"/>
  <c r="K172" i="24"/>
  <c r="G172" i="24"/>
  <c r="C172" i="24"/>
  <c r="S171" i="24"/>
  <c r="O171" i="24"/>
  <c r="K171" i="24"/>
  <c r="G171" i="24"/>
  <c r="C171" i="24"/>
  <c r="S170" i="24"/>
  <c r="O170" i="24"/>
  <c r="K170" i="24"/>
  <c r="G170" i="24"/>
  <c r="C170" i="24"/>
  <c r="S169" i="24"/>
  <c r="O169" i="24"/>
  <c r="K169" i="24"/>
  <c r="G169" i="24"/>
  <c r="C169" i="24"/>
  <c r="S168" i="24"/>
  <c r="O168" i="24"/>
  <c r="K168" i="24"/>
  <c r="G168" i="24"/>
  <c r="C168" i="24"/>
  <c r="S167" i="24"/>
  <c r="O167" i="24"/>
  <c r="K167" i="24"/>
  <c r="G167" i="24"/>
  <c r="C167" i="24"/>
  <c r="S166" i="24"/>
  <c r="O166" i="24"/>
  <c r="K166" i="24"/>
  <c r="G166" i="24"/>
  <c r="C166" i="24"/>
  <c r="S165" i="24"/>
  <c r="O165" i="24"/>
  <c r="K165" i="24"/>
  <c r="G165" i="24"/>
  <c r="C165" i="24"/>
  <c r="S164" i="24"/>
  <c r="O164" i="24"/>
  <c r="K164" i="24"/>
  <c r="G164" i="24"/>
  <c r="C164" i="24"/>
  <c r="S163" i="24"/>
  <c r="O163" i="24"/>
  <c r="K163" i="24"/>
  <c r="G163" i="24"/>
  <c r="C163" i="24"/>
  <c r="S162" i="24"/>
  <c r="O162" i="24"/>
  <c r="K162" i="24"/>
  <c r="G162" i="24"/>
  <c r="C162" i="24"/>
  <c r="S161" i="24"/>
  <c r="O161" i="24"/>
  <c r="K161" i="24"/>
  <c r="G161" i="24"/>
  <c r="C161" i="24"/>
  <c r="S160" i="24"/>
  <c r="O160" i="24"/>
  <c r="K160" i="24"/>
  <c r="G160" i="24"/>
  <c r="C160" i="24"/>
  <c r="S159" i="24"/>
  <c r="O159" i="24"/>
  <c r="K159" i="24"/>
  <c r="G159" i="24"/>
  <c r="C159" i="24"/>
  <c r="S158" i="24"/>
  <c r="O158" i="24"/>
  <c r="K158" i="24"/>
  <c r="G158" i="24"/>
  <c r="C158" i="24"/>
  <c r="S157" i="24"/>
  <c r="O157" i="24"/>
  <c r="K157" i="24"/>
  <c r="G157" i="24"/>
  <c r="C157" i="24"/>
  <c r="S156" i="24"/>
  <c r="O156" i="24"/>
  <c r="K156" i="24"/>
  <c r="G156" i="24"/>
  <c r="C156" i="24"/>
  <c r="S155" i="24"/>
  <c r="O155" i="24"/>
  <c r="K155" i="24"/>
  <c r="G155" i="24"/>
  <c r="C155" i="24"/>
  <c r="S154" i="24"/>
  <c r="O154" i="24"/>
  <c r="K154" i="24"/>
  <c r="G154" i="24"/>
  <c r="C154" i="24"/>
  <c r="S153" i="24"/>
  <c r="O153" i="24"/>
  <c r="K153" i="24"/>
  <c r="G153" i="24"/>
  <c r="C153" i="24"/>
  <c r="S152" i="24"/>
  <c r="O152" i="24"/>
  <c r="K152" i="24"/>
  <c r="G152" i="24"/>
  <c r="C152" i="24"/>
  <c r="S151" i="24"/>
  <c r="O151" i="24"/>
  <c r="K151" i="24"/>
  <c r="G151" i="24"/>
  <c r="C151" i="24"/>
  <c r="S150" i="24"/>
  <c r="O150" i="24"/>
  <c r="K150" i="24"/>
  <c r="G150" i="24"/>
  <c r="C150" i="24"/>
  <c r="S149" i="24"/>
  <c r="O149" i="24"/>
  <c r="K149" i="24"/>
  <c r="G149" i="24"/>
  <c r="C149" i="24"/>
  <c r="S148" i="24"/>
  <c r="O148" i="24"/>
  <c r="K148" i="24"/>
  <c r="G148" i="24"/>
  <c r="C148" i="24"/>
  <c r="S147" i="24"/>
  <c r="O147" i="24"/>
  <c r="K147" i="24"/>
  <c r="G147" i="24"/>
  <c r="C147" i="24"/>
  <c r="S146" i="24"/>
  <c r="O146" i="24"/>
  <c r="K146" i="24"/>
  <c r="G146" i="24"/>
  <c r="C146" i="24"/>
  <c r="S145" i="24"/>
  <c r="O145" i="24"/>
  <c r="K145" i="24"/>
  <c r="G145" i="24"/>
  <c r="C145" i="24"/>
  <c r="S144" i="24"/>
  <c r="O144" i="24"/>
  <c r="K144" i="24"/>
  <c r="G144" i="24"/>
  <c r="C144" i="24"/>
  <c r="S143" i="24"/>
  <c r="O143" i="24"/>
  <c r="K143" i="24"/>
  <c r="G143" i="24"/>
  <c r="C143" i="24"/>
  <c r="S142" i="24"/>
  <c r="O142" i="24"/>
  <c r="K142" i="24"/>
  <c r="G142" i="24"/>
  <c r="C142" i="24"/>
  <c r="S141" i="24"/>
  <c r="O141" i="24"/>
  <c r="K141" i="24"/>
  <c r="G141" i="24"/>
  <c r="C141" i="24"/>
  <c r="S140" i="24"/>
  <c r="O140" i="24"/>
  <c r="K140" i="24"/>
  <c r="G140" i="24"/>
  <c r="C140" i="24"/>
  <c r="S139" i="24"/>
  <c r="O139" i="24"/>
  <c r="K139" i="24"/>
  <c r="G139" i="24"/>
  <c r="C139" i="24"/>
  <c r="S138" i="24"/>
  <c r="O138" i="24"/>
  <c r="K138" i="24"/>
  <c r="G138" i="24"/>
  <c r="C138" i="24"/>
  <c r="S137" i="24"/>
  <c r="O137" i="24"/>
  <c r="K137" i="24"/>
  <c r="G137" i="24"/>
  <c r="C137" i="24"/>
  <c r="S136" i="24"/>
  <c r="O136" i="24"/>
  <c r="K136" i="24"/>
  <c r="G136" i="24"/>
  <c r="C136" i="24"/>
  <c r="S135" i="24"/>
  <c r="O135" i="24"/>
  <c r="K135" i="24"/>
  <c r="G135" i="24"/>
  <c r="C135" i="24"/>
  <c r="S134" i="24"/>
  <c r="O134" i="24"/>
  <c r="K134" i="24"/>
  <c r="G134" i="24"/>
  <c r="C134" i="24"/>
  <c r="S133" i="24"/>
  <c r="O133" i="24"/>
  <c r="K133" i="24"/>
  <c r="G133" i="24"/>
  <c r="C133" i="24"/>
  <c r="S132" i="24"/>
  <c r="O132" i="24"/>
  <c r="K132" i="24"/>
  <c r="G132" i="24"/>
  <c r="C132" i="24"/>
  <c r="S131" i="24"/>
  <c r="O131" i="24"/>
  <c r="K131" i="24"/>
  <c r="G131" i="24"/>
  <c r="C131" i="24"/>
  <c r="S130" i="24"/>
  <c r="O130" i="24"/>
  <c r="K130" i="24"/>
  <c r="G130" i="24"/>
  <c r="C130" i="24"/>
  <c r="S129" i="24"/>
  <c r="O129" i="24"/>
  <c r="K129" i="24"/>
  <c r="G129" i="24"/>
  <c r="C129" i="24"/>
  <c r="S128" i="24"/>
  <c r="O128" i="24"/>
  <c r="K128" i="24"/>
  <c r="G128" i="24"/>
  <c r="C128" i="24"/>
  <c r="S127" i="24"/>
  <c r="O127" i="24"/>
  <c r="K127" i="24"/>
  <c r="G127" i="24"/>
  <c r="C127" i="24"/>
  <c r="S126" i="24"/>
  <c r="O126" i="24"/>
  <c r="K126" i="24"/>
  <c r="G126" i="24"/>
  <c r="C126" i="24"/>
  <c r="S125" i="24"/>
  <c r="O125" i="24"/>
  <c r="K125" i="24"/>
  <c r="G125" i="24"/>
  <c r="C125" i="24"/>
  <c r="S124" i="24"/>
  <c r="O124" i="24"/>
  <c r="K124" i="24"/>
  <c r="G124" i="24"/>
  <c r="C124" i="24"/>
  <c r="S123" i="24"/>
  <c r="O123" i="24"/>
  <c r="K123" i="24"/>
  <c r="G123" i="24"/>
  <c r="C123" i="24"/>
  <c r="S122" i="24"/>
  <c r="O122" i="24"/>
  <c r="K122" i="24"/>
  <c r="G122" i="24"/>
  <c r="C122" i="24"/>
  <c r="S121" i="24"/>
  <c r="O121" i="24"/>
  <c r="K121" i="24"/>
  <c r="G121" i="24"/>
  <c r="C121" i="24"/>
  <c r="S120" i="24"/>
  <c r="O120" i="24"/>
  <c r="K120" i="24"/>
  <c r="G120" i="24"/>
  <c r="C120" i="24"/>
  <c r="S119" i="24"/>
  <c r="O119" i="24"/>
  <c r="K119" i="24"/>
  <c r="G119" i="24"/>
  <c r="C119" i="24"/>
  <c r="S118" i="24"/>
  <c r="O118" i="24"/>
  <c r="K118" i="24"/>
  <c r="G118" i="24"/>
  <c r="C118" i="24"/>
  <c r="S117" i="24"/>
  <c r="O117" i="24"/>
  <c r="K117" i="24"/>
  <c r="G117" i="24"/>
  <c r="C117" i="24"/>
  <c r="S116" i="24"/>
  <c r="O116" i="24"/>
  <c r="K116" i="24"/>
  <c r="G116" i="24"/>
  <c r="C116" i="24"/>
  <c r="S115" i="24"/>
  <c r="O115" i="24"/>
  <c r="K115" i="24"/>
  <c r="G115" i="24"/>
  <c r="C115" i="24"/>
  <c r="S114" i="24"/>
  <c r="O114" i="24"/>
  <c r="K114" i="24"/>
  <c r="G114" i="24"/>
  <c r="C114" i="24"/>
  <c r="S113" i="24"/>
  <c r="O113" i="24"/>
  <c r="K113" i="24"/>
  <c r="G113" i="24"/>
  <c r="C113" i="24"/>
  <c r="S112" i="24"/>
  <c r="O112" i="24"/>
  <c r="K112" i="24"/>
  <c r="G112" i="24"/>
  <c r="C112" i="24"/>
  <c r="S111" i="24"/>
  <c r="O111" i="24"/>
  <c r="K111" i="24"/>
  <c r="G111" i="24"/>
  <c r="C111" i="24"/>
  <c r="S110" i="24"/>
  <c r="O110" i="24"/>
  <c r="K110" i="24"/>
  <c r="G110" i="24"/>
  <c r="C110" i="24"/>
  <c r="S109" i="24"/>
  <c r="O109" i="24"/>
  <c r="K109" i="24"/>
  <c r="G109" i="24"/>
  <c r="C109" i="24"/>
  <c r="S108" i="24"/>
  <c r="O108" i="24"/>
  <c r="K108" i="24"/>
  <c r="G108" i="24"/>
  <c r="C108" i="24"/>
  <c r="S107" i="24"/>
  <c r="O107" i="24"/>
  <c r="K107" i="24"/>
  <c r="G107" i="24"/>
  <c r="C107" i="24"/>
  <c r="S106" i="24"/>
  <c r="O106" i="24"/>
  <c r="K106" i="24"/>
  <c r="G106" i="24"/>
  <c r="C106" i="24"/>
  <c r="S105" i="24"/>
  <c r="O105" i="24"/>
  <c r="K105" i="24"/>
  <c r="G105" i="24"/>
  <c r="C105" i="24"/>
  <c r="S104" i="24"/>
  <c r="O104" i="24"/>
  <c r="K104" i="24"/>
  <c r="G104" i="24"/>
  <c r="C104" i="24"/>
  <c r="S103" i="24"/>
  <c r="O103" i="24"/>
  <c r="K103" i="24"/>
  <c r="G103" i="24"/>
  <c r="C103" i="24"/>
  <c r="S102" i="24"/>
  <c r="O102" i="24"/>
  <c r="K102" i="24"/>
  <c r="G102" i="24"/>
  <c r="C102" i="24"/>
  <c r="S101" i="24"/>
  <c r="O101" i="24"/>
  <c r="K101" i="24"/>
  <c r="G101" i="24"/>
  <c r="C101" i="24"/>
  <c r="S100" i="24"/>
  <c r="O100" i="24"/>
  <c r="K100" i="24"/>
  <c r="G100" i="24"/>
  <c r="C100" i="24"/>
  <c r="S99" i="24"/>
  <c r="O99" i="24"/>
  <c r="K99" i="24"/>
  <c r="G99" i="24"/>
  <c r="C99" i="24"/>
  <c r="S98" i="24"/>
  <c r="O98" i="24"/>
  <c r="K98" i="24"/>
  <c r="G98" i="24"/>
  <c r="C98" i="24"/>
  <c r="S97" i="24"/>
  <c r="O97" i="24"/>
  <c r="K97" i="24"/>
  <c r="G97" i="24"/>
  <c r="C97" i="24"/>
  <c r="S96" i="24"/>
  <c r="O96" i="24"/>
  <c r="K96" i="24"/>
  <c r="G96" i="24"/>
  <c r="C96" i="24"/>
  <c r="S95" i="24"/>
  <c r="O95" i="24"/>
  <c r="K95" i="24"/>
  <c r="G95" i="24"/>
  <c r="C95" i="24"/>
  <c r="S94" i="24"/>
  <c r="O94" i="24"/>
  <c r="K94" i="24"/>
  <c r="G94" i="24"/>
  <c r="C94" i="24"/>
  <c r="S93" i="24"/>
  <c r="O93" i="24"/>
  <c r="K93" i="24"/>
  <c r="G93" i="24"/>
  <c r="C93" i="24"/>
  <c r="S92" i="24"/>
  <c r="O92" i="24"/>
  <c r="K92" i="24"/>
  <c r="G92" i="24"/>
  <c r="C92" i="24"/>
  <c r="S91" i="24"/>
  <c r="O91" i="24"/>
  <c r="K91" i="24"/>
  <c r="G91" i="24"/>
  <c r="C91" i="24"/>
  <c r="S90" i="24"/>
  <c r="O90" i="24"/>
  <c r="K90" i="24"/>
  <c r="G90" i="24"/>
  <c r="C90" i="24"/>
  <c r="S89" i="24"/>
  <c r="O89" i="24"/>
  <c r="K89" i="24"/>
  <c r="G89" i="24"/>
  <c r="C89" i="24"/>
  <c r="S88" i="24"/>
  <c r="O88" i="24"/>
  <c r="K88" i="24"/>
  <c r="G88" i="24"/>
  <c r="C88" i="24"/>
  <c r="S87" i="24"/>
  <c r="O87" i="24"/>
  <c r="K87" i="24"/>
  <c r="G87" i="24"/>
  <c r="C87" i="24"/>
  <c r="S86" i="24"/>
  <c r="O86" i="24"/>
  <c r="K86" i="24"/>
  <c r="G86" i="24"/>
  <c r="C86" i="24"/>
  <c r="S85" i="24"/>
  <c r="O85" i="24"/>
  <c r="K85" i="24"/>
  <c r="G85" i="24"/>
  <c r="C85" i="24"/>
  <c r="S84" i="24"/>
  <c r="O84" i="24"/>
  <c r="K84" i="24"/>
  <c r="G84" i="24"/>
  <c r="C84" i="24"/>
  <c r="S83" i="24"/>
  <c r="O83" i="24"/>
  <c r="K83" i="24"/>
  <c r="G83" i="24"/>
  <c r="C83" i="24"/>
  <c r="S82" i="24"/>
  <c r="O82" i="24"/>
  <c r="K82" i="24"/>
  <c r="G82" i="24"/>
  <c r="C82" i="24"/>
  <c r="S81" i="24"/>
  <c r="O81" i="24"/>
  <c r="K81" i="24"/>
  <c r="G81" i="24"/>
  <c r="C81" i="24"/>
  <c r="S80" i="24"/>
  <c r="O80" i="24"/>
  <c r="K80" i="24"/>
  <c r="G80" i="24"/>
  <c r="C80" i="24"/>
  <c r="S79" i="24"/>
  <c r="O79" i="24"/>
  <c r="K79" i="24"/>
  <c r="G79" i="24"/>
  <c r="C79" i="24"/>
  <c r="S78" i="24"/>
  <c r="O78" i="24"/>
  <c r="K78" i="24"/>
  <c r="G78" i="24"/>
  <c r="C78" i="24"/>
  <c r="S77" i="24"/>
  <c r="O77" i="24"/>
  <c r="K77" i="24"/>
  <c r="G77" i="24"/>
  <c r="C77" i="24"/>
  <c r="S76" i="24"/>
  <c r="O76" i="24"/>
  <c r="K76" i="24"/>
  <c r="G76" i="24"/>
  <c r="C76" i="24"/>
  <c r="S75" i="24"/>
  <c r="O75" i="24"/>
  <c r="K75" i="24"/>
  <c r="G75" i="24"/>
  <c r="C75" i="24"/>
  <c r="S74" i="24"/>
  <c r="O74" i="24"/>
  <c r="K74" i="24"/>
  <c r="G74" i="24"/>
  <c r="C74" i="24"/>
  <c r="S73" i="24"/>
  <c r="O73" i="24"/>
  <c r="K73" i="24"/>
  <c r="G73" i="24"/>
  <c r="C73" i="24"/>
  <c r="S72" i="24"/>
  <c r="O72" i="24"/>
  <c r="K72" i="24"/>
  <c r="G72" i="24"/>
  <c r="C72" i="24"/>
  <c r="S71" i="24"/>
  <c r="O71" i="24"/>
  <c r="K71" i="24"/>
  <c r="G71" i="24"/>
  <c r="C71" i="24"/>
  <c r="S70" i="24"/>
  <c r="O70" i="24"/>
  <c r="K70" i="24"/>
  <c r="G70" i="24"/>
  <c r="C70" i="24"/>
  <c r="S69" i="24"/>
  <c r="O69" i="24"/>
  <c r="K69" i="24"/>
  <c r="G69" i="24"/>
  <c r="C69" i="24"/>
  <c r="S68" i="24"/>
  <c r="O68" i="24"/>
  <c r="K68" i="24"/>
  <c r="G68" i="24"/>
  <c r="C68" i="24"/>
  <c r="S67" i="24"/>
  <c r="O67" i="24"/>
  <c r="K67" i="24"/>
  <c r="G67" i="24"/>
  <c r="C67" i="24"/>
  <c r="S66" i="24"/>
  <c r="O66" i="24"/>
  <c r="K66" i="24"/>
  <c r="G66" i="24"/>
  <c r="C66" i="24"/>
  <c r="S65" i="24"/>
  <c r="O65" i="24"/>
  <c r="K65" i="24"/>
  <c r="G65" i="24"/>
  <c r="C65" i="24"/>
  <c r="S64" i="24"/>
  <c r="O64" i="24"/>
  <c r="K64" i="24"/>
  <c r="G64" i="24"/>
  <c r="C64" i="24"/>
  <c r="S63" i="24"/>
  <c r="O63" i="24"/>
  <c r="K63" i="24"/>
  <c r="G63" i="24"/>
  <c r="C63" i="24"/>
  <c r="S62" i="24"/>
  <c r="O62" i="24"/>
  <c r="K62" i="24"/>
  <c r="G62" i="24"/>
  <c r="C62" i="24"/>
  <c r="S61" i="24"/>
  <c r="O61" i="24"/>
  <c r="K61" i="24"/>
  <c r="G61" i="24"/>
  <c r="C61" i="24"/>
  <c r="S60" i="24"/>
  <c r="O60" i="24"/>
  <c r="K60" i="24"/>
  <c r="G60" i="24"/>
  <c r="C60" i="24"/>
  <c r="S59" i="24"/>
  <c r="O59" i="24"/>
  <c r="K59" i="24"/>
  <c r="G59" i="24"/>
  <c r="C59" i="24"/>
  <c r="S58" i="24"/>
  <c r="O58" i="24"/>
  <c r="K58" i="24"/>
  <c r="G58" i="24"/>
  <c r="C58" i="24"/>
  <c r="S57" i="24"/>
  <c r="O57" i="24"/>
  <c r="K57" i="24"/>
  <c r="G57" i="24"/>
  <c r="C57" i="24"/>
  <c r="S56" i="24"/>
  <c r="O56" i="24"/>
  <c r="K56" i="24"/>
  <c r="G56" i="24"/>
  <c r="C56" i="24"/>
  <c r="S55" i="24"/>
  <c r="O55" i="24"/>
  <c r="K55" i="24"/>
  <c r="G55" i="24"/>
  <c r="C55" i="24"/>
  <c r="S54" i="24"/>
  <c r="O54" i="24"/>
  <c r="K54" i="24"/>
  <c r="G54" i="24"/>
  <c r="C54" i="24"/>
  <c r="S53" i="24"/>
  <c r="O53" i="24"/>
  <c r="K53" i="24"/>
  <c r="G53" i="24"/>
  <c r="C53" i="24"/>
  <c r="S52" i="24"/>
  <c r="O52" i="24"/>
  <c r="K52" i="24"/>
  <c r="G52" i="24"/>
  <c r="C52" i="24"/>
  <c r="S51" i="24"/>
  <c r="O51" i="24"/>
  <c r="K51" i="24"/>
  <c r="G51" i="24"/>
  <c r="C51" i="24"/>
  <c r="S50" i="24"/>
  <c r="O50" i="24"/>
  <c r="K50" i="24"/>
  <c r="G50" i="24"/>
  <c r="C50" i="24"/>
  <c r="S49" i="24"/>
  <c r="O49" i="24"/>
  <c r="K49" i="24"/>
  <c r="G49" i="24"/>
  <c r="C49" i="24"/>
  <c r="S48" i="24"/>
  <c r="O48" i="24"/>
  <c r="K48" i="24"/>
  <c r="G48" i="24"/>
  <c r="C48" i="24"/>
  <c r="S47" i="24"/>
  <c r="O47" i="24"/>
  <c r="K47" i="24"/>
  <c r="G47" i="24"/>
  <c r="C47" i="24"/>
  <c r="S46" i="24"/>
  <c r="O46" i="24"/>
  <c r="K46" i="24"/>
  <c r="G46" i="24"/>
  <c r="C46" i="24"/>
  <c r="S45" i="24"/>
  <c r="O45" i="24"/>
  <c r="K45" i="24"/>
  <c r="G45" i="24"/>
  <c r="C45" i="24"/>
  <c r="S44" i="24"/>
  <c r="O44" i="24"/>
  <c r="K44" i="24"/>
  <c r="G44" i="24"/>
  <c r="C44" i="24"/>
  <c r="S43" i="24"/>
  <c r="O43" i="24"/>
  <c r="K43" i="24"/>
  <c r="G43" i="24"/>
  <c r="C43" i="24"/>
  <c r="S42" i="24"/>
  <c r="O42" i="24"/>
  <c r="K42" i="24"/>
  <c r="G42" i="24"/>
  <c r="C42" i="24"/>
  <c r="S41" i="24"/>
  <c r="O41" i="24"/>
  <c r="K41" i="24"/>
  <c r="G41" i="24"/>
  <c r="C41" i="24"/>
  <c r="S40" i="24"/>
  <c r="O40" i="24"/>
  <c r="K40" i="24"/>
  <c r="G40" i="24"/>
  <c r="C40" i="24"/>
  <c r="S39" i="24"/>
  <c r="O39" i="24"/>
  <c r="K39" i="24"/>
  <c r="G39" i="24"/>
  <c r="C39" i="24"/>
  <c r="S38" i="24"/>
  <c r="O38" i="24"/>
  <c r="K38" i="24"/>
  <c r="G38" i="24"/>
  <c r="C38" i="24"/>
  <c r="S37" i="24"/>
  <c r="O37" i="24"/>
  <c r="K37" i="24"/>
  <c r="G37" i="24"/>
  <c r="C37" i="24"/>
  <c r="S36" i="24"/>
  <c r="O36" i="24"/>
  <c r="K36" i="24"/>
  <c r="G36" i="24"/>
  <c r="C36" i="24"/>
  <c r="S35" i="24"/>
  <c r="O35" i="24"/>
  <c r="K35" i="24"/>
  <c r="G35" i="24"/>
  <c r="C35" i="24"/>
  <c r="S34" i="24"/>
  <c r="O34" i="24"/>
  <c r="K34" i="24"/>
  <c r="G34" i="24"/>
  <c r="C34" i="24"/>
  <c r="S33" i="24"/>
  <c r="O33" i="24"/>
  <c r="K33" i="24"/>
  <c r="G33" i="24"/>
  <c r="C33" i="24"/>
  <c r="S32" i="24"/>
  <c r="O32" i="24"/>
  <c r="K32" i="24"/>
  <c r="G32" i="24"/>
  <c r="C32" i="24"/>
  <c r="S31" i="24"/>
  <c r="O31" i="24"/>
  <c r="K31" i="24"/>
  <c r="G31" i="24"/>
  <c r="C31" i="24"/>
  <c r="S30" i="24"/>
  <c r="O30" i="24"/>
  <c r="K30" i="24"/>
  <c r="G30" i="24"/>
  <c r="C30" i="24"/>
  <c r="S29" i="24"/>
  <c r="O29" i="24"/>
  <c r="K29" i="24"/>
  <c r="G29" i="24"/>
  <c r="C29" i="24"/>
  <c r="S28" i="24"/>
  <c r="O28" i="24"/>
  <c r="K28" i="24"/>
  <c r="G28" i="24"/>
  <c r="C28" i="24"/>
  <c r="S27" i="24"/>
  <c r="O27" i="24"/>
  <c r="K27" i="24"/>
  <c r="G27" i="24"/>
  <c r="C27" i="24"/>
  <c r="S26" i="24"/>
  <c r="O26" i="24"/>
  <c r="K26" i="24"/>
  <c r="G26" i="24"/>
  <c r="C26" i="24"/>
  <c r="S25" i="24"/>
  <c r="O25" i="24"/>
  <c r="K25" i="24"/>
  <c r="G25" i="24"/>
  <c r="C25" i="24"/>
  <c r="S24" i="24"/>
  <c r="O24" i="24"/>
  <c r="K24" i="24"/>
  <c r="G24" i="24"/>
  <c r="C24" i="24"/>
  <c r="S23" i="24"/>
  <c r="O23" i="24"/>
  <c r="K23" i="24"/>
  <c r="G23" i="24"/>
  <c r="C23" i="24"/>
  <c r="S22" i="24"/>
  <c r="O22" i="24"/>
  <c r="K22" i="24"/>
  <c r="G22" i="24"/>
  <c r="C22" i="24"/>
  <c r="S21" i="24"/>
  <c r="O21" i="24"/>
  <c r="K21" i="24"/>
  <c r="G21" i="24"/>
  <c r="C21" i="24"/>
  <c r="S20" i="24"/>
  <c r="O20" i="24"/>
  <c r="K20" i="24"/>
  <c r="G20" i="24"/>
  <c r="C20" i="24"/>
  <c r="S19" i="24"/>
  <c r="O19" i="24"/>
  <c r="K19" i="24"/>
  <c r="G19" i="24"/>
  <c r="C19" i="24"/>
  <c r="S18" i="24"/>
  <c r="O18" i="24"/>
  <c r="K18" i="24"/>
  <c r="G18" i="24"/>
  <c r="C18" i="24"/>
  <c r="S17" i="24"/>
  <c r="O17" i="24"/>
  <c r="K17" i="24"/>
  <c r="G17" i="24"/>
  <c r="C17" i="24"/>
  <c r="S16" i="24"/>
  <c r="O16" i="24"/>
  <c r="K16" i="24"/>
  <c r="G16" i="24"/>
  <c r="C16" i="24"/>
  <c r="S15" i="24"/>
  <c r="O15" i="24"/>
  <c r="K15" i="24"/>
  <c r="G15" i="24"/>
  <c r="C15" i="24"/>
  <c r="S14" i="24"/>
  <c r="O14" i="24"/>
  <c r="K14" i="24"/>
  <c r="G14" i="24"/>
  <c r="C14" i="24"/>
  <c r="S13" i="24"/>
  <c r="O13" i="24"/>
  <c r="K13" i="24"/>
  <c r="G13" i="24"/>
  <c r="C13" i="24"/>
  <c r="S12" i="24"/>
  <c r="O12" i="24"/>
  <c r="K12" i="24"/>
  <c r="G12" i="24"/>
  <c r="C12" i="24"/>
  <c r="S11" i="24"/>
  <c r="O11" i="24"/>
  <c r="K11" i="24"/>
  <c r="G11" i="24"/>
  <c r="C11" i="24"/>
  <c r="S10" i="24"/>
  <c r="O10" i="24"/>
  <c r="K10" i="24"/>
  <c r="G10" i="24"/>
  <c r="C10" i="24"/>
  <c r="S9" i="24"/>
  <c r="O9" i="24"/>
  <c r="K9" i="24"/>
  <c r="G9" i="24"/>
  <c r="C9" i="24"/>
  <c r="S8" i="24"/>
  <c r="O8" i="24"/>
  <c r="K8" i="24"/>
  <c r="G8" i="24"/>
  <c r="C8" i="24"/>
  <c r="S7" i="24"/>
  <c r="O7" i="24"/>
  <c r="K7" i="24"/>
  <c r="G7" i="24"/>
  <c r="C7" i="24"/>
  <c r="S6" i="24"/>
  <c r="O6" i="24"/>
  <c r="K6" i="24"/>
  <c r="G6" i="24"/>
  <c r="C6" i="24"/>
  <c r="S5" i="24"/>
  <c r="O5" i="24"/>
  <c r="K5" i="24"/>
  <c r="G5" i="24"/>
  <c r="C5" i="24"/>
  <c r="S4" i="24"/>
  <c r="O4" i="24"/>
  <c r="K4" i="24"/>
  <c r="G4" i="24"/>
  <c r="C4" i="24"/>
  <c r="S3" i="24"/>
  <c r="O3" i="24"/>
  <c r="K3" i="24"/>
  <c r="G3" i="24"/>
  <c r="C3" i="24"/>
  <c r="S2" i="24"/>
  <c r="O2" i="24"/>
  <c r="K2" i="24"/>
  <c r="G2" i="24"/>
  <c r="C2" i="24"/>
  <c r="M515" i="24"/>
  <c r="G497" i="24"/>
  <c r="G495" i="24"/>
  <c r="K494" i="24"/>
  <c r="G493" i="24"/>
  <c r="A492" i="24"/>
  <c r="C491" i="24"/>
  <c r="K490" i="24"/>
  <c r="M489" i="24"/>
  <c r="O488" i="24"/>
  <c r="E488" i="24"/>
  <c r="M487" i="24"/>
  <c r="O486" i="24"/>
  <c r="C485" i="24"/>
  <c r="K484" i="24"/>
  <c r="M483" i="24"/>
  <c r="K482" i="24"/>
  <c r="G481" i="24"/>
  <c r="E480" i="24"/>
  <c r="M479" i="24"/>
  <c r="K478" i="24"/>
  <c r="G477" i="24"/>
  <c r="O476" i="24"/>
  <c r="C475" i="24"/>
  <c r="M473" i="24"/>
  <c r="O472" i="24"/>
  <c r="M471" i="24"/>
  <c r="O470" i="24"/>
  <c r="A470" i="24"/>
  <c r="G469" i="24"/>
  <c r="O468" i="24"/>
  <c r="Q467" i="24"/>
  <c r="S466" i="24"/>
  <c r="A466" i="24"/>
  <c r="G465" i="24"/>
  <c r="O464" i="24"/>
  <c r="Q463" i="24"/>
  <c r="S462" i="24"/>
  <c r="E462" i="24"/>
  <c r="G461" i="24"/>
  <c r="K460" i="24"/>
  <c r="M459" i="24"/>
  <c r="S458" i="24"/>
  <c r="E458" i="24"/>
  <c r="C457" i="24"/>
  <c r="A456" i="24"/>
  <c r="C455" i="24"/>
  <c r="E454" i="24"/>
  <c r="C453" i="24"/>
  <c r="A452" i="24"/>
  <c r="G451" i="24"/>
  <c r="E450" i="24"/>
  <c r="G449" i="24"/>
  <c r="K448" i="24"/>
  <c r="M447" i="24"/>
  <c r="S446" i="24"/>
  <c r="A446" i="24"/>
  <c r="C445" i="24"/>
  <c r="E444" i="24"/>
  <c r="G443" i="24"/>
  <c r="K442" i="24"/>
  <c r="C441" i="24"/>
  <c r="E440" i="24"/>
  <c r="M439" i="24"/>
  <c r="O438" i="24"/>
  <c r="Q437" i="24"/>
  <c r="O436" i="24"/>
  <c r="A436" i="24"/>
  <c r="C435" i="24"/>
  <c r="E434" i="24"/>
  <c r="M433" i="24"/>
  <c r="O432" i="24"/>
  <c r="Q431" i="24"/>
  <c r="C431" i="24"/>
  <c r="E430" i="24"/>
  <c r="C429" i="24"/>
  <c r="E428" i="24"/>
  <c r="M427" i="24"/>
  <c r="S426" i="24"/>
  <c r="A426" i="24"/>
  <c r="S424" i="24"/>
  <c r="Q423" i="24"/>
  <c r="S422" i="24"/>
  <c r="A422" i="24"/>
  <c r="S420" i="24"/>
  <c r="A420" i="24"/>
  <c r="C419" i="24"/>
  <c r="A418" i="24"/>
  <c r="S416" i="24"/>
  <c r="E416" i="24"/>
  <c r="C415" i="24"/>
  <c r="E414" i="24"/>
  <c r="G413" i="24"/>
  <c r="O412" i="24"/>
  <c r="M411" i="24"/>
  <c r="O410" i="24"/>
  <c r="E410" i="24"/>
  <c r="G409" i="24"/>
  <c r="O408" i="24"/>
  <c r="Q407" i="24"/>
  <c r="S406" i="24"/>
  <c r="A406" i="24"/>
  <c r="C405" i="24"/>
  <c r="E404" i="24"/>
  <c r="G403" i="24"/>
  <c r="O402" i="24"/>
  <c r="A402" i="24"/>
  <c r="K400" i="24"/>
  <c r="M399" i="24"/>
  <c r="S398" i="24"/>
  <c r="M397" i="24"/>
  <c r="O396" i="24"/>
  <c r="Q395" i="24"/>
  <c r="C395" i="24"/>
  <c r="A394" i="24"/>
  <c r="G393" i="24"/>
  <c r="E392" i="24"/>
  <c r="M391" i="24"/>
  <c r="O390" i="24"/>
  <c r="A390" i="24"/>
  <c r="S388" i="24"/>
  <c r="A388" i="24"/>
  <c r="M387" i="24"/>
  <c r="A386" i="24"/>
  <c r="C385" i="24"/>
  <c r="K384" i="24"/>
  <c r="G383" i="24"/>
  <c r="O382" i="24"/>
  <c r="Q381" i="24"/>
  <c r="C381" i="24"/>
  <c r="E380" i="24"/>
  <c r="G379" i="24"/>
  <c r="K378" i="24"/>
  <c r="M377" i="24"/>
  <c r="S376" i="24"/>
  <c r="E376" i="24"/>
  <c r="Q375" i="24"/>
  <c r="G375" i="24"/>
  <c r="O374" i="24"/>
  <c r="Q373" i="24"/>
  <c r="S372" i="24"/>
  <c r="A372" i="24"/>
  <c r="G371" i="24"/>
  <c r="E370" i="24"/>
  <c r="G369" i="24"/>
  <c r="O368" i="24"/>
  <c r="A368" i="24"/>
  <c r="C367" i="24"/>
  <c r="E366" i="24"/>
  <c r="G365" i="24"/>
  <c r="E364" i="24"/>
  <c r="C363" i="24"/>
  <c r="E362" i="24"/>
  <c r="G361" i="24"/>
  <c r="O360" i="24"/>
  <c r="Q359" i="24"/>
  <c r="C359" i="24"/>
  <c r="E358" i="24"/>
  <c r="G357" i="24"/>
  <c r="E356" i="24"/>
  <c r="A356" i="24"/>
  <c r="C355" i="24"/>
  <c r="O354" i="24"/>
  <c r="Q353" i="24"/>
  <c r="O352" i="24"/>
  <c r="M351" i="24"/>
  <c r="O350" i="24"/>
  <c r="G349" i="24"/>
  <c r="E348" i="24"/>
  <c r="M347" i="24"/>
  <c r="O346" i="24"/>
  <c r="Q345" i="24"/>
  <c r="K344" i="24"/>
  <c r="M343" i="24"/>
  <c r="K342" i="24"/>
  <c r="M341" i="24"/>
  <c r="K340" i="24"/>
  <c r="M339" i="24"/>
  <c r="S338" i="24"/>
  <c r="A338" i="24"/>
  <c r="C337" i="24"/>
  <c r="A336" i="24"/>
  <c r="G335" i="24"/>
  <c r="E334" i="24"/>
  <c r="C333" i="24"/>
  <c r="E332" i="24"/>
  <c r="S330" i="24"/>
  <c r="A330" i="24"/>
  <c r="C329" i="24"/>
  <c r="A328" i="24"/>
  <c r="G327" i="24"/>
  <c r="E326" i="24"/>
  <c r="G325" i="24"/>
  <c r="E324" i="24"/>
  <c r="G323" i="24"/>
  <c r="E322" i="24"/>
  <c r="G321" i="24"/>
  <c r="S320" i="24"/>
  <c r="A320" i="24"/>
  <c r="O318" i="24"/>
  <c r="A318" i="24"/>
  <c r="C317" i="24"/>
  <c r="K316" i="24"/>
  <c r="Q315" i="24"/>
  <c r="O314" i="24"/>
  <c r="Q313" i="24"/>
  <c r="K312" i="24"/>
  <c r="G311" i="24"/>
  <c r="K310" i="24"/>
  <c r="M309" i="24"/>
  <c r="O308" i="24"/>
  <c r="Q307" i="24"/>
  <c r="O306" i="24"/>
  <c r="A306" i="24"/>
  <c r="S304" i="24"/>
  <c r="A304" i="24"/>
  <c r="G303" i="24"/>
  <c r="K302" i="24"/>
  <c r="M301" i="24"/>
  <c r="K300" i="24"/>
  <c r="M299" i="24"/>
  <c r="O298" i="24"/>
  <c r="A298" i="24"/>
  <c r="G297" i="24"/>
  <c r="O296" i="24"/>
  <c r="Q295" i="24"/>
  <c r="K294" i="24"/>
  <c r="M293" i="24"/>
  <c r="O292" i="24"/>
  <c r="M291" i="24"/>
  <c r="O290" i="24"/>
  <c r="M289" i="24"/>
  <c r="O288" i="24"/>
  <c r="Q287" i="24"/>
  <c r="C287" i="24"/>
  <c r="Q285" i="24"/>
  <c r="S284" i="24"/>
  <c r="A284" i="24"/>
  <c r="C283" i="24"/>
  <c r="A282" i="24"/>
  <c r="S280" i="24"/>
  <c r="E280" i="24"/>
  <c r="M279" i="24"/>
  <c r="K278" i="24"/>
  <c r="Q277" i="24"/>
  <c r="C277" i="24"/>
  <c r="A276" i="24"/>
  <c r="M275" i="24"/>
  <c r="C275" i="24"/>
  <c r="E274" i="24"/>
  <c r="Q273" i="24"/>
  <c r="S272" i="24"/>
  <c r="A272" i="24"/>
  <c r="G271" i="24"/>
  <c r="K270" i="24"/>
  <c r="M269" i="24"/>
  <c r="K268" i="24"/>
  <c r="G267" i="24"/>
  <c r="S266" i="24"/>
  <c r="A266" i="24"/>
  <c r="C265" i="24"/>
  <c r="E264" i="24"/>
  <c r="G263" i="24"/>
  <c r="K262" i="24"/>
  <c r="M261" i="24"/>
  <c r="O260" i="24"/>
  <c r="Q259" i="24"/>
  <c r="S258" i="24"/>
  <c r="A258" i="24"/>
  <c r="S256" i="24"/>
  <c r="Q255" i="24"/>
  <c r="S254" i="24"/>
  <c r="A254" i="24"/>
  <c r="C253" i="24"/>
  <c r="E252" i="24"/>
  <c r="G251" i="24"/>
  <c r="K250" i="24"/>
  <c r="M249" i="24"/>
  <c r="O248" i="24"/>
  <c r="A248" i="24"/>
  <c r="C247" i="24"/>
  <c r="E246" i="24"/>
  <c r="M245" i="24"/>
  <c r="O244" i="24"/>
  <c r="E244" i="24"/>
  <c r="A242" i="24"/>
  <c r="O240" i="24"/>
  <c r="Q239" i="24"/>
  <c r="C239" i="24"/>
  <c r="E238" i="24"/>
  <c r="M237" i="24"/>
  <c r="S236" i="24"/>
  <c r="A236" i="24"/>
  <c r="G235" i="24"/>
  <c r="O234" i="24"/>
  <c r="A234" i="24"/>
  <c r="G233" i="24"/>
  <c r="E232" i="24"/>
  <c r="M231" i="24"/>
  <c r="K230" i="24"/>
  <c r="M229" i="24"/>
  <c r="S228" i="24"/>
  <c r="A228" i="24"/>
  <c r="C227" i="24"/>
  <c r="E226" i="24"/>
  <c r="G225" i="24"/>
  <c r="O224" i="24"/>
  <c r="M223" i="24"/>
  <c r="O222" i="24"/>
  <c r="C221" i="24"/>
  <c r="Q219" i="24"/>
  <c r="S218" i="24"/>
  <c r="K218" i="24"/>
  <c r="M217" i="24"/>
  <c r="O216" i="24"/>
  <c r="Q215" i="24"/>
  <c r="S214" i="24"/>
  <c r="E214" i="24"/>
  <c r="G213" i="24"/>
  <c r="K212" i="24"/>
  <c r="M211" i="24"/>
  <c r="O210" i="24"/>
  <c r="G209" i="24"/>
  <c r="K208" i="24"/>
  <c r="G207" i="24"/>
  <c r="O206" i="24"/>
  <c r="A206" i="24"/>
  <c r="S204" i="24"/>
  <c r="A204" i="24"/>
  <c r="G203" i="24"/>
  <c r="A202" i="24"/>
  <c r="C201" i="24"/>
  <c r="E200" i="24"/>
  <c r="G199" i="24"/>
  <c r="K198" i="24"/>
  <c r="Q197" i="24"/>
  <c r="A197" i="24"/>
  <c r="E196" i="24"/>
  <c r="A195" i="24"/>
  <c r="E194" i="24"/>
  <c r="E193" i="24"/>
  <c r="I192" i="24"/>
  <c r="M191" i="24"/>
  <c r="Q190" i="24"/>
  <c r="A190" i="24"/>
  <c r="E189" i="24"/>
  <c r="I188" i="24"/>
  <c r="E188" i="24"/>
  <c r="I187" i="24"/>
  <c r="M186" i="24"/>
  <c r="M185" i="24"/>
  <c r="Q184" i="24"/>
  <c r="A184" i="24"/>
  <c r="I183" i="24"/>
  <c r="Q182" i="24"/>
  <c r="E182" i="24"/>
  <c r="Q181" i="24"/>
  <c r="E181" i="24"/>
  <c r="M180" i="24"/>
  <c r="E180" i="24"/>
  <c r="I179" i="24"/>
  <c r="E179" i="24"/>
  <c r="M175" i="24"/>
  <c r="Q174" i="24"/>
  <c r="E174" i="24"/>
  <c r="Q173" i="24"/>
  <c r="E173" i="24"/>
  <c r="M172" i="24"/>
  <c r="M168" i="24"/>
  <c r="E167" i="24"/>
  <c r="I166" i="24"/>
  <c r="M165" i="24"/>
  <c r="Q164" i="24"/>
  <c r="A164" i="24"/>
  <c r="A163" i="24"/>
  <c r="A162" i="24"/>
  <c r="E161" i="24"/>
  <c r="I160" i="24"/>
  <c r="A160" i="24"/>
  <c r="E159" i="24"/>
  <c r="M158" i="24"/>
  <c r="Q157" i="24"/>
  <c r="A157" i="24"/>
  <c r="A156" i="24"/>
  <c r="Q154" i="24"/>
  <c r="A154" i="24"/>
  <c r="A153" i="24"/>
  <c r="I152" i="24"/>
  <c r="I151" i="24"/>
  <c r="Q150" i="24"/>
  <c r="Q149" i="24"/>
  <c r="A149" i="24"/>
  <c r="E148" i="24"/>
  <c r="I147" i="24"/>
  <c r="M146" i="24"/>
  <c r="Q145" i="24"/>
  <c r="A145" i="24"/>
  <c r="E144" i="24"/>
  <c r="I143" i="24"/>
  <c r="I142" i="24"/>
  <c r="Q141" i="24"/>
  <c r="Q140" i="24"/>
  <c r="Q139" i="24"/>
  <c r="Q138" i="24"/>
  <c r="A138" i="24"/>
  <c r="E137" i="24"/>
  <c r="M136" i="24"/>
  <c r="M135" i="24"/>
  <c r="Q134" i="24"/>
  <c r="E134" i="24"/>
  <c r="M133" i="24"/>
  <c r="Q132" i="24"/>
  <c r="E132" i="24"/>
  <c r="M131" i="24"/>
  <c r="A131" i="24"/>
  <c r="E130" i="24"/>
  <c r="I129" i="24"/>
  <c r="M128" i="24"/>
  <c r="Q127" i="24"/>
  <c r="A127" i="24"/>
  <c r="M126" i="24"/>
  <c r="Q125" i="24"/>
  <c r="A125" i="24"/>
  <c r="E124" i="24"/>
  <c r="I123" i="24"/>
  <c r="M122" i="24"/>
  <c r="A122" i="24"/>
  <c r="A121" i="24"/>
  <c r="E120" i="24"/>
  <c r="I119" i="24"/>
  <c r="I118" i="24"/>
  <c r="M117" i="24"/>
  <c r="Q116" i="24"/>
  <c r="A116" i="24"/>
  <c r="A115" i="24"/>
  <c r="I114" i="24"/>
  <c r="Q113" i="24"/>
  <c r="A113" i="24"/>
  <c r="E112" i="24"/>
  <c r="I111" i="24"/>
  <c r="M110" i="24"/>
  <c r="Q109" i="24"/>
  <c r="A109" i="24"/>
  <c r="M108" i="24"/>
  <c r="A108" i="24"/>
  <c r="E107" i="24"/>
  <c r="I106" i="24"/>
  <c r="M105" i="24"/>
  <c r="Q104" i="24"/>
  <c r="A104" i="24"/>
  <c r="E103" i="24"/>
  <c r="I102" i="24"/>
  <c r="M101" i="24"/>
  <c r="M100" i="24"/>
  <c r="A100" i="24"/>
  <c r="A99" i="24"/>
  <c r="I98" i="24"/>
  <c r="I97" i="24"/>
  <c r="M96" i="24"/>
  <c r="Q95" i="24"/>
  <c r="E95" i="24"/>
  <c r="I94" i="24"/>
  <c r="M93" i="24"/>
  <c r="Q92" i="24"/>
  <c r="Q91" i="24"/>
  <c r="E91" i="24"/>
  <c r="E90" i="24"/>
  <c r="E89" i="24"/>
  <c r="I88" i="24"/>
  <c r="M87" i="24"/>
  <c r="A87" i="24"/>
  <c r="E86" i="24"/>
  <c r="M85" i="24"/>
  <c r="M84" i="24"/>
  <c r="Q83" i="24"/>
  <c r="A83" i="24"/>
  <c r="M82" i="24"/>
  <c r="Q81" i="24"/>
  <c r="Q80" i="24"/>
  <c r="A80" i="24"/>
  <c r="E79" i="24"/>
  <c r="E78" i="24"/>
  <c r="M77" i="24"/>
  <c r="E77" i="24"/>
  <c r="I76" i="24"/>
  <c r="I75" i="24"/>
  <c r="Q74" i="24"/>
  <c r="A74" i="24"/>
  <c r="E73" i="24"/>
  <c r="I72" i="24"/>
  <c r="M71" i="24"/>
  <c r="Q70" i="24"/>
  <c r="A70" i="24"/>
  <c r="E69" i="24"/>
  <c r="I68" i="24"/>
  <c r="Q67" i="24"/>
  <c r="A67" i="24"/>
  <c r="I66" i="24"/>
  <c r="Q65" i="24"/>
  <c r="E65" i="24"/>
  <c r="I64" i="24"/>
  <c r="I63" i="24"/>
  <c r="M62" i="24"/>
  <c r="M61" i="24"/>
  <c r="A61" i="24"/>
  <c r="Q59" i="24"/>
  <c r="E59" i="24"/>
  <c r="I58" i="24"/>
  <c r="Q57" i="24"/>
  <c r="Q56" i="24"/>
  <c r="Q55" i="24"/>
  <c r="A55" i="24"/>
  <c r="E54" i="24"/>
  <c r="E53" i="24"/>
  <c r="I52" i="24"/>
  <c r="Q51" i="24"/>
  <c r="A51" i="24"/>
  <c r="E50" i="24"/>
  <c r="I49" i="24"/>
  <c r="M48" i="24"/>
  <c r="Q47" i="24"/>
  <c r="A47" i="24"/>
  <c r="E46" i="24"/>
  <c r="I45" i="24"/>
  <c r="M44" i="24"/>
  <c r="A44" i="24"/>
  <c r="A43" i="24"/>
  <c r="I42" i="24"/>
  <c r="M41" i="24"/>
  <c r="I40" i="24"/>
  <c r="Q39" i="24"/>
  <c r="M39" i="24"/>
  <c r="Q38" i="24"/>
  <c r="A38" i="24"/>
  <c r="E37" i="24"/>
  <c r="I36" i="24"/>
  <c r="M35" i="24"/>
  <c r="Q34" i="24"/>
  <c r="M33" i="24"/>
  <c r="E33" i="24"/>
  <c r="I32" i="24"/>
  <c r="A31" i="24"/>
  <c r="E30" i="24"/>
  <c r="I29" i="24"/>
  <c r="I28" i="24"/>
  <c r="Q27" i="24"/>
  <c r="E27" i="24"/>
  <c r="M26" i="24"/>
  <c r="Q25" i="24"/>
  <c r="E25" i="24"/>
  <c r="Q24" i="24"/>
  <c r="E23" i="24"/>
  <c r="I22" i="24"/>
  <c r="I21" i="24"/>
  <c r="A21" i="24"/>
  <c r="Q19" i="24"/>
  <c r="A19" i="24"/>
  <c r="E18" i="24"/>
  <c r="I17" i="24"/>
  <c r="A17" i="24"/>
  <c r="E16" i="24"/>
  <c r="I15" i="24"/>
  <c r="I14" i="24"/>
  <c r="Q13" i="24"/>
  <c r="A13" i="24"/>
  <c r="E12" i="24"/>
  <c r="I11" i="24"/>
  <c r="Q10" i="24"/>
  <c r="E10" i="24"/>
  <c r="M9" i="24"/>
  <c r="Q8" i="24"/>
  <c r="Q7" i="24"/>
  <c r="A7" i="24"/>
  <c r="E6" i="24"/>
  <c r="I5" i="24"/>
  <c r="M4" i="24"/>
  <c r="Q3" i="24"/>
  <c r="A3" i="24"/>
  <c r="E2" i="24"/>
  <c r="K707" i="24"/>
  <c r="O705" i="24"/>
  <c r="S703" i="24"/>
  <c r="C702" i="24"/>
  <c r="G700" i="24"/>
  <c r="M698" i="24"/>
  <c r="Q696" i="24"/>
  <c r="A695" i="24"/>
  <c r="E693" i="24"/>
  <c r="K691" i="24"/>
  <c r="O689" i="24"/>
  <c r="S687" i="24"/>
  <c r="C686" i="24"/>
  <c r="G684" i="24"/>
  <c r="M682" i="24"/>
  <c r="Q680" i="24"/>
  <c r="A679" i="24"/>
  <c r="E677" i="24"/>
  <c r="K675" i="24"/>
  <c r="O673" i="24"/>
  <c r="S671" i="24"/>
  <c r="C670" i="24"/>
  <c r="G668" i="24"/>
  <c r="M666" i="24"/>
  <c r="Q664" i="24"/>
  <c r="A663" i="24"/>
  <c r="E661" i="24"/>
  <c r="K659" i="24"/>
  <c r="O657" i="24"/>
  <c r="S655" i="24"/>
  <c r="C654" i="24"/>
  <c r="G652" i="24"/>
  <c r="M650" i="24"/>
  <c r="Q648" i="24"/>
  <c r="A647" i="24"/>
  <c r="E645" i="24"/>
  <c r="K643" i="24"/>
  <c r="O641" i="24"/>
  <c r="S639" i="24"/>
  <c r="C638" i="24"/>
  <c r="G636" i="24"/>
  <c r="M634" i="24"/>
  <c r="Q632" i="24"/>
  <c r="A631" i="24"/>
  <c r="E629" i="24"/>
  <c r="K627" i="24"/>
  <c r="O625" i="24"/>
  <c r="S623" i="24"/>
  <c r="E622" i="24"/>
  <c r="B621" i="24"/>
  <c r="S619" i="24"/>
  <c r="O618" i="24"/>
  <c r="L617" i="24"/>
  <c r="G616" i="24"/>
  <c r="C615" i="24"/>
  <c r="B614" i="24"/>
  <c r="D613" i="24"/>
  <c r="F612" i="24"/>
  <c r="H611" i="24"/>
  <c r="L610" i="24"/>
  <c r="N609" i="24"/>
  <c r="P608" i="24"/>
  <c r="R607" i="24"/>
  <c r="T606" i="24"/>
  <c r="B606" i="24"/>
  <c r="D605" i="24"/>
  <c r="F604" i="24"/>
  <c r="H603" i="24"/>
  <c r="L602" i="24"/>
  <c r="N601" i="24"/>
  <c r="P600" i="24"/>
  <c r="R599" i="24"/>
  <c r="T598" i="24"/>
  <c r="B598" i="24"/>
  <c r="D597" i="24"/>
  <c r="F596" i="24"/>
  <c r="H595" i="24"/>
  <c r="L594" i="24"/>
  <c r="N593" i="24"/>
  <c r="P592" i="24"/>
  <c r="R591" i="24"/>
  <c r="T590" i="24"/>
  <c r="B590" i="24"/>
  <c r="D589" i="24"/>
  <c r="F588" i="24"/>
  <c r="H587" i="24"/>
  <c r="L586" i="24"/>
  <c r="N585" i="24"/>
  <c r="P584" i="24"/>
  <c r="R583" i="24"/>
  <c r="T582" i="24"/>
  <c r="B582" i="24"/>
  <c r="D581" i="24"/>
  <c r="F580" i="24"/>
  <c r="H579" i="24"/>
  <c r="L578" i="24"/>
  <c r="N577" i="24"/>
  <c r="P576" i="24"/>
  <c r="R575" i="24"/>
  <c r="T574" i="24"/>
  <c r="B574" i="24"/>
  <c r="D573" i="24"/>
  <c r="F572" i="24"/>
  <c r="H571" i="24"/>
  <c r="L570" i="24"/>
  <c r="N569" i="24"/>
  <c r="P568" i="24"/>
  <c r="R567" i="24"/>
  <c r="T566" i="24"/>
  <c r="B566" i="24"/>
  <c r="D565" i="24"/>
  <c r="F564" i="24"/>
  <c r="H563" i="24"/>
  <c r="L562" i="24"/>
  <c r="N561" i="24"/>
  <c r="P560" i="24"/>
  <c r="R559" i="24"/>
  <c r="T558" i="24"/>
  <c r="B558" i="24"/>
  <c r="D557" i="24"/>
  <c r="F556" i="24"/>
  <c r="H555" i="24"/>
  <c r="L554" i="24"/>
  <c r="N553" i="24"/>
  <c r="P552" i="24"/>
  <c r="F552" i="24"/>
  <c r="R551" i="24"/>
  <c r="N551" i="24"/>
  <c r="H551" i="24"/>
  <c r="D551" i="24"/>
  <c r="T550" i="24"/>
  <c r="P550" i="24"/>
  <c r="L550" i="24"/>
  <c r="F550" i="24"/>
  <c r="B550" i="24"/>
  <c r="R549" i="24"/>
  <c r="N549" i="24"/>
  <c r="H549" i="24"/>
  <c r="D549" i="24"/>
  <c r="T548" i="24"/>
  <c r="P548" i="24"/>
  <c r="L548" i="24"/>
  <c r="F548" i="24"/>
  <c r="B548" i="24"/>
  <c r="R547" i="24"/>
  <c r="N547" i="24"/>
  <c r="H547" i="24"/>
  <c r="D547" i="24"/>
  <c r="T546" i="24"/>
  <c r="P546" i="24"/>
  <c r="L546" i="24"/>
  <c r="F546" i="24"/>
  <c r="B546" i="24"/>
  <c r="R545" i="24"/>
  <c r="N545" i="24"/>
  <c r="H545" i="24"/>
  <c r="D545" i="24"/>
  <c r="T544" i="24"/>
  <c r="P544" i="24"/>
  <c r="L544" i="24"/>
  <c r="F544" i="24"/>
  <c r="B544" i="24"/>
  <c r="R543" i="24"/>
  <c r="N543" i="24"/>
  <c r="H543" i="24"/>
  <c r="D543" i="24"/>
  <c r="T542" i="24"/>
  <c r="P542" i="24"/>
  <c r="L542" i="24"/>
  <c r="F542" i="24"/>
  <c r="B542" i="24"/>
  <c r="R541" i="24"/>
  <c r="N541" i="24"/>
  <c r="H541" i="24"/>
  <c r="D541" i="24"/>
  <c r="T540" i="24"/>
  <c r="P540" i="24"/>
  <c r="L540" i="24"/>
  <c r="F540" i="24"/>
  <c r="B540" i="24"/>
  <c r="R539" i="24"/>
  <c r="N539" i="24"/>
  <c r="H539" i="24"/>
  <c r="D539" i="24"/>
  <c r="T538" i="24"/>
  <c r="P538" i="24"/>
  <c r="L538" i="24"/>
  <c r="F538" i="24"/>
  <c r="B538" i="24"/>
  <c r="R537" i="24"/>
  <c r="N537" i="24"/>
  <c r="H537" i="24"/>
  <c r="D537" i="24"/>
  <c r="T536" i="24"/>
  <c r="P536" i="24"/>
  <c r="L536" i="24"/>
  <c r="F536" i="24"/>
  <c r="B536" i="24"/>
  <c r="R535" i="24"/>
  <c r="N535" i="24"/>
  <c r="H535" i="24"/>
  <c r="D535" i="24"/>
  <c r="T534" i="24"/>
  <c r="P534" i="24"/>
  <c r="L534" i="24"/>
  <c r="F534" i="24"/>
  <c r="B534" i="24"/>
  <c r="R533" i="24"/>
  <c r="N533" i="24"/>
  <c r="H533" i="24"/>
  <c r="D533" i="24"/>
  <c r="T532" i="24"/>
  <c r="P532" i="24"/>
  <c r="L532" i="24"/>
  <c r="F532" i="24"/>
  <c r="B532" i="24"/>
  <c r="R531" i="24"/>
  <c r="N531" i="24"/>
  <c r="H531" i="24"/>
  <c r="D531" i="24"/>
  <c r="T530" i="24"/>
  <c r="P530" i="24"/>
  <c r="L530" i="24"/>
  <c r="F530" i="24"/>
  <c r="B530" i="24"/>
  <c r="R529" i="24"/>
  <c r="N529" i="24"/>
  <c r="H529" i="24"/>
  <c r="D529" i="24"/>
  <c r="T528" i="24"/>
  <c r="P528" i="24"/>
  <c r="L528" i="24"/>
  <c r="F528" i="24"/>
  <c r="B528" i="24"/>
  <c r="R527" i="24"/>
  <c r="N527" i="24"/>
  <c r="H527" i="24"/>
  <c r="D527" i="24"/>
  <c r="T526" i="24"/>
  <c r="P526" i="24"/>
  <c r="L526" i="24"/>
  <c r="F526" i="24"/>
  <c r="B526" i="24"/>
  <c r="R525" i="24"/>
  <c r="N525" i="24"/>
  <c r="H525" i="24"/>
  <c r="D525" i="24"/>
  <c r="T524" i="24"/>
  <c r="P524" i="24"/>
  <c r="L524" i="24"/>
  <c r="F524" i="24"/>
  <c r="B524" i="24"/>
  <c r="R523" i="24"/>
  <c r="N523" i="24"/>
  <c r="H523" i="24"/>
  <c r="D523" i="24"/>
  <c r="T522" i="24"/>
  <c r="P522" i="24"/>
  <c r="L522" i="24"/>
  <c r="F522" i="24"/>
  <c r="B522" i="24"/>
  <c r="R521" i="24"/>
  <c r="N521" i="24"/>
  <c r="H521" i="24"/>
  <c r="D521" i="24"/>
  <c r="T520" i="24"/>
  <c r="P520" i="24"/>
  <c r="L520" i="24"/>
  <c r="F520" i="24"/>
  <c r="B520" i="24"/>
  <c r="R519" i="24"/>
  <c r="N519" i="24"/>
  <c r="H519" i="24"/>
  <c r="D519" i="24"/>
  <c r="T518" i="24"/>
  <c r="P518" i="24"/>
  <c r="L518" i="24"/>
  <c r="F518" i="24"/>
  <c r="B518" i="24"/>
  <c r="R517" i="24"/>
  <c r="N517" i="24"/>
  <c r="H517" i="24"/>
  <c r="D517" i="24"/>
  <c r="T516" i="24"/>
  <c r="P516" i="24"/>
  <c r="L516" i="24"/>
  <c r="F516" i="24"/>
  <c r="B516" i="24"/>
  <c r="R515" i="24"/>
  <c r="N515" i="24"/>
  <c r="H515" i="24"/>
  <c r="D515" i="24"/>
  <c r="T514" i="24"/>
  <c r="P514" i="24"/>
  <c r="L514" i="24"/>
  <c r="F514" i="24"/>
  <c r="B514" i="24"/>
  <c r="R513" i="24"/>
  <c r="N513" i="24"/>
  <c r="H513" i="24"/>
  <c r="D513" i="24"/>
  <c r="T512" i="24"/>
  <c r="P512" i="24"/>
  <c r="L512" i="24"/>
  <c r="F512" i="24"/>
  <c r="B512" i="24"/>
  <c r="R511" i="24"/>
  <c r="N511" i="24"/>
  <c r="H511" i="24"/>
  <c r="D511" i="24"/>
  <c r="T510" i="24"/>
  <c r="P510" i="24"/>
  <c r="L510" i="24"/>
  <c r="F510" i="24"/>
  <c r="B510" i="24"/>
  <c r="R509" i="24"/>
  <c r="N509" i="24"/>
  <c r="H509" i="24"/>
  <c r="D509" i="24"/>
  <c r="T508" i="24"/>
  <c r="P508" i="24"/>
  <c r="L508" i="24"/>
  <c r="F508" i="24"/>
  <c r="B508" i="24"/>
  <c r="R507" i="24"/>
  <c r="N507" i="24"/>
  <c r="H507" i="24"/>
  <c r="D507" i="24"/>
  <c r="T506" i="24"/>
  <c r="P506" i="24"/>
  <c r="L506" i="24"/>
  <c r="F506" i="24"/>
  <c r="B506" i="24"/>
  <c r="R505" i="24"/>
  <c r="N505" i="24"/>
  <c r="H505" i="24"/>
  <c r="D505" i="24"/>
  <c r="T504" i="24"/>
  <c r="P504" i="24"/>
  <c r="L504" i="24"/>
  <c r="F504" i="24"/>
  <c r="B504" i="24"/>
  <c r="R503" i="24"/>
  <c r="N503" i="24"/>
  <c r="H503" i="24"/>
  <c r="D503" i="24"/>
  <c r="T502" i="24"/>
  <c r="P502" i="24"/>
  <c r="L502" i="24"/>
  <c r="F502" i="24"/>
  <c r="B502" i="24"/>
  <c r="R501" i="24"/>
  <c r="N501" i="24"/>
  <c r="H501" i="24"/>
  <c r="D501" i="24"/>
  <c r="T500" i="24"/>
  <c r="P500" i="24"/>
  <c r="L500" i="24"/>
  <c r="F500" i="24"/>
  <c r="B500" i="24"/>
  <c r="R499" i="24"/>
  <c r="N499" i="24"/>
  <c r="H499" i="24"/>
  <c r="D499" i="24"/>
  <c r="T498" i="24"/>
  <c r="P498" i="24"/>
  <c r="L498" i="24"/>
  <c r="F498" i="24"/>
  <c r="B498" i="24"/>
  <c r="R497" i="24"/>
  <c r="N497" i="24"/>
  <c r="H497" i="24"/>
  <c r="D497" i="24"/>
  <c r="T496" i="24"/>
  <c r="P496" i="24"/>
  <c r="L496" i="24"/>
  <c r="F496" i="24"/>
  <c r="B496" i="24"/>
  <c r="R495" i="24"/>
  <c r="N495" i="24"/>
  <c r="H495" i="24"/>
  <c r="D495" i="24"/>
  <c r="T494" i="24"/>
  <c r="P494" i="24"/>
  <c r="L494" i="24"/>
  <c r="F494" i="24"/>
  <c r="B494" i="24"/>
  <c r="R493" i="24"/>
  <c r="N493" i="24"/>
  <c r="H493" i="24"/>
  <c r="D493" i="24"/>
  <c r="T492" i="24"/>
  <c r="P492" i="24"/>
  <c r="L492" i="24"/>
  <c r="F492" i="24"/>
  <c r="B492" i="24"/>
  <c r="R491" i="24"/>
  <c r="N491" i="24"/>
  <c r="H491" i="24"/>
  <c r="D491" i="24"/>
  <c r="T490" i="24"/>
  <c r="P490" i="24"/>
  <c r="L490" i="24"/>
  <c r="F490" i="24"/>
  <c r="B490" i="24"/>
  <c r="R489" i="24"/>
  <c r="N489" i="24"/>
  <c r="H489" i="24"/>
  <c r="D489" i="24"/>
  <c r="T488" i="24"/>
  <c r="P488" i="24"/>
  <c r="L488" i="24"/>
  <c r="F488" i="24"/>
  <c r="B488" i="24"/>
  <c r="R487" i="24"/>
  <c r="N487" i="24"/>
  <c r="H487" i="24"/>
  <c r="D487" i="24"/>
  <c r="T486" i="24"/>
  <c r="P486" i="24"/>
  <c r="L486" i="24"/>
  <c r="F486" i="24"/>
  <c r="B486" i="24"/>
  <c r="R485" i="24"/>
  <c r="N485" i="24"/>
  <c r="H485" i="24"/>
  <c r="D485" i="24"/>
  <c r="T484" i="24"/>
  <c r="P484" i="24"/>
  <c r="L484" i="24"/>
  <c r="F484" i="24"/>
  <c r="B484" i="24"/>
  <c r="R483" i="24"/>
  <c r="N483" i="24"/>
  <c r="H483" i="24"/>
  <c r="D483" i="24"/>
  <c r="T482" i="24"/>
  <c r="P482" i="24"/>
  <c r="L482" i="24"/>
  <c r="F482" i="24"/>
  <c r="B482" i="24"/>
  <c r="R481" i="24"/>
  <c r="N481" i="24"/>
  <c r="H481" i="24"/>
  <c r="D481" i="24"/>
  <c r="T480" i="24"/>
  <c r="P480" i="24"/>
  <c r="L480" i="24"/>
  <c r="F480" i="24"/>
  <c r="B480" i="24"/>
  <c r="R479" i="24"/>
  <c r="N479" i="24"/>
  <c r="H479" i="24"/>
  <c r="D479" i="24"/>
  <c r="T478" i="24"/>
  <c r="P478" i="24"/>
  <c r="L478" i="24"/>
  <c r="F478" i="24"/>
  <c r="B478" i="24"/>
  <c r="R477" i="24"/>
  <c r="N477" i="24"/>
  <c r="H477" i="24"/>
  <c r="D477" i="24"/>
  <c r="T476" i="24"/>
  <c r="P476" i="24"/>
  <c r="L476" i="24"/>
  <c r="F476" i="24"/>
  <c r="B476" i="24"/>
  <c r="R475" i="24"/>
  <c r="N475" i="24"/>
  <c r="H475" i="24"/>
  <c r="D475" i="24"/>
  <c r="T474" i="24"/>
  <c r="P474" i="24"/>
  <c r="L474" i="24"/>
  <c r="F474" i="24"/>
  <c r="B474" i="24"/>
  <c r="R473" i="24"/>
  <c r="N473" i="24"/>
  <c r="H473" i="24"/>
  <c r="D473" i="24"/>
  <c r="T472" i="24"/>
  <c r="P472" i="24"/>
  <c r="L472" i="24"/>
  <c r="F472" i="24"/>
  <c r="B472" i="24"/>
  <c r="R471" i="24"/>
  <c r="N471" i="24"/>
  <c r="H471" i="24"/>
  <c r="D471" i="24"/>
  <c r="T470" i="24"/>
  <c r="P470" i="24"/>
  <c r="L470" i="24"/>
  <c r="F470" i="24"/>
  <c r="B470" i="24"/>
  <c r="R469" i="24"/>
  <c r="N469" i="24"/>
  <c r="H469" i="24"/>
  <c r="D469" i="24"/>
  <c r="T468" i="24"/>
  <c r="P468" i="24"/>
  <c r="L468" i="24"/>
  <c r="F468" i="24"/>
  <c r="B468" i="24"/>
  <c r="R467" i="24"/>
  <c r="N467" i="24"/>
  <c r="H467" i="24"/>
  <c r="D467" i="24"/>
  <c r="T466" i="24"/>
  <c r="P466" i="24"/>
  <c r="L466" i="24"/>
  <c r="F466" i="24"/>
  <c r="B466" i="24"/>
  <c r="R465" i="24"/>
  <c r="N465" i="24"/>
  <c r="H465" i="24"/>
  <c r="D465" i="24"/>
  <c r="T464" i="24"/>
  <c r="P464" i="24"/>
  <c r="L464" i="24"/>
  <c r="F464" i="24"/>
  <c r="B464" i="24"/>
  <c r="R463" i="24"/>
  <c r="N463" i="24"/>
  <c r="H463" i="24"/>
  <c r="D463" i="24"/>
  <c r="T462" i="24"/>
  <c r="P462" i="24"/>
  <c r="L462" i="24"/>
  <c r="F462" i="24"/>
  <c r="B462" i="24"/>
  <c r="R461" i="24"/>
  <c r="N461" i="24"/>
  <c r="H461" i="24"/>
  <c r="D461" i="24"/>
  <c r="T460" i="24"/>
  <c r="P460" i="24"/>
  <c r="L460" i="24"/>
  <c r="F460" i="24"/>
  <c r="B460" i="24"/>
  <c r="R459" i="24"/>
  <c r="N459" i="24"/>
  <c r="H459" i="24"/>
  <c r="D459" i="24"/>
  <c r="T458" i="24"/>
  <c r="P458" i="24"/>
  <c r="L458" i="24"/>
  <c r="F458" i="24"/>
  <c r="B458" i="24"/>
  <c r="R457" i="24"/>
  <c r="N457" i="24"/>
  <c r="H457" i="24"/>
  <c r="D457" i="24"/>
  <c r="T456" i="24"/>
  <c r="P456" i="24"/>
  <c r="L456" i="24"/>
  <c r="F456" i="24"/>
  <c r="B456" i="24"/>
  <c r="R455" i="24"/>
  <c r="N455" i="24"/>
  <c r="H455" i="24"/>
  <c r="D455" i="24"/>
  <c r="T454" i="24"/>
  <c r="P454" i="24"/>
  <c r="L454" i="24"/>
  <c r="F454" i="24"/>
  <c r="B454" i="24"/>
  <c r="R453" i="24"/>
  <c r="N453" i="24"/>
  <c r="H453" i="24"/>
  <c r="D453" i="24"/>
  <c r="T452" i="24"/>
  <c r="P452" i="24"/>
  <c r="L452" i="24"/>
  <c r="F452" i="24"/>
  <c r="B452" i="24"/>
  <c r="R451" i="24"/>
  <c r="N451" i="24"/>
  <c r="H451" i="24"/>
  <c r="D451" i="24"/>
  <c r="T450" i="24"/>
  <c r="P450" i="24"/>
  <c r="L450" i="24"/>
  <c r="F450" i="24"/>
  <c r="B450" i="24"/>
  <c r="R449" i="24"/>
  <c r="N449" i="24"/>
  <c r="H449" i="24"/>
  <c r="D449" i="24"/>
  <c r="T448" i="24"/>
  <c r="P448" i="24"/>
  <c r="L448" i="24"/>
  <c r="F448" i="24"/>
  <c r="B448" i="24"/>
  <c r="R447" i="24"/>
  <c r="N447" i="24"/>
  <c r="H447" i="24"/>
  <c r="D447" i="24"/>
  <c r="T446" i="24"/>
  <c r="P446" i="24"/>
  <c r="L446" i="24"/>
  <c r="F446" i="24"/>
  <c r="B446" i="24"/>
  <c r="R445" i="24"/>
  <c r="N445" i="24"/>
  <c r="H445" i="24"/>
  <c r="D445" i="24"/>
  <c r="T444" i="24"/>
  <c r="P444" i="24"/>
  <c r="L444" i="24"/>
  <c r="F444" i="24"/>
  <c r="B444" i="24"/>
  <c r="R443" i="24"/>
  <c r="N443" i="24"/>
  <c r="H443" i="24"/>
  <c r="D443" i="24"/>
  <c r="T442" i="24"/>
  <c r="P442" i="24"/>
  <c r="L442" i="24"/>
  <c r="F442" i="24"/>
  <c r="B442" i="24"/>
  <c r="R441" i="24"/>
  <c r="N441" i="24"/>
  <c r="H441" i="24"/>
  <c r="D441" i="24"/>
  <c r="T440" i="24"/>
  <c r="P440" i="24"/>
  <c r="L440" i="24"/>
  <c r="F440" i="24"/>
  <c r="B440" i="24"/>
  <c r="R439" i="24"/>
  <c r="N439" i="24"/>
  <c r="H439" i="24"/>
  <c r="D439" i="24"/>
  <c r="T438" i="24"/>
  <c r="P438" i="24"/>
  <c r="L438" i="24"/>
  <c r="F438" i="24"/>
  <c r="B438" i="24"/>
  <c r="R437" i="24"/>
  <c r="N437" i="24"/>
  <c r="H437" i="24"/>
  <c r="D437" i="24"/>
  <c r="T436" i="24"/>
  <c r="P436" i="24"/>
  <c r="L436" i="24"/>
  <c r="F436" i="24"/>
  <c r="B436" i="24"/>
  <c r="R435" i="24"/>
  <c r="N435" i="24"/>
  <c r="H435" i="24"/>
  <c r="D435" i="24"/>
  <c r="T434" i="24"/>
  <c r="P434" i="24"/>
  <c r="L434" i="24"/>
  <c r="F434" i="24"/>
  <c r="B434" i="24"/>
  <c r="R433" i="24"/>
  <c r="N433" i="24"/>
  <c r="H433" i="24"/>
  <c r="D433" i="24"/>
  <c r="T432" i="24"/>
  <c r="P432" i="24"/>
  <c r="L432" i="24"/>
  <c r="F432" i="24"/>
  <c r="B432" i="24"/>
  <c r="R431" i="24"/>
  <c r="N431" i="24"/>
  <c r="H431" i="24"/>
  <c r="D431" i="24"/>
  <c r="T430" i="24"/>
  <c r="P430" i="24"/>
  <c r="L430" i="24"/>
  <c r="F430" i="24"/>
  <c r="B430" i="24"/>
  <c r="R429" i="24"/>
  <c r="N429" i="24"/>
  <c r="H429" i="24"/>
  <c r="D429" i="24"/>
  <c r="T428" i="24"/>
  <c r="P428" i="24"/>
  <c r="L428" i="24"/>
  <c r="F428" i="24"/>
  <c r="B428" i="24"/>
  <c r="R427" i="24"/>
  <c r="N427" i="24"/>
  <c r="H427" i="24"/>
  <c r="D427" i="24"/>
  <c r="T426" i="24"/>
  <c r="P426" i="24"/>
  <c r="L426" i="24"/>
  <c r="F426" i="24"/>
  <c r="B426" i="24"/>
  <c r="R425" i="24"/>
  <c r="N425" i="24"/>
  <c r="H425" i="24"/>
  <c r="D425" i="24"/>
  <c r="T424" i="24"/>
  <c r="P424" i="24"/>
  <c r="L424" i="24"/>
  <c r="F424" i="24"/>
  <c r="B424" i="24"/>
  <c r="R423" i="24"/>
  <c r="N423" i="24"/>
  <c r="H423" i="24"/>
  <c r="D423" i="24"/>
  <c r="T422" i="24"/>
  <c r="P422" i="24"/>
  <c r="L422" i="24"/>
  <c r="F422" i="24"/>
  <c r="B422" i="24"/>
  <c r="R421" i="24"/>
  <c r="N421" i="24"/>
  <c r="H421" i="24"/>
  <c r="D421" i="24"/>
  <c r="T420" i="24"/>
  <c r="P420" i="24"/>
  <c r="L420" i="24"/>
  <c r="F420" i="24"/>
  <c r="B420" i="24"/>
  <c r="R419" i="24"/>
  <c r="N419" i="24"/>
  <c r="H419" i="24"/>
  <c r="D419" i="24"/>
  <c r="T418" i="24"/>
  <c r="P418" i="24"/>
  <c r="L418" i="24"/>
  <c r="F418" i="24"/>
  <c r="B418" i="24"/>
  <c r="R417" i="24"/>
  <c r="N417" i="24"/>
  <c r="H417" i="24"/>
  <c r="D417" i="24"/>
  <c r="T416" i="24"/>
  <c r="P416" i="24"/>
  <c r="L416" i="24"/>
  <c r="F416" i="24"/>
  <c r="B416" i="24"/>
  <c r="R415" i="24"/>
  <c r="N415" i="24"/>
  <c r="H415" i="24"/>
  <c r="D415" i="24"/>
  <c r="T414" i="24"/>
  <c r="P414" i="24"/>
  <c r="L414" i="24"/>
  <c r="F414" i="24"/>
  <c r="B414" i="24"/>
  <c r="R413" i="24"/>
  <c r="N413" i="24"/>
  <c r="H413" i="24"/>
  <c r="D413" i="24"/>
  <c r="T412" i="24"/>
  <c r="P412" i="24"/>
  <c r="L412" i="24"/>
  <c r="F412" i="24"/>
  <c r="B412" i="24"/>
  <c r="R411" i="24"/>
  <c r="N411" i="24"/>
  <c r="H411" i="24"/>
  <c r="D411" i="24"/>
  <c r="T410" i="24"/>
  <c r="P410" i="24"/>
  <c r="L410" i="24"/>
  <c r="F410" i="24"/>
  <c r="B410" i="24"/>
  <c r="R409" i="24"/>
  <c r="N409" i="24"/>
  <c r="H409" i="24"/>
  <c r="D409" i="24"/>
  <c r="T408" i="24"/>
  <c r="P408" i="24"/>
  <c r="L408" i="24"/>
  <c r="F408" i="24"/>
  <c r="B408" i="24"/>
  <c r="R407" i="24"/>
  <c r="N407" i="24"/>
  <c r="H407" i="24"/>
  <c r="D407" i="24"/>
  <c r="T406" i="24"/>
  <c r="P406" i="24"/>
  <c r="L406" i="24"/>
  <c r="F406" i="24"/>
  <c r="B406" i="24"/>
  <c r="R405" i="24"/>
  <c r="N405" i="24"/>
  <c r="H405" i="24"/>
  <c r="D405" i="24"/>
  <c r="T404" i="24"/>
  <c r="P404" i="24"/>
  <c r="L404" i="24"/>
  <c r="F404" i="24"/>
  <c r="B404" i="24"/>
  <c r="R403" i="24"/>
  <c r="N403" i="24"/>
  <c r="H403" i="24"/>
  <c r="D403" i="24"/>
  <c r="T402" i="24"/>
  <c r="P402" i="24"/>
  <c r="L402" i="24"/>
  <c r="F402" i="24"/>
  <c r="B402" i="24"/>
  <c r="R401" i="24"/>
  <c r="N401" i="24"/>
  <c r="H401" i="24"/>
  <c r="D401" i="24"/>
  <c r="T400" i="24"/>
  <c r="P400" i="24"/>
  <c r="L400" i="24"/>
  <c r="F400" i="24"/>
  <c r="B400" i="24"/>
  <c r="R399" i="24"/>
  <c r="N399" i="24"/>
  <c r="H399" i="24"/>
  <c r="D399" i="24"/>
  <c r="T398" i="24"/>
  <c r="P398" i="24"/>
  <c r="L398" i="24"/>
  <c r="F398" i="24"/>
  <c r="B398" i="24"/>
  <c r="R397" i="24"/>
  <c r="N397" i="24"/>
  <c r="H397" i="24"/>
  <c r="D397" i="24"/>
  <c r="T396" i="24"/>
  <c r="P396" i="24"/>
  <c r="L396" i="24"/>
  <c r="F396" i="24"/>
  <c r="B396" i="24"/>
  <c r="R395" i="24"/>
  <c r="N395" i="24"/>
  <c r="H395" i="24"/>
  <c r="D395" i="24"/>
  <c r="T394" i="24"/>
  <c r="P394" i="24"/>
  <c r="L394" i="24"/>
  <c r="F394" i="24"/>
  <c r="B394" i="24"/>
  <c r="R393" i="24"/>
  <c r="N393" i="24"/>
  <c r="H393" i="24"/>
  <c r="D393" i="24"/>
  <c r="T392" i="24"/>
  <c r="P392" i="24"/>
  <c r="L392" i="24"/>
  <c r="F392" i="24"/>
  <c r="B392" i="24"/>
  <c r="R391" i="24"/>
  <c r="N391" i="24"/>
  <c r="H391" i="24"/>
  <c r="D391" i="24"/>
  <c r="T390" i="24"/>
  <c r="P390" i="24"/>
  <c r="L390" i="24"/>
  <c r="F390" i="24"/>
  <c r="B390" i="24"/>
  <c r="R389" i="24"/>
  <c r="N389" i="24"/>
  <c r="H389" i="24"/>
  <c r="D389" i="24"/>
  <c r="T388" i="24"/>
  <c r="P388" i="24"/>
  <c r="L388" i="24"/>
  <c r="F388" i="24"/>
  <c r="B388" i="24"/>
  <c r="R387" i="24"/>
  <c r="N387" i="24"/>
  <c r="H387" i="24"/>
  <c r="D387" i="24"/>
  <c r="T386" i="24"/>
  <c r="P386" i="24"/>
  <c r="L386" i="24"/>
  <c r="F386" i="24"/>
  <c r="B386" i="24"/>
  <c r="R385" i="24"/>
  <c r="N385" i="24"/>
  <c r="H385" i="24"/>
  <c r="D385" i="24"/>
  <c r="T384" i="24"/>
  <c r="P384" i="24"/>
  <c r="L384" i="24"/>
  <c r="F384" i="24"/>
  <c r="B384" i="24"/>
  <c r="R383" i="24"/>
  <c r="N383" i="24"/>
  <c r="H383" i="24"/>
  <c r="D383" i="24"/>
  <c r="T382" i="24"/>
  <c r="P382" i="24"/>
  <c r="L382" i="24"/>
  <c r="F382" i="24"/>
  <c r="B382" i="24"/>
  <c r="R381" i="24"/>
  <c r="N381" i="24"/>
  <c r="H381" i="24"/>
  <c r="D381" i="24"/>
  <c r="T380" i="24"/>
  <c r="P380" i="24"/>
  <c r="L380" i="24"/>
  <c r="F380" i="24"/>
  <c r="B380" i="24"/>
  <c r="R379" i="24"/>
  <c r="N379" i="24"/>
  <c r="H379" i="24"/>
  <c r="D379" i="24"/>
  <c r="T378" i="24"/>
  <c r="P378" i="24"/>
  <c r="L378" i="24"/>
  <c r="F378" i="24"/>
  <c r="B378" i="24"/>
  <c r="R377" i="24"/>
  <c r="N377" i="24"/>
  <c r="H377" i="24"/>
  <c r="D377" i="24"/>
  <c r="T376" i="24"/>
  <c r="P376" i="24"/>
  <c r="L376" i="24"/>
  <c r="F376" i="24"/>
  <c r="B376" i="24"/>
  <c r="R375" i="24"/>
  <c r="N375" i="24"/>
  <c r="H375" i="24"/>
  <c r="D375" i="24"/>
  <c r="T374" i="24"/>
  <c r="P374" i="24"/>
  <c r="L374" i="24"/>
  <c r="F374" i="24"/>
  <c r="B374" i="24"/>
  <c r="R373" i="24"/>
  <c r="N373" i="24"/>
  <c r="H373" i="24"/>
  <c r="D373" i="24"/>
  <c r="T372" i="24"/>
  <c r="P372" i="24"/>
  <c r="L372" i="24"/>
  <c r="F372" i="24"/>
  <c r="B372" i="24"/>
  <c r="R371" i="24"/>
  <c r="N371" i="24"/>
  <c r="H371" i="24"/>
  <c r="D371" i="24"/>
  <c r="T370" i="24"/>
  <c r="P370" i="24"/>
  <c r="L370" i="24"/>
  <c r="F370" i="24"/>
  <c r="B370" i="24"/>
  <c r="R369" i="24"/>
  <c r="N369" i="24"/>
  <c r="H369" i="24"/>
  <c r="D369" i="24"/>
  <c r="T368" i="24"/>
  <c r="P368" i="24"/>
  <c r="L368" i="24"/>
  <c r="F368" i="24"/>
  <c r="B368" i="24"/>
  <c r="R367" i="24"/>
  <c r="N367" i="24"/>
  <c r="H367" i="24"/>
  <c r="D367" i="24"/>
  <c r="T366" i="24"/>
  <c r="P366" i="24"/>
  <c r="L366" i="24"/>
  <c r="F366" i="24"/>
  <c r="B366" i="24"/>
  <c r="R365" i="24"/>
  <c r="N365" i="24"/>
  <c r="H365" i="24"/>
  <c r="D365" i="24"/>
  <c r="T364" i="24"/>
  <c r="P364" i="24"/>
  <c r="L364" i="24"/>
  <c r="F364" i="24"/>
  <c r="B364" i="24"/>
  <c r="R363" i="24"/>
  <c r="N363" i="24"/>
  <c r="H363" i="24"/>
  <c r="D363" i="24"/>
  <c r="T362" i="24"/>
  <c r="P362" i="24"/>
  <c r="L362" i="24"/>
  <c r="F362" i="24"/>
  <c r="B362" i="24"/>
  <c r="R361" i="24"/>
  <c r="N361" i="24"/>
  <c r="H361" i="24"/>
  <c r="D361" i="24"/>
  <c r="T360" i="24"/>
  <c r="P360" i="24"/>
  <c r="L360" i="24"/>
  <c r="F360" i="24"/>
  <c r="B360" i="24"/>
  <c r="R359" i="24"/>
  <c r="N359" i="24"/>
  <c r="H359" i="24"/>
  <c r="D359" i="24"/>
  <c r="T358" i="24"/>
  <c r="P358" i="24"/>
  <c r="L358" i="24"/>
  <c r="F358" i="24"/>
  <c r="B358" i="24"/>
  <c r="R357" i="24"/>
  <c r="N357" i="24"/>
  <c r="H357" i="24"/>
  <c r="D357" i="24"/>
  <c r="T356" i="24"/>
  <c r="P356" i="24"/>
  <c r="L356" i="24"/>
  <c r="F356" i="24"/>
  <c r="B356" i="24"/>
  <c r="R355" i="24"/>
  <c r="N355" i="24"/>
  <c r="H355" i="24"/>
  <c r="D355" i="24"/>
  <c r="T354" i="24"/>
  <c r="P354" i="24"/>
  <c r="L354" i="24"/>
  <c r="F354" i="24"/>
  <c r="B354" i="24"/>
  <c r="R353" i="24"/>
  <c r="N353" i="24"/>
  <c r="H353" i="24"/>
  <c r="D353" i="24"/>
  <c r="T352" i="24"/>
  <c r="P352" i="24"/>
  <c r="L352" i="24"/>
  <c r="F352" i="24"/>
  <c r="B352" i="24"/>
  <c r="R351" i="24"/>
  <c r="N351" i="24"/>
  <c r="H351" i="24"/>
  <c r="D351" i="24"/>
  <c r="T350" i="24"/>
  <c r="P350" i="24"/>
  <c r="L350" i="24"/>
  <c r="F350" i="24"/>
  <c r="B350" i="24"/>
  <c r="R349" i="24"/>
  <c r="N349" i="24"/>
  <c r="H349" i="24"/>
  <c r="D349" i="24"/>
  <c r="T348" i="24"/>
  <c r="P348" i="24"/>
  <c r="L348" i="24"/>
  <c r="F348" i="24"/>
  <c r="B348" i="24"/>
  <c r="R347" i="24"/>
  <c r="N347" i="24"/>
  <c r="H347" i="24"/>
  <c r="D347" i="24"/>
  <c r="T346" i="24"/>
  <c r="P346" i="24"/>
  <c r="L346" i="24"/>
  <c r="F346" i="24"/>
  <c r="B346" i="24"/>
  <c r="R345" i="24"/>
  <c r="N345" i="24"/>
  <c r="H345" i="24"/>
  <c r="D345" i="24"/>
  <c r="T344" i="24"/>
  <c r="P344" i="24"/>
  <c r="L344" i="24"/>
  <c r="F344" i="24"/>
  <c r="B344" i="24"/>
  <c r="R343" i="24"/>
  <c r="N343" i="24"/>
  <c r="H343" i="24"/>
  <c r="D343" i="24"/>
  <c r="T342" i="24"/>
  <c r="P342" i="24"/>
  <c r="L342" i="24"/>
  <c r="F342" i="24"/>
  <c r="B342" i="24"/>
  <c r="R341" i="24"/>
  <c r="N341" i="24"/>
  <c r="H341" i="24"/>
  <c r="D341" i="24"/>
  <c r="T340" i="24"/>
  <c r="P340" i="24"/>
  <c r="L340" i="24"/>
  <c r="F340" i="24"/>
  <c r="B340" i="24"/>
  <c r="R339" i="24"/>
  <c r="N339" i="24"/>
  <c r="H339" i="24"/>
  <c r="D339" i="24"/>
  <c r="T338" i="24"/>
  <c r="P338" i="24"/>
  <c r="L338" i="24"/>
  <c r="F338" i="24"/>
  <c r="B338" i="24"/>
  <c r="R337" i="24"/>
  <c r="N337" i="24"/>
  <c r="H337" i="24"/>
  <c r="D337" i="24"/>
  <c r="T336" i="24"/>
  <c r="P336" i="24"/>
  <c r="L336" i="24"/>
  <c r="F336" i="24"/>
  <c r="B336" i="24"/>
  <c r="R335" i="24"/>
  <c r="N335" i="24"/>
  <c r="H335" i="24"/>
  <c r="D335" i="24"/>
  <c r="T334" i="24"/>
  <c r="P334" i="24"/>
  <c r="L334" i="24"/>
  <c r="F334" i="24"/>
  <c r="B334" i="24"/>
  <c r="R333" i="24"/>
  <c r="N333" i="24"/>
  <c r="H333" i="24"/>
  <c r="D333" i="24"/>
  <c r="T332" i="24"/>
  <c r="P332" i="24"/>
  <c r="L332" i="24"/>
  <c r="F332" i="24"/>
  <c r="B332" i="24"/>
  <c r="R331" i="24"/>
  <c r="N331" i="24"/>
  <c r="H331" i="24"/>
  <c r="D331" i="24"/>
  <c r="T330" i="24"/>
  <c r="P330" i="24"/>
  <c r="L330" i="24"/>
  <c r="F330" i="24"/>
  <c r="B330" i="24"/>
  <c r="R329" i="24"/>
  <c r="N329" i="24"/>
  <c r="H329" i="24"/>
  <c r="D329" i="24"/>
  <c r="T328" i="24"/>
  <c r="P328" i="24"/>
  <c r="L328" i="24"/>
  <c r="F328" i="24"/>
  <c r="B328" i="24"/>
  <c r="R327" i="24"/>
  <c r="N327" i="24"/>
  <c r="H327" i="24"/>
  <c r="D327" i="24"/>
  <c r="T326" i="24"/>
  <c r="P326" i="24"/>
  <c r="L326" i="24"/>
  <c r="F326" i="24"/>
  <c r="B326" i="24"/>
  <c r="R325" i="24"/>
  <c r="N325" i="24"/>
  <c r="H325" i="24"/>
  <c r="D325" i="24"/>
  <c r="T324" i="24"/>
  <c r="P324" i="24"/>
  <c r="L324" i="24"/>
  <c r="F324" i="24"/>
  <c r="B324" i="24"/>
  <c r="R323" i="24"/>
  <c r="N323" i="24"/>
  <c r="H323" i="24"/>
  <c r="D323" i="24"/>
  <c r="T322" i="24"/>
  <c r="P322" i="24"/>
  <c r="L322" i="24"/>
  <c r="F322" i="24"/>
  <c r="B322" i="24"/>
  <c r="R321" i="24"/>
  <c r="N321" i="24"/>
  <c r="H321" i="24"/>
  <c r="D321" i="24"/>
  <c r="T320" i="24"/>
  <c r="P320" i="24"/>
  <c r="L320" i="24"/>
  <c r="F320" i="24"/>
  <c r="B320" i="24"/>
  <c r="R319" i="24"/>
  <c r="N319" i="24"/>
  <c r="H319" i="24"/>
  <c r="D319" i="24"/>
  <c r="T318" i="24"/>
  <c r="P318" i="24"/>
  <c r="L318" i="24"/>
  <c r="F318" i="24"/>
  <c r="B318" i="24"/>
  <c r="R317" i="24"/>
  <c r="N317" i="24"/>
  <c r="H317" i="24"/>
  <c r="D317" i="24"/>
  <c r="T316" i="24"/>
  <c r="P316" i="24"/>
  <c r="L316" i="24"/>
  <c r="F316" i="24"/>
  <c r="B316" i="24"/>
  <c r="R315" i="24"/>
  <c r="N315" i="24"/>
  <c r="H315" i="24"/>
  <c r="D315" i="24"/>
  <c r="T314" i="24"/>
  <c r="P314" i="24"/>
  <c r="L314" i="24"/>
  <c r="F314" i="24"/>
  <c r="B314" i="24"/>
  <c r="R313" i="24"/>
  <c r="N313" i="24"/>
  <c r="H313" i="24"/>
  <c r="D313" i="24"/>
  <c r="T312" i="24"/>
  <c r="P312" i="24"/>
  <c r="L312" i="24"/>
  <c r="F312" i="24"/>
  <c r="B312" i="24"/>
  <c r="R311" i="24"/>
  <c r="N311" i="24"/>
  <c r="H311" i="24"/>
  <c r="D311" i="24"/>
  <c r="T310" i="24"/>
  <c r="P310" i="24"/>
  <c r="L310" i="24"/>
  <c r="F310" i="24"/>
  <c r="B310" i="24"/>
  <c r="R309" i="24"/>
  <c r="N309" i="24"/>
  <c r="H309" i="24"/>
  <c r="D309" i="24"/>
  <c r="T308" i="24"/>
  <c r="P308" i="24"/>
  <c r="L308" i="24"/>
  <c r="F308" i="24"/>
  <c r="B308" i="24"/>
  <c r="R307" i="24"/>
  <c r="N307" i="24"/>
  <c r="H307" i="24"/>
  <c r="D307" i="24"/>
  <c r="T306" i="24"/>
  <c r="P306" i="24"/>
  <c r="L306" i="24"/>
  <c r="F306" i="24"/>
  <c r="B306" i="24"/>
  <c r="R305" i="24"/>
  <c r="N305" i="24"/>
  <c r="H305" i="24"/>
  <c r="D305" i="24"/>
  <c r="T304" i="24"/>
  <c r="P304" i="24"/>
  <c r="L304" i="24"/>
  <c r="F304" i="24"/>
  <c r="B304" i="24"/>
  <c r="R303" i="24"/>
  <c r="N303" i="24"/>
  <c r="H303" i="24"/>
  <c r="D303" i="24"/>
  <c r="T302" i="24"/>
  <c r="P302" i="24"/>
  <c r="L302" i="24"/>
  <c r="F302" i="24"/>
  <c r="B302" i="24"/>
  <c r="R301" i="24"/>
  <c r="N301" i="24"/>
  <c r="H301" i="24"/>
  <c r="D301" i="24"/>
  <c r="T300" i="24"/>
  <c r="P300" i="24"/>
  <c r="L300" i="24"/>
  <c r="F300" i="24"/>
  <c r="B300" i="24"/>
  <c r="R299" i="24"/>
  <c r="N299" i="24"/>
  <c r="H299" i="24"/>
  <c r="D299" i="24"/>
  <c r="T298" i="24"/>
  <c r="P298" i="24"/>
  <c r="L298" i="24"/>
  <c r="F298" i="24"/>
  <c r="B298" i="24"/>
  <c r="R297" i="24"/>
  <c r="N297" i="24"/>
  <c r="H297" i="24"/>
  <c r="D297" i="24"/>
  <c r="T296" i="24"/>
  <c r="P296" i="24"/>
  <c r="L296" i="24"/>
  <c r="F296" i="24"/>
  <c r="B296" i="24"/>
  <c r="R295" i="24"/>
  <c r="N295" i="24"/>
  <c r="H295" i="24"/>
  <c r="D295" i="24"/>
  <c r="T294" i="24"/>
  <c r="P294" i="24"/>
  <c r="L294" i="24"/>
  <c r="F294" i="24"/>
  <c r="B294" i="24"/>
  <c r="R293" i="24"/>
  <c r="N293" i="24"/>
  <c r="H293" i="24"/>
  <c r="D293" i="24"/>
  <c r="T292" i="24"/>
  <c r="P292" i="24"/>
  <c r="L292" i="24"/>
  <c r="F292" i="24"/>
  <c r="B292" i="24"/>
  <c r="R291" i="24"/>
  <c r="N291" i="24"/>
  <c r="H291" i="24"/>
  <c r="D291" i="24"/>
  <c r="T290" i="24"/>
  <c r="P290" i="24"/>
  <c r="L290" i="24"/>
  <c r="F290" i="24"/>
  <c r="B290" i="24"/>
  <c r="R289" i="24"/>
  <c r="N289" i="24"/>
  <c r="H289" i="24"/>
  <c r="D289" i="24"/>
  <c r="T288" i="24"/>
  <c r="P288" i="24"/>
  <c r="L288" i="24"/>
  <c r="F288" i="24"/>
  <c r="B288" i="24"/>
  <c r="R287" i="24"/>
  <c r="N287" i="24"/>
  <c r="H287" i="24"/>
  <c r="D287" i="24"/>
  <c r="T286" i="24"/>
  <c r="P286" i="24"/>
  <c r="L286" i="24"/>
  <c r="F286" i="24"/>
  <c r="B286" i="24"/>
  <c r="R285" i="24"/>
  <c r="N285" i="24"/>
  <c r="H285" i="24"/>
  <c r="D285" i="24"/>
  <c r="T284" i="24"/>
  <c r="P284" i="24"/>
  <c r="L284" i="24"/>
  <c r="F284" i="24"/>
  <c r="B284" i="24"/>
  <c r="R283" i="24"/>
  <c r="N283" i="24"/>
  <c r="H283" i="24"/>
  <c r="D283" i="24"/>
  <c r="T282" i="24"/>
  <c r="P282" i="24"/>
  <c r="L282" i="24"/>
  <c r="F282" i="24"/>
  <c r="B282" i="24"/>
  <c r="R281" i="24"/>
  <c r="N281" i="24"/>
  <c r="H281" i="24"/>
  <c r="D281" i="24"/>
  <c r="T280" i="24"/>
  <c r="P280" i="24"/>
  <c r="L280" i="24"/>
  <c r="F280" i="24"/>
  <c r="B280" i="24"/>
  <c r="R279" i="24"/>
  <c r="N279" i="24"/>
  <c r="H279" i="24"/>
  <c r="D279" i="24"/>
  <c r="T278" i="24"/>
  <c r="P278" i="24"/>
  <c r="L278" i="24"/>
  <c r="F278" i="24"/>
  <c r="B278" i="24"/>
  <c r="R277" i="24"/>
  <c r="N277" i="24"/>
  <c r="H277" i="24"/>
  <c r="D277" i="24"/>
  <c r="T276" i="24"/>
  <c r="P276" i="24"/>
  <c r="L276" i="24"/>
  <c r="F276" i="24"/>
  <c r="B276" i="24"/>
  <c r="R275" i="24"/>
  <c r="N275" i="24"/>
  <c r="H275" i="24"/>
  <c r="D275" i="24"/>
  <c r="T274" i="24"/>
  <c r="P274" i="24"/>
  <c r="L274" i="24"/>
  <c r="F274" i="24"/>
  <c r="B274" i="24"/>
  <c r="R273" i="24"/>
  <c r="N273" i="24"/>
  <c r="H273" i="24"/>
  <c r="D273" i="24"/>
  <c r="T272" i="24"/>
  <c r="P272" i="24"/>
  <c r="L272" i="24"/>
  <c r="F272" i="24"/>
  <c r="B272" i="24"/>
  <c r="R271" i="24"/>
  <c r="N271" i="24"/>
  <c r="H271" i="24"/>
  <c r="D271" i="24"/>
  <c r="T270" i="24"/>
  <c r="P270" i="24"/>
  <c r="L270" i="24"/>
  <c r="F270" i="24"/>
  <c r="B270" i="24"/>
  <c r="R269" i="24"/>
  <c r="N269" i="24"/>
  <c r="H269" i="24"/>
  <c r="D269" i="24"/>
  <c r="T268" i="24"/>
  <c r="P268" i="24"/>
  <c r="L268" i="24"/>
  <c r="F268" i="24"/>
  <c r="B268" i="24"/>
  <c r="R267" i="24"/>
  <c r="N267" i="24"/>
  <c r="H267" i="24"/>
  <c r="D267" i="24"/>
  <c r="T266" i="24"/>
  <c r="P266" i="24"/>
  <c r="L266" i="24"/>
  <c r="F266" i="24"/>
  <c r="B266" i="24"/>
  <c r="R265" i="24"/>
  <c r="N265" i="24"/>
  <c r="H265" i="24"/>
  <c r="D265" i="24"/>
  <c r="T264" i="24"/>
  <c r="P264" i="24"/>
  <c r="L264" i="24"/>
  <c r="F264" i="24"/>
  <c r="B264" i="24"/>
  <c r="R263" i="24"/>
  <c r="N263" i="24"/>
  <c r="H263" i="24"/>
  <c r="D263" i="24"/>
  <c r="T262" i="24"/>
  <c r="P262" i="24"/>
  <c r="L262" i="24"/>
  <c r="F262" i="24"/>
  <c r="B262" i="24"/>
  <c r="R261" i="24"/>
  <c r="N261" i="24"/>
  <c r="H261" i="24"/>
  <c r="D261" i="24"/>
  <c r="T260" i="24"/>
  <c r="P260" i="24"/>
  <c r="L260" i="24"/>
  <c r="F260" i="24"/>
  <c r="B260" i="24"/>
  <c r="R259" i="24"/>
  <c r="N259" i="24"/>
  <c r="H259" i="24"/>
  <c r="D259" i="24"/>
  <c r="T258" i="24"/>
  <c r="P258" i="24"/>
  <c r="L258" i="24"/>
  <c r="F258" i="24"/>
  <c r="B258" i="24"/>
  <c r="R257" i="24"/>
  <c r="N257" i="24"/>
  <c r="H257" i="24"/>
  <c r="D257" i="24"/>
  <c r="T256" i="24"/>
  <c r="P256" i="24"/>
  <c r="L256" i="24"/>
  <c r="F256" i="24"/>
  <c r="B256" i="24"/>
  <c r="R255" i="24"/>
  <c r="N255" i="24"/>
  <c r="H255" i="24"/>
  <c r="D255" i="24"/>
  <c r="T254" i="24"/>
  <c r="P254" i="24"/>
  <c r="L254" i="24"/>
  <c r="F254" i="24"/>
  <c r="B254" i="24"/>
  <c r="R253" i="24"/>
  <c r="N253" i="24"/>
  <c r="H253" i="24"/>
  <c r="D253" i="24"/>
  <c r="T252" i="24"/>
  <c r="P252" i="24"/>
  <c r="L252" i="24"/>
  <c r="F252" i="24"/>
  <c r="B252" i="24"/>
  <c r="R251" i="24"/>
  <c r="N251" i="24"/>
  <c r="H251" i="24"/>
  <c r="D251" i="24"/>
  <c r="T250" i="24"/>
  <c r="P250" i="24"/>
  <c r="L250" i="24"/>
  <c r="F250" i="24"/>
  <c r="B250" i="24"/>
  <c r="R249" i="24"/>
  <c r="N249" i="24"/>
  <c r="H249" i="24"/>
  <c r="D249" i="24"/>
  <c r="T248" i="24"/>
  <c r="P248" i="24"/>
  <c r="L248" i="24"/>
  <c r="F248" i="24"/>
  <c r="B248" i="24"/>
  <c r="R247" i="24"/>
  <c r="N247" i="24"/>
  <c r="H247" i="24"/>
  <c r="D247" i="24"/>
  <c r="T246" i="24"/>
  <c r="P246" i="24"/>
  <c r="L246" i="24"/>
  <c r="F246" i="24"/>
  <c r="B246" i="24"/>
  <c r="R245" i="24"/>
  <c r="N245" i="24"/>
  <c r="H245" i="24"/>
  <c r="D245" i="24"/>
  <c r="T244" i="24"/>
  <c r="P244" i="24"/>
  <c r="L244" i="24"/>
  <c r="F244" i="24"/>
  <c r="B244" i="24"/>
  <c r="R243" i="24"/>
  <c r="N243" i="24"/>
  <c r="H243" i="24"/>
  <c r="D243" i="24"/>
  <c r="T242" i="24"/>
  <c r="P242" i="24"/>
  <c r="L242" i="24"/>
  <c r="F242" i="24"/>
  <c r="B242" i="24"/>
  <c r="R241" i="24"/>
  <c r="N241" i="24"/>
  <c r="H241" i="24"/>
  <c r="D241" i="24"/>
  <c r="T240" i="24"/>
  <c r="P240" i="24"/>
  <c r="L240" i="24"/>
  <c r="F240" i="24"/>
  <c r="B240" i="24"/>
  <c r="R239" i="24"/>
  <c r="N239" i="24"/>
  <c r="H239" i="24"/>
  <c r="D239" i="24"/>
  <c r="T238" i="24"/>
  <c r="P238" i="24"/>
  <c r="L238" i="24"/>
  <c r="F238" i="24"/>
  <c r="B238" i="24"/>
  <c r="R237" i="24"/>
  <c r="N237" i="24"/>
  <c r="H237" i="24"/>
  <c r="D237" i="24"/>
  <c r="T236" i="24"/>
  <c r="P236" i="24"/>
  <c r="L236" i="24"/>
  <c r="F236" i="24"/>
  <c r="B236" i="24"/>
  <c r="R235" i="24"/>
  <c r="N235" i="24"/>
  <c r="H235" i="24"/>
  <c r="D235" i="24"/>
  <c r="T234" i="24"/>
  <c r="P234" i="24"/>
  <c r="L234" i="24"/>
  <c r="F234" i="24"/>
  <c r="B234" i="24"/>
  <c r="R233" i="24"/>
  <c r="N233" i="24"/>
  <c r="H233" i="24"/>
  <c r="D233" i="24"/>
  <c r="T232" i="24"/>
  <c r="P232" i="24"/>
  <c r="L232" i="24"/>
  <c r="F232" i="24"/>
  <c r="B232" i="24"/>
  <c r="R231" i="24"/>
  <c r="N231" i="24"/>
  <c r="H231" i="24"/>
  <c r="D231" i="24"/>
  <c r="T230" i="24"/>
  <c r="P230" i="24"/>
  <c r="L230" i="24"/>
  <c r="F230" i="24"/>
  <c r="B230" i="24"/>
  <c r="R229" i="24"/>
  <c r="N229" i="24"/>
  <c r="H229" i="24"/>
  <c r="D229" i="24"/>
  <c r="T228" i="24"/>
  <c r="P228" i="24"/>
  <c r="L228" i="24"/>
  <c r="F228" i="24"/>
  <c r="B228" i="24"/>
  <c r="R227" i="24"/>
  <c r="N227" i="24"/>
  <c r="H227" i="24"/>
  <c r="D227" i="24"/>
  <c r="T226" i="24"/>
  <c r="P226" i="24"/>
  <c r="L226" i="24"/>
  <c r="F226" i="24"/>
  <c r="B226" i="24"/>
  <c r="R225" i="24"/>
  <c r="N225" i="24"/>
  <c r="H225" i="24"/>
  <c r="D225" i="24"/>
  <c r="T224" i="24"/>
  <c r="P224" i="24"/>
  <c r="L224" i="24"/>
  <c r="F224" i="24"/>
  <c r="B224" i="24"/>
  <c r="R223" i="24"/>
  <c r="N223" i="24"/>
  <c r="H223" i="24"/>
  <c r="D223" i="24"/>
  <c r="T222" i="24"/>
  <c r="P222" i="24"/>
  <c r="L222" i="24"/>
  <c r="F222" i="24"/>
  <c r="B222" i="24"/>
  <c r="R221" i="24"/>
  <c r="N221" i="24"/>
  <c r="H221" i="24"/>
  <c r="D221" i="24"/>
  <c r="T220" i="24"/>
  <c r="P220" i="24"/>
  <c r="L220" i="24"/>
  <c r="F220" i="24"/>
  <c r="B220" i="24"/>
  <c r="R219" i="24"/>
  <c r="N219" i="24"/>
  <c r="H219" i="24"/>
  <c r="D219" i="24"/>
  <c r="T218" i="24"/>
  <c r="P218" i="24"/>
  <c r="L218" i="24"/>
  <c r="F218" i="24"/>
  <c r="B218" i="24"/>
  <c r="R217" i="24"/>
  <c r="N217" i="24"/>
  <c r="H217" i="24"/>
  <c r="D217" i="24"/>
  <c r="T216" i="24"/>
  <c r="P216" i="24"/>
  <c r="L216" i="24"/>
  <c r="F216" i="24"/>
  <c r="B216" i="24"/>
  <c r="R215" i="24"/>
  <c r="N215" i="24"/>
  <c r="H215" i="24"/>
  <c r="D215" i="24"/>
  <c r="T214" i="24"/>
  <c r="P214" i="24"/>
  <c r="L214" i="24"/>
  <c r="F214" i="24"/>
  <c r="B214" i="24"/>
  <c r="R213" i="24"/>
  <c r="N213" i="24"/>
  <c r="H213" i="24"/>
  <c r="D213" i="24"/>
  <c r="T212" i="24"/>
  <c r="P212" i="24"/>
  <c r="L212" i="24"/>
  <c r="F212" i="24"/>
  <c r="B212" i="24"/>
  <c r="R211" i="24"/>
  <c r="N211" i="24"/>
  <c r="H211" i="24"/>
  <c r="D211" i="24"/>
  <c r="T210" i="24"/>
  <c r="P210" i="24"/>
  <c r="L210" i="24"/>
  <c r="F210" i="24"/>
  <c r="B210" i="24"/>
  <c r="R209" i="24"/>
  <c r="N209" i="24"/>
  <c r="H209" i="24"/>
  <c r="D209" i="24"/>
  <c r="T208" i="24"/>
  <c r="P208" i="24"/>
  <c r="L208" i="24"/>
  <c r="F208" i="24"/>
  <c r="B208" i="24"/>
  <c r="R207" i="24"/>
  <c r="N207" i="24"/>
  <c r="H207" i="24"/>
  <c r="D207" i="24"/>
  <c r="T206" i="24"/>
  <c r="P206" i="24"/>
  <c r="L206" i="24"/>
  <c r="F206" i="24"/>
  <c r="B206" i="24"/>
  <c r="R205" i="24"/>
  <c r="N205" i="24"/>
  <c r="H205" i="24"/>
  <c r="D205" i="24"/>
  <c r="T204" i="24"/>
  <c r="P204" i="24"/>
  <c r="L204" i="24"/>
  <c r="F204" i="24"/>
  <c r="B204" i="24"/>
  <c r="R203" i="24"/>
  <c r="N203" i="24"/>
  <c r="H203" i="24"/>
  <c r="D203" i="24"/>
  <c r="T202" i="24"/>
  <c r="P202" i="24"/>
  <c r="L202" i="24"/>
  <c r="F202" i="24"/>
  <c r="B202" i="24"/>
  <c r="R201" i="24"/>
  <c r="N201" i="24"/>
  <c r="H201" i="24"/>
  <c r="D201" i="24"/>
  <c r="T200" i="24"/>
  <c r="P200" i="24"/>
  <c r="L200" i="24"/>
  <c r="F200" i="24"/>
  <c r="B200" i="24"/>
  <c r="R199" i="24"/>
  <c r="N199" i="24"/>
  <c r="H199" i="24"/>
  <c r="D199" i="24"/>
  <c r="T198" i="24"/>
  <c r="P198" i="24"/>
  <c r="L198" i="24"/>
  <c r="F198" i="24"/>
  <c r="B198" i="24"/>
  <c r="R197" i="24"/>
  <c r="N197" i="24"/>
  <c r="J197" i="24"/>
  <c r="F197" i="24"/>
  <c r="B197" i="24"/>
  <c r="R196" i="24"/>
  <c r="N196" i="24"/>
  <c r="J196" i="24"/>
  <c r="F196" i="24"/>
  <c r="B196" i="24"/>
  <c r="R195" i="24"/>
  <c r="N195" i="24"/>
  <c r="J195" i="24"/>
  <c r="F195" i="24"/>
  <c r="B195" i="24"/>
  <c r="R194" i="24"/>
  <c r="N194" i="24"/>
  <c r="J194" i="24"/>
  <c r="F194" i="24"/>
  <c r="B194" i="24"/>
  <c r="R193" i="24"/>
  <c r="N193" i="24"/>
  <c r="J193" i="24"/>
  <c r="F193" i="24"/>
  <c r="B193" i="24"/>
  <c r="R192" i="24"/>
  <c r="N192" i="24"/>
  <c r="J192" i="24"/>
  <c r="F192" i="24"/>
  <c r="B192" i="24"/>
  <c r="R191" i="24"/>
  <c r="N191" i="24"/>
  <c r="J191" i="24"/>
  <c r="F191" i="24"/>
  <c r="B191" i="24"/>
  <c r="R190" i="24"/>
  <c r="N190" i="24"/>
  <c r="J190" i="24"/>
  <c r="F190" i="24"/>
  <c r="B190" i="24"/>
  <c r="R189" i="24"/>
  <c r="N189" i="24"/>
  <c r="J189" i="24"/>
  <c r="F189" i="24"/>
  <c r="B189" i="24"/>
  <c r="R188" i="24"/>
  <c r="N188" i="24"/>
  <c r="J188" i="24"/>
  <c r="F188" i="24"/>
  <c r="B188" i="24"/>
  <c r="R187" i="24"/>
  <c r="N187" i="24"/>
  <c r="J187" i="24"/>
  <c r="F187" i="24"/>
  <c r="B187" i="24"/>
  <c r="R186" i="24"/>
  <c r="N186" i="24"/>
  <c r="J186" i="24"/>
  <c r="F186" i="24"/>
  <c r="B186" i="24"/>
  <c r="R185" i="24"/>
  <c r="N185" i="24"/>
  <c r="J185" i="24"/>
  <c r="F185" i="24"/>
  <c r="B185" i="24"/>
  <c r="R184" i="24"/>
  <c r="N184" i="24"/>
  <c r="J184" i="24"/>
  <c r="F184" i="24"/>
  <c r="B184" i="24"/>
  <c r="R183" i="24"/>
  <c r="N183" i="24"/>
  <c r="J183" i="24"/>
  <c r="F183" i="24"/>
  <c r="B183" i="24"/>
  <c r="R182" i="24"/>
  <c r="N182" i="24"/>
  <c r="J182" i="24"/>
  <c r="F182" i="24"/>
  <c r="B182" i="24"/>
  <c r="R181" i="24"/>
  <c r="N181" i="24"/>
  <c r="J181" i="24"/>
  <c r="F181" i="24"/>
  <c r="B181" i="24"/>
  <c r="R180" i="24"/>
  <c r="N180" i="24"/>
  <c r="J180" i="24"/>
  <c r="F180" i="24"/>
  <c r="B180" i="24"/>
  <c r="R179" i="24"/>
  <c r="N179" i="24"/>
  <c r="J179" i="24"/>
  <c r="F179" i="24"/>
  <c r="B179" i="24"/>
  <c r="R178" i="24"/>
  <c r="N178" i="24"/>
  <c r="J178" i="24"/>
  <c r="F178" i="24"/>
  <c r="B178" i="24"/>
  <c r="R177" i="24"/>
  <c r="N177" i="24"/>
  <c r="J177" i="24"/>
  <c r="F177" i="24"/>
  <c r="B177" i="24"/>
  <c r="R176" i="24"/>
  <c r="N176" i="24"/>
  <c r="J176" i="24"/>
  <c r="F176" i="24"/>
  <c r="B176" i="24"/>
  <c r="R175" i="24"/>
  <c r="N175" i="24"/>
  <c r="J175" i="24"/>
  <c r="F175" i="24"/>
  <c r="B175" i="24"/>
  <c r="R174" i="24"/>
  <c r="N174" i="24"/>
  <c r="J174" i="24"/>
  <c r="F174" i="24"/>
  <c r="B174" i="24"/>
  <c r="R173" i="24"/>
  <c r="N173" i="24"/>
  <c r="J173" i="24"/>
  <c r="F173" i="24"/>
  <c r="B173" i="24"/>
  <c r="R172" i="24"/>
  <c r="N172" i="24"/>
  <c r="J172" i="24"/>
  <c r="F172" i="24"/>
  <c r="B172" i="24"/>
  <c r="R171" i="24"/>
  <c r="N171" i="24"/>
  <c r="J171" i="24"/>
  <c r="F171" i="24"/>
  <c r="B171" i="24"/>
  <c r="R170" i="24"/>
  <c r="N170" i="24"/>
  <c r="J170" i="24"/>
  <c r="F170" i="24"/>
  <c r="B170" i="24"/>
  <c r="R169" i="24"/>
  <c r="N169" i="24"/>
  <c r="J169" i="24"/>
  <c r="F169" i="24"/>
  <c r="B169" i="24"/>
  <c r="R168" i="24"/>
  <c r="N168" i="24"/>
  <c r="J168" i="24"/>
  <c r="F168" i="24"/>
  <c r="B168" i="24"/>
  <c r="R167" i="24"/>
  <c r="N167" i="24"/>
  <c r="J167" i="24"/>
  <c r="F167" i="24"/>
  <c r="B167" i="24"/>
  <c r="R166" i="24"/>
  <c r="N166" i="24"/>
  <c r="J166" i="24"/>
  <c r="F166" i="24"/>
  <c r="B166" i="24"/>
  <c r="R165" i="24"/>
  <c r="N165" i="24"/>
  <c r="J165" i="24"/>
  <c r="F165" i="24"/>
  <c r="B165" i="24"/>
  <c r="R164" i="24"/>
  <c r="N164" i="24"/>
  <c r="J164" i="24"/>
  <c r="F164" i="24"/>
  <c r="B164" i="24"/>
  <c r="R163" i="24"/>
  <c r="N163" i="24"/>
  <c r="J163" i="24"/>
  <c r="F163" i="24"/>
  <c r="B163" i="24"/>
  <c r="R162" i="24"/>
  <c r="N162" i="24"/>
  <c r="J162" i="24"/>
  <c r="F162" i="24"/>
  <c r="B162" i="24"/>
  <c r="R161" i="24"/>
  <c r="N161" i="24"/>
  <c r="J161" i="24"/>
  <c r="F161" i="24"/>
  <c r="B161" i="24"/>
  <c r="R160" i="24"/>
  <c r="N160" i="24"/>
  <c r="J160" i="24"/>
  <c r="F160" i="24"/>
  <c r="B160" i="24"/>
  <c r="R159" i="24"/>
  <c r="N159" i="24"/>
  <c r="J159" i="24"/>
  <c r="F159" i="24"/>
  <c r="B159" i="24"/>
  <c r="R158" i="24"/>
  <c r="N158" i="24"/>
  <c r="J158" i="24"/>
  <c r="F158" i="24"/>
  <c r="B158" i="24"/>
  <c r="R157" i="24"/>
  <c r="N157" i="24"/>
  <c r="J157" i="24"/>
  <c r="F157" i="24"/>
  <c r="B157" i="24"/>
  <c r="R156" i="24"/>
  <c r="N156" i="24"/>
  <c r="J156" i="24"/>
  <c r="F156" i="24"/>
  <c r="B156" i="24"/>
  <c r="R155" i="24"/>
  <c r="N155" i="24"/>
  <c r="J155" i="24"/>
  <c r="F155" i="24"/>
  <c r="B155" i="24"/>
  <c r="R154" i="24"/>
  <c r="N154" i="24"/>
  <c r="J154" i="24"/>
  <c r="F154" i="24"/>
  <c r="B154" i="24"/>
  <c r="R153" i="24"/>
  <c r="N153" i="24"/>
  <c r="J153" i="24"/>
  <c r="F153" i="24"/>
  <c r="B153" i="24"/>
  <c r="R152" i="24"/>
  <c r="N152" i="24"/>
  <c r="J152" i="24"/>
  <c r="F152" i="24"/>
  <c r="B152" i="24"/>
  <c r="R151" i="24"/>
  <c r="N151" i="24"/>
  <c r="J151" i="24"/>
  <c r="F151" i="24"/>
  <c r="B151" i="24"/>
  <c r="R150" i="24"/>
  <c r="N150" i="24"/>
  <c r="J150" i="24"/>
  <c r="F150" i="24"/>
  <c r="B150" i="24"/>
  <c r="R149" i="24"/>
  <c r="N149" i="24"/>
  <c r="J149" i="24"/>
  <c r="F149" i="24"/>
  <c r="B149" i="24"/>
  <c r="R148" i="24"/>
  <c r="N148" i="24"/>
  <c r="J148" i="24"/>
  <c r="F148" i="24"/>
  <c r="B148" i="24"/>
  <c r="R147" i="24"/>
  <c r="N147" i="24"/>
  <c r="J147" i="24"/>
  <c r="F147" i="24"/>
  <c r="B147" i="24"/>
  <c r="R146" i="24"/>
  <c r="N146" i="24"/>
  <c r="J146" i="24"/>
  <c r="F146" i="24"/>
  <c r="B146" i="24"/>
  <c r="R145" i="24"/>
  <c r="N145" i="24"/>
  <c r="J145" i="24"/>
  <c r="F145" i="24"/>
  <c r="B145" i="24"/>
  <c r="R144" i="24"/>
  <c r="N144" i="24"/>
  <c r="J144" i="24"/>
  <c r="F144" i="24"/>
  <c r="B144" i="24"/>
  <c r="R143" i="24"/>
  <c r="N143" i="24"/>
  <c r="J143" i="24"/>
  <c r="F143" i="24"/>
  <c r="B143" i="24"/>
  <c r="R142" i="24"/>
  <c r="N142" i="24"/>
  <c r="J142" i="24"/>
  <c r="F142" i="24"/>
  <c r="B142" i="24"/>
  <c r="R141" i="24"/>
  <c r="N141" i="24"/>
  <c r="J141" i="24"/>
  <c r="F141" i="24"/>
  <c r="B141" i="24"/>
  <c r="R140" i="24"/>
  <c r="N140" i="24"/>
  <c r="J140" i="24"/>
  <c r="F140" i="24"/>
  <c r="B140" i="24"/>
  <c r="R139" i="24"/>
  <c r="N139" i="24"/>
  <c r="J139" i="24"/>
  <c r="F139" i="24"/>
  <c r="B139" i="24"/>
  <c r="R138" i="24"/>
  <c r="N138" i="24"/>
  <c r="J138" i="24"/>
  <c r="F138" i="24"/>
  <c r="B138" i="24"/>
  <c r="R137" i="24"/>
  <c r="N137" i="24"/>
  <c r="J137" i="24"/>
  <c r="F137" i="24"/>
  <c r="B137" i="24"/>
  <c r="R136" i="24"/>
  <c r="N136" i="24"/>
  <c r="J136" i="24"/>
  <c r="F136" i="24"/>
  <c r="B136" i="24"/>
  <c r="R135" i="24"/>
  <c r="N135" i="24"/>
  <c r="J135" i="24"/>
  <c r="F135" i="24"/>
  <c r="B135" i="24"/>
  <c r="R134" i="24"/>
  <c r="N134" i="24"/>
  <c r="J134" i="24"/>
  <c r="F134" i="24"/>
  <c r="B134" i="24"/>
  <c r="R133" i="24"/>
  <c r="N133" i="24"/>
  <c r="J133" i="24"/>
  <c r="F133" i="24"/>
  <c r="B133" i="24"/>
  <c r="R132" i="24"/>
  <c r="N132" i="24"/>
  <c r="J132" i="24"/>
  <c r="F132" i="24"/>
  <c r="B132" i="24"/>
  <c r="R131" i="24"/>
  <c r="N131" i="24"/>
  <c r="J131" i="24"/>
  <c r="F131" i="24"/>
  <c r="B131" i="24"/>
  <c r="R130" i="24"/>
  <c r="N130" i="24"/>
  <c r="J130" i="24"/>
  <c r="F130" i="24"/>
  <c r="B130" i="24"/>
  <c r="R129" i="24"/>
  <c r="N129" i="24"/>
  <c r="J129" i="24"/>
  <c r="F129" i="24"/>
  <c r="B129" i="24"/>
  <c r="R128" i="24"/>
  <c r="N128" i="24"/>
  <c r="J128" i="24"/>
  <c r="F128" i="24"/>
  <c r="B128" i="24"/>
  <c r="R127" i="24"/>
  <c r="N127" i="24"/>
  <c r="J127" i="24"/>
  <c r="F127" i="24"/>
  <c r="B127" i="24"/>
  <c r="R126" i="24"/>
  <c r="N126" i="24"/>
  <c r="J126" i="24"/>
  <c r="F126" i="24"/>
  <c r="B126" i="24"/>
  <c r="R125" i="24"/>
  <c r="N125" i="24"/>
  <c r="J125" i="24"/>
  <c r="F125" i="24"/>
  <c r="B125" i="24"/>
  <c r="R124" i="24"/>
  <c r="N124" i="24"/>
  <c r="J124" i="24"/>
  <c r="F124" i="24"/>
  <c r="B124" i="24"/>
  <c r="R123" i="24"/>
  <c r="N123" i="24"/>
  <c r="J123" i="24"/>
  <c r="F123" i="24"/>
  <c r="B123" i="24"/>
  <c r="R122" i="24"/>
  <c r="N122" i="24"/>
  <c r="J122" i="24"/>
  <c r="F122" i="24"/>
  <c r="B122" i="24"/>
  <c r="R121" i="24"/>
  <c r="N121" i="24"/>
  <c r="J121" i="24"/>
  <c r="F121" i="24"/>
  <c r="B121" i="24"/>
  <c r="R120" i="24"/>
  <c r="N120" i="24"/>
  <c r="J120" i="24"/>
  <c r="F120" i="24"/>
  <c r="B120" i="24"/>
  <c r="R119" i="24"/>
  <c r="N119" i="24"/>
  <c r="J119" i="24"/>
  <c r="F119" i="24"/>
  <c r="B119" i="24"/>
  <c r="R118" i="24"/>
  <c r="N118" i="24"/>
  <c r="J118" i="24"/>
  <c r="F118" i="24"/>
  <c r="B118" i="24"/>
  <c r="R117" i="24"/>
  <c r="N117" i="24"/>
  <c r="J117" i="24"/>
  <c r="F117" i="24"/>
  <c r="B117" i="24"/>
  <c r="R116" i="24"/>
  <c r="N116" i="24"/>
  <c r="J116" i="24"/>
  <c r="F116" i="24"/>
  <c r="B116" i="24"/>
  <c r="R115" i="24"/>
  <c r="N115" i="24"/>
  <c r="J115" i="24"/>
  <c r="F115" i="24"/>
  <c r="B115" i="24"/>
  <c r="R114" i="24"/>
  <c r="N114" i="24"/>
  <c r="J114" i="24"/>
  <c r="F114" i="24"/>
  <c r="B114" i="24"/>
  <c r="R113" i="24"/>
  <c r="N113" i="24"/>
  <c r="J113" i="24"/>
  <c r="F113" i="24"/>
  <c r="B113" i="24"/>
  <c r="R112" i="24"/>
  <c r="N112" i="24"/>
  <c r="J112" i="24"/>
  <c r="F112" i="24"/>
  <c r="B112" i="24"/>
  <c r="R111" i="24"/>
  <c r="N111" i="24"/>
  <c r="J111" i="24"/>
  <c r="F111" i="24"/>
  <c r="B111" i="24"/>
  <c r="R110" i="24"/>
  <c r="N110" i="24"/>
  <c r="J110" i="24"/>
  <c r="F110" i="24"/>
  <c r="B110" i="24"/>
  <c r="R109" i="24"/>
  <c r="N109" i="24"/>
  <c r="J109" i="24"/>
  <c r="F109" i="24"/>
  <c r="B109" i="24"/>
  <c r="R108" i="24"/>
  <c r="N108" i="24"/>
  <c r="J108" i="24"/>
  <c r="F108" i="24"/>
  <c r="B108" i="24"/>
  <c r="R107" i="24"/>
  <c r="N107" i="24"/>
  <c r="J107" i="24"/>
  <c r="F107" i="24"/>
  <c r="B107" i="24"/>
  <c r="R106" i="24"/>
  <c r="N106" i="24"/>
  <c r="J106" i="24"/>
  <c r="F106" i="24"/>
  <c r="B106" i="24"/>
  <c r="R105" i="24"/>
  <c r="N105" i="24"/>
  <c r="J105" i="24"/>
  <c r="F105" i="24"/>
  <c r="B105" i="24"/>
  <c r="R104" i="24"/>
  <c r="N104" i="24"/>
  <c r="J104" i="24"/>
  <c r="F104" i="24"/>
  <c r="B104" i="24"/>
  <c r="R103" i="24"/>
  <c r="N103" i="24"/>
  <c r="J103" i="24"/>
  <c r="F103" i="24"/>
  <c r="B103" i="24"/>
  <c r="R102" i="24"/>
  <c r="N102" i="24"/>
  <c r="J102" i="24"/>
  <c r="F102" i="24"/>
  <c r="B102" i="24"/>
  <c r="R101" i="24"/>
  <c r="N101" i="24"/>
  <c r="J101" i="24"/>
  <c r="F101" i="24"/>
  <c r="B101" i="24"/>
  <c r="R100" i="24"/>
  <c r="N100" i="24"/>
  <c r="J100" i="24"/>
  <c r="F100" i="24"/>
  <c r="B100" i="24"/>
  <c r="R99" i="24"/>
  <c r="N99" i="24"/>
  <c r="J99" i="24"/>
  <c r="F99" i="24"/>
  <c r="B99" i="24"/>
  <c r="R98" i="24"/>
  <c r="N98" i="24"/>
  <c r="J98" i="24"/>
  <c r="F98" i="24"/>
  <c r="B98" i="24"/>
  <c r="R97" i="24"/>
  <c r="N97" i="24"/>
  <c r="J97" i="24"/>
  <c r="F97" i="24"/>
  <c r="B97" i="24"/>
  <c r="R96" i="24"/>
  <c r="N96" i="24"/>
  <c r="J96" i="24"/>
  <c r="F96" i="24"/>
  <c r="B96" i="24"/>
  <c r="R95" i="24"/>
  <c r="N95" i="24"/>
  <c r="J95" i="24"/>
  <c r="F95" i="24"/>
  <c r="B95" i="24"/>
  <c r="R94" i="24"/>
  <c r="N94" i="24"/>
  <c r="J94" i="24"/>
  <c r="F94" i="24"/>
  <c r="B94" i="24"/>
  <c r="R93" i="24"/>
  <c r="N93" i="24"/>
  <c r="J93" i="24"/>
  <c r="F93" i="24"/>
  <c r="B93" i="24"/>
  <c r="R92" i="24"/>
  <c r="N92" i="24"/>
  <c r="J92" i="24"/>
  <c r="F92" i="24"/>
  <c r="B92" i="24"/>
  <c r="R91" i="24"/>
  <c r="N91" i="24"/>
  <c r="J91" i="24"/>
  <c r="F91" i="24"/>
  <c r="B91" i="24"/>
  <c r="R90" i="24"/>
  <c r="N90" i="24"/>
  <c r="J90" i="24"/>
  <c r="F90" i="24"/>
  <c r="B90" i="24"/>
  <c r="R89" i="24"/>
  <c r="N89" i="24"/>
  <c r="J89" i="24"/>
  <c r="F89" i="24"/>
  <c r="B89" i="24"/>
  <c r="R88" i="24"/>
  <c r="N88" i="24"/>
  <c r="J88" i="24"/>
  <c r="F88" i="24"/>
  <c r="B88" i="24"/>
  <c r="R87" i="24"/>
  <c r="N87" i="24"/>
  <c r="J87" i="24"/>
  <c r="F87" i="24"/>
  <c r="B87" i="24"/>
  <c r="R86" i="24"/>
  <c r="N86" i="24"/>
  <c r="J86" i="24"/>
  <c r="F86" i="24"/>
  <c r="B86" i="24"/>
  <c r="R85" i="24"/>
  <c r="N85" i="24"/>
  <c r="J85" i="24"/>
  <c r="F85" i="24"/>
  <c r="B85" i="24"/>
  <c r="R84" i="24"/>
  <c r="N84" i="24"/>
  <c r="J84" i="24"/>
  <c r="F84" i="24"/>
  <c r="B84" i="24"/>
  <c r="R83" i="24"/>
  <c r="N83" i="24"/>
  <c r="J83" i="24"/>
  <c r="F83" i="24"/>
  <c r="B83" i="24"/>
  <c r="R82" i="24"/>
  <c r="N82" i="24"/>
  <c r="J82" i="24"/>
  <c r="F82" i="24"/>
  <c r="B82" i="24"/>
  <c r="R81" i="24"/>
  <c r="N81" i="24"/>
  <c r="J81" i="24"/>
  <c r="F81" i="24"/>
  <c r="B81" i="24"/>
  <c r="R80" i="24"/>
  <c r="N80" i="24"/>
  <c r="J80" i="24"/>
  <c r="F80" i="24"/>
  <c r="B80" i="24"/>
  <c r="R79" i="24"/>
  <c r="N79" i="24"/>
  <c r="J79" i="24"/>
  <c r="F79" i="24"/>
  <c r="B79" i="24"/>
  <c r="R78" i="24"/>
  <c r="N78" i="24"/>
  <c r="J78" i="24"/>
  <c r="F78" i="24"/>
  <c r="B78" i="24"/>
  <c r="R77" i="24"/>
  <c r="N77" i="24"/>
  <c r="J77" i="24"/>
  <c r="F77" i="24"/>
  <c r="B77" i="24"/>
  <c r="R76" i="24"/>
  <c r="N76" i="24"/>
  <c r="J76" i="24"/>
  <c r="F76" i="24"/>
  <c r="B76" i="24"/>
  <c r="R75" i="24"/>
  <c r="N75" i="24"/>
  <c r="J75" i="24"/>
  <c r="F75" i="24"/>
  <c r="B75" i="24"/>
  <c r="R74" i="24"/>
  <c r="N74" i="24"/>
  <c r="J74" i="24"/>
  <c r="F74" i="24"/>
  <c r="B74" i="24"/>
  <c r="R73" i="24"/>
  <c r="N73" i="24"/>
  <c r="J73" i="24"/>
  <c r="F73" i="24"/>
  <c r="B73" i="24"/>
  <c r="R72" i="24"/>
  <c r="N72" i="24"/>
  <c r="J72" i="24"/>
  <c r="F72" i="24"/>
  <c r="B72" i="24"/>
  <c r="R71" i="24"/>
  <c r="N71" i="24"/>
  <c r="J71" i="24"/>
  <c r="F71" i="24"/>
  <c r="B71" i="24"/>
  <c r="R70" i="24"/>
  <c r="N70" i="24"/>
  <c r="J70" i="24"/>
  <c r="F70" i="24"/>
  <c r="B70" i="24"/>
  <c r="R69" i="24"/>
  <c r="N69" i="24"/>
  <c r="J69" i="24"/>
  <c r="F69" i="24"/>
  <c r="B69" i="24"/>
  <c r="R68" i="24"/>
  <c r="N68" i="24"/>
  <c r="J68" i="24"/>
  <c r="F68" i="24"/>
  <c r="B68" i="24"/>
  <c r="R67" i="24"/>
  <c r="N67" i="24"/>
  <c r="J67" i="24"/>
  <c r="F67" i="24"/>
  <c r="B67" i="24"/>
  <c r="R66" i="24"/>
  <c r="N66" i="24"/>
  <c r="J66" i="24"/>
  <c r="F66" i="24"/>
  <c r="B66" i="24"/>
  <c r="R65" i="24"/>
  <c r="N65" i="24"/>
  <c r="J65" i="24"/>
  <c r="F65" i="24"/>
  <c r="B65" i="24"/>
  <c r="R64" i="24"/>
  <c r="N64" i="24"/>
  <c r="J64" i="24"/>
  <c r="F64" i="24"/>
  <c r="B64" i="24"/>
  <c r="R63" i="24"/>
  <c r="N63" i="24"/>
  <c r="J63" i="24"/>
  <c r="F63" i="24"/>
  <c r="B63" i="24"/>
  <c r="R62" i="24"/>
  <c r="N62" i="24"/>
  <c r="J62" i="24"/>
  <c r="F62" i="24"/>
  <c r="B62" i="24"/>
  <c r="R61" i="24"/>
  <c r="N61" i="24"/>
  <c r="J61" i="24"/>
  <c r="F61" i="24"/>
  <c r="B61" i="24"/>
  <c r="R60" i="24"/>
  <c r="N60" i="24"/>
  <c r="J60" i="24"/>
  <c r="F60" i="24"/>
  <c r="B60" i="24"/>
  <c r="R59" i="24"/>
  <c r="N59" i="24"/>
  <c r="J59" i="24"/>
  <c r="F59" i="24"/>
  <c r="B59" i="24"/>
  <c r="R58" i="24"/>
  <c r="N58" i="24"/>
  <c r="J58" i="24"/>
  <c r="F58" i="24"/>
  <c r="B58" i="24"/>
  <c r="R57" i="24"/>
  <c r="N57" i="24"/>
  <c r="J57" i="24"/>
  <c r="F57" i="24"/>
  <c r="B57" i="24"/>
  <c r="R56" i="24"/>
  <c r="N56" i="24"/>
  <c r="J56" i="24"/>
  <c r="F56" i="24"/>
  <c r="B56" i="24"/>
  <c r="R55" i="24"/>
  <c r="N55" i="24"/>
  <c r="J55" i="24"/>
  <c r="F55" i="24"/>
  <c r="B55" i="24"/>
  <c r="R54" i="24"/>
  <c r="N54" i="24"/>
  <c r="J54" i="24"/>
  <c r="F54" i="24"/>
  <c r="B54" i="24"/>
  <c r="R53" i="24"/>
  <c r="N53" i="24"/>
  <c r="J53" i="24"/>
  <c r="F53" i="24"/>
  <c r="B53" i="24"/>
  <c r="R52" i="24"/>
  <c r="N52" i="24"/>
  <c r="J52" i="24"/>
  <c r="F52" i="24"/>
  <c r="B52" i="24"/>
  <c r="R51" i="24"/>
  <c r="N51" i="24"/>
  <c r="J51" i="24"/>
  <c r="F51" i="24"/>
  <c r="B51" i="24"/>
  <c r="R50" i="24"/>
  <c r="N50" i="24"/>
  <c r="J50" i="24"/>
  <c r="F50" i="24"/>
  <c r="B50" i="24"/>
  <c r="R49" i="24"/>
  <c r="N49" i="24"/>
  <c r="J49" i="24"/>
  <c r="F49" i="24"/>
  <c r="B49" i="24"/>
  <c r="R48" i="24"/>
  <c r="N48" i="24"/>
  <c r="J48" i="24"/>
  <c r="F48" i="24"/>
  <c r="B48" i="24"/>
  <c r="R47" i="24"/>
  <c r="N47" i="24"/>
  <c r="J47" i="24"/>
  <c r="F47" i="24"/>
  <c r="B47" i="24"/>
  <c r="R46" i="24"/>
  <c r="N46" i="24"/>
  <c r="J46" i="24"/>
  <c r="F46" i="24"/>
  <c r="B46" i="24"/>
  <c r="R45" i="24"/>
  <c r="N45" i="24"/>
  <c r="J45" i="24"/>
  <c r="F45" i="24"/>
  <c r="B45" i="24"/>
  <c r="R44" i="24"/>
  <c r="N44" i="24"/>
  <c r="J44" i="24"/>
  <c r="F44" i="24"/>
  <c r="B44" i="24"/>
  <c r="R43" i="24"/>
  <c r="N43" i="24"/>
  <c r="J43" i="24"/>
  <c r="F43" i="24"/>
  <c r="B43" i="24"/>
  <c r="R42" i="24"/>
  <c r="N42" i="24"/>
  <c r="J42" i="24"/>
  <c r="F42" i="24"/>
  <c r="B42" i="24"/>
  <c r="R41" i="24"/>
  <c r="N41" i="24"/>
  <c r="J41" i="24"/>
  <c r="F41" i="24"/>
  <c r="B41" i="24"/>
  <c r="R40" i="24"/>
  <c r="N40" i="24"/>
  <c r="J40" i="24"/>
  <c r="F40" i="24"/>
  <c r="B40" i="24"/>
  <c r="R39" i="24"/>
  <c r="N39" i="24"/>
  <c r="J39" i="24"/>
  <c r="F39" i="24"/>
  <c r="B39" i="24"/>
  <c r="R38" i="24"/>
  <c r="N38" i="24"/>
  <c r="J38" i="24"/>
  <c r="F38" i="24"/>
  <c r="B38" i="24"/>
  <c r="R37" i="24"/>
  <c r="N37" i="24"/>
  <c r="J37" i="24"/>
  <c r="F37" i="24"/>
  <c r="B37" i="24"/>
  <c r="R36" i="24"/>
  <c r="N36" i="24"/>
  <c r="J36" i="24"/>
  <c r="F36" i="24"/>
  <c r="B36" i="24"/>
  <c r="R35" i="24"/>
  <c r="N35" i="24"/>
  <c r="J35" i="24"/>
  <c r="F35" i="24"/>
  <c r="B35" i="24"/>
  <c r="R34" i="24"/>
  <c r="N34" i="24"/>
  <c r="J34" i="24"/>
  <c r="F34" i="24"/>
  <c r="B34" i="24"/>
  <c r="R33" i="24"/>
  <c r="N33" i="24"/>
  <c r="J33" i="24"/>
  <c r="F33" i="24"/>
  <c r="B33" i="24"/>
  <c r="R32" i="24"/>
  <c r="N32" i="24"/>
  <c r="J32" i="24"/>
  <c r="F32" i="24"/>
  <c r="B32" i="24"/>
  <c r="R31" i="24"/>
  <c r="N31" i="24"/>
  <c r="J31" i="24"/>
  <c r="F31" i="24"/>
  <c r="B31" i="24"/>
  <c r="R30" i="24"/>
  <c r="N30" i="24"/>
  <c r="J30" i="24"/>
  <c r="F30" i="24"/>
  <c r="B30" i="24"/>
  <c r="R29" i="24"/>
  <c r="N29" i="24"/>
  <c r="J29" i="24"/>
  <c r="F29" i="24"/>
  <c r="B29" i="24"/>
  <c r="R28" i="24"/>
  <c r="N28" i="24"/>
  <c r="J28" i="24"/>
  <c r="F28" i="24"/>
  <c r="B28" i="24"/>
  <c r="R27" i="24"/>
  <c r="N27" i="24"/>
  <c r="J27" i="24"/>
  <c r="F27" i="24"/>
  <c r="B27" i="24"/>
  <c r="R26" i="24"/>
  <c r="N26" i="24"/>
  <c r="J26" i="24"/>
  <c r="F26" i="24"/>
  <c r="B26" i="24"/>
  <c r="R25" i="24"/>
  <c r="N25" i="24"/>
  <c r="J25" i="24"/>
  <c r="F25" i="24"/>
  <c r="B25" i="24"/>
  <c r="R24" i="24"/>
  <c r="N24" i="24"/>
  <c r="J24" i="24"/>
  <c r="F24" i="24"/>
  <c r="B24" i="24"/>
  <c r="R23" i="24"/>
  <c r="N23" i="24"/>
  <c r="J23" i="24"/>
  <c r="F23" i="24"/>
  <c r="B23" i="24"/>
  <c r="R22" i="24"/>
  <c r="N22" i="24"/>
  <c r="J22" i="24"/>
  <c r="F22" i="24"/>
  <c r="B22" i="24"/>
  <c r="R21" i="24"/>
  <c r="N21" i="24"/>
  <c r="J21" i="24"/>
  <c r="F21" i="24"/>
  <c r="B21" i="24"/>
  <c r="R20" i="24"/>
  <c r="N20" i="24"/>
  <c r="J20" i="24"/>
  <c r="F20" i="24"/>
  <c r="B20" i="24"/>
  <c r="R19" i="24"/>
  <c r="N19" i="24"/>
  <c r="J19" i="24"/>
  <c r="F19" i="24"/>
  <c r="B19" i="24"/>
  <c r="R18" i="24"/>
  <c r="N18" i="24"/>
  <c r="J18" i="24"/>
  <c r="F18" i="24"/>
  <c r="B18" i="24"/>
  <c r="R17" i="24"/>
  <c r="N17" i="24"/>
  <c r="J17" i="24"/>
  <c r="F17" i="24"/>
  <c r="B17" i="24"/>
  <c r="R16" i="24"/>
  <c r="N16" i="24"/>
  <c r="J16" i="24"/>
  <c r="F16" i="24"/>
  <c r="B16" i="24"/>
  <c r="R15" i="24"/>
  <c r="N15" i="24"/>
  <c r="J15" i="24"/>
  <c r="F15" i="24"/>
  <c r="B15" i="24"/>
  <c r="R14" i="24"/>
  <c r="N14" i="24"/>
  <c r="J14" i="24"/>
  <c r="F14" i="24"/>
  <c r="B14" i="24"/>
  <c r="R13" i="24"/>
  <c r="N13" i="24"/>
  <c r="J13" i="24"/>
  <c r="F13" i="24"/>
  <c r="B13" i="24"/>
  <c r="R12" i="24"/>
  <c r="N12" i="24"/>
  <c r="J12" i="24"/>
  <c r="F12" i="24"/>
  <c r="B12" i="24"/>
  <c r="R11" i="24"/>
  <c r="N11" i="24"/>
  <c r="J11" i="24"/>
  <c r="F11" i="24"/>
  <c r="B11" i="24"/>
  <c r="R10" i="24"/>
  <c r="N10" i="24"/>
  <c r="J10" i="24"/>
  <c r="F10" i="24"/>
  <c r="B10" i="24"/>
  <c r="R9" i="24"/>
  <c r="N9" i="24"/>
  <c r="J9" i="24"/>
  <c r="F9" i="24"/>
  <c r="B9" i="24"/>
  <c r="R8" i="24"/>
  <c r="N8" i="24"/>
  <c r="J8" i="24"/>
  <c r="F8" i="24"/>
  <c r="B8" i="24"/>
  <c r="R7" i="24"/>
  <c r="N7" i="24"/>
  <c r="J7" i="24"/>
  <c r="F7" i="24"/>
  <c r="B7" i="24"/>
  <c r="R6" i="24"/>
  <c r="N6" i="24"/>
  <c r="J6" i="24"/>
  <c r="F6" i="24"/>
  <c r="B6" i="24"/>
  <c r="R5" i="24"/>
  <c r="N5" i="24"/>
  <c r="J5" i="24"/>
  <c r="F5" i="24"/>
  <c r="B5" i="24"/>
  <c r="R4" i="24"/>
  <c r="N4" i="24"/>
  <c r="J4" i="24"/>
  <c r="F4" i="24"/>
  <c r="B4" i="24"/>
  <c r="R3" i="24"/>
  <c r="N3" i="24"/>
  <c r="J3" i="24"/>
  <c r="F3" i="24"/>
  <c r="B3" i="24"/>
  <c r="R2" i="24"/>
  <c r="N2" i="24"/>
  <c r="J2" i="24"/>
  <c r="F2" i="24"/>
  <c r="B2" i="24"/>
  <c r="O514" i="24"/>
  <c r="C497" i="24"/>
  <c r="E496" i="24"/>
  <c r="Q495" i="24"/>
  <c r="O494" i="24"/>
  <c r="A494" i="24"/>
  <c r="C493" i="24"/>
  <c r="E492" i="24"/>
  <c r="M491" i="24"/>
  <c r="S490" i="24"/>
  <c r="E490" i="24"/>
  <c r="G489" i="24"/>
  <c r="K488" i="24"/>
  <c r="G487" i="24"/>
  <c r="K486" i="24"/>
  <c r="Q485" i="24"/>
  <c r="S484" i="24"/>
  <c r="E484" i="24"/>
  <c r="G483" i="24"/>
  <c r="O482" i="24"/>
  <c r="A482" i="24"/>
  <c r="C481" i="24"/>
  <c r="O480" i="24"/>
  <c r="A480" i="24"/>
  <c r="O478" i="24"/>
  <c r="Q477" i="24"/>
  <c r="S476" i="24"/>
  <c r="A476" i="24"/>
  <c r="M475" i="24"/>
  <c r="O474" i="24"/>
  <c r="K474" i="24"/>
  <c r="E474" i="24"/>
  <c r="G473" i="24"/>
  <c r="S472" i="24"/>
  <c r="A472" i="24"/>
  <c r="C471" i="24"/>
  <c r="K470" i="24"/>
  <c r="M469" i="24"/>
  <c r="K468" i="24"/>
  <c r="M467" i="24"/>
  <c r="O466" i="24"/>
  <c r="Q465" i="24"/>
  <c r="K464" i="24"/>
  <c r="M463" i="24"/>
  <c r="O462" i="24"/>
  <c r="A462" i="24"/>
  <c r="S460" i="24"/>
  <c r="A460" i="24"/>
  <c r="G459" i="24"/>
  <c r="K458" i="24"/>
  <c r="M457" i="24"/>
  <c r="O456" i="24"/>
  <c r="Q455" i="24"/>
  <c r="S454" i="24"/>
  <c r="A454" i="24"/>
  <c r="G453" i="24"/>
  <c r="K452" i="24"/>
  <c r="M451" i="24"/>
  <c r="O450" i="24"/>
  <c r="M449" i="24"/>
  <c r="C449" i="24"/>
  <c r="E448" i="24"/>
  <c r="G447" i="24"/>
  <c r="O446" i="24"/>
  <c r="G445" i="24"/>
  <c r="O444" i="24"/>
  <c r="Q443" i="24"/>
  <c r="O442" i="24"/>
  <c r="A442" i="24"/>
  <c r="M441" i="24"/>
  <c r="O440" i="24"/>
  <c r="Q439" i="24"/>
  <c r="C439" i="24"/>
  <c r="K438" i="24"/>
  <c r="G437" i="24"/>
  <c r="E436" i="24"/>
  <c r="G435" i="24"/>
  <c r="O434" i="24"/>
  <c r="Q433" i="24"/>
  <c r="S432" i="24"/>
  <c r="A432" i="24"/>
  <c r="S430" i="24"/>
  <c r="Q429" i="24"/>
  <c r="O428" i="24"/>
  <c r="A428" i="24"/>
  <c r="C427" i="24"/>
  <c r="E426" i="24"/>
  <c r="M425" i="24"/>
  <c r="K424" i="24"/>
  <c r="M423" i="24"/>
  <c r="C423" i="24"/>
  <c r="Q421" i="24"/>
  <c r="C421" i="24"/>
  <c r="E420" i="24"/>
  <c r="M419" i="24"/>
  <c r="O418" i="24"/>
  <c r="M417" i="24"/>
  <c r="O416" i="24"/>
  <c r="G415" i="24"/>
  <c r="K414" i="24"/>
  <c r="M413" i="24"/>
  <c r="S412" i="24"/>
  <c r="A412" i="24"/>
  <c r="S410" i="24"/>
  <c r="Q409" i="24"/>
  <c r="S408" i="24"/>
  <c r="A408" i="24"/>
  <c r="C407" i="24"/>
  <c r="E406" i="24"/>
  <c r="G405" i="24"/>
  <c r="O404" i="24"/>
  <c r="A404" i="24"/>
  <c r="C403" i="24"/>
  <c r="E402" i="24"/>
  <c r="G401" i="24"/>
  <c r="S400" i="24"/>
  <c r="E400" i="24"/>
  <c r="G399" i="24"/>
  <c r="E398" i="24"/>
  <c r="G397" i="24"/>
  <c r="S396" i="24"/>
  <c r="A396" i="24"/>
  <c r="S394" i="24"/>
  <c r="E394" i="24"/>
  <c r="C393" i="24"/>
  <c r="K392" i="24"/>
  <c r="G391" i="24"/>
  <c r="K390" i="24"/>
  <c r="M389" i="24"/>
  <c r="C389" i="24"/>
  <c r="E388" i="24"/>
  <c r="C387" i="24"/>
  <c r="E386" i="24"/>
  <c r="G385" i="24"/>
  <c r="E384" i="24"/>
  <c r="M383" i="24"/>
  <c r="K382" i="24"/>
  <c r="G381" i="24"/>
  <c r="K380" i="24"/>
  <c r="Q379" i="24"/>
  <c r="C379" i="24"/>
  <c r="E378" i="24"/>
  <c r="G377" i="24"/>
  <c r="K376" i="24"/>
  <c r="A376" i="24"/>
  <c r="M375" i="24"/>
  <c r="S374" i="24"/>
  <c r="E374" i="24"/>
  <c r="M373" i="24"/>
  <c r="O372" i="24"/>
  <c r="Q371" i="24"/>
  <c r="S370" i="24"/>
  <c r="A370" i="24"/>
  <c r="M369" i="24"/>
  <c r="K368" i="24"/>
  <c r="G367" i="24"/>
  <c r="K366" i="24"/>
  <c r="M365" i="24"/>
  <c r="O364" i="24"/>
  <c r="Q363" i="24"/>
  <c r="G363" i="24"/>
  <c r="K362" i="24"/>
  <c r="A362" i="24"/>
  <c r="C361" i="24"/>
  <c r="K360" i="24"/>
  <c r="M359" i="24"/>
  <c r="O358" i="24"/>
  <c r="M357" i="24"/>
  <c r="C357" i="24"/>
  <c r="K356" i="24"/>
  <c r="Q355" i="24"/>
  <c r="S354" i="24"/>
  <c r="K354" i="24"/>
  <c r="M353" i="24"/>
  <c r="S352" i="24"/>
  <c r="Q351" i="24"/>
  <c r="S350" i="24"/>
  <c r="K350" i="24"/>
  <c r="Q349" i="24"/>
  <c r="S348" i="24"/>
  <c r="O348" i="24"/>
  <c r="A348" i="24"/>
  <c r="C347" i="24"/>
  <c r="E346" i="24"/>
  <c r="G345" i="24"/>
  <c r="O344" i="24"/>
  <c r="Q343" i="24"/>
  <c r="S342" i="24"/>
  <c r="A342" i="24"/>
  <c r="C341" i="24"/>
  <c r="E340" i="24"/>
  <c r="C339" i="24"/>
  <c r="E338" i="24"/>
  <c r="G337" i="24"/>
  <c r="K336" i="24"/>
  <c r="M335" i="24"/>
  <c r="O334" i="24"/>
  <c r="M333" i="24"/>
  <c r="O332" i="24"/>
  <c r="Q331" i="24"/>
  <c r="G331" i="24"/>
  <c r="K330" i="24"/>
  <c r="Q329" i="24"/>
  <c r="O328" i="24"/>
  <c r="Q327" i="24"/>
  <c r="S326" i="24"/>
  <c r="Q325" i="24"/>
  <c r="S324" i="24"/>
  <c r="Q323" i="24"/>
  <c r="S322" i="24"/>
  <c r="A322" i="24"/>
  <c r="C321" i="24"/>
  <c r="Q319" i="24"/>
  <c r="C319" i="24"/>
  <c r="K318" i="24"/>
  <c r="M317" i="24"/>
  <c r="O316" i="24"/>
  <c r="M315" i="24"/>
  <c r="S314" i="24"/>
  <c r="A314" i="24"/>
  <c r="M313" i="24"/>
  <c r="S312" i="24"/>
  <c r="A312" i="24"/>
  <c r="S310" i="24"/>
  <c r="Q309" i="24"/>
  <c r="S308" i="24"/>
  <c r="A308" i="24"/>
  <c r="C307" i="24"/>
  <c r="Q305" i="24"/>
  <c r="C305" i="24"/>
  <c r="E304" i="24"/>
  <c r="S302" i="24"/>
  <c r="A302" i="24"/>
  <c r="S300" i="24"/>
  <c r="A300" i="24"/>
  <c r="C299" i="24"/>
  <c r="E298" i="24"/>
  <c r="C297" i="24"/>
  <c r="E296" i="24"/>
  <c r="A296" i="24"/>
  <c r="C295" i="24"/>
  <c r="E294" i="24"/>
  <c r="G293" i="24"/>
  <c r="K292" i="24"/>
  <c r="Q291" i="24"/>
  <c r="S290" i="24"/>
  <c r="A290" i="24"/>
  <c r="C289" i="24"/>
  <c r="K288" i="24"/>
  <c r="G287" i="24"/>
  <c r="O286" i="24"/>
  <c r="A286" i="24"/>
  <c r="G285" i="24"/>
  <c r="K284" i="24"/>
  <c r="M283" i="24"/>
  <c r="O282" i="24"/>
  <c r="Q281" i="24"/>
  <c r="O280" i="24"/>
  <c r="A280" i="24"/>
  <c r="C279" i="24"/>
  <c r="A278" i="24"/>
  <c r="O276" i="24"/>
  <c r="K274" i="24"/>
  <c r="G273" i="24"/>
  <c r="K272" i="24"/>
  <c r="M271" i="24"/>
  <c r="S270" i="24"/>
  <c r="E270" i="24"/>
  <c r="C269" i="24"/>
  <c r="E268" i="24"/>
  <c r="M267" i="24"/>
  <c r="O266" i="24"/>
  <c r="Q265" i="24"/>
  <c r="S264" i="24"/>
  <c r="A264" i="24"/>
  <c r="C263" i="24"/>
  <c r="E262" i="24"/>
  <c r="C261" i="24"/>
  <c r="A260" i="24"/>
  <c r="C259" i="24"/>
  <c r="E258" i="24"/>
  <c r="G257" i="24"/>
  <c r="K256" i="24"/>
  <c r="M255" i="24"/>
  <c r="O254" i="24"/>
  <c r="M253" i="24"/>
  <c r="S252" i="24"/>
  <c r="Q251" i="24"/>
  <c r="S250" i="24"/>
  <c r="E250" i="24"/>
  <c r="C249" i="24"/>
  <c r="E248" i="24"/>
  <c r="G247" i="24"/>
  <c r="K246" i="24"/>
  <c r="G245" i="24"/>
  <c r="K244" i="24"/>
  <c r="Q243" i="24"/>
  <c r="G243" i="24"/>
  <c r="O242" i="24"/>
  <c r="Q241" i="24"/>
  <c r="S240" i="24"/>
  <c r="A240" i="24"/>
  <c r="O238" i="24"/>
  <c r="A238" i="24"/>
  <c r="C237" i="24"/>
  <c r="Q235" i="24"/>
  <c r="K234" i="24"/>
  <c r="M233" i="24"/>
  <c r="K232" i="24"/>
  <c r="G231" i="24"/>
  <c r="O230" i="24"/>
  <c r="Q229" i="24"/>
  <c r="K228" i="24"/>
  <c r="Q227" i="24"/>
  <c r="S226" i="24"/>
  <c r="A226" i="24"/>
  <c r="C225" i="24"/>
  <c r="E224" i="24"/>
  <c r="Q223" i="24"/>
  <c r="S222" i="24"/>
  <c r="A222" i="24"/>
  <c r="M221" i="24"/>
  <c r="O220" i="24"/>
  <c r="A220" i="24"/>
  <c r="C219" i="24"/>
  <c r="Q217" i="24"/>
  <c r="S216" i="24"/>
  <c r="A216" i="24"/>
  <c r="G215" i="24"/>
  <c r="A214" i="24"/>
  <c r="C213" i="24"/>
  <c r="E212" i="24"/>
  <c r="G211" i="24"/>
  <c r="K210" i="24"/>
  <c r="Q209" i="24"/>
  <c r="S208" i="24"/>
  <c r="A208" i="24"/>
  <c r="C207" i="24"/>
  <c r="E206" i="24"/>
  <c r="G205" i="24"/>
  <c r="E204" i="24"/>
  <c r="S202" i="24"/>
  <c r="E202" i="24"/>
  <c r="G201" i="24"/>
  <c r="S200" i="24"/>
  <c r="A200" i="24"/>
  <c r="C199" i="24"/>
  <c r="E198" i="24"/>
  <c r="I197" i="24"/>
  <c r="A196" i="24"/>
  <c r="I195" i="24"/>
  <c r="M194" i="24"/>
  <c r="Q193" i="24"/>
  <c r="A193" i="24"/>
  <c r="E192" i="24"/>
  <c r="E191" i="24"/>
  <c r="I190" i="24"/>
  <c r="Q189" i="24"/>
  <c r="Q188" i="24"/>
  <c r="Q187" i="24"/>
  <c r="Q186" i="24"/>
  <c r="A186" i="24"/>
  <c r="I185" i="24"/>
  <c r="I184" i="24"/>
  <c r="Q179" i="24"/>
  <c r="A179" i="24"/>
  <c r="M178" i="24"/>
  <c r="I178" i="24"/>
  <c r="E178" i="24"/>
  <c r="A178" i="24"/>
  <c r="I175" i="24"/>
  <c r="I174" i="24"/>
  <c r="A174" i="24"/>
  <c r="Q172" i="24"/>
  <c r="A172" i="24"/>
  <c r="M171" i="24"/>
  <c r="Q170" i="24"/>
  <c r="E170" i="24"/>
  <c r="I169" i="24"/>
  <c r="Q168" i="24"/>
  <c r="A168" i="24"/>
  <c r="A167" i="24"/>
  <c r="E166" i="24"/>
  <c r="I165" i="24"/>
  <c r="M164" i="24"/>
  <c r="Q163" i="24"/>
  <c r="E163" i="24"/>
  <c r="I162" i="24"/>
  <c r="Q161" i="24"/>
  <c r="A161" i="24"/>
  <c r="E160" i="24"/>
  <c r="I159" i="24"/>
  <c r="I158" i="24"/>
  <c r="M157" i="24"/>
  <c r="Q156" i="24"/>
  <c r="E156" i="24"/>
  <c r="I155" i="24"/>
  <c r="M154" i="24"/>
  <c r="Q153" i="24"/>
  <c r="I153" i="24"/>
  <c r="M152" i="24"/>
  <c r="Q151" i="24"/>
  <c r="A151" i="24"/>
  <c r="E150" i="24"/>
  <c r="M149" i="24"/>
  <c r="M148" i="24"/>
  <c r="Q147" i="24"/>
  <c r="Q146" i="24"/>
  <c r="A146" i="24"/>
  <c r="E145" i="24"/>
  <c r="I144" i="24"/>
  <c r="M143" i="24"/>
  <c r="Q142" i="24"/>
  <c r="A142" i="24"/>
  <c r="I141" i="24"/>
  <c r="M140" i="24"/>
  <c r="E140" i="24"/>
  <c r="I139" i="24"/>
  <c r="M138" i="24"/>
  <c r="Q137" i="24"/>
  <c r="A137" i="24"/>
  <c r="E136" i="24"/>
  <c r="I135" i="24"/>
  <c r="M134" i="24"/>
  <c r="Q133" i="24"/>
  <c r="I133" i="24"/>
  <c r="M132" i="24"/>
  <c r="A132" i="24"/>
  <c r="E131" i="24"/>
  <c r="I130" i="24"/>
  <c r="M129" i="24"/>
  <c r="Q128" i="24"/>
  <c r="A128" i="24"/>
  <c r="E127" i="24"/>
  <c r="I126" i="24"/>
  <c r="M125" i="24"/>
  <c r="I124" i="24"/>
  <c r="Q123" i="24"/>
  <c r="E123" i="24"/>
  <c r="E122" i="24"/>
  <c r="M121" i="24"/>
  <c r="M120" i="24"/>
  <c r="Q119" i="24"/>
  <c r="E119" i="24"/>
  <c r="M118" i="24"/>
  <c r="Q117" i="24"/>
  <c r="A117" i="24"/>
  <c r="M116" i="24"/>
  <c r="Q115" i="24"/>
  <c r="E115" i="24"/>
  <c r="E114" i="24"/>
  <c r="I113" i="24"/>
  <c r="M112" i="24"/>
  <c r="M111" i="24"/>
  <c r="A111" i="24"/>
  <c r="E110" i="24"/>
  <c r="E109" i="24"/>
  <c r="E108" i="24"/>
  <c r="I107" i="24"/>
  <c r="Q106" i="24"/>
  <c r="A106" i="24"/>
  <c r="E105" i="24"/>
  <c r="I104" i="24"/>
  <c r="Q103" i="24"/>
  <c r="A103" i="24"/>
  <c r="Q101" i="24"/>
  <c r="A101" i="24"/>
  <c r="E100" i="24"/>
  <c r="I99" i="24"/>
  <c r="M98" i="24"/>
  <c r="Q97" i="24"/>
  <c r="A97" i="24"/>
  <c r="E96" i="24"/>
  <c r="I95" i="24"/>
  <c r="M94" i="24"/>
  <c r="Q93" i="24"/>
  <c r="A93" i="24"/>
  <c r="E92" i="24"/>
  <c r="I91" i="24"/>
  <c r="M90" i="24"/>
  <c r="A90" i="24"/>
  <c r="I89" i="24"/>
  <c r="Q88" i="24"/>
  <c r="A88" i="24"/>
  <c r="E87" i="24"/>
  <c r="I86" i="24"/>
  <c r="I85" i="24"/>
  <c r="Q84" i="24"/>
  <c r="A84" i="24"/>
  <c r="E83" i="24"/>
  <c r="E82" i="24"/>
  <c r="I81" i="24"/>
  <c r="A81" i="24"/>
  <c r="E80" i="24"/>
  <c r="I79" i="24"/>
  <c r="M78" i="24"/>
  <c r="A78" i="24"/>
  <c r="A77" i="24"/>
  <c r="E76" i="24"/>
  <c r="M75" i="24"/>
  <c r="M74" i="24"/>
  <c r="M73" i="24"/>
  <c r="Q72" i="24"/>
  <c r="A72" i="24"/>
  <c r="A71" i="24"/>
  <c r="E70" i="24"/>
  <c r="I69" i="24"/>
  <c r="M68" i="24"/>
  <c r="M67" i="24"/>
  <c r="Q66" i="24"/>
  <c r="A66" i="24"/>
  <c r="Q64" i="24"/>
  <c r="A64" i="24"/>
  <c r="M63" i="24"/>
  <c r="Q62" i="24"/>
  <c r="I62" i="24"/>
  <c r="Q61" i="24"/>
  <c r="Q60" i="24"/>
  <c r="A60" i="24"/>
  <c r="A59" i="24"/>
  <c r="E58" i="24"/>
  <c r="I57" i="24"/>
  <c r="M56" i="24"/>
  <c r="A56" i="24"/>
  <c r="E55" i="24"/>
  <c r="I54" i="24"/>
  <c r="A54" i="24"/>
  <c r="I53" i="24"/>
  <c r="M52" i="24"/>
  <c r="A52" i="24"/>
  <c r="E51" i="24"/>
  <c r="Q50" i="24"/>
  <c r="Q49" i="24"/>
  <c r="Q48" i="24"/>
  <c r="A48" i="24"/>
  <c r="E47" i="24"/>
  <c r="I46" i="24"/>
  <c r="Q45" i="24"/>
  <c r="A45" i="24"/>
  <c r="E44" i="24"/>
  <c r="I43" i="24"/>
  <c r="M42" i="24"/>
  <c r="Q41" i="24"/>
  <c r="A41" i="24"/>
  <c r="E40" i="24"/>
  <c r="A39" i="24"/>
  <c r="I38" i="24"/>
  <c r="M37" i="24"/>
  <c r="M36" i="24"/>
  <c r="Q35" i="24"/>
  <c r="E35" i="24"/>
  <c r="I34" i="24"/>
  <c r="Q33" i="24"/>
  <c r="Q32" i="24"/>
  <c r="Q31" i="24"/>
  <c r="M31" i="24"/>
  <c r="I31" i="24"/>
  <c r="E31" i="24"/>
  <c r="I30" i="24"/>
  <c r="A30" i="24"/>
  <c r="E29" i="24"/>
  <c r="A28" i="24"/>
  <c r="A27" i="24"/>
  <c r="A26" i="24"/>
  <c r="A25" i="24"/>
  <c r="E24" i="24"/>
  <c r="Q23" i="24"/>
  <c r="Q22" i="24"/>
  <c r="A22" i="24"/>
  <c r="Q20" i="24"/>
  <c r="E20" i="24"/>
  <c r="I19" i="24"/>
  <c r="Q18" i="24"/>
  <c r="A18" i="24"/>
  <c r="E17" i="24"/>
  <c r="I16" i="24"/>
  <c r="Q15" i="24"/>
  <c r="Q14" i="24"/>
  <c r="A14" i="24"/>
  <c r="E13" i="24"/>
  <c r="M12" i="24"/>
  <c r="Q11" i="24"/>
  <c r="A11" i="24"/>
  <c r="I10" i="24"/>
  <c r="Q9" i="24"/>
  <c r="A9" i="24"/>
  <c r="E8" i="24"/>
  <c r="I7" i="24"/>
  <c r="Q6" i="24"/>
  <c r="Q5" i="24"/>
  <c r="E5" i="24"/>
  <c r="E4" i="24"/>
  <c r="M3" i="24"/>
  <c r="M2" i="24"/>
  <c r="A707" i="24"/>
  <c r="E705" i="24"/>
  <c r="K703" i="24"/>
  <c r="O701" i="24"/>
  <c r="S699" i="24"/>
  <c r="C698" i="24"/>
  <c r="G696" i="24"/>
  <c r="M694" i="24"/>
  <c r="Q692" i="24"/>
  <c r="A691" i="24"/>
  <c r="E689" i="24"/>
  <c r="K687" i="24"/>
  <c r="O685" i="24"/>
  <c r="S683" i="24"/>
  <c r="C682" i="24"/>
  <c r="G680" i="24"/>
  <c r="M678" i="24"/>
  <c r="Q676" i="24"/>
  <c r="A675" i="24"/>
  <c r="E673" i="24"/>
  <c r="K671" i="24"/>
  <c r="O669" i="24"/>
  <c r="S667" i="24"/>
  <c r="C666" i="24"/>
  <c r="G664" i="24"/>
  <c r="M662" i="24"/>
  <c r="Q660" i="24"/>
  <c r="A659" i="24"/>
  <c r="E657" i="24"/>
  <c r="K655" i="24"/>
  <c r="O653" i="24"/>
  <c r="S651" i="24"/>
  <c r="C650" i="24"/>
  <c r="G648" i="24"/>
  <c r="M646" i="24"/>
  <c r="Q644" i="24"/>
  <c r="A643" i="24"/>
  <c r="E641" i="24"/>
  <c r="K639" i="24"/>
  <c r="O637" i="24"/>
  <c r="S635" i="24"/>
  <c r="C634" i="24"/>
  <c r="G632" i="24"/>
  <c r="M630" i="24"/>
  <c r="Q628" i="24"/>
  <c r="A627" i="24"/>
  <c r="E625" i="24"/>
  <c r="K623" i="24"/>
  <c r="T621" i="24"/>
  <c r="Q620" i="24"/>
  <c r="M619" i="24"/>
  <c r="H618" i="24"/>
  <c r="E617" i="24"/>
  <c r="A616" i="24"/>
  <c r="R614" i="24"/>
  <c r="R613" i="24"/>
  <c r="T612" i="24"/>
  <c r="B612" i="24"/>
  <c r="D611" i="24"/>
  <c r="F610" i="24"/>
  <c r="H609" i="24"/>
  <c r="L608" i="24"/>
  <c r="N607" i="24"/>
  <c r="P606" i="24"/>
  <c r="R605" i="24"/>
  <c r="T604" i="24"/>
  <c r="B604" i="24"/>
  <c r="D603" i="24"/>
  <c r="F602" i="24"/>
  <c r="H601" i="24"/>
  <c r="L600" i="24"/>
  <c r="N599" i="24"/>
  <c r="P598" i="24"/>
  <c r="R597" i="24"/>
  <c r="T596" i="24"/>
  <c r="B596" i="24"/>
  <c r="D595" i="24"/>
  <c r="F594" i="24"/>
  <c r="H593" i="24"/>
  <c r="L592" i="24"/>
  <c r="N591" i="24"/>
  <c r="P590" i="24"/>
  <c r="R589" i="24"/>
  <c r="T588" i="24"/>
  <c r="B588" i="24"/>
  <c r="D587" i="24"/>
  <c r="F586" i="24"/>
  <c r="H585" i="24"/>
  <c r="L584" i="24"/>
  <c r="N583" i="24"/>
  <c r="P582" i="24"/>
  <c r="R581" i="24"/>
  <c r="T580" i="24"/>
  <c r="B580" i="24"/>
  <c r="D579" i="24"/>
  <c r="F578" i="24"/>
  <c r="H577" i="24"/>
  <c r="L576" i="24"/>
  <c r="N575" i="24"/>
  <c r="P574" i="24"/>
  <c r="R573" i="24"/>
  <c r="T572" i="24"/>
  <c r="B572" i="24"/>
  <c r="D571" i="24"/>
  <c r="F570" i="24"/>
  <c r="H569" i="24"/>
  <c r="L568" i="24"/>
  <c r="N567" i="24"/>
  <c r="P566" i="24"/>
  <c r="R565" i="24"/>
  <c r="T564" i="24"/>
  <c r="B564" i="24"/>
  <c r="D563" i="24"/>
  <c r="F562" i="24"/>
  <c r="H561" i="24"/>
  <c r="L560" i="24"/>
  <c r="N559" i="24"/>
  <c r="P558" i="24"/>
  <c r="R557" i="24"/>
  <c r="T556" i="24"/>
  <c r="B556" i="24"/>
  <c r="D555" i="24"/>
  <c r="F554" i="24"/>
  <c r="H553" i="24"/>
  <c r="O552" i="24"/>
  <c r="E552" i="24"/>
  <c r="Q551" i="24"/>
  <c r="M551" i="24"/>
  <c r="G551" i="24"/>
  <c r="C551" i="24"/>
  <c r="S550" i="24"/>
  <c r="O550" i="24"/>
  <c r="K550" i="24"/>
  <c r="E550" i="24"/>
  <c r="A550" i="24"/>
  <c r="Q549" i="24"/>
  <c r="M549" i="24"/>
  <c r="G549" i="24"/>
  <c r="C549" i="24"/>
  <c r="S548" i="24"/>
  <c r="O548" i="24"/>
  <c r="K548" i="24"/>
  <c r="E548" i="24"/>
  <c r="A548" i="24"/>
  <c r="Q547" i="24"/>
  <c r="M547" i="24"/>
  <c r="G547" i="24"/>
  <c r="C547" i="24"/>
  <c r="S546" i="24"/>
  <c r="O546" i="24"/>
  <c r="K546" i="24"/>
  <c r="E546" i="24"/>
  <c r="A546" i="24"/>
  <c r="Q545" i="24"/>
  <c r="M545" i="24"/>
  <c r="G545" i="24"/>
  <c r="C545" i="24"/>
  <c r="S544" i="24"/>
  <c r="O544" i="24"/>
  <c r="K544" i="24"/>
  <c r="E544" i="24"/>
  <c r="A544" i="24"/>
  <c r="Q543" i="24"/>
  <c r="M543" i="24"/>
  <c r="G543" i="24"/>
  <c r="C543" i="24"/>
  <c r="S542" i="24"/>
  <c r="O542" i="24"/>
  <c r="K542" i="24"/>
  <c r="E542" i="24"/>
  <c r="A542" i="24"/>
  <c r="Q541" i="24"/>
  <c r="M541" i="24"/>
  <c r="G541" i="24"/>
  <c r="C541" i="24"/>
  <c r="S540" i="24"/>
  <c r="O540" i="24"/>
  <c r="K540" i="24"/>
  <c r="E540" i="24"/>
  <c r="A540" i="24"/>
  <c r="Q539" i="24"/>
  <c r="M539" i="24"/>
  <c r="G539" i="24"/>
  <c r="C539" i="24"/>
  <c r="S538" i="24"/>
  <c r="O538" i="24"/>
  <c r="K538" i="24"/>
  <c r="E538" i="24"/>
  <c r="A538" i="24"/>
  <c r="Q537" i="24"/>
  <c r="M537" i="24"/>
  <c r="G537" i="24"/>
  <c r="C537" i="24"/>
  <c r="S536" i="24"/>
  <c r="O536" i="24"/>
  <c r="K536" i="24"/>
  <c r="E536" i="24"/>
  <c r="A536" i="24"/>
  <c r="Q535" i="24"/>
  <c r="M535" i="24"/>
  <c r="G535" i="24"/>
  <c r="C535" i="24"/>
  <c r="S534" i="24"/>
  <c r="O534" i="24"/>
  <c r="K534" i="24"/>
  <c r="E534" i="24"/>
  <c r="A534" i="24"/>
  <c r="Q533" i="24"/>
  <c r="M533" i="24"/>
  <c r="G533" i="24"/>
  <c r="C533" i="24"/>
  <c r="S532" i="24"/>
  <c r="O532" i="24"/>
  <c r="K532" i="24"/>
  <c r="E532" i="24"/>
  <c r="A532" i="24"/>
  <c r="Q531" i="24"/>
  <c r="M531" i="24"/>
  <c r="G531" i="24"/>
  <c r="C531" i="24"/>
  <c r="S530" i="24"/>
  <c r="O530" i="24"/>
  <c r="K530" i="24"/>
  <c r="E530" i="24"/>
  <c r="A530" i="24"/>
  <c r="Q529" i="24"/>
  <c r="M529" i="24"/>
  <c r="G529" i="24"/>
  <c r="C529" i="24"/>
  <c r="S528" i="24"/>
  <c r="O528" i="24"/>
  <c r="K528" i="24"/>
  <c r="E528" i="24"/>
  <c r="A528" i="24"/>
  <c r="Q527" i="24"/>
  <c r="M527" i="24"/>
  <c r="G527" i="24"/>
  <c r="C527" i="24"/>
  <c r="S526" i="24"/>
  <c r="O526" i="24"/>
  <c r="K526" i="24"/>
  <c r="E526" i="24"/>
  <c r="A526" i="24"/>
  <c r="Q525" i="24"/>
  <c r="M525" i="24"/>
  <c r="G525" i="24"/>
  <c r="C525" i="24"/>
  <c r="S524" i="24"/>
  <c r="O524" i="24"/>
  <c r="K524" i="24"/>
  <c r="E524" i="24"/>
  <c r="A524" i="24"/>
  <c r="Q523" i="24"/>
  <c r="M523" i="24"/>
  <c r="G523" i="24"/>
  <c r="C523" i="24"/>
  <c r="S522" i="24"/>
  <c r="O522" i="24"/>
  <c r="K522" i="24"/>
  <c r="E522" i="24"/>
  <c r="A522" i="24"/>
  <c r="Q521" i="24"/>
  <c r="M521" i="24"/>
  <c r="G521" i="24"/>
  <c r="C521" i="24"/>
  <c r="S520" i="24"/>
  <c r="O520" i="24"/>
  <c r="K520" i="24"/>
  <c r="E520" i="24"/>
  <c r="A520" i="24"/>
  <c r="Q519" i="24"/>
  <c r="M519" i="24"/>
  <c r="G519" i="24"/>
  <c r="C519" i="24"/>
  <c r="S518" i="24"/>
  <c r="O518" i="24"/>
  <c r="K518" i="24"/>
  <c r="E518" i="24"/>
  <c r="A518" i="24"/>
  <c r="Q517" i="24"/>
  <c r="M517" i="24"/>
  <c r="G517" i="24"/>
  <c r="C517" i="24"/>
  <c r="S516" i="24"/>
  <c r="O516" i="24"/>
  <c r="K516" i="24"/>
  <c r="E516" i="24"/>
  <c r="A516" i="24"/>
  <c r="Q515" i="24"/>
  <c r="G515" i="24"/>
  <c r="C515" i="24"/>
  <c r="K514" i="24"/>
  <c r="E514" i="24"/>
  <c r="A514" i="24"/>
  <c r="Q513" i="24"/>
  <c r="M513" i="24"/>
  <c r="G513" i="24"/>
  <c r="C513" i="24"/>
  <c r="S512" i="24"/>
  <c r="O512" i="24"/>
  <c r="K512" i="24"/>
  <c r="E512" i="24"/>
  <c r="A512" i="24"/>
  <c r="Q511" i="24"/>
  <c r="M511" i="24"/>
  <c r="G511" i="24"/>
  <c r="C511" i="24"/>
  <c r="S510" i="24"/>
  <c r="O510" i="24"/>
  <c r="K510" i="24"/>
  <c r="E510" i="24"/>
  <c r="A510" i="24"/>
  <c r="Q509" i="24"/>
  <c r="M509" i="24"/>
  <c r="G509" i="24"/>
  <c r="C509" i="24"/>
  <c r="S508" i="24"/>
  <c r="O508" i="24"/>
  <c r="K508" i="24"/>
  <c r="E508" i="24"/>
  <c r="A508" i="24"/>
  <c r="Q507" i="24"/>
  <c r="M507" i="24"/>
  <c r="G507" i="24"/>
  <c r="C507" i="24"/>
  <c r="S506" i="24"/>
  <c r="O506" i="24"/>
  <c r="K506" i="24"/>
  <c r="E506" i="24"/>
  <c r="A506" i="24"/>
  <c r="Q505" i="24"/>
  <c r="M505" i="24"/>
  <c r="G505" i="24"/>
  <c r="C505" i="24"/>
  <c r="S504" i="24"/>
  <c r="O504" i="24"/>
  <c r="K504" i="24"/>
  <c r="E504" i="24"/>
  <c r="A504" i="24"/>
  <c r="Q503" i="24"/>
  <c r="M503" i="24"/>
  <c r="G503" i="24"/>
  <c r="C503" i="24"/>
  <c r="S502" i="24"/>
  <c r="O502" i="24"/>
  <c r="K502" i="24"/>
  <c r="E502" i="24"/>
  <c r="A502" i="24"/>
  <c r="Q501" i="24"/>
  <c r="M501" i="24"/>
  <c r="G501" i="24"/>
  <c r="C501" i="24"/>
  <c r="S500" i="24"/>
  <c r="O500" i="24"/>
  <c r="K500" i="24"/>
  <c r="E500" i="24"/>
  <c r="A500" i="24"/>
  <c r="Q499" i="24"/>
  <c r="M499" i="24"/>
  <c r="G499" i="24"/>
  <c r="C499" i="24"/>
  <c r="S498" i="24"/>
  <c r="O498" i="24"/>
  <c r="K498" i="24"/>
  <c r="E498" i="24"/>
  <c r="A498" i="24"/>
  <c r="Q497" i="24"/>
  <c r="M497" i="24"/>
  <c r="S496" i="24"/>
  <c r="K496" i="24"/>
  <c r="C495" i="24"/>
  <c r="E494" i="24"/>
  <c r="M493" i="24"/>
  <c r="O492" i="24"/>
  <c r="G491" i="24"/>
  <c r="A490" i="24"/>
  <c r="C489" i="24"/>
  <c r="A488" i="24"/>
  <c r="S486" i="24"/>
  <c r="A486" i="24"/>
  <c r="G485" i="24"/>
  <c r="A484" i="24"/>
  <c r="C483" i="24"/>
  <c r="Q481" i="24"/>
  <c r="S480" i="24"/>
  <c r="Q479" i="24"/>
  <c r="C479" i="24"/>
  <c r="A478" i="24"/>
  <c r="C477" i="24"/>
  <c r="E476" i="24"/>
  <c r="G475" i="24"/>
  <c r="A474" i="24"/>
  <c r="K472" i="24"/>
  <c r="G471" i="24"/>
  <c r="E470" i="24"/>
  <c r="S468" i="24"/>
  <c r="A468" i="24"/>
  <c r="C467" i="24"/>
  <c r="E466" i="24"/>
  <c r="C465" i="24"/>
  <c r="E464" i="24"/>
  <c r="G463" i="24"/>
  <c r="K462" i="24"/>
  <c r="M461" i="24"/>
  <c r="O460" i="24"/>
  <c r="Q459" i="24"/>
  <c r="O458" i="24"/>
  <c r="A458" i="24"/>
  <c r="G457" i="24"/>
  <c r="K456" i="24"/>
  <c r="M455" i="24"/>
  <c r="O454" i="24"/>
  <c r="Q453" i="24"/>
  <c r="S452" i="24"/>
  <c r="E452" i="24"/>
  <c r="C451" i="24"/>
  <c r="K450" i="24"/>
  <c r="Q449" i="24"/>
  <c r="S448" i="24"/>
  <c r="Q447" i="24"/>
  <c r="K446" i="24"/>
  <c r="M445" i="24"/>
  <c r="K444" i="24"/>
  <c r="A444" i="24"/>
  <c r="C443" i="24"/>
  <c r="E442" i="24"/>
  <c r="Q441" i="24"/>
  <c r="G441" i="24"/>
  <c r="K440" i="24"/>
  <c r="G439" i="24"/>
  <c r="E438" i="24"/>
  <c r="M437" i="24"/>
  <c r="S436" i="24"/>
  <c r="Q435" i="24"/>
  <c r="S434" i="24"/>
  <c r="A434" i="24"/>
  <c r="C433" i="24"/>
  <c r="E432" i="24"/>
  <c r="G431" i="24"/>
  <c r="K430" i="24"/>
  <c r="G429" i="24"/>
  <c r="K428" i="24"/>
  <c r="Q427" i="24"/>
  <c r="O426" i="24"/>
  <c r="G425" i="24"/>
  <c r="O424" i="24"/>
  <c r="E424" i="24"/>
  <c r="G423" i="24"/>
  <c r="K422" i="24"/>
  <c r="M421" i="24"/>
  <c r="K420" i="24"/>
  <c r="G419" i="24"/>
  <c r="E418" i="24"/>
  <c r="G417" i="24"/>
  <c r="K416" i="24"/>
  <c r="Q415" i="24"/>
  <c r="S414" i="24"/>
  <c r="Q413" i="24"/>
  <c r="K412" i="24"/>
  <c r="Q411" i="24"/>
  <c r="C411" i="24"/>
  <c r="M409" i="24"/>
  <c r="K408" i="24"/>
  <c r="G407" i="24"/>
  <c r="O406" i="24"/>
  <c r="M405" i="24"/>
  <c r="K404" i="24"/>
  <c r="M403" i="24"/>
  <c r="S402" i="24"/>
  <c r="Q401" i="24"/>
  <c r="O400" i="24"/>
  <c r="Q399" i="24"/>
  <c r="O398" i="24"/>
  <c r="Q397" i="24"/>
  <c r="K396" i="24"/>
  <c r="M395" i="24"/>
  <c r="O394" i="24"/>
  <c r="Q393" i="24"/>
  <c r="S392" i="24"/>
  <c r="A392" i="24"/>
  <c r="S390" i="24"/>
  <c r="Q389" i="24"/>
  <c r="O388" i="24"/>
  <c r="Q387" i="24"/>
  <c r="S386" i="24"/>
  <c r="K386" i="24"/>
  <c r="M385" i="24"/>
  <c r="O384" i="24"/>
  <c r="A384" i="24"/>
  <c r="S382" i="24"/>
  <c r="A382" i="24"/>
  <c r="S380" i="24"/>
  <c r="A380" i="24"/>
  <c r="S378" i="24"/>
  <c r="Q377" i="24"/>
  <c r="O376" i="24"/>
  <c r="K374" i="24"/>
  <c r="C373" i="24"/>
  <c r="K372" i="24"/>
  <c r="M371" i="24"/>
  <c r="O370" i="24"/>
  <c r="C369" i="24"/>
  <c r="E368" i="24"/>
  <c r="M367" i="24"/>
  <c r="S366" i="24"/>
  <c r="A366" i="24"/>
  <c r="C365" i="24"/>
  <c r="K364" i="24"/>
  <c r="M363" i="24"/>
  <c r="O362" i="24"/>
  <c r="M361" i="24"/>
  <c r="E360" i="24"/>
  <c r="S358" i="24"/>
  <c r="A358" i="24"/>
  <c r="S356" i="24"/>
  <c r="G355" i="24"/>
  <c r="E354" i="24"/>
  <c r="C353" i="24"/>
  <c r="E352" i="24"/>
  <c r="C351" i="24"/>
  <c r="A350" i="24"/>
  <c r="M349" i="24"/>
  <c r="K348" i="24"/>
  <c r="G347" i="24"/>
  <c r="A346" i="24"/>
  <c r="S344" i="24"/>
  <c r="A344" i="24"/>
  <c r="C343" i="24"/>
  <c r="E342" i="24"/>
  <c r="G341" i="24"/>
  <c r="O340" i="24"/>
  <c r="Q339" i="24"/>
  <c r="O338" i="24"/>
  <c r="Q337" i="24"/>
  <c r="O336" i="24"/>
  <c r="Q335" i="24"/>
  <c r="S334" i="24"/>
  <c r="A334" i="24"/>
  <c r="G333" i="24"/>
  <c r="S332" i="24"/>
  <c r="A332" i="24"/>
  <c r="O330" i="24"/>
  <c r="E330" i="24"/>
  <c r="G329" i="24"/>
  <c r="K328" i="24"/>
  <c r="M327" i="24"/>
  <c r="O326" i="24"/>
  <c r="A326" i="24"/>
  <c r="C325" i="24"/>
  <c r="K324" i="24"/>
  <c r="M323" i="24"/>
  <c r="K322" i="24"/>
  <c r="M321" i="24"/>
  <c r="K320" i="24"/>
  <c r="E320" i="24"/>
  <c r="G319" i="24"/>
  <c r="E318" i="24"/>
  <c r="G317" i="24"/>
  <c r="E316" i="24"/>
  <c r="G315" i="24"/>
  <c r="K314" i="24"/>
  <c r="C313" i="24"/>
  <c r="E312" i="24"/>
  <c r="M311" i="24"/>
  <c r="O310" i="24"/>
  <c r="A310" i="24"/>
  <c r="C309" i="24"/>
  <c r="E308" i="24"/>
  <c r="G307" i="24"/>
  <c r="K306" i="24"/>
  <c r="M305" i="24"/>
  <c r="O304" i="24"/>
  <c r="Q303" i="24"/>
  <c r="C303" i="24"/>
  <c r="Q301" i="24"/>
  <c r="C301" i="24"/>
  <c r="E300" i="24"/>
  <c r="G299" i="24"/>
  <c r="Q297" i="24"/>
  <c r="S296" i="24"/>
  <c r="M295" i="24"/>
  <c r="O294" i="24"/>
  <c r="Q293" i="24"/>
  <c r="C293" i="24"/>
  <c r="E292" i="24"/>
  <c r="C291" i="24"/>
  <c r="E290" i="24"/>
  <c r="G289" i="24"/>
  <c r="E288" i="24"/>
  <c r="M287" i="24"/>
  <c r="K286" i="24"/>
  <c r="M285" i="24"/>
  <c r="C285" i="24"/>
  <c r="E284" i="24"/>
  <c r="G283" i="24"/>
  <c r="K282" i="24"/>
  <c r="M281" i="24"/>
  <c r="C281" i="24"/>
  <c r="K280" i="24"/>
  <c r="G279" i="24"/>
  <c r="O278" i="24"/>
  <c r="M277" i="24"/>
  <c r="K276" i="24"/>
  <c r="O274" i="24"/>
  <c r="M273" i="24"/>
  <c r="O272" i="24"/>
  <c r="Q271" i="24"/>
  <c r="O270" i="24"/>
  <c r="Q269" i="24"/>
  <c r="S268" i="24"/>
  <c r="A268" i="24"/>
  <c r="C267" i="24"/>
  <c r="E266" i="24"/>
  <c r="M265" i="24"/>
  <c r="K264" i="24"/>
  <c r="M263" i="24"/>
  <c r="S262" i="24"/>
  <c r="Q261" i="24"/>
  <c r="S260" i="24"/>
  <c r="E260" i="24"/>
  <c r="G259" i="24"/>
  <c r="O258" i="24"/>
  <c r="M257" i="24"/>
  <c r="O256" i="24"/>
  <c r="A256" i="24"/>
  <c r="C255" i="24"/>
  <c r="K254" i="24"/>
  <c r="Q253" i="24"/>
  <c r="O252" i="24"/>
  <c r="A252" i="24"/>
  <c r="C251" i="24"/>
  <c r="A250" i="24"/>
  <c r="G249" i="24"/>
  <c r="K248" i="24"/>
  <c r="M247" i="24"/>
  <c r="S246" i="24"/>
  <c r="A246" i="24"/>
  <c r="S244" i="24"/>
  <c r="M243" i="24"/>
  <c r="S242" i="24"/>
  <c r="K242" i="24"/>
  <c r="M241" i="24"/>
  <c r="C241" i="24"/>
  <c r="E240" i="24"/>
  <c r="G239" i="24"/>
  <c r="K238" i="24"/>
  <c r="G237" i="24"/>
  <c r="K236" i="24"/>
  <c r="C235" i="24"/>
  <c r="Q233" i="24"/>
  <c r="S232" i="24"/>
  <c r="Q231" i="24"/>
  <c r="C231" i="24"/>
  <c r="E230" i="24"/>
  <c r="G229" i="24"/>
  <c r="O228" i="24"/>
  <c r="M227" i="24"/>
  <c r="O226" i="24"/>
  <c r="M225" i="24"/>
  <c r="S224" i="24"/>
  <c r="A224" i="24"/>
  <c r="C223" i="24"/>
  <c r="E222" i="24"/>
  <c r="G221" i="24"/>
  <c r="K220" i="24"/>
  <c r="M219" i="24"/>
  <c r="O218" i="24"/>
  <c r="A218" i="24"/>
  <c r="C217" i="24"/>
  <c r="E216" i="24"/>
  <c r="C215" i="24"/>
  <c r="K214" i="24"/>
  <c r="Q213" i="24"/>
  <c r="S212" i="24"/>
  <c r="A212" i="24"/>
  <c r="S210" i="24"/>
  <c r="A210" i="24"/>
  <c r="C209" i="24"/>
  <c r="E208" i="24"/>
  <c r="Q207" i="24"/>
  <c r="K206" i="24"/>
  <c r="M205" i="24"/>
  <c r="O204" i="24"/>
  <c r="Q203" i="24"/>
  <c r="C203" i="24"/>
  <c r="K202" i="24"/>
  <c r="Q201" i="24"/>
  <c r="K200" i="24"/>
  <c r="M199" i="24"/>
  <c r="O198" i="24"/>
  <c r="A198" i="24"/>
  <c r="E197" i="24"/>
  <c r="I196" i="24"/>
  <c r="Q195" i="24"/>
  <c r="E195" i="24"/>
  <c r="I194" i="24"/>
  <c r="M193" i="24"/>
  <c r="Q192" i="24"/>
  <c r="Q191" i="24"/>
  <c r="A191" i="24"/>
  <c r="E190" i="24"/>
  <c r="M189" i="24"/>
  <c r="A189" i="24"/>
  <c r="M187" i="24"/>
  <c r="A187" i="24"/>
  <c r="E186" i="24"/>
  <c r="E185" i="24"/>
  <c r="M184" i="24"/>
  <c r="Q183" i="24"/>
  <c r="E183" i="24"/>
  <c r="M182" i="24"/>
  <c r="A182" i="24"/>
  <c r="I181" i="24"/>
  <c r="Q180" i="24"/>
  <c r="A180" i="24"/>
  <c r="M179" i="24"/>
  <c r="Q178" i="24"/>
  <c r="Q177" i="24"/>
  <c r="M177" i="24"/>
  <c r="I177" i="24"/>
  <c r="E177" i="24"/>
  <c r="A177" i="24"/>
  <c r="M176" i="24"/>
  <c r="I176" i="24"/>
  <c r="A176" i="24"/>
  <c r="Q175" i="24"/>
  <c r="E175" i="24"/>
  <c r="A175" i="24"/>
  <c r="M174" i="24"/>
  <c r="M173" i="24"/>
  <c r="A173" i="24"/>
  <c r="I172" i="24"/>
  <c r="I171" i="24"/>
  <c r="A171" i="24"/>
  <c r="I170" i="24"/>
  <c r="Q169" i="24"/>
  <c r="E169" i="24"/>
  <c r="I168" i="24"/>
  <c r="Q167" i="24"/>
  <c r="I167" i="24"/>
  <c r="M166" i="24"/>
  <c r="Q165" i="24"/>
  <c r="A165" i="24"/>
  <c r="I164" i="24"/>
  <c r="M163" i="24"/>
  <c r="M162" i="24"/>
  <c r="M161" i="24"/>
  <c r="M160" i="24"/>
  <c r="M159" i="24"/>
  <c r="Q158" i="24"/>
  <c r="A158" i="24"/>
  <c r="E157" i="24"/>
  <c r="I156" i="24"/>
  <c r="M155" i="24"/>
  <c r="A155" i="24"/>
  <c r="E154" i="24"/>
  <c r="E153" i="24"/>
  <c r="E152" i="24"/>
  <c r="M151" i="24"/>
  <c r="I150" i="24"/>
  <c r="I149" i="24"/>
  <c r="Q148" i="24"/>
  <c r="A148" i="24"/>
  <c r="E147" i="24"/>
  <c r="I146" i="24"/>
  <c r="M145" i="24"/>
  <c r="Q144" i="24"/>
  <c r="A144" i="24"/>
  <c r="E143" i="24"/>
  <c r="M142" i="24"/>
  <c r="M141" i="24"/>
  <c r="A141" i="24"/>
  <c r="A140" i="24"/>
  <c r="E139" i="24"/>
  <c r="I138" i="24"/>
  <c r="M137" i="24"/>
  <c r="Q136" i="24"/>
  <c r="A136" i="24"/>
  <c r="A135" i="24"/>
  <c r="A134" i="24"/>
  <c r="A133" i="24"/>
  <c r="Q131" i="24"/>
  <c r="Q130" i="24"/>
  <c r="Q129" i="24"/>
  <c r="E129" i="24"/>
  <c r="I128" i="24"/>
  <c r="I127" i="24"/>
  <c r="E126" i="24"/>
  <c r="I125" i="24"/>
  <c r="M124" i="24"/>
  <c r="A124" i="24"/>
  <c r="A123" i="24"/>
  <c r="I122" i="24"/>
  <c r="I121" i="24"/>
  <c r="Q120" i="24"/>
  <c r="A120" i="24"/>
  <c r="A119" i="24"/>
  <c r="E118" i="24"/>
  <c r="I117" i="24"/>
  <c r="I116" i="24"/>
  <c r="M115" i="24"/>
  <c r="Q114" i="24"/>
  <c r="A114" i="24"/>
  <c r="Q112" i="24"/>
  <c r="A112" i="24"/>
  <c r="E111" i="24"/>
  <c r="I110" i="24"/>
  <c r="M109" i="24"/>
  <c r="Q108" i="24"/>
  <c r="Q107" i="24"/>
  <c r="A107" i="24"/>
  <c r="E106" i="24"/>
  <c r="I105" i="24"/>
  <c r="M104" i="24"/>
  <c r="M103" i="24"/>
  <c r="Q102" i="24"/>
  <c r="A102" i="24"/>
  <c r="E101" i="24"/>
  <c r="I100" i="24"/>
  <c r="M99" i="24"/>
  <c r="Q98" i="24"/>
  <c r="A98" i="24"/>
  <c r="E97" i="24"/>
  <c r="I96" i="24"/>
  <c r="M95" i="24"/>
  <c r="Q94" i="24"/>
  <c r="E94" i="24"/>
  <c r="E93" i="24"/>
  <c r="I92" i="24"/>
  <c r="M91" i="24"/>
  <c r="Q90" i="24"/>
  <c r="Q89" i="24"/>
  <c r="A89" i="24"/>
  <c r="E88" i="24"/>
  <c r="I87" i="24"/>
  <c r="M86" i="24"/>
  <c r="Q85" i="24"/>
  <c r="A85" i="24"/>
  <c r="E84" i="24"/>
  <c r="I83" i="24"/>
  <c r="I82" i="24"/>
  <c r="M81" i="24"/>
  <c r="M80" i="24"/>
  <c r="Q79" i="24"/>
  <c r="Q78" i="24"/>
  <c r="Q77" i="24"/>
  <c r="Q76" i="24"/>
  <c r="A76" i="24"/>
  <c r="E75" i="24"/>
  <c r="I74" i="24"/>
  <c r="I73" i="24"/>
  <c r="M72" i="24"/>
  <c r="Q71" i="24"/>
  <c r="E71" i="24"/>
  <c r="M70" i="24"/>
  <c r="M69" i="24"/>
  <c r="A69" i="24"/>
  <c r="E68" i="24"/>
  <c r="I67" i="24"/>
  <c r="M66" i="24"/>
  <c r="M65" i="24"/>
  <c r="A65" i="24"/>
  <c r="E64" i="24"/>
  <c r="E63" i="24"/>
  <c r="A62" i="24"/>
  <c r="E61" i="24"/>
  <c r="I60" i="24"/>
  <c r="M59" i="24"/>
  <c r="Q58" i="24"/>
  <c r="A58" i="24"/>
  <c r="E57" i="24"/>
  <c r="I56" i="24"/>
  <c r="M55" i="24"/>
  <c r="M54" i="24"/>
  <c r="M53" i="24"/>
  <c r="Q52" i="24"/>
  <c r="M51" i="24"/>
  <c r="I50" i="24"/>
  <c r="M49" i="24"/>
  <c r="A49" i="24"/>
  <c r="E48" i="24"/>
  <c r="M47" i="24"/>
  <c r="M46" i="24"/>
  <c r="M45" i="24"/>
  <c r="Q44" i="24"/>
  <c r="Q43" i="24"/>
  <c r="E43" i="24"/>
  <c r="E42" i="24"/>
  <c r="I41" i="24"/>
  <c r="Q40" i="24"/>
  <c r="A40" i="24"/>
  <c r="E39" i="24"/>
  <c r="M38" i="24"/>
  <c r="Q37" i="24"/>
  <c r="Q36" i="24"/>
  <c r="A36" i="24"/>
  <c r="I35" i="24"/>
  <c r="M34" i="24"/>
  <c r="A34" i="24"/>
  <c r="I33" i="24"/>
  <c r="M32" i="24"/>
  <c r="A32" i="24"/>
  <c r="M30" i="24"/>
  <c r="Q29" i="24"/>
  <c r="A29" i="24"/>
  <c r="M28" i="24"/>
  <c r="M27" i="24"/>
  <c r="Q26" i="24"/>
  <c r="E26" i="24"/>
  <c r="I25" i="24"/>
  <c r="I24" i="24"/>
  <c r="A24" i="24"/>
  <c r="I23" i="24"/>
  <c r="M22" i="24"/>
  <c r="M21" i="24"/>
  <c r="I20" i="24"/>
  <c r="M19" i="24"/>
  <c r="M18" i="24"/>
  <c r="Q17" i="24"/>
  <c r="M16" i="24"/>
  <c r="M15" i="24"/>
  <c r="A15" i="24"/>
  <c r="E14" i="24"/>
  <c r="I13" i="24"/>
  <c r="I12" i="24"/>
  <c r="M11" i="24"/>
  <c r="M10" i="24"/>
  <c r="I9" i="24"/>
  <c r="M8" i="24"/>
  <c r="A8" i="24"/>
  <c r="E7" i="24"/>
  <c r="I6" i="24"/>
  <c r="M5" i="24"/>
  <c r="Q4" i="24"/>
  <c r="A4" i="24"/>
  <c r="E3" i="24"/>
  <c r="I2" i="24"/>
  <c r="K96" i="18" l="1"/>
  <c r="K97" i="18"/>
  <c r="K98" i="18"/>
  <c r="K99" i="18"/>
  <c r="K95" i="18"/>
  <c r="S10" i="10" l="1"/>
  <c r="T10" i="10"/>
  <c r="R19" i="10" l="1"/>
  <c r="R20" i="10" s="1"/>
  <c r="AA10" i="10" l="1"/>
  <c r="T9" i="10"/>
  <c r="T21" i="10" s="1"/>
  <c r="U9" i="10"/>
  <c r="U21" i="10" s="1"/>
  <c r="V9" i="10"/>
  <c r="V21" i="10" s="1"/>
  <c r="W9" i="10"/>
  <c r="W21" i="10" s="1"/>
  <c r="X9" i="10"/>
  <c r="X21" i="10" s="1"/>
  <c r="Y9" i="10"/>
  <c r="Y21" i="10" s="1"/>
  <c r="Z9" i="10"/>
  <c r="Z21" i="10" s="1"/>
  <c r="AA9" i="10"/>
  <c r="AA21" i="10" s="1"/>
  <c r="U10" i="10"/>
  <c r="V10" i="10"/>
  <c r="W10" i="10"/>
  <c r="X10" i="10"/>
  <c r="Y10" i="10"/>
  <c r="Z10" i="10"/>
  <c r="T11" i="10"/>
  <c r="U11" i="10"/>
  <c r="V11" i="10"/>
  <c r="W11" i="10"/>
  <c r="X11" i="10"/>
  <c r="Y11" i="10"/>
  <c r="Z11" i="10"/>
  <c r="AA11" i="10"/>
  <c r="R9" i="10"/>
  <c r="R21" i="10" s="1"/>
  <c r="S9" i="10"/>
  <c r="S21" i="10" s="1"/>
  <c r="S11" i="10"/>
  <c r="L27" i="12"/>
  <c r="M24" i="12"/>
  <c r="N24" i="12"/>
  <c r="O24" i="12"/>
  <c r="L24" i="12"/>
  <c r="N26" i="12"/>
  <c r="O26" i="12"/>
  <c r="O28" i="12" s="1"/>
  <c r="N27" i="12"/>
  <c r="O27" i="12"/>
  <c r="M8" i="12"/>
  <c r="N8" i="12"/>
  <c r="O8" i="12"/>
  <c r="O30" i="12" s="1"/>
  <c r="M9" i="12"/>
  <c r="N9" i="12"/>
  <c r="O9" i="12"/>
  <c r="M10" i="12"/>
  <c r="N10" i="12"/>
  <c r="O10" i="12"/>
  <c r="M11" i="12"/>
  <c r="N11" i="12"/>
  <c r="O11" i="12"/>
  <c r="M12" i="12"/>
  <c r="M37" i="12" s="1"/>
  <c r="N12" i="12"/>
  <c r="N37" i="12" s="1"/>
  <c r="O12" i="12"/>
  <c r="O37" i="12" s="1"/>
  <c r="M13" i="12"/>
  <c r="M38" i="12" s="1"/>
  <c r="N13" i="12"/>
  <c r="N38" i="12" s="1"/>
  <c r="O13" i="12"/>
  <c r="O38" i="12" s="1"/>
  <c r="M14" i="12"/>
  <c r="N14" i="12"/>
  <c r="N39" i="12" s="1"/>
  <c r="O14" i="12"/>
  <c r="O39" i="12" s="1"/>
  <c r="M15" i="12"/>
  <c r="N15" i="12"/>
  <c r="O15" i="12"/>
  <c r="M16" i="12"/>
  <c r="N16" i="12"/>
  <c r="O16" i="12"/>
  <c r="M17" i="12"/>
  <c r="N17" i="12"/>
  <c r="N19" i="12" s="1"/>
  <c r="N20" i="12" s="1"/>
  <c r="O17" i="12"/>
  <c r="O19" i="12" s="1"/>
  <c r="O20" i="12" s="1"/>
  <c r="M19" i="12"/>
  <c r="M20" i="12" s="1"/>
  <c r="L16" i="12"/>
  <c r="L15" i="12"/>
  <c r="L14" i="12"/>
  <c r="L13" i="12"/>
  <c r="L38" i="12" s="1"/>
  <c r="L10" i="12"/>
  <c r="L17" i="12"/>
  <c r="L9" i="12"/>
  <c r="L12" i="12"/>
  <c r="L37" i="12" s="1"/>
  <c r="L11" i="12"/>
  <c r="M27" i="12"/>
  <c r="M26" i="12"/>
  <c r="L26" i="12"/>
  <c r="L8" i="12"/>
  <c r="R11" i="10"/>
  <c r="R10" i="10"/>
  <c r="O29" i="12" l="1"/>
  <c r="N25" i="12"/>
  <c r="N21" i="12"/>
  <c r="N28" i="12"/>
  <c r="O31" i="12"/>
  <c r="O32" i="12"/>
  <c r="L21" i="12"/>
  <c r="L35" i="12" s="1"/>
  <c r="L39" i="12"/>
  <c r="O21" i="12"/>
  <c r="O41" i="12" s="1"/>
  <c r="N41" i="12"/>
  <c r="O25" i="12"/>
  <c r="M21" i="12"/>
  <c r="M35" i="12" s="1"/>
  <c r="M39" i="12"/>
  <c r="L25" i="12"/>
  <c r="N35" i="12"/>
  <c r="M25" i="12"/>
  <c r="N29" i="12"/>
  <c r="AH46" i="10"/>
  <c r="U14" i="10"/>
  <c r="U15" i="10" s="1"/>
  <c r="U26" i="10" s="1"/>
  <c r="AI46" i="10"/>
  <c r="R46" i="10" s="1"/>
  <c r="W14" i="10"/>
  <c r="W16" i="10" s="1"/>
  <c r="W27" i="10" s="1"/>
  <c r="U13" i="10"/>
  <c r="U24" i="10" s="1"/>
  <c r="V12" i="10"/>
  <c r="V23" i="10" s="1"/>
  <c r="Z13" i="10"/>
  <c r="Z24" i="10" s="1"/>
  <c r="Y14" i="10"/>
  <c r="Y37" i="10" s="1"/>
  <c r="T12" i="10"/>
  <c r="T23" i="10" s="1"/>
  <c r="Y13" i="10"/>
  <c r="Y24" i="10" s="1"/>
  <c r="V14" i="10"/>
  <c r="V15" i="10" s="1"/>
  <c r="V26" i="10" s="1"/>
  <c r="V13" i="10"/>
  <c r="V24" i="10" s="1"/>
  <c r="U12" i="10"/>
  <c r="U23" i="10" s="1"/>
  <c r="Z14" i="10"/>
  <c r="Z25" i="10" s="1"/>
  <c r="Z43" i="10" s="1"/>
  <c r="X13" i="10"/>
  <c r="X24" i="10" s="1"/>
  <c r="W12" i="10"/>
  <c r="W23" i="10" s="1"/>
  <c r="X14" i="10"/>
  <c r="X36" i="10" s="1"/>
  <c r="AA14" i="10"/>
  <c r="AA25" i="10" s="1"/>
  <c r="S13" i="10"/>
  <c r="S24" i="10" s="1"/>
  <c r="W13" i="10"/>
  <c r="W24" i="10" s="1"/>
  <c r="Y12" i="10"/>
  <c r="Y23" i="10" s="1"/>
  <c r="Z22" i="10"/>
  <c r="Z33" i="10" s="1"/>
  <c r="Z12" i="10"/>
  <c r="Z23" i="10" s="1"/>
  <c r="X22" i="10"/>
  <c r="X34" i="10" s="1"/>
  <c r="AA22" i="10"/>
  <c r="AA34" i="10" s="1"/>
  <c r="W22" i="10"/>
  <c r="W33" i="10" s="1"/>
  <c r="V22" i="10"/>
  <c r="V33" i="10" s="1"/>
  <c r="Y22" i="10"/>
  <c r="Y33" i="10" s="1"/>
  <c r="U22" i="10"/>
  <c r="U34" i="10" s="1"/>
  <c r="T22" i="10"/>
  <c r="T34" i="10" s="1"/>
  <c r="Y31" i="10"/>
  <c r="U31" i="10"/>
  <c r="Z30" i="10"/>
  <c r="V30" i="10"/>
  <c r="W42" i="10"/>
  <c r="AA42" i="10"/>
  <c r="S31" i="10"/>
  <c r="X31" i="10"/>
  <c r="T31" i="10"/>
  <c r="Y30" i="10"/>
  <c r="U30" i="10"/>
  <c r="Z42" i="10"/>
  <c r="V42" i="10"/>
  <c r="W31" i="10"/>
  <c r="AA31" i="10"/>
  <c r="X30" i="10"/>
  <c r="T30" i="10"/>
  <c r="Y42" i="10"/>
  <c r="U42" i="10"/>
  <c r="X12" i="10"/>
  <c r="X23" i="10" s="1"/>
  <c r="Z31" i="10"/>
  <c r="V31" i="10"/>
  <c r="W30" i="10"/>
  <c r="Y36" i="10"/>
  <c r="X42" i="10"/>
  <c r="T42" i="10"/>
  <c r="R31" i="10"/>
  <c r="AA13" i="10"/>
  <c r="AA24" i="10" s="1"/>
  <c r="AA12" i="10"/>
  <c r="AA23" i="10" s="1"/>
  <c r="AA30" i="10"/>
  <c r="R22" i="10"/>
  <c r="R34" i="10" s="1"/>
  <c r="Y25" i="10"/>
  <c r="Y43" i="10" s="1"/>
  <c r="T14" i="10"/>
  <c r="T37" i="10" s="1"/>
  <c r="T13" i="10"/>
  <c r="T24" i="10" s="1"/>
  <c r="R42" i="10"/>
  <c r="AE42" i="10" s="1"/>
  <c r="S30" i="10"/>
  <c r="S22" i="10"/>
  <c r="S33" i="10" s="1"/>
  <c r="S42" i="10"/>
  <c r="S12" i="10"/>
  <c r="S23" i="10" s="1"/>
  <c r="S14" i="10"/>
  <c r="S36" i="10" s="1"/>
  <c r="N30" i="12"/>
  <c r="L19" i="12"/>
  <c r="L20" i="12" s="1"/>
  <c r="M29" i="12"/>
  <c r="L28" i="12"/>
  <c r="L30" i="12"/>
  <c r="L29" i="12"/>
  <c r="M28" i="12"/>
  <c r="M30" i="12"/>
  <c r="R13" i="10"/>
  <c r="R14" i="10"/>
  <c r="R15" i="10" s="1"/>
  <c r="R12" i="10"/>
  <c r="R30" i="10"/>
  <c r="X25" i="10" l="1"/>
  <c r="X43" i="10" s="1"/>
  <c r="O35" i="12"/>
  <c r="M41" i="12"/>
  <c r="X37" i="10"/>
  <c r="W36" i="10"/>
  <c r="W15" i="10"/>
  <c r="W26" i="10" s="1"/>
  <c r="AA16" i="10"/>
  <c r="AA27" i="10" s="1"/>
  <c r="L41" i="12"/>
  <c r="U37" i="10"/>
  <c r="U25" i="10"/>
  <c r="U43" i="10" s="1"/>
  <c r="U36" i="10"/>
  <c r="W37" i="10"/>
  <c r="W25" i="10"/>
  <c r="W40" i="10" s="1"/>
  <c r="U16" i="10"/>
  <c r="U27" i="10" s="1"/>
  <c r="T46" i="10"/>
  <c r="U46" i="10"/>
  <c r="V46" i="10"/>
  <c r="Z46" i="10"/>
  <c r="S46" i="10"/>
  <c r="AA46" i="10"/>
  <c r="X46" i="10"/>
  <c r="Y46" i="10"/>
  <c r="W46" i="10"/>
  <c r="S45" i="10"/>
  <c r="W45" i="10"/>
  <c r="AA45" i="10"/>
  <c r="T45" i="10"/>
  <c r="X45" i="10"/>
  <c r="AB45" i="10"/>
  <c r="U45" i="10"/>
  <c r="Y45" i="10"/>
  <c r="Q45" i="10"/>
  <c r="R45" i="10"/>
  <c r="R47" i="10" s="1"/>
  <c r="V45" i="10"/>
  <c r="Z45" i="10"/>
  <c r="V37" i="10"/>
  <c r="T33" i="10"/>
  <c r="AA33" i="10"/>
  <c r="V34" i="10"/>
  <c r="Z37" i="10"/>
  <c r="AA36" i="10"/>
  <c r="AA43" i="10"/>
  <c r="AA40" i="10"/>
  <c r="AA39" i="10"/>
  <c r="AA15" i="10"/>
  <c r="AA26" i="10" s="1"/>
  <c r="Z34" i="10"/>
  <c r="V25" i="10"/>
  <c r="V36" i="10"/>
  <c r="AA37" i="10"/>
  <c r="V16" i="10"/>
  <c r="V27" i="10" s="1"/>
  <c r="Y34" i="10"/>
  <c r="X33" i="10"/>
  <c r="W34" i="10"/>
  <c r="Y15" i="10"/>
  <c r="Y26" i="10" s="1"/>
  <c r="Y16" i="10"/>
  <c r="Y27" i="10" s="1"/>
  <c r="Z16" i="10"/>
  <c r="Z27" i="10" s="1"/>
  <c r="Z15" i="10"/>
  <c r="Z26" i="10" s="1"/>
  <c r="Z36" i="10"/>
  <c r="X16" i="10"/>
  <c r="X27" i="10" s="1"/>
  <c r="X15" i="10"/>
  <c r="X26" i="10" s="1"/>
  <c r="R37" i="10"/>
  <c r="Z40" i="10"/>
  <c r="U33" i="10"/>
  <c r="Y39" i="10"/>
  <c r="T25" i="10"/>
  <c r="T36" i="10"/>
  <c r="Z39" i="10"/>
  <c r="S34" i="10"/>
  <c r="S37" i="10"/>
  <c r="Y40" i="10"/>
  <c r="R33" i="10"/>
  <c r="R26" i="10"/>
  <c r="R24" i="10"/>
  <c r="AE24" i="10" s="1"/>
  <c r="R23" i="10"/>
  <c r="T15" i="10"/>
  <c r="T26" i="10" s="1"/>
  <c r="T16" i="10"/>
  <c r="T27" i="10" s="1"/>
  <c r="S25" i="10"/>
  <c r="S15" i="10"/>
  <c r="S26" i="10" s="1"/>
  <c r="S16" i="10"/>
  <c r="S27" i="10" s="1"/>
  <c r="N32" i="12"/>
  <c r="N31" i="12"/>
  <c r="M32" i="12"/>
  <c r="M31" i="12"/>
  <c r="L32" i="12"/>
  <c r="L31" i="12"/>
  <c r="R25" i="10"/>
  <c r="R43" i="10" s="1"/>
  <c r="R16" i="10"/>
  <c r="R27" i="10" s="1"/>
  <c r="AE27" i="10" s="1"/>
  <c r="R36" i="10"/>
  <c r="X40" i="10" l="1"/>
  <c r="X39" i="10"/>
  <c r="T47" i="10"/>
  <c r="S47" i="10"/>
  <c r="U40" i="10"/>
  <c r="U39" i="10"/>
  <c r="X47" i="10"/>
  <c r="Z47" i="10"/>
  <c r="Y47" i="10"/>
  <c r="V47" i="10"/>
  <c r="U47" i="10"/>
  <c r="AA47" i="10"/>
  <c r="W47" i="10"/>
  <c r="W43" i="10"/>
  <c r="W39" i="10"/>
  <c r="V43" i="10"/>
  <c r="V40" i="10"/>
  <c r="V39" i="10"/>
  <c r="S43" i="10"/>
  <c r="S40" i="10"/>
  <c r="T43" i="10"/>
  <c r="T39" i="10"/>
  <c r="T40" i="10"/>
  <c r="R40" i="10"/>
  <c r="S39" i="10"/>
  <c r="R39" i="10"/>
</calcChain>
</file>

<file path=xl/sharedStrings.xml><?xml version="1.0" encoding="utf-8"?>
<sst xmlns="http://schemas.openxmlformats.org/spreadsheetml/2006/main" count="357" uniqueCount="216">
  <si>
    <t>n</t>
  </si>
  <si>
    <t>c.v.</t>
  </si>
  <si>
    <t>F</t>
  </si>
  <si>
    <t>Mediana</t>
  </si>
  <si>
    <t>média</t>
  </si>
  <si>
    <t>d.p.</t>
  </si>
  <si>
    <t>min</t>
  </si>
  <si>
    <t>max</t>
  </si>
  <si>
    <t>e.p.</t>
  </si>
  <si>
    <t>FERRAMENTAS ESTATISTICAS</t>
  </si>
  <si>
    <t>c.v. %</t>
  </si>
  <si>
    <t>c.v. e.p.</t>
  </si>
  <si>
    <t>c.v. e.p. %</t>
  </si>
  <si>
    <t>desvio padrão dos resultados em relação a média</t>
  </si>
  <si>
    <t>coeficiente de variação = d.p. / média</t>
  </si>
  <si>
    <t>c.v. % = (d.p. / média ) x 100 %</t>
  </si>
  <si>
    <t>e.p. = d.p. da média = d.p. / Raiz(n)</t>
  </si>
  <si>
    <t>c.v.e.p. = e.p. / média</t>
  </si>
  <si>
    <t>c.v.e.p.% = (e.p. / média) x 100 %</t>
  </si>
  <si>
    <t>input</t>
  </si>
  <si>
    <t>entrada</t>
  </si>
  <si>
    <t>saida</t>
  </si>
  <si>
    <t>α</t>
  </si>
  <si>
    <t>(1-α)</t>
  </si>
  <si>
    <t>Fator expansor do d.p.</t>
  </si>
  <si>
    <t>Desvio padrão expandido</t>
  </si>
  <si>
    <t>k x d.p.</t>
  </si>
  <si>
    <t>c.v. % expandido</t>
  </si>
  <si>
    <t>k x c.v.</t>
  </si>
  <si>
    <t>c.v. expandido</t>
  </si>
  <si>
    <t>kx c.v.%</t>
  </si>
  <si>
    <t>e.p. expandido</t>
  </si>
  <si>
    <t>k x e.p.</t>
  </si>
  <si>
    <t>c.v. e.p. expandido</t>
  </si>
  <si>
    <t>k x c.v. e.p.</t>
  </si>
  <si>
    <t>c.v. e.p. % expandido</t>
  </si>
  <si>
    <t>kxc.v. e.p. %</t>
  </si>
  <si>
    <t>α/2 + (1-α)</t>
  </si>
  <si>
    <r>
      <t>k(n-1; α/2 + (1-α)</t>
    </r>
    <r>
      <rPr>
        <sz val="11"/>
        <color theme="1"/>
        <rFont val="Calibri"/>
        <family val="2"/>
      </rPr>
      <t>)</t>
    </r>
  </si>
  <si>
    <t>Intervalo formado por 1 d.p.</t>
  </si>
  <si>
    <t>intervalo formado por 1 d.p.expandido</t>
  </si>
  <si>
    <t>Intervalo formado por 1 e.p.</t>
  </si>
  <si>
    <t>este valor é definido pelo pesquisador</t>
  </si>
  <si>
    <t>INT.CONF.T (  :   )</t>
  </si>
  <si>
    <t>ANOVA</t>
  </si>
  <si>
    <t>SQ</t>
  </si>
  <si>
    <t>gl</t>
  </si>
  <si>
    <t>MQ</t>
  </si>
  <si>
    <t>valor-P</t>
  </si>
  <si>
    <t>Total</t>
  </si>
  <si>
    <t>Observações</t>
  </si>
  <si>
    <t>outra forma de calcular "e.p. expandido"</t>
  </si>
  <si>
    <r>
      <t>margem de erro (1-α</t>
    </r>
    <r>
      <rPr>
        <sz val="8.8000000000000007"/>
        <rFont val="Calibri"/>
        <family val="2"/>
        <scheme val="minor"/>
      </rPr>
      <t>) %</t>
    </r>
    <r>
      <rPr>
        <sz val="11"/>
        <rFont val="Calibri"/>
        <family val="2"/>
        <scheme val="minor"/>
      </rPr>
      <t xml:space="preserve"> associada a estimativa da média</t>
    </r>
  </si>
  <si>
    <t>Dispersão dos dados individuais</t>
  </si>
  <si>
    <t>Dispersão das médias de n resultados</t>
  </si>
  <si>
    <t>é a variabilidade das médias de n resultados em torno da média "verdadeira"</t>
  </si>
  <si>
    <t>é a variabilidade de todos os resultados individuais em torno da sua média</t>
  </si>
  <si>
    <t>é a margem de erro ao se estimar a "média verdadeira" pela média de n determinações</t>
  </si>
  <si>
    <t>é calculado pelo e.p. expandido</t>
  </si>
  <si>
    <t>é calculado pelo d.p. expandido</t>
  </si>
  <si>
    <t>Margem de Erro para dados individuais</t>
  </si>
  <si>
    <t>σ</t>
  </si>
  <si>
    <r>
      <t>µ</t>
    </r>
    <r>
      <rPr>
        <sz val="8.8000000000000007"/>
        <color theme="1"/>
        <rFont val="Calibri"/>
        <family val="2"/>
        <scheme val="minor"/>
      </rPr>
      <t>0</t>
    </r>
  </si>
  <si>
    <t>Nivel de confiança</t>
  </si>
  <si>
    <t>0,5 + P( 0 &lt; Z &lt; z)</t>
  </si>
  <si>
    <t>2 x Prob(Z  &gt; z))</t>
  </si>
  <si>
    <t>CALCULOS</t>
  </si>
  <si>
    <t>Menor valor</t>
  </si>
  <si>
    <t>Maior valor</t>
  </si>
  <si>
    <t>Amplitude</t>
  </si>
  <si>
    <t>max - min</t>
  </si>
  <si>
    <t>EP</t>
  </si>
  <si>
    <t>E_NP</t>
  </si>
  <si>
    <t>NE_P</t>
  </si>
  <si>
    <t>NE_NP</t>
  </si>
  <si>
    <t>Percentil 10</t>
  </si>
  <si>
    <t>p_10</t>
  </si>
  <si>
    <t>p_90</t>
  </si>
  <si>
    <t>p_2,5</t>
  </si>
  <si>
    <t>Percentil_2,5</t>
  </si>
  <si>
    <t>p_97.5</t>
  </si>
  <si>
    <t>Percentil_90</t>
  </si>
  <si>
    <t>Percentil_97,5</t>
  </si>
  <si>
    <t>Percentil_25  =  Quartl_1</t>
  </si>
  <si>
    <t>Percentil_75 =  Quartil_3</t>
  </si>
  <si>
    <t>p_25 = Q1</t>
  </si>
  <si>
    <t>p_50 = Q2</t>
  </si>
  <si>
    <t>p_75 = Q3</t>
  </si>
  <si>
    <t>Percentil_50  =  Quartil_2 = Mediana</t>
  </si>
  <si>
    <t>Semiamplitude</t>
  </si>
  <si>
    <t>(max-min)/2</t>
  </si>
  <si>
    <t>IntervaloInterquartilico</t>
  </si>
  <si>
    <t>Q3-Q1</t>
  </si>
  <si>
    <t>Medidas de posição</t>
  </si>
  <si>
    <t>Medidas de tendecia central</t>
  </si>
  <si>
    <t>Medidas de dispersão dos dados individuais calculadas em função das medidas de posição</t>
  </si>
  <si>
    <t>Medidas de dispersão dos dados individuais em relação a média</t>
  </si>
  <si>
    <t>medidas de disperção da média</t>
  </si>
  <si>
    <t>Moda</t>
  </si>
  <si>
    <t>Mo</t>
  </si>
  <si>
    <t>Estatisticas descritivas</t>
  </si>
  <si>
    <t>mediana  Med</t>
  </si>
  <si>
    <t xml:space="preserve">média   </t>
  </si>
  <si>
    <t>Média dos resultados</t>
  </si>
  <si>
    <r>
      <t>média -</t>
    </r>
    <r>
      <rPr>
        <sz val="11"/>
        <color theme="1"/>
        <rFont val="Calibri"/>
        <family val="2"/>
      </rPr>
      <t>d.p.</t>
    </r>
  </si>
  <si>
    <t>média +d.p.</t>
  </si>
  <si>
    <t>média - k x d.p.</t>
  </si>
  <si>
    <t>média +  k x d.p.</t>
  </si>
  <si>
    <r>
      <t xml:space="preserve">média - </t>
    </r>
    <r>
      <rPr>
        <sz val="11"/>
        <color theme="1"/>
        <rFont val="Calibri"/>
        <family val="2"/>
      </rPr>
      <t>e.p.</t>
    </r>
  </si>
  <si>
    <t>média - k x e.p.</t>
  </si>
  <si>
    <r>
      <t xml:space="preserve">média + </t>
    </r>
    <r>
      <rPr>
        <sz val="11"/>
        <color theme="1"/>
        <rFont val="Calibri"/>
        <family val="2"/>
      </rPr>
      <t>e.p.</t>
    </r>
  </si>
  <si>
    <t>média + k x e.p.</t>
  </si>
  <si>
    <t>Média valor referencia</t>
  </si>
  <si>
    <t>d.p. conhecido</t>
  </si>
  <si>
    <t>Rejeita H0 se 2xProb(Z &gt; z) &gt; 0,05   ou seja a média obtida não é igual a u0</t>
  </si>
  <si>
    <t>Li</t>
  </si>
  <si>
    <t>Ls</t>
  </si>
  <si>
    <t>Margem de Erro para a média</t>
  </si>
  <si>
    <t>SAIDA</t>
  </si>
  <si>
    <t>Média dos tecnicos</t>
  </si>
  <si>
    <t>d.p. entre técnicos</t>
  </si>
  <si>
    <t>x</t>
  </si>
  <si>
    <t>y</t>
  </si>
  <si>
    <t>x =número de clientes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</si>
  <si>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</si>
  <si>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</si>
  <si>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</si>
  <si>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</si>
  <si>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</si>
  <si>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</si>
  <si>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Regressão</t>
  </si>
  <si>
    <t>Resíduo</t>
  </si>
  <si>
    <t>Interseção</t>
  </si>
  <si>
    <t>F de significação</t>
  </si>
  <si>
    <t>Coeficientes</t>
  </si>
  <si>
    <t>Stat t</t>
  </si>
  <si>
    <t>95% inferiores</t>
  </si>
  <si>
    <t>95% superiores</t>
  </si>
  <si>
    <t>Inferior 95,0%</t>
  </si>
  <si>
    <t>Superior 95,0%</t>
  </si>
  <si>
    <t>RESULTADOS DE RESÍDUOS</t>
  </si>
  <si>
    <t>Observação</t>
  </si>
  <si>
    <t>Resíduos</t>
  </si>
  <si>
    <t>RESULTADOS DE PROBABILIDADE</t>
  </si>
  <si>
    <t>Percentil</t>
  </si>
  <si>
    <t>y = vendas semanais (1000 $)</t>
  </si>
  <si>
    <t>Previsto(a) y = vendas semanais (1000 $)</t>
  </si>
  <si>
    <t>a</t>
  </si>
  <si>
    <t>b</t>
  </si>
  <si>
    <t>PASSO 1</t>
  </si>
  <si>
    <t>PASSO 2</t>
  </si>
  <si>
    <t>PASSO 4</t>
  </si>
  <si>
    <t>PASSO 3</t>
  </si>
  <si>
    <t>TEM QUE SER MENOR QUE 0,05  PARA QUE A E B NÃO SEJAM NULOS</t>
  </si>
  <si>
    <t>TEM Q SER &lt; 0,05  PARA AFIRMAR QUE A RETA DE REGRESSÃO SE AJSUTA BEM AOS DADOS</t>
  </si>
  <si>
    <t>PASSO 6 A</t>
  </si>
  <si>
    <t>PASSO 6 B</t>
  </si>
  <si>
    <t>PASSO 5</t>
  </si>
  <si>
    <t>PASSO 7 B</t>
  </si>
  <si>
    <t>INDEP</t>
  </si>
  <si>
    <t>DIST NORMAL</t>
  </si>
  <si>
    <t>PASSO 7 C</t>
  </si>
  <si>
    <t>VARIANCIA CONSTANTE</t>
  </si>
  <si>
    <t>PASSO 7 A</t>
  </si>
  <si>
    <t>Leitura do Turbidímetro</t>
  </si>
  <si>
    <t>Fonte: SKOOG, WEST, HOLLER, CROUCH CAP. 8</t>
  </si>
  <si>
    <t>Fundamentos da Quimica Analítica</t>
  </si>
  <si>
    <t>Previsto(a) Leitura do Turbidímetro</t>
  </si>
  <si>
    <t>PASSO 8</t>
  </si>
  <si>
    <t>curva de calibração validada!!</t>
  </si>
  <si>
    <t>REGRESSÃO INVERSA</t>
  </si>
  <si>
    <t>&gt; 0,99</t>
  </si>
  <si>
    <r>
      <t xml:space="preserve">c.v. % = (d.p. / média ) x 100 %   </t>
    </r>
    <r>
      <rPr>
        <sz val="11"/>
        <color rgb="FFFF0000"/>
        <rFont val="Calibri"/>
        <family val="2"/>
        <scheme val="minor"/>
      </rPr>
      <t>ou RSD Relative Standard Deviation</t>
    </r>
  </si>
  <si>
    <r>
      <t>e.p.   d</t>
    </r>
    <r>
      <rPr>
        <sz val="11"/>
        <color rgb="FFFF0000"/>
        <rFont val="Calibri"/>
        <family val="2"/>
        <scheme val="minor"/>
      </rPr>
      <t>.p. da média</t>
    </r>
  </si>
  <si>
    <t xml:space="preserve">numero de determinações </t>
  </si>
  <si>
    <r>
      <t xml:space="preserve">média das determinações   </t>
    </r>
    <r>
      <rPr>
        <sz val="11"/>
        <color rgb="FFFF0000"/>
        <rFont val="Calibri"/>
        <family val="2"/>
        <scheme val="minor"/>
      </rPr>
      <t>ou resultado médio</t>
    </r>
  </si>
  <si>
    <t>desvio padrão das determinações em relação a média</t>
  </si>
  <si>
    <t>num de resultados ( de medições; em Quimica em geral trabalha-se com triplicatas</t>
  </si>
  <si>
    <t>Q1</t>
  </si>
  <si>
    <t>Q2</t>
  </si>
  <si>
    <t>Q3</t>
  </si>
  <si>
    <t>AS</t>
  </si>
  <si>
    <t xml:space="preserve">AI  </t>
  </si>
  <si>
    <t>Q1  1o Quartil</t>
  </si>
  <si>
    <t>Q2 2o Quartil = Mediana</t>
  </si>
  <si>
    <t xml:space="preserve">Q3 3o Quartil </t>
  </si>
  <si>
    <t>BS Barreira superior : qualquer dado superior a BS é outlier</t>
  </si>
  <si>
    <t>BI  Barreira inferior  : qualquer dado menor do que BS é outlier</t>
  </si>
  <si>
    <t>BI= Q3 - 1,5 * (Q3-Q1)</t>
  </si>
  <si>
    <t>BS=Q3 + 1,5*(Q3-Q1)</t>
  </si>
  <si>
    <t>BOX PLOT ou DIAGRAMA CAIXA E BIGODE</t>
  </si>
  <si>
    <t>PS AI  Ponto adjacente a Q1 = dado individual mais proximo a Q1</t>
  </si>
  <si>
    <t>PS Ponto adjacente a Q3 = dado individual mais proximo a Q3</t>
  </si>
  <si>
    <t>O BOX-PLOT é util para n &gt;= 20 qdo você tem muitos dados</t>
  </si>
  <si>
    <t xml:space="preserve">Contagem de resultados </t>
  </si>
  <si>
    <t>Teste de hipotese   H0: µ =  µ0    aqui  µ0 é uma valor referencia</t>
  </si>
  <si>
    <t>valor referencia pode ser a mediana das médias dos tecnicos ou um valor conhecido a priori ou o resultado do melhor técnico</t>
  </si>
  <si>
    <t>Verificação de exatidão da serie de resultados do tecnico</t>
  </si>
  <si>
    <t>CASO 1:   µ0 é  um  valor referencia  ( não se esta considernado incertezas em torno deste valor)</t>
  </si>
  <si>
    <t>CASO2:   µ0 é valor de consenso ( por exemplo mediana das médias dos técnicos)</t>
  </si>
  <si>
    <t>Nos dois casos estou supondo que desv pad populacional σ  seja o d.p. do técnico</t>
  </si>
  <si>
    <t>O que é H0? H0 é a hipotese de que o tecnico produziu como resultado o valor referencia</t>
  </si>
  <si>
    <t>O que é rejeitar H0? Rejeitar Ho significa que o teste indicou que o técnico ainda não prduziu um valor proximo do valor referencia.</t>
  </si>
  <si>
    <r>
      <t>Intervalo formado por 1 e.p. expandido =</t>
    </r>
    <r>
      <rPr>
        <sz val="11"/>
        <color rgb="FFFF0000"/>
        <rFont val="Calibri"/>
        <family val="2"/>
        <scheme val="minor"/>
      </rPr>
      <t xml:space="preserve"> I.C. para a média</t>
    </r>
  </si>
  <si>
    <t>Cx</t>
  </si>
  <si>
    <t>Resíduos padrão</t>
  </si>
  <si>
    <t>ELET3</t>
  </si>
  <si>
    <t>ITUB4</t>
  </si>
  <si>
    <t>ITSA4</t>
  </si>
  <si>
    <t>PETR4</t>
  </si>
  <si>
    <t>NUBR33</t>
  </si>
  <si>
    <t>MGLU3</t>
  </si>
  <si>
    <t>BBDC4</t>
  </si>
  <si>
    <t>VALE3</t>
  </si>
  <si>
    <t>BBAS3</t>
  </si>
  <si>
    <t>LREN3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</si>
</sst>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"/>
    <numFmt numFmtId="167" formatCode="0.0"/>
    <numFmt numFmtId="168" formatCode="m/d/yyyy\ 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.8000000000000007"/>
      <name val="Calibri"/>
      <family val="2"/>
      <scheme val="minor"/>
    </font>
    <font>
      <sz val="8.800000000000000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7" fillId="0" borderId="0"/>
  </cellStyleXfs>
  <cellXfs count="128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0" borderId="0" xfId="0" applyBorder="1"/>
    <xf numFmtId="0" fontId="0" fillId="0" borderId="0" xfId="0" applyFont="1"/>
    <xf numFmtId="0" fontId="6" fillId="0" borderId="0" xfId="0" applyFont="1"/>
    <xf numFmtId="0" fontId="3" fillId="0" borderId="0" xfId="0" applyFont="1"/>
    <xf numFmtId="0" fontId="0" fillId="5" borderId="0" xfId="0" applyFill="1"/>
    <xf numFmtId="0" fontId="0" fillId="0" borderId="0" xfId="0" applyFill="1"/>
    <xf numFmtId="0" fontId="4" fillId="0" borderId="0" xfId="0" applyFo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0" borderId="0" xfId="0" applyNumberFormat="1" applyFill="1"/>
    <xf numFmtId="0" fontId="1" fillId="5" borderId="0" xfId="0" applyFont="1" applyFill="1"/>
    <xf numFmtId="0" fontId="0" fillId="3" borderId="0" xfId="0" applyFill="1"/>
    <xf numFmtId="2" fontId="6" fillId="6" borderId="0" xfId="0" applyNumberFormat="1" applyFont="1" applyFill="1"/>
    <xf numFmtId="0" fontId="0" fillId="8" borderId="0" xfId="0" applyFill="1"/>
    <xf numFmtId="2" fontId="1" fillId="5" borderId="0" xfId="0" applyNumberFormat="1" applyFont="1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9" fontId="0" fillId="0" borderId="11" xfId="0" applyNumberFormat="1" applyBorder="1"/>
    <xf numFmtId="0" fontId="0" fillId="0" borderId="12" xfId="0" applyBorder="1"/>
    <xf numFmtId="0" fontId="0" fillId="0" borderId="11" xfId="0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/>
    <xf numFmtId="164" fontId="6" fillId="0" borderId="0" xfId="0" applyNumberFormat="1" applyFont="1" applyFill="1"/>
    <xf numFmtId="2" fontId="6" fillId="0" borderId="0" xfId="0" applyNumberFormat="1" applyFont="1" applyFill="1"/>
    <xf numFmtId="2" fontId="0" fillId="0" borderId="0" xfId="0" applyNumberFormat="1" applyFill="1"/>
    <xf numFmtId="9" fontId="0" fillId="0" borderId="0" xfId="1" applyFont="1" applyFill="1"/>
    <xf numFmtId="2" fontId="1" fillId="7" borderId="0" xfId="0" applyNumberFormat="1" applyFont="1" applyFill="1"/>
    <xf numFmtId="2" fontId="1" fillId="9" borderId="0" xfId="0" applyNumberFormat="1" applyFont="1" applyFill="1"/>
    <xf numFmtId="0" fontId="0" fillId="9" borderId="0" xfId="0" applyFill="1"/>
    <xf numFmtId="0" fontId="1" fillId="9" borderId="0" xfId="0" applyFont="1" applyFill="1"/>
    <xf numFmtId="0" fontId="1" fillId="7" borderId="0" xfId="0" applyFont="1" applyFill="1"/>
    <xf numFmtId="0" fontId="1" fillId="6" borderId="0" xfId="0" applyFont="1" applyFill="1"/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/>
    <xf numFmtId="0" fontId="1" fillId="0" borderId="0" xfId="0" applyFont="1" applyFill="1"/>
    <xf numFmtId="2" fontId="1" fillId="0" borderId="0" xfId="0" applyNumberFormat="1" applyFont="1" applyFill="1"/>
    <xf numFmtId="0" fontId="0" fillId="0" borderId="0" xfId="0" applyFill="1" applyAlignment="1">
      <alignment horizontal="center"/>
    </xf>
    <xf numFmtId="0" fontId="10" fillId="2" borderId="0" xfId="0" applyFont="1" applyFill="1"/>
    <xf numFmtId="0" fontId="10" fillId="3" borderId="0" xfId="0" applyFont="1" applyFill="1"/>
    <xf numFmtId="0" fontId="10" fillId="8" borderId="0" xfId="0" applyFont="1" applyFill="1"/>
    <xf numFmtId="0" fontId="10" fillId="10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10" borderId="0" xfId="0" applyFont="1" applyFill="1"/>
    <xf numFmtId="164" fontId="10" fillId="2" borderId="0" xfId="0" applyNumberFormat="1" applyFont="1" applyFill="1"/>
    <xf numFmtId="164" fontId="10" fillId="3" borderId="0" xfId="0" applyNumberFormat="1" applyFont="1" applyFill="1"/>
    <xf numFmtId="164" fontId="10" fillId="8" borderId="0" xfId="0" applyNumberFormat="1" applyFont="1" applyFill="1"/>
    <xf numFmtId="164" fontId="10" fillId="10" borderId="0" xfId="0" applyNumberFormat="1" applyFont="1" applyFill="1"/>
    <xf numFmtId="9" fontId="10" fillId="2" borderId="0" xfId="1" applyFont="1" applyFill="1"/>
    <xf numFmtId="9" fontId="10" fillId="3" borderId="0" xfId="1" applyFont="1" applyFill="1"/>
    <xf numFmtId="9" fontId="10" fillId="8" borderId="0" xfId="1" applyFont="1" applyFill="1"/>
    <xf numFmtId="9" fontId="10" fillId="10" borderId="0" xfId="1" applyFont="1" applyFill="1"/>
    <xf numFmtId="0" fontId="3" fillId="0" borderId="0" xfId="0" applyFont="1" applyFill="1" applyBorder="1" applyAlignment="1">
      <alignment horizontal="center" wrapText="1"/>
    </xf>
    <xf numFmtId="0" fontId="0" fillId="0" borderId="0" xfId="0"/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/>
    <xf numFmtId="165" fontId="6" fillId="0" borderId="0" xfId="1" applyNumberFormat="1" applyFont="1" applyFill="1"/>
    <xf numFmtId="0" fontId="0" fillId="0" borderId="0" xfId="0" applyAlignment="1">
      <alignment horizontal="center" vertical="center"/>
    </xf>
    <xf numFmtId="164" fontId="0" fillId="0" borderId="0" xfId="0" applyNumberFormat="1" applyFill="1" applyBorder="1"/>
    <xf numFmtId="165" fontId="0" fillId="0" borderId="0" xfId="1" applyNumberFormat="1" applyFont="1" applyFill="1" applyBorder="1"/>
    <xf numFmtId="164" fontId="0" fillId="0" borderId="0" xfId="0" applyNumberFormat="1" applyBorder="1"/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/>
    <xf numFmtId="0" fontId="0" fillId="0" borderId="11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2" fillId="0" borderId="11" xfId="0" applyFont="1" applyBorder="1"/>
    <xf numFmtId="0" fontId="0" fillId="0" borderId="7" xfId="0" applyFill="1" applyBorder="1"/>
    <xf numFmtId="0" fontId="12" fillId="0" borderId="0" xfId="0" applyFont="1" applyFill="1" applyBorder="1" applyAlignment="1">
      <alignment horizontal="center"/>
    </xf>
    <xf numFmtId="9" fontId="0" fillId="0" borderId="0" xfId="1" applyFont="1"/>
    <xf numFmtId="164" fontId="13" fillId="0" borderId="0" xfId="0" applyNumberFormat="1" applyFont="1"/>
    <xf numFmtId="166" fontId="13" fillId="0" borderId="0" xfId="0" applyNumberFormat="1" applyFont="1"/>
    <xf numFmtId="164" fontId="0" fillId="0" borderId="0" xfId="1" applyNumberFormat="1" applyFont="1"/>
    <xf numFmtId="166" fontId="0" fillId="0" borderId="0" xfId="1" applyNumberFormat="1" applyFont="1"/>
    <xf numFmtId="0" fontId="3" fillId="0" borderId="0" xfId="0" applyFont="1" applyFill="1"/>
    <xf numFmtId="0" fontId="5" fillId="0" borderId="6" xfId="0" applyFont="1" applyFill="1" applyBorder="1" applyAlignment="1">
      <alignment horizontal="centerContinuous"/>
    </xf>
    <xf numFmtId="0" fontId="0" fillId="0" borderId="1" xfId="0" applyBorder="1"/>
    <xf numFmtId="0" fontId="0" fillId="10" borderId="0" xfId="0" applyFill="1" applyBorder="1" applyAlignment="1"/>
    <xf numFmtId="0" fontId="0" fillId="10" borderId="5" xfId="0" applyFill="1" applyBorder="1" applyAlignment="1"/>
    <xf numFmtId="0" fontId="14" fillId="0" borderId="0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5" fillId="0" borderId="0" xfId="0" applyFont="1" applyBorder="1"/>
    <xf numFmtId="0" fontId="16" fillId="0" borderId="0" xfId="0" applyFont="1" applyBorder="1"/>
    <xf numFmtId="0" fontId="0" fillId="0" borderId="0" xfId="0" applyAlignment="1">
      <alignment horizontal="right"/>
    </xf>
    <xf numFmtId="0" fontId="3" fillId="0" borderId="13" xfId="0" applyFont="1" applyBorder="1" applyAlignment="1">
      <alignment vertical="top" wrapText="1"/>
    </xf>
    <xf numFmtId="0" fontId="0" fillId="0" borderId="10" xfId="0" applyFill="1" applyBorder="1"/>
    <xf numFmtId="0" fontId="2" fillId="0" borderId="10" xfId="0" applyFont="1" applyFill="1" applyBorder="1"/>
    <xf numFmtId="0" fontId="2" fillId="0" borderId="12" xfId="0" applyFont="1" applyFill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9" fillId="0" borderId="0" xfId="0" applyFont="1" applyAlignment="1"/>
    <xf numFmtId="14" fontId="19" fillId="0" borderId="0" xfId="0" applyNumberFormat="1" applyFont="1"/>
    <xf numFmtId="0" fontId="19" fillId="0" borderId="0" xfId="0" applyFont="1"/>
    <xf numFmtId="168" fontId="19" fillId="0" borderId="0" xfId="0" applyNumberFormat="1" applyFont="1"/>
    <xf numFmtId="0" fontId="0" fillId="0" borderId="0" xfId="0" applyFont="1" applyAlignment="1"/>
    <xf numFmtId="2" fontId="6" fillId="0" borderId="1" xfId="0" applyNumberFormat="1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167" fontId="0" fillId="0" borderId="1" xfId="0" applyNumberFormat="1" applyFont="1" applyBorder="1" applyAlignment="1">
      <alignment horizontal="right"/>
    </xf>
    <xf numFmtId="168" fontId="18" fillId="0" borderId="0" xfId="0" applyNumberFormat="1" applyFont="1"/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Preços Acoes'!$B$1:$B$2</c:f>
              <c:strCache>
                <c:ptCount val="2"/>
                <c:pt idx="0">
                  <c:v>12/11/2022</c:v>
                </c:pt>
                <c:pt idx="1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Preços Acoes'!$A$3:$A$3148</c:f>
              <c:numCache>
                <c:formatCode>m/d/yyyy\ h:mm:ss</c:formatCode>
                <c:ptCount val="3146"/>
                <c:pt idx="0">
                  <c:v>40182.705555555498</c:v>
                </c:pt>
                <c:pt idx="1">
                  <c:v>40183.705555555498</c:v>
                </c:pt>
                <c:pt idx="2">
                  <c:v>40184.705555555498</c:v>
                </c:pt>
                <c:pt idx="3">
                  <c:v>40185.705555555498</c:v>
                </c:pt>
                <c:pt idx="4">
                  <c:v>40186.705555555498</c:v>
                </c:pt>
                <c:pt idx="5">
                  <c:v>40189.705555555498</c:v>
                </c:pt>
                <c:pt idx="6">
                  <c:v>40190.705555555498</c:v>
                </c:pt>
                <c:pt idx="7">
                  <c:v>40191.705555555498</c:v>
                </c:pt>
                <c:pt idx="8">
                  <c:v>40192.705555555498</c:v>
                </c:pt>
                <c:pt idx="9">
                  <c:v>40193.705555555498</c:v>
                </c:pt>
                <c:pt idx="10">
                  <c:v>40196.705555555498</c:v>
                </c:pt>
                <c:pt idx="11">
                  <c:v>40197.705555555498</c:v>
                </c:pt>
                <c:pt idx="12">
                  <c:v>40198.705555555498</c:v>
                </c:pt>
                <c:pt idx="13">
                  <c:v>40199.705555555498</c:v>
                </c:pt>
                <c:pt idx="14">
                  <c:v>40200.705555555498</c:v>
                </c:pt>
                <c:pt idx="15">
                  <c:v>40204.705555555498</c:v>
                </c:pt>
                <c:pt idx="16">
                  <c:v>40205.705555555498</c:v>
                </c:pt>
                <c:pt idx="17">
                  <c:v>40206.705555555498</c:v>
                </c:pt>
                <c:pt idx="18">
                  <c:v>40207.705555555498</c:v>
                </c:pt>
                <c:pt idx="19">
                  <c:v>40210.705555555498</c:v>
                </c:pt>
                <c:pt idx="20">
                  <c:v>40211.705555555498</c:v>
                </c:pt>
                <c:pt idx="21">
                  <c:v>40212.705555555498</c:v>
                </c:pt>
                <c:pt idx="22">
                  <c:v>40213.705555555498</c:v>
                </c:pt>
                <c:pt idx="23">
                  <c:v>40214.705555555498</c:v>
                </c:pt>
                <c:pt idx="24">
                  <c:v>40217.705555555498</c:v>
                </c:pt>
                <c:pt idx="25">
                  <c:v>40218.705555555498</c:v>
                </c:pt>
                <c:pt idx="26">
                  <c:v>40219.705555555498</c:v>
                </c:pt>
                <c:pt idx="27">
                  <c:v>40220.705555555498</c:v>
                </c:pt>
                <c:pt idx="28">
                  <c:v>40221.705555555498</c:v>
                </c:pt>
                <c:pt idx="29">
                  <c:v>40226.705555555498</c:v>
                </c:pt>
                <c:pt idx="30">
                  <c:v>40227.705555555498</c:v>
                </c:pt>
                <c:pt idx="31">
                  <c:v>40228.705555555498</c:v>
                </c:pt>
                <c:pt idx="32">
                  <c:v>40231.705555555498</c:v>
                </c:pt>
                <c:pt idx="33">
                  <c:v>40232.705555555498</c:v>
                </c:pt>
                <c:pt idx="34">
                  <c:v>40233.705555555498</c:v>
                </c:pt>
                <c:pt idx="35">
                  <c:v>40234.705555555498</c:v>
                </c:pt>
                <c:pt idx="36">
                  <c:v>40235.705555555498</c:v>
                </c:pt>
                <c:pt idx="37">
                  <c:v>40238.705555555498</c:v>
                </c:pt>
                <c:pt idx="38">
                  <c:v>40239.705555555498</c:v>
                </c:pt>
                <c:pt idx="39">
                  <c:v>40240.705555555498</c:v>
                </c:pt>
                <c:pt idx="40">
                  <c:v>40241.705555555498</c:v>
                </c:pt>
                <c:pt idx="41">
                  <c:v>40242.705555555498</c:v>
                </c:pt>
                <c:pt idx="42">
                  <c:v>40245.705555555498</c:v>
                </c:pt>
                <c:pt idx="43">
                  <c:v>40246.705555555498</c:v>
                </c:pt>
                <c:pt idx="44">
                  <c:v>40247.705555555498</c:v>
                </c:pt>
                <c:pt idx="45">
                  <c:v>40248.705555555498</c:v>
                </c:pt>
                <c:pt idx="46">
                  <c:v>40249.705555555498</c:v>
                </c:pt>
                <c:pt idx="47">
                  <c:v>40252.705555555498</c:v>
                </c:pt>
                <c:pt idx="48">
                  <c:v>40254.705555555498</c:v>
                </c:pt>
                <c:pt idx="49">
                  <c:v>40255.705555555498</c:v>
                </c:pt>
                <c:pt idx="50">
                  <c:v>40256.705555555498</c:v>
                </c:pt>
                <c:pt idx="51">
                  <c:v>40259.705555555498</c:v>
                </c:pt>
                <c:pt idx="52">
                  <c:v>40260.705555555498</c:v>
                </c:pt>
                <c:pt idx="53">
                  <c:v>40261.705555555498</c:v>
                </c:pt>
                <c:pt idx="54">
                  <c:v>40262.705555555498</c:v>
                </c:pt>
                <c:pt idx="55">
                  <c:v>40263.705555555498</c:v>
                </c:pt>
                <c:pt idx="56">
                  <c:v>40266.705555555498</c:v>
                </c:pt>
                <c:pt idx="57">
                  <c:v>40267.705555555498</c:v>
                </c:pt>
                <c:pt idx="58">
                  <c:v>40268.705555555498</c:v>
                </c:pt>
                <c:pt idx="59">
                  <c:v>40269.705555555498</c:v>
                </c:pt>
                <c:pt idx="60">
                  <c:v>40273.705555555498</c:v>
                </c:pt>
                <c:pt idx="61">
                  <c:v>40274.705555555498</c:v>
                </c:pt>
                <c:pt idx="62">
                  <c:v>40275.705555555498</c:v>
                </c:pt>
                <c:pt idx="63">
                  <c:v>40277.705555555498</c:v>
                </c:pt>
                <c:pt idx="64">
                  <c:v>40280.705555555498</c:v>
                </c:pt>
                <c:pt idx="65">
                  <c:v>40281.705555555498</c:v>
                </c:pt>
                <c:pt idx="66">
                  <c:v>40282.705555555498</c:v>
                </c:pt>
                <c:pt idx="67">
                  <c:v>40283.705555555498</c:v>
                </c:pt>
                <c:pt idx="68">
                  <c:v>40284.705555555498</c:v>
                </c:pt>
                <c:pt idx="69">
                  <c:v>40287.705555555498</c:v>
                </c:pt>
                <c:pt idx="70">
                  <c:v>40288.705555555498</c:v>
                </c:pt>
                <c:pt idx="71">
                  <c:v>40290.705555555498</c:v>
                </c:pt>
                <c:pt idx="72">
                  <c:v>40291.705555555498</c:v>
                </c:pt>
                <c:pt idx="73">
                  <c:v>40294.705555555498</c:v>
                </c:pt>
                <c:pt idx="74">
                  <c:v>40295.705555555498</c:v>
                </c:pt>
                <c:pt idx="75">
                  <c:v>40296.705555555498</c:v>
                </c:pt>
                <c:pt idx="76">
                  <c:v>40297.705555555498</c:v>
                </c:pt>
                <c:pt idx="77">
                  <c:v>40298.705555555498</c:v>
                </c:pt>
                <c:pt idx="78">
                  <c:v>40302.705555555498</c:v>
                </c:pt>
                <c:pt idx="79">
                  <c:v>40303.705555555498</c:v>
                </c:pt>
                <c:pt idx="80">
                  <c:v>40304.705555555498</c:v>
                </c:pt>
                <c:pt idx="81">
                  <c:v>40305.705555555498</c:v>
                </c:pt>
                <c:pt idx="82">
                  <c:v>40308.705555555498</c:v>
                </c:pt>
                <c:pt idx="83">
                  <c:v>40309.705555555498</c:v>
                </c:pt>
                <c:pt idx="84">
                  <c:v>40310.705555555498</c:v>
                </c:pt>
                <c:pt idx="85">
                  <c:v>40311.705555555498</c:v>
                </c:pt>
                <c:pt idx="86">
                  <c:v>40312.705555555498</c:v>
                </c:pt>
                <c:pt idx="87">
                  <c:v>40315.705555555498</c:v>
                </c:pt>
                <c:pt idx="88">
                  <c:v>40316.705555555498</c:v>
                </c:pt>
                <c:pt idx="89">
                  <c:v>40317.705555555498</c:v>
                </c:pt>
                <c:pt idx="90">
                  <c:v>40318.705555555498</c:v>
                </c:pt>
                <c:pt idx="91">
                  <c:v>40319.705555555498</c:v>
                </c:pt>
                <c:pt idx="92">
                  <c:v>40322.705555555498</c:v>
                </c:pt>
                <c:pt idx="93">
                  <c:v>40323.705555555498</c:v>
                </c:pt>
                <c:pt idx="94">
                  <c:v>40324.705555555498</c:v>
                </c:pt>
                <c:pt idx="95">
                  <c:v>40325.705555555498</c:v>
                </c:pt>
                <c:pt idx="96">
                  <c:v>40326.705555555498</c:v>
                </c:pt>
                <c:pt idx="97">
                  <c:v>40329.705555555498</c:v>
                </c:pt>
                <c:pt idx="98">
                  <c:v>40330.705555555498</c:v>
                </c:pt>
                <c:pt idx="99">
                  <c:v>40331.705555555498</c:v>
                </c:pt>
                <c:pt idx="100">
                  <c:v>40333.705555555498</c:v>
                </c:pt>
                <c:pt idx="101">
                  <c:v>40336.705555555498</c:v>
                </c:pt>
                <c:pt idx="102">
                  <c:v>40337.705555555498</c:v>
                </c:pt>
                <c:pt idx="103">
                  <c:v>40338.705555555498</c:v>
                </c:pt>
                <c:pt idx="104">
                  <c:v>40339.705555555498</c:v>
                </c:pt>
                <c:pt idx="105">
                  <c:v>40340.705555555498</c:v>
                </c:pt>
                <c:pt idx="106">
                  <c:v>40343.705555555498</c:v>
                </c:pt>
                <c:pt idx="107">
                  <c:v>40344.705555555498</c:v>
                </c:pt>
                <c:pt idx="108">
                  <c:v>40345.705555555498</c:v>
                </c:pt>
                <c:pt idx="109">
                  <c:v>40350.705555555498</c:v>
                </c:pt>
                <c:pt idx="110">
                  <c:v>40351.705555555498</c:v>
                </c:pt>
                <c:pt idx="111">
                  <c:v>40352.705555555498</c:v>
                </c:pt>
                <c:pt idx="112">
                  <c:v>40353.705555555498</c:v>
                </c:pt>
                <c:pt idx="113">
                  <c:v>40357.705555555498</c:v>
                </c:pt>
                <c:pt idx="114">
                  <c:v>40358.705555555498</c:v>
                </c:pt>
                <c:pt idx="115">
                  <c:v>40359.705555555498</c:v>
                </c:pt>
                <c:pt idx="116">
                  <c:v>40360.705555555498</c:v>
                </c:pt>
                <c:pt idx="117">
                  <c:v>40361.705555555498</c:v>
                </c:pt>
                <c:pt idx="118">
                  <c:v>40364.705555555498</c:v>
                </c:pt>
                <c:pt idx="119">
                  <c:v>40365.705555555498</c:v>
                </c:pt>
                <c:pt idx="120">
                  <c:v>40367.705555555498</c:v>
                </c:pt>
                <c:pt idx="121">
                  <c:v>40371.705555555498</c:v>
                </c:pt>
                <c:pt idx="122">
                  <c:v>40372.705555555498</c:v>
                </c:pt>
                <c:pt idx="123">
                  <c:v>40373.705555555498</c:v>
                </c:pt>
                <c:pt idx="124">
                  <c:v>40374.705555555498</c:v>
                </c:pt>
                <c:pt idx="125">
                  <c:v>40375.705555555498</c:v>
                </c:pt>
                <c:pt idx="126">
                  <c:v>40378.705555555498</c:v>
                </c:pt>
                <c:pt idx="127">
                  <c:v>40379.705555555498</c:v>
                </c:pt>
                <c:pt idx="128">
                  <c:v>40380.705555555498</c:v>
                </c:pt>
                <c:pt idx="129">
                  <c:v>40381.705555555498</c:v>
                </c:pt>
                <c:pt idx="130">
                  <c:v>40382.705555555498</c:v>
                </c:pt>
                <c:pt idx="131">
                  <c:v>40385.705555555498</c:v>
                </c:pt>
                <c:pt idx="132">
                  <c:v>40386.705555555498</c:v>
                </c:pt>
                <c:pt idx="133">
                  <c:v>40387.705555555498</c:v>
                </c:pt>
                <c:pt idx="134">
                  <c:v>40388.705555555498</c:v>
                </c:pt>
                <c:pt idx="135">
                  <c:v>40389.705555555498</c:v>
                </c:pt>
                <c:pt idx="136">
                  <c:v>40392.705555555498</c:v>
                </c:pt>
                <c:pt idx="137">
                  <c:v>40393.705555555498</c:v>
                </c:pt>
                <c:pt idx="138">
                  <c:v>40394.705555555498</c:v>
                </c:pt>
                <c:pt idx="139">
                  <c:v>40395.705555555498</c:v>
                </c:pt>
                <c:pt idx="140">
                  <c:v>40396.705555555498</c:v>
                </c:pt>
                <c:pt idx="141">
                  <c:v>40399.705555555498</c:v>
                </c:pt>
                <c:pt idx="142">
                  <c:v>40400.705555555498</c:v>
                </c:pt>
                <c:pt idx="143">
                  <c:v>40401.705555555498</c:v>
                </c:pt>
                <c:pt idx="144">
                  <c:v>40402.705555555498</c:v>
                </c:pt>
                <c:pt idx="145">
                  <c:v>40403.705555555498</c:v>
                </c:pt>
                <c:pt idx="146">
                  <c:v>40406.705555555498</c:v>
                </c:pt>
                <c:pt idx="147">
                  <c:v>40407.705555555498</c:v>
                </c:pt>
                <c:pt idx="148">
                  <c:v>40408.705555555498</c:v>
                </c:pt>
                <c:pt idx="149">
                  <c:v>40409.705555555498</c:v>
                </c:pt>
                <c:pt idx="150">
                  <c:v>40410.705555555498</c:v>
                </c:pt>
                <c:pt idx="151">
                  <c:v>40413.705555555498</c:v>
                </c:pt>
                <c:pt idx="152">
                  <c:v>40414.705555555498</c:v>
                </c:pt>
                <c:pt idx="153">
                  <c:v>40415.705555555498</c:v>
                </c:pt>
                <c:pt idx="154">
                  <c:v>40416.705555555498</c:v>
                </c:pt>
                <c:pt idx="155">
                  <c:v>40417.705555555498</c:v>
                </c:pt>
                <c:pt idx="156">
                  <c:v>40421.705555555498</c:v>
                </c:pt>
                <c:pt idx="157">
                  <c:v>40423.705555555498</c:v>
                </c:pt>
                <c:pt idx="158">
                  <c:v>40424.705555555498</c:v>
                </c:pt>
                <c:pt idx="159">
                  <c:v>40427.705555555498</c:v>
                </c:pt>
                <c:pt idx="160">
                  <c:v>40429.705555555498</c:v>
                </c:pt>
                <c:pt idx="161">
                  <c:v>40431.705555555498</c:v>
                </c:pt>
                <c:pt idx="162">
                  <c:v>40434.705555555498</c:v>
                </c:pt>
                <c:pt idx="163">
                  <c:v>40435.705555555498</c:v>
                </c:pt>
                <c:pt idx="164">
                  <c:v>40436.705555555498</c:v>
                </c:pt>
                <c:pt idx="165">
                  <c:v>40437.705555555498</c:v>
                </c:pt>
                <c:pt idx="166">
                  <c:v>40438.705555555498</c:v>
                </c:pt>
                <c:pt idx="167">
                  <c:v>40442.705555555498</c:v>
                </c:pt>
                <c:pt idx="168">
                  <c:v>40444.705555555498</c:v>
                </c:pt>
                <c:pt idx="169">
                  <c:v>40445.705555555498</c:v>
                </c:pt>
                <c:pt idx="170">
                  <c:v>40448.705555555498</c:v>
                </c:pt>
                <c:pt idx="171">
                  <c:v>40449.705555555498</c:v>
                </c:pt>
                <c:pt idx="172">
                  <c:v>40450.705555555498</c:v>
                </c:pt>
                <c:pt idx="173">
                  <c:v>40451.705555555498</c:v>
                </c:pt>
                <c:pt idx="174">
                  <c:v>40452.705555555498</c:v>
                </c:pt>
                <c:pt idx="175">
                  <c:v>40455.705555555498</c:v>
                </c:pt>
                <c:pt idx="176">
                  <c:v>40456.705555555498</c:v>
                </c:pt>
                <c:pt idx="177">
                  <c:v>40457.705555555498</c:v>
                </c:pt>
                <c:pt idx="178">
                  <c:v>40458.705555555498</c:v>
                </c:pt>
                <c:pt idx="179">
                  <c:v>40459.705555555498</c:v>
                </c:pt>
                <c:pt idx="180">
                  <c:v>40462.705555555498</c:v>
                </c:pt>
                <c:pt idx="181">
                  <c:v>40464.705555555498</c:v>
                </c:pt>
                <c:pt idx="182">
                  <c:v>40465.705555555498</c:v>
                </c:pt>
                <c:pt idx="183">
                  <c:v>40466.705555555498</c:v>
                </c:pt>
                <c:pt idx="184">
                  <c:v>40469.705555555498</c:v>
                </c:pt>
                <c:pt idx="185">
                  <c:v>40470.705555555498</c:v>
                </c:pt>
                <c:pt idx="186">
                  <c:v>40471.705555555498</c:v>
                </c:pt>
                <c:pt idx="187">
                  <c:v>40472.705555555498</c:v>
                </c:pt>
                <c:pt idx="188">
                  <c:v>40473.705555555498</c:v>
                </c:pt>
                <c:pt idx="189">
                  <c:v>40476.705555555498</c:v>
                </c:pt>
                <c:pt idx="190">
                  <c:v>40477.705555555498</c:v>
                </c:pt>
                <c:pt idx="191">
                  <c:v>40478.705555555498</c:v>
                </c:pt>
                <c:pt idx="192">
                  <c:v>40479.705555555498</c:v>
                </c:pt>
                <c:pt idx="193">
                  <c:v>40480.705555555498</c:v>
                </c:pt>
                <c:pt idx="194">
                  <c:v>40483.705555555498</c:v>
                </c:pt>
                <c:pt idx="195">
                  <c:v>40486.705555555498</c:v>
                </c:pt>
                <c:pt idx="196">
                  <c:v>40487.705555555498</c:v>
                </c:pt>
                <c:pt idx="197">
                  <c:v>40491.705555555498</c:v>
                </c:pt>
                <c:pt idx="198">
                  <c:v>40492.705555555498</c:v>
                </c:pt>
                <c:pt idx="199">
                  <c:v>40493.705555555498</c:v>
                </c:pt>
                <c:pt idx="200">
                  <c:v>40494.705555555498</c:v>
                </c:pt>
                <c:pt idx="201">
                  <c:v>40498.705555555498</c:v>
                </c:pt>
                <c:pt idx="202">
                  <c:v>40499.705555555498</c:v>
                </c:pt>
                <c:pt idx="203">
                  <c:v>40500.705555555498</c:v>
                </c:pt>
                <c:pt idx="204">
                  <c:v>40501.705555555498</c:v>
                </c:pt>
                <c:pt idx="205">
                  <c:v>40504.705555555498</c:v>
                </c:pt>
                <c:pt idx="206">
                  <c:v>40505.705555555498</c:v>
                </c:pt>
                <c:pt idx="207">
                  <c:v>40506.705555555498</c:v>
                </c:pt>
                <c:pt idx="208">
                  <c:v>40507.705555555498</c:v>
                </c:pt>
                <c:pt idx="209">
                  <c:v>40508.705555555498</c:v>
                </c:pt>
                <c:pt idx="210">
                  <c:v>40511.705555555498</c:v>
                </c:pt>
                <c:pt idx="211">
                  <c:v>40512.705555555498</c:v>
                </c:pt>
                <c:pt idx="212">
                  <c:v>40513.705555555498</c:v>
                </c:pt>
                <c:pt idx="213">
                  <c:v>40514.705555555498</c:v>
                </c:pt>
                <c:pt idx="214">
                  <c:v>40515.705555555498</c:v>
                </c:pt>
                <c:pt idx="215">
                  <c:v>40518.705555555498</c:v>
                </c:pt>
                <c:pt idx="216">
                  <c:v>40519.705555555498</c:v>
                </c:pt>
                <c:pt idx="217">
                  <c:v>40520.705555555498</c:v>
                </c:pt>
                <c:pt idx="218">
                  <c:v>40521.705555555498</c:v>
                </c:pt>
                <c:pt idx="219">
                  <c:v>40522.705555555498</c:v>
                </c:pt>
                <c:pt idx="220">
                  <c:v>40525.705555555498</c:v>
                </c:pt>
                <c:pt idx="221">
                  <c:v>40526.705555555498</c:v>
                </c:pt>
                <c:pt idx="222">
                  <c:v>40527.705555555498</c:v>
                </c:pt>
                <c:pt idx="223">
                  <c:v>40528.705555555498</c:v>
                </c:pt>
                <c:pt idx="224">
                  <c:v>40529.705555555498</c:v>
                </c:pt>
                <c:pt idx="225">
                  <c:v>40532.705555555498</c:v>
                </c:pt>
                <c:pt idx="226">
                  <c:v>40533.705555555498</c:v>
                </c:pt>
                <c:pt idx="227">
                  <c:v>40534.705555555498</c:v>
                </c:pt>
                <c:pt idx="228">
                  <c:v>40535.705555555498</c:v>
                </c:pt>
                <c:pt idx="229">
                  <c:v>40539.705555555498</c:v>
                </c:pt>
                <c:pt idx="230">
                  <c:v>40540.705555555498</c:v>
                </c:pt>
                <c:pt idx="231">
                  <c:v>40541.705555555498</c:v>
                </c:pt>
                <c:pt idx="232">
                  <c:v>40542.705555555498</c:v>
                </c:pt>
                <c:pt idx="233">
                  <c:v>40546.705555555498</c:v>
                </c:pt>
                <c:pt idx="234">
                  <c:v>40547.705555555498</c:v>
                </c:pt>
                <c:pt idx="235">
                  <c:v>40548.705555555498</c:v>
                </c:pt>
                <c:pt idx="236">
                  <c:v>40549.705555555498</c:v>
                </c:pt>
                <c:pt idx="237">
                  <c:v>40550.705555555498</c:v>
                </c:pt>
                <c:pt idx="238">
                  <c:v>40553.705555555498</c:v>
                </c:pt>
                <c:pt idx="239">
                  <c:v>40554.705555555498</c:v>
                </c:pt>
                <c:pt idx="240">
                  <c:v>40555.705555555498</c:v>
                </c:pt>
                <c:pt idx="241">
                  <c:v>40556.705555555498</c:v>
                </c:pt>
                <c:pt idx="242">
                  <c:v>40557.705555555498</c:v>
                </c:pt>
                <c:pt idx="243">
                  <c:v>40560.705555555498</c:v>
                </c:pt>
                <c:pt idx="244">
                  <c:v>40561.705555555498</c:v>
                </c:pt>
                <c:pt idx="245">
                  <c:v>40562.705555555498</c:v>
                </c:pt>
                <c:pt idx="246">
                  <c:v>40563.705555555498</c:v>
                </c:pt>
                <c:pt idx="247">
                  <c:v>40564.705555555498</c:v>
                </c:pt>
                <c:pt idx="248">
                  <c:v>40567.705555555498</c:v>
                </c:pt>
                <c:pt idx="249">
                  <c:v>40569.705555555498</c:v>
                </c:pt>
                <c:pt idx="250">
                  <c:v>40570.705555555498</c:v>
                </c:pt>
                <c:pt idx="251">
                  <c:v>40571.705555555498</c:v>
                </c:pt>
                <c:pt idx="252">
                  <c:v>40574.705555555498</c:v>
                </c:pt>
                <c:pt idx="253">
                  <c:v>40576.705555555498</c:v>
                </c:pt>
                <c:pt idx="254">
                  <c:v>40578.705555555498</c:v>
                </c:pt>
                <c:pt idx="255">
                  <c:v>40581.705555555498</c:v>
                </c:pt>
                <c:pt idx="256">
                  <c:v>40583.705555555498</c:v>
                </c:pt>
                <c:pt idx="257">
                  <c:v>40584.705555555498</c:v>
                </c:pt>
                <c:pt idx="258">
                  <c:v>40585.705555555498</c:v>
                </c:pt>
                <c:pt idx="259">
                  <c:v>40588.705555555498</c:v>
                </c:pt>
                <c:pt idx="260">
                  <c:v>40589.705555555498</c:v>
                </c:pt>
                <c:pt idx="261">
                  <c:v>40590.705555555498</c:v>
                </c:pt>
                <c:pt idx="262">
                  <c:v>40591.705555555498</c:v>
                </c:pt>
                <c:pt idx="263">
                  <c:v>40592.705555555498</c:v>
                </c:pt>
                <c:pt idx="264">
                  <c:v>40595.705555555498</c:v>
                </c:pt>
                <c:pt idx="265">
                  <c:v>40596.705555555498</c:v>
                </c:pt>
                <c:pt idx="266">
                  <c:v>40597.705555555498</c:v>
                </c:pt>
                <c:pt idx="267">
                  <c:v>40599.705555555498</c:v>
                </c:pt>
                <c:pt idx="268">
                  <c:v>40602.705555555498</c:v>
                </c:pt>
                <c:pt idx="269">
                  <c:v>40603.705555555498</c:v>
                </c:pt>
                <c:pt idx="270">
                  <c:v>40604.705555555498</c:v>
                </c:pt>
                <c:pt idx="271">
                  <c:v>40605.705555555498</c:v>
                </c:pt>
                <c:pt idx="272">
                  <c:v>40606.705555555498</c:v>
                </c:pt>
                <c:pt idx="273">
                  <c:v>40612.705555555498</c:v>
                </c:pt>
                <c:pt idx="274">
                  <c:v>40613.705555555498</c:v>
                </c:pt>
                <c:pt idx="275">
                  <c:v>40616.705555555498</c:v>
                </c:pt>
                <c:pt idx="276">
                  <c:v>40617.705555555498</c:v>
                </c:pt>
                <c:pt idx="277">
                  <c:v>40618.705555555498</c:v>
                </c:pt>
                <c:pt idx="278">
                  <c:v>40619.705555555498</c:v>
                </c:pt>
                <c:pt idx="279">
                  <c:v>40620.705555555498</c:v>
                </c:pt>
                <c:pt idx="280">
                  <c:v>40624.705555555498</c:v>
                </c:pt>
                <c:pt idx="281">
                  <c:v>40625.705555555498</c:v>
                </c:pt>
                <c:pt idx="282">
                  <c:v>40627.705555555498</c:v>
                </c:pt>
                <c:pt idx="283">
                  <c:v>40630.705555555498</c:v>
                </c:pt>
                <c:pt idx="284">
                  <c:v>40632.705555555498</c:v>
                </c:pt>
                <c:pt idx="285">
                  <c:v>40633.705555555498</c:v>
                </c:pt>
                <c:pt idx="286">
                  <c:v>40634.705555555498</c:v>
                </c:pt>
                <c:pt idx="287">
                  <c:v>40638.705555555498</c:v>
                </c:pt>
                <c:pt idx="288">
                  <c:v>40639.705555555498</c:v>
                </c:pt>
                <c:pt idx="289">
                  <c:v>40640.705555555498</c:v>
                </c:pt>
                <c:pt idx="290">
                  <c:v>40641.705555555498</c:v>
                </c:pt>
                <c:pt idx="291">
                  <c:v>40644.705555555498</c:v>
                </c:pt>
                <c:pt idx="292">
                  <c:v>40645.705555555498</c:v>
                </c:pt>
                <c:pt idx="293">
                  <c:v>40646.705555555498</c:v>
                </c:pt>
                <c:pt idx="294">
                  <c:v>40647.705555555498</c:v>
                </c:pt>
                <c:pt idx="295">
                  <c:v>40648.705555555498</c:v>
                </c:pt>
                <c:pt idx="296">
                  <c:v>40651.705555555498</c:v>
                </c:pt>
                <c:pt idx="297">
                  <c:v>40652.705555555498</c:v>
                </c:pt>
                <c:pt idx="298">
                  <c:v>40653.705555555498</c:v>
                </c:pt>
                <c:pt idx="299">
                  <c:v>40658.705555555498</c:v>
                </c:pt>
                <c:pt idx="300">
                  <c:v>40659.705555555498</c:v>
                </c:pt>
                <c:pt idx="301">
                  <c:v>40660.705555555498</c:v>
                </c:pt>
                <c:pt idx="302">
                  <c:v>40661.705555555498</c:v>
                </c:pt>
                <c:pt idx="303">
                  <c:v>40662.705555555498</c:v>
                </c:pt>
                <c:pt idx="304">
                  <c:v>40665.705555555498</c:v>
                </c:pt>
                <c:pt idx="305">
                  <c:v>40666.705555555498</c:v>
                </c:pt>
                <c:pt idx="306">
                  <c:v>40667.705555555498</c:v>
                </c:pt>
                <c:pt idx="307">
                  <c:v>40668.705555555498</c:v>
                </c:pt>
                <c:pt idx="308">
                  <c:v>40669.705555555498</c:v>
                </c:pt>
                <c:pt idx="309">
                  <c:v>40673.705555555498</c:v>
                </c:pt>
                <c:pt idx="310">
                  <c:v>40674.705555555498</c:v>
                </c:pt>
                <c:pt idx="311">
                  <c:v>40675.705555555498</c:v>
                </c:pt>
                <c:pt idx="312">
                  <c:v>40676.705555555498</c:v>
                </c:pt>
                <c:pt idx="313">
                  <c:v>40680.705555555498</c:v>
                </c:pt>
                <c:pt idx="314">
                  <c:v>40681.705555555498</c:v>
                </c:pt>
                <c:pt idx="315">
                  <c:v>40682.705555555498</c:v>
                </c:pt>
                <c:pt idx="316">
                  <c:v>40683.705555555498</c:v>
                </c:pt>
                <c:pt idx="317">
                  <c:v>40686.705555555498</c:v>
                </c:pt>
                <c:pt idx="318">
                  <c:v>40687.705555555498</c:v>
                </c:pt>
                <c:pt idx="319">
                  <c:v>40688.705555555498</c:v>
                </c:pt>
                <c:pt idx="320">
                  <c:v>40689.705555555498</c:v>
                </c:pt>
                <c:pt idx="321">
                  <c:v>40690.705555555498</c:v>
                </c:pt>
                <c:pt idx="322">
                  <c:v>40693.705555555498</c:v>
                </c:pt>
                <c:pt idx="323">
                  <c:v>40694.705555555498</c:v>
                </c:pt>
                <c:pt idx="324">
                  <c:v>40695.705555555498</c:v>
                </c:pt>
                <c:pt idx="325">
                  <c:v>40696.705555555498</c:v>
                </c:pt>
                <c:pt idx="326">
                  <c:v>40697.705555555498</c:v>
                </c:pt>
                <c:pt idx="327">
                  <c:v>40700.705555555498</c:v>
                </c:pt>
                <c:pt idx="328">
                  <c:v>40702.705555555498</c:v>
                </c:pt>
                <c:pt idx="329">
                  <c:v>40703.705555555498</c:v>
                </c:pt>
                <c:pt idx="330">
                  <c:v>40704.705555555498</c:v>
                </c:pt>
                <c:pt idx="331">
                  <c:v>40707.705555555498</c:v>
                </c:pt>
                <c:pt idx="332">
                  <c:v>40708.705555555498</c:v>
                </c:pt>
                <c:pt idx="333">
                  <c:v>40709.705555555498</c:v>
                </c:pt>
                <c:pt idx="334">
                  <c:v>40710.705555555498</c:v>
                </c:pt>
                <c:pt idx="335">
                  <c:v>40711.705555555498</c:v>
                </c:pt>
                <c:pt idx="336">
                  <c:v>40714.705555555498</c:v>
                </c:pt>
                <c:pt idx="337">
                  <c:v>40715.705555555498</c:v>
                </c:pt>
                <c:pt idx="338">
                  <c:v>40716.705555555498</c:v>
                </c:pt>
                <c:pt idx="339">
                  <c:v>40718.705555555498</c:v>
                </c:pt>
                <c:pt idx="340">
                  <c:v>40721.705555555498</c:v>
                </c:pt>
                <c:pt idx="341">
                  <c:v>40722.705555555498</c:v>
                </c:pt>
                <c:pt idx="342">
                  <c:v>40723.705555555498</c:v>
                </c:pt>
                <c:pt idx="343">
                  <c:v>40724.705555555498</c:v>
                </c:pt>
                <c:pt idx="344">
                  <c:v>40725.705555555498</c:v>
                </c:pt>
                <c:pt idx="345">
                  <c:v>40728.705555555498</c:v>
                </c:pt>
                <c:pt idx="346">
                  <c:v>40729.705555555498</c:v>
                </c:pt>
                <c:pt idx="347">
                  <c:v>40730.705555555498</c:v>
                </c:pt>
                <c:pt idx="348">
                  <c:v>40731.705555555498</c:v>
                </c:pt>
                <c:pt idx="349">
                  <c:v>40732.705555555498</c:v>
                </c:pt>
                <c:pt idx="350">
                  <c:v>40735.705555555498</c:v>
                </c:pt>
                <c:pt idx="351">
                  <c:v>40736.705555555498</c:v>
                </c:pt>
                <c:pt idx="352">
                  <c:v>40737.705555555498</c:v>
                </c:pt>
                <c:pt idx="353">
                  <c:v>40738.705555555498</c:v>
                </c:pt>
                <c:pt idx="354">
                  <c:v>40739.705555555498</c:v>
                </c:pt>
                <c:pt idx="355">
                  <c:v>40743.705555555498</c:v>
                </c:pt>
                <c:pt idx="356">
                  <c:v>40744.705555555498</c:v>
                </c:pt>
                <c:pt idx="357">
                  <c:v>40745.705555555498</c:v>
                </c:pt>
                <c:pt idx="358">
                  <c:v>40746.705555555498</c:v>
                </c:pt>
                <c:pt idx="359">
                  <c:v>40750.705555555498</c:v>
                </c:pt>
                <c:pt idx="360">
                  <c:v>40751.705555555498</c:v>
                </c:pt>
                <c:pt idx="361">
                  <c:v>40752.705555555498</c:v>
                </c:pt>
                <c:pt idx="362">
                  <c:v>40756.705555555498</c:v>
                </c:pt>
                <c:pt idx="363">
                  <c:v>40757.705555555498</c:v>
                </c:pt>
                <c:pt idx="364">
                  <c:v>40758.705555555498</c:v>
                </c:pt>
                <c:pt idx="365">
                  <c:v>40759.705555555498</c:v>
                </c:pt>
                <c:pt idx="366">
                  <c:v>40760.705555555498</c:v>
                </c:pt>
                <c:pt idx="367">
                  <c:v>40763.705555555498</c:v>
                </c:pt>
                <c:pt idx="368">
                  <c:v>40764.705555555498</c:v>
                </c:pt>
                <c:pt idx="369">
                  <c:v>40765.705555555498</c:v>
                </c:pt>
                <c:pt idx="370">
                  <c:v>40766.705555555498</c:v>
                </c:pt>
                <c:pt idx="371">
                  <c:v>40770.705555555498</c:v>
                </c:pt>
                <c:pt idx="372">
                  <c:v>40771.705555555498</c:v>
                </c:pt>
                <c:pt idx="373">
                  <c:v>40773.705555555498</c:v>
                </c:pt>
                <c:pt idx="374">
                  <c:v>40774.705555555498</c:v>
                </c:pt>
                <c:pt idx="375">
                  <c:v>40777.705555555498</c:v>
                </c:pt>
                <c:pt idx="376">
                  <c:v>40778.705555555498</c:v>
                </c:pt>
                <c:pt idx="377">
                  <c:v>40779.705555555498</c:v>
                </c:pt>
                <c:pt idx="378">
                  <c:v>40780.705555555498</c:v>
                </c:pt>
                <c:pt idx="379">
                  <c:v>40781.705555555498</c:v>
                </c:pt>
                <c:pt idx="380">
                  <c:v>40784.705555555498</c:v>
                </c:pt>
                <c:pt idx="381">
                  <c:v>40785.705555555498</c:v>
                </c:pt>
                <c:pt idx="382">
                  <c:v>40786.705555555498</c:v>
                </c:pt>
                <c:pt idx="383">
                  <c:v>40787.705555555498</c:v>
                </c:pt>
                <c:pt idx="384">
                  <c:v>40788.705555555498</c:v>
                </c:pt>
                <c:pt idx="385">
                  <c:v>40791.705555555498</c:v>
                </c:pt>
                <c:pt idx="386">
                  <c:v>40792.705555555498</c:v>
                </c:pt>
                <c:pt idx="387">
                  <c:v>40794.705555555498</c:v>
                </c:pt>
                <c:pt idx="388">
                  <c:v>40795.705555555498</c:v>
                </c:pt>
                <c:pt idx="389">
                  <c:v>40798.705555555498</c:v>
                </c:pt>
                <c:pt idx="390">
                  <c:v>40799.705555555498</c:v>
                </c:pt>
                <c:pt idx="391">
                  <c:v>40800.705555555498</c:v>
                </c:pt>
                <c:pt idx="392">
                  <c:v>40801.705555555498</c:v>
                </c:pt>
                <c:pt idx="393">
                  <c:v>40802.705555555498</c:v>
                </c:pt>
                <c:pt idx="394">
                  <c:v>40805.705555555498</c:v>
                </c:pt>
                <c:pt idx="395">
                  <c:v>40806.705555555498</c:v>
                </c:pt>
                <c:pt idx="396">
                  <c:v>40807.705555555498</c:v>
                </c:pt>
                <c:pt idx="397">
                  <c:v>40808.705555555498</c:v>
                </c:pt>
                <c:pt idx="398">
                  <c:v>40809.705555555498</c:v>
                </c:pt>
                <c:pt idx="399">
                  <c:v>40813.705555555498</c:v>
                </c:pt>
                <c:pt idx="400">
                  <c:v>40814.705555555498</c:v>
                </c:pt>
                <c:pt idx="401">
                  <c:v>40815.705555555498</c:v>
                </c:pt>
                <c:pt idx="402">
                  <c:v>40816.705555555498</c:v>
                </c:pt>
                <c:pt idx="403">
                  <c:v>40819.705555555498</c:v>
                </c:pt>
                <c:pt idx="404">
                  <c:v>40821.705555555498</c:v>
                </c:pt>
                <c:pt idx="405">
                  <c:v>40822.705555555498</c:v>
                </c:pt>
                <c:pt idx="406">
                  <c:v>40823.705555555498</c:v>
                </c:pt>
                <c:pt idx="407">
                  <c:v>40826.705555555498</c:v>
                </c:pt>
                <c:pt idx="408">
                  <c:v>40827.705555555498</c:v>
                </c:pt>
                <c:pt idx="409">
                  <c:v>40829.705555555498</c:v>
                </c:pt>
                <c:pt idx="410">
                  <c:v>40830.705555555498</c:v>
                </c:pt>
                <c:pt idx="411">
                  <c:v>40834.705555555498</c:v>
                </c:pt>
                <c:pt idx="412">
                  <c:v>40835.705555555498</c:v>
                </c:pt>
                <c:pt idx="413">
                  <c:v>40836.705555555498</c:v>
                </c:pt>
                <c:pt idx="414">
                  <c:v>40837.705555555498</c:v>
                </c:pt>
                <c:pt idx="415">
                  <c:v>40841.705555555498</c:v>
                </c:pt>
                <c:pt idx="416">
                  <c:v>40842.705555555498</c:v>
                </c:pt>
                <c:pt idx="417">
                  <c:v>40843.705555555498</c:v>
                </c:pt>
                <c:pt idx="418">
                  <c:v>40844.705555555498</c:v>
                </c:pt>
                <c:pt idx="419">
                  <c:v>40847.705555555498</c:v>
                </c:pt>
                <c:pt idx="420">
                  <c:v>40848.705555555498</c:v>
                </c:pt>
                <c:pt idx="421">
                  <c:v>40850.705555555498</c:v>
                </c:pt>
                <c:pt idx="422">
                  <c:v>40851.705555555498</c:v>
                </c:pt>
                <c:pt idx="423">
                  <c:v>40854.705555555498</c:v>
                </c:pt>
                <c:pt idx="424">
                  <c:v>40855.705555555498</c:v>
                </c:pt>
                <c:pt idx="425">
                  <c:v>40856.705555555498</c:v>
                </c:pt>
                <c:pt idx="426">
                  <c:v>40858.705555555498</c:v>
                </c:pt>
                <c:pt idx="427">
                  <c:v>40861.705555555498</c:v>
                </c:pt>
                <c:pt idx="428">
                  <c:v>40863.705555555498</c:v>
                </c:pt>
                <c:pt idx="429">
                  <c:v>40864.705555555498</c:v>
                </c:pt>
                <c:pt idx="430">
                  <c:v>40865.705555555498</c:v>
                </c:pt>
                <c:pt idx="431">
                  <c:v>40868.705555555498</c:v>
                </c:pt>
                <c:pt idx="432">
                  <c:v>40869.705555555498</c:v>
                </c:pt>
                <c:pt idx="433">
                  <c:v>40870.705555555498</c:v>
                </c:pt>
                <c:pt idx="434">
                  <c:v>40871.705555555498</c:v>
                </c:pt>
                <c:pt idx="435">
                  <c:v>40872.705555555498</c:v>
                </c:pt>
                <c:pt idx="436">
                  <c:v>40875.705555555498</c:v>
                </c:pt>
                <c:pt idx="437">
                  <c:v>40876.705555555498</c:v>
                </c:pt>
                <c:pt idx="438">
                  <c:v>40877.705555555498</c:v>
                </c:pt>
                <c:pt idx="439">
                  <c:v>40878.705555555498</c:v>
                </c:pt>
                <c:pt idx="440">
                  <c:v>40879.705555555498</c:v>
                </c:pt>
                <c:pt idx="441">
                  <c:v>40882.705555555498</c:v>
                </c:pt>
                <c:pt idx="442">
                  <c:v>40883.705555555498</c:v>
                </c:pt>
                <c:pt idx="443">
                  <c:v>40884.705555555498</c:v>
                </c:pt>
                <c:pt idx="444">
                  <c:v>40886.705555555498</c:v>
                </c:pt>
                <c:pt idx="445">
                  <c:v>40890.705555555498</c:v>
                </c:pt>
                <c:pt idx="446">
                  <c:v>40891.705555555498</c:v>
                </c:pt>
                <c:pt idx="447">
                  <c:v>40892.705555555498</c:v>
                </c:pt>
                <c:pt idx="448">
                  <c:v>40893.705555555498</c:v>
                </c:pt>
                <c:pt idx="449">
                  <c:v>40897.705555555498</c:v>
                </c:pt>
                <c:pt idx="450">
                  <c:v>40898.705555555498</c:v>
                </c:pt>
                <c:pt idx="451">
                  <c:v>40899.705555555498</c:v>
                </c:pt>
                <c:pt idx="452">
                  <c:v>40900.705555555498</c:v>
                </c:pt>
                <c:pt idx="453">
                  <c:v>40903.705555555498</c:v>
                </c:pt>
                <c:pt idx="454">
                  <c:v>40904.705555555498</c:v>
                </c:pt>
                <c:pt idx="455">
                  <c:v>40905.705555555498</c:v>
                </c:pt>
                <c:pt idx="456">
                  <c:v>40906.705555555498</c:v>
                </c:pt>
                <c:pt idx="457">
                  <c:v>40910.705555555498</c:v>
                </c:pt>
                <c:pt idx="458">
                  <c:v>40911.705555555498</c:v>
                </c:pt>
                <c:pt idx="459">
                  <c:v>40912.705555555498</c:v>
                </c:pt>
                <c:pt idx="460">
                  <c:v>40913.705555555498</c:v>
                </c:pt>
                <c:pt idx="461">
                  <c:v>40914.705555555498</c:v>
                </c:pt>
                <c:pt idx="462">
                  <c:v>40917.705555555498</c:v>
                </c:pt>
                <c:pt idx="463">
                  <c:v>40918.705555555498</c:v>
                </c:pt>
                <c:pt idx="464">
                  <c:v>40919.705555555498</c:v>
                </c:pt>
                <c:pt idx="465">
                  <c:v>40920.705555555498</c:v>
                </c:pt>
                <c:pt idx="466">
                  <c:v>40921.705555555498</c:v>
                </c:pt>
                <c:pt idx="467">
                  <c:v>40924.705555555498</c:v>
                </c:pt>
                <c:pt idx="468">
                  <c:v>40926.705555555498</c:v>
                </c:pt>
                <c:pt idx="469">
                  <c:v>40927.705555555498</c:v>
                </c:pt>
                <c:pt idx="470">
                  <c:v>40928.705555555498</c:v>
                </c:pt>
                <c:pt idx="471">
                  <c:v>40931.705555555498</c:v>
                </c:pt>
                <c:pt idx="472">
                  <c:v>40932.705555555498</c:v>
                </c:pt>
                <c:pt idx="473">
                  <c:v>40934.705555555498</c:v>
                </c:pt>
                <c:pt idx="474">
                  <c:v>40935.705555555498</c:v>
                </c:pt>
                <c:pt idx="475">
                  <c:v>40938.705555555498</c:v>
                </c:pt>
                <c:pt idx="476">
                  <c:v>40939.705555555498</c:v>
                </c:pt>
                <c:pt idx="477">
                  <c:v>40940.705555555498</c:v>
                </c:pt>
                <c:pt idx="478">
                  <c:v>40941.705555555498</c:v>
                </c:pt>
                <c:pt idx="479">
                  <c:v>40942.705555555498</c:v>
                </c:pt>
                <c:pt idx="480">
                  <c:v>40945.705555555498</c:v>
                </c:pt>
                <c:pt idx="481">
                  <c:v>40946.705555555498</c:v>
                </c:pt>
                <c:pt idx="482">
                  <c:v>40947.705555555498</c:v>
                </c:pt>
                <c:pt idx="483">
                  <c:v>40948.705555555498</c:v>
                </c:pt>
                <c:pt idx="484">
                  <c:v>40949.705555555498</c:v>
                </c:pt>
                <c:pt idx="485">
                  <c:v>40952.705555555498</c:v>
                </c:pt>
                <c:pt idx="486">
                  <c:v>40953.705555555498</c:v>
                </c:pt>
                <c:pt idx="487">
                  <c:v>40954.705555555498</c:v>
                </c:pt>
                <c:pt idx="488">
                  <c:v>40955.705555555498</c:v>
                </c:pt>
                <c:pt idx="489">
                  <c:v>40956.705555555498</c:v>
                </c:pt>
                <c:pt idx="490">
                  <c:v>40961.705555555498</c:v>
                </c:pt>
                <c:pt idx="491">
                  <c:v>40962.705555555498</c:v>
                </c:pt>
                <c:pt idx="492">
                  <c:v>40963.705555555498</c:v>
                </c:pt>
                <c:pt idx="493">
                  <c:v>40966.705555555498</c:v>
                </c:pt>
                <c:pt idx="494">
                  <c:v>40967.705555555498</c:v>
                </c:pt>
                <c:pt idx="495">
                  <c:v>40968.705555555498</c:v>
                </c:pt>
                <c:pt idx="496">
                  <c:v>40970.705555555498</c:v>
                </c:pt>
                <c:pt idx="497">
                  <c:v>40973.705555555498</c:v>
                </c:pt>
                <c:pt idx="498">
                  <c:v>40974.705555555498</c:v>
                </c:pt>
                <c:pt idx="499">
                  <c:v>40976.705555555498</c:v>
                </c:pt>
                <c:pt idx="500">
                  <c:v>40977.705555555498</c:v>
                </c:pt>
                <c:pt idx="501">
                  <c:v>40980.705555555498</c:v>
                </c:pt>
                <c:pt idx="502">
                  <c:v>40981.705555555498</c:v>
                </c:pt>
                <c:pt idx="503">
                  <c:v>40982.705555555498</c:v>
                </c:pt>
                <c:pt idx="504">
                  <c:v>40983.705555555498</c:v>
                </c:pt>
                <c:pt idx="505">
                  <c:v>40984.705555555498</c:v>
                </c:pt>
                <c:pt idx="506">
                  <c:v>40987.705555555498</c:v>
                </c:pt>
                <c:pt idx="507">
                  <c:v>40988.705555555498</c:v>
                </c:pt>
                <c:pt idx="508">
                  <c:v>40990.705555555498</c:v>
                </c:pt>
                <c:pt idx="509">
                  <c:v>40991.705555555498</c:v>
                </c:pt>
                <c:pt idx="510">
                  <c:v>40994.705555555498</c:v>
                </c:pt>
                <c:pt idx="511">
                  <c:v>40995.705555555498</c:v>
                </c:pt>
                <c:pt idx="512">
                  <c:v>40996.705555555498</c:v>
                </c:pt>
                <c:pt idx="513">
                  <c:v>40997.705555555498</c:v>
                </c:pt>
                <c:pt idx="514">
                  <c:v>41001.705555555498</c:v>
                </c:pt>
                <c:pt idx="515">
                  <c:v>41002.705555555498</c:v>
                </c:pt>
                <c:pt idx="516">
                  <c:v>41003.705555555498</c:v>
                </c:pt>
                <c:pt idx="517">
                  <c:v>41004.705555555498</c:v>
                </c:pt>
                <c:pt idx="518">
                  <c:v>41008.705555555498</c:v>
                </c:pt>
                <c:pt idx="519">
                  <c:v>41009.705555555498</c:v>
                </c:pt>
                <c:pt idx="520">
                  <c:v>41010.705555555498</c:v>
                </c:pt>
                <c:pt idx="521">
                  <c:v>41011.705555555498</c:v>
                </c:pt>
                <c:pt idx="522">
                  <c:v>41012.705555555498</c:v>
                </c:pt>
                <c:pt idx="523">
                  <c:v>41016.705555555498</c:v>
                </c:pt>
                <c:pt idx="524">
                  <c:v>41017.705555555498</c:v>
                </c:pt>
                <c:pt idx="525">
                  <c:v>41018.705555555498</c:v>
                </c:pt>
                <c:pt idx="526">
                  <c:v>41019.705555555498</c:v>
                </c:pt>
                <c:pt idx="527">
                  <c:v>41022.705555555498</c:v>
                </c:pt>
                <c:pt idx="528">
                  <c:v>41023.705555555498</c:v>
                </c:pt>
                <c:pt idx="529">
                  <c:v>41024.705555555498</c:v>
                </c:pt>
                <c:pt idx="530">
                  <c:v>41025.705555555498</c:v>
                </c:pt>
                <c:pt idx="531">
                  <c:v>41026.705555555498</c:v>
                </c:pt>
                <c:pt idx="532">
                  <c:v>41031.705555555498</c:v>
                </c:pt>
                <c:pt idx="533">
                  <c:v>41032.705555555498</c:v>
                </c:pt>
                <c:pt idx="534">
                  <c:v>41033.705555555498</c:v>
                </c:pt>
                <c:pt idx="535">
                  <c:v>41036.705555555498</c:v>
                </c:pt>
                <c:pt idx="536">
                  <c:v>41037.705555555498</c:v>
                </c:pt>
                <c:pt idx="537">
                  <c:v>41038.705555555498</c:v>
                </c:pt>
                <c:pt idx="538">
                  <c:v>41039.705555555498</c:v>
                </c:pt>
                <c:pt idx="539">
                  <c:v>41043.705555555498</c:v>
                </c:pt>
                <c:pt idx="540">
                  <c:v>41044.705555555498</c:v>
                </c:pt>
                <c:pt idx="541">
                  <c:v>41045.705555555498</c:v>
                </c:pt>
                <c:pt idx="542">
                  <c:v>41046.705555555498</c:v>
                </c:pt>
                <c:pt idx="543">
                  <c:v>41047.705555555498</c:v>
                </c:pt>
                <c:pt idx="544">
                  <c:v>41050.705555555498</c:v>
                </c:pt>
                <c:pt idx="545">
                  <c:v>41051.705555555498</c:v>
                </c:pt>
                <c:pt idx="546">
                  <c:v>41052.705555555498</c:v>
                </c:pt>
                <c:pt idx="547">
                  <c:v>41053.705555555498</c:v>
                </c:pt>
                <c:pt idx="548">
                  <c:v>41054.705555555498</c:v>
                </c:pt>
                <c:pt idx="549">
                  <c:v>41057.705555555498</c:v>
                </c:pt>
                <c:pt idx="550">
                  <c:v>41058.705555555498</c:v>
                </c:pt>
                <c:pt idx="551">
                  <c:v>41059.705555555498</c:v>
                </c:pt>
                <c:pt idx="552">
                  <c:v>41061.705555555498</c:v>
                </c:pt>
                <c:pt idx="553">
                  <c:v>41064.705555555498</c:v>
                </c:pt>
                <c:pt idx="554">
                  <c:v>41065.705555555498</c:v>
                </c:pt>
                <c:pt idx="555">
                  <c:v>41066.705555555498</c:v>
                </c:pt>
                <c:pt idx="556">
                  <c:v>41068.705555555498</c:v>
                </c:pt>
                <c:pt idx="557">
                  <c:v>41071.705555555498</c:v>
                </c:pt>
                <c:pt idx="558">
                  <c:v>41072.705555555498</c:v>
                </c:pt>
                <c:pt idx="559">
                  <c:v>41073.705555555498</c:v>
                </c:pt>
                <c:pt idx="560">
                  <c:v>41074.705555555498</c:v>
                </c:pt>
                <c:pt idx="561">
                  <c:v>41075.705555555498</c:v>
                </c:pt>
                <c:pt idx="562">
                  <c:v>41078.705555555498</c:v>
                </c:pt>
                <c:pt idx="563">
                  <c:v>41079.705555555498</c:v>
                </c:pt>
                <c:pt idx="564">
                  <c:v>41080.705555555498</c:v>
                </c:pt>
                <c:pt idx="565">
                  <c:v>41081.705555555498</c:v>
                </c:pt>
                <c:pt idx="566">
                  <c:v>41082.705555555498</c:v>
                </c:pt>
                <c:pt idx="567">
                  <c:v>41085.705555555498</c:v>
                </c:pt>
                <c:pt idx="568">
                  <c:v>41086.705555555498</c:v>
                </c:pt>
                <c:pt idx="569">
                  <c:v>41087.705555555498</c:v>
                </c:pt>
                <c:pt idx="570">
                  <c:v>41088.705555555498</c:v>
                </c:pt>
                <c:pt idx="571">
                  <c:v>41089.705555555498</c:v>
                </c:pt>
                <c:pt idx="572">
                  <c:v>41092.705555555498</c:v>
                </c:pt>
                <c:pt idx="573">
                  <c:v>41093.705555555498</c:v>
                </c:pt>
                <c:pt idx="574">
                  <c:v>41095.705555555498</c:v>
                </c:pt>
                <c:pt idx="575">
                  <c:v>41096.705555555498</c:v>
                </c:pt>
                <c:pt idx="576">
                  <c:v>41100.705555555498</c:v>
                </c:pt>
                <c:pt idx="577">
                  <c:v>41101.705555555498</c:v>
                </c:pt>
                <c:pt idx="578">
                  <c:v>41102.705555555498</c:v>
                </c:pt>
                <c:pt idx="579">
                  <c:v>41103.705555555498</c:v>
                </c:pt>
                <c:pt idx="580">
                  <c:v>41107.705555555498</c:v>
                </c:pt>
                <c:pt idx="581">
                  <c:v>41109.705555555498</c:v>
                </c:pt>
                <c:pt idx="582">
                  <c:v>41110.705555555498</c:v>
                </c:pt>
                <c:pt idx="583">
                  <c:v>41113.705555555498</c:v>
                </c:pt>
                <c:pt idx="584">
                  <c:v>41114.705555555498</c:v>
                </c:pt>
                <c:pt idx="585">
                  <c:v>41115.705555555498</c:v>
                </c:pt>
                <c:pt idx="586">
                  <c:v>41116.705555555498</c:v>
                </c:pt>
                <c:pt idx="587">
                  <c:v>41120.705555555498</c:v>
                </c:pt>
                <c:pt idx="588">
                  <c:v>41121.705555555498</c:v>
                </c:pt>
                <c:pt idx="589">
                  <c:v>41122.705555555498</c:v>
                </c:pt>
                <c:pt idx="590">
                  <c:v>41123.705555555498</c:v>
                </c:pt>
                <c:pt idx="591">
                  <c:v>41124.705555555498</c:v>
                </c:pt>
                <c:pt idx="592">
                  <c:v>41127.705555555498</c:v>
                </c:pt>
                <c:pt idx="593">
                  <c:v>41134.705555555498</c:v>
                </c:pt>
                <c:pt idx="594">
                  <c:v>41135.705555555498</c:v>
                </c:pt>
                <c:pt idx="595">
                  <c:v>41136.705555555498</c:v>
                </c:pt>
                <c:pt idx="596">
                  <c:v>41137.705555555498</c:v>
                </c:pt>
                <c:pt idx="597">
                  <c:v>41138.705555555498</c:v>
                </c:pt>
                <c:pt idx="598">
                  <c:v>41141.705555555498</c:v>
                </c:pt>
                <c:pt idx="599">
                  <c:v>41142.705555555498</c:v>
                </c:pt>
                <c:pt idx="600">
                  <c:v>41143.705555555498</c:v>
                </c:pt>
                <c:pt idx="601">
                  <c:v>41144.705555555498</c:v>
                </c:pt>
                <c:pt idx="602">
                  <c:v>41145.705555555498</c:v>
                </c:pt>
                <c:pt idx="603">
                  <c:v>41148.705555555498</c:v>
                </c:pt>
                <c:pt idx="604">
                  <c:v>41149.705555555498</c:v>
                </c:pt>
                <c:pt idx="605">
                  <c:v>41150.705555555498</c:v>
                </c:pt>
                <c:pt idx="606">
                  <c:v>41151.705555555498</c:v>
                </c:pt>
                <c:pt idx="607">
                  <c:v>41152.705555555498</c:v>
                </c:pt>
                <c:pt idx="608">
                  <c:v>41155.705555555498</c:v>
                </c:pt>
                <c:pt idx="609">
                  <c:v>41157.705555555498</c:v>
                </c:pt>
                <c:pt idx="610">
                  <c:v>41158.705555555498</c:v>
                </c:pt>
                <c:pt idx="611">
                  <c:v>41162.705555555498</c:v>
                </c:pt>
                <c:pt idx="612">
                  <c:v>41163.705555555498</c:v>
                </c:pt>
                <c:pt idx="613">
                  <c:v>41164.705555555498</c:v>
                </c:pt>
                <c:pt idx="614">
                  <c:v>41165.705555555498</c:v>
                </c:pt>
                <c:pt idx="615">
                  <c:v>41166.705555555498</c:v>
                </c:pt>
                <c:pt idx="616">
                  <c:v>41169.705555555498</c:v>
                </c:pt>
                <c:pt idx="617">
                  <c:v>41170.705555555498</c:v>
                </c:pt>
                <c:pt idx="618">
                  <c:v>41171.705555555498</c:v>
                </c:pt>
                <c:pt idx="619">
                  <c:v>41172.705555555498</c:v>
                </c:pt>
                <c:pt idx="620">
                  <c:v>41173.705555555498</c:v>
                </c:pt>
                <c:pt idx="621">
                  <c:v>41176.705555555498</c:v>
                </c:pt>
                <c:pt idx="622">
                  <c:v>41177.705555555498</c:v>
                </c:pt>
                <c:pt idx="623">
                  <c:v>41178.705555555498</c:v>
                </c:pt>
                <c:pt idx="624">
                  <c:v>41179.705555555498</c:v>
                </c:pt>
                <c:pt idx="625">
                  <c:v>41180.705555555498</c:v>
                </c:pt>
                <c:pt idx="626">
                  <c:v>41183.705555555498</c:v>
                </c:pt>
                <c:pt idx="627">
                  <c:v>41184.705555555498</c:v>
                </c:pt>
                <c:pt idx="628">
                  <c:v>41185.705555555498</c:v>
                </c:pt>
                <c:pt idx="629">
                  <c:v>41186.705555555498</c:v>
                </c:pt>
                <c:pt idx="630">
                  <c:v>41187.705555555498</c:v>
                </c:pt>
                <c:pt idx="631">
                  <c:v>41190.705555555498</c:v>
                </c:pt>
                <c:pt idx="632">
                  <c:v>41191.705555555498</c:v>
                </c:pt>
                <c:pt idx="633">
                  <c:v>41192.705555555498</c:v>
                </c:pt>
                <c:pt idx="634">
                  <c:v>41193.705555555498</c:v>
                </c:pt>
                <c:pt idx="635">
                  <c:v>41197.705555555498</c:v>
                </c:pt>
                <c:pt idx="636">
                  <c:v>41198.705555555498</c:v>
                </c:pt>
                <c:pt idx="637">
                  <c:v>41199.705555555498</c:v>
                </c:pt>
                <c:pt idx="638">
                  <c:v>41200.705555555498</c:v>
                </c:pt>
                <c:pt idx="639">
                  <c:v>41201.705555555498</c:v>
                </c:pt>
                <c:pt idx="640">
                  <c:v>41204.705555555498</c:v>
                </c:pt>
                <c:pt idx="641">
                  <c:v>41205.705555555498</c:v>
                </c:pt>
                <c:pt idx="642">
                  <c:v>41206.705555555498</c:v>
                </c:pt>
                <c:pt idx="643">
                  <c:v>41207.705555555498</c:v>
                </c:pt>
                <c:pt idx="644">
                  <c:v>41208.705555555498</c:v>
                </c:pt>
                <c:pt idx="645">
                  <c:v>41211.705555555498</c:v>
                </c:pt>
                <c:pt idx="646">
                  <c:v>41212.705555555498</c:v>
                </c:pt>
                <c:pt idx="647">
                  <c:v>41213.705555555498</c:v>
                </c:pt>
                <c:pt idx="648">
                  <c:v>41214.705555555498</c:v>
                </c:pt>
                <c:pt idx="649">
                  <c:v>41218.705555555498</c:v>
                </c:pt>
                <c:pt idx="650">
                  <c:v>41219.705555555498</c:v>
                </c:pt>
                <c:pt idx="651">
                  <c:v>41220.705555555498</c:v>
                </c:pt>
                <c:pt idx="652">
                  <c:v>41221.705555555498</c:v>
                </c:pt>
                <c:pt idx="653">
                  <c:v>41222.705555555498</c:v>
                </c:pt>
                <c:pt idx="654">
                  <c:v>41225.705555555498</c:v>
                </c:pt>
                <c:pt idx="655">
                  <c:v>41226.705555555498</c:v>
                </c:pt>
                <c:pt idx="656">
                  <c:v>41227.705555555498</c:v>
                </c:pt>
                <c:pt idx="657">
                  <c:v>41228.705555555498</c:v>
                </c:pt>
                <c:pt idx="658">
                  <c:v>41229.705555555498</c:v>
                </c:pt>
                <c:pt idx="659">
                  <c:v>41232.705555555498</c:v>
                </c:pt>
                <c:pt idx="660">
                  <c:v>41234.705555555498</c:v>
                </c:pt>
                <c:pt idx="661">
                  <c:v>41235.705555555498</c:v>
                </c:pt>
                <c:pt idx="662">
                  <c:v>41236.705555555498</c:v>
                </c:pt>
                <c:pt idx="663">
                  <c:v>41239.705555555498</c:v>
                </c:pt>
                <c:pt idx="664">
                  <c:v>41240.705555555498</c:v>
                </c:pt>
                <c:pt idx="665">
                  <c:v>41241.705555555498</c:v>
                </c:pt>
                <c:pt idx="666">
                  <c:v>41242.705555555498</c:v>
                </c:pt>
                <c:pt idx="667">
                  <c:v>41243.705555555498</c:v>
                </c:pt>
                <c:pt idx="668">
                  <c:v>41246.705555555498</c:v>
                </c:pt>
                <c:pt idx="669">
                  <c:v>41247.705555555498</c:v>
                </c:pt>
                <c:pt idx="670">
                  <c:v>41248.705555555498</c:v>
                </c:pt>
                <c:pt idx="671">
                  <c:v>41249.705555555498</c:v>
                </c:pt>
                <c:pt idx="672">
                  <c:v>41250.705555555498</c:v>
                </c:pt>
                <c:pt idx="673">
                  <c:v>41253.705555555498</c:v>
                </c:pt>
                <c:pt idx="674">
                  <c:v>41254.705555555498</c:v>
                </c:pt>
                <c:pt idx="675">
                  <c:v>41255.705555555498</c:v>
                </c:pt>
                <c:pt idx="676">
                  <c:v>41256.705555555498</c:v>
                </c:pt>
                <c:pt idx="677">
                  <c:v>41257.705555555498</c:v>
                </c:pt>
                <c:pt idx="678">
                  <c:v>41260.705555555498</c:v>
                </c:pt>
                <c:pt idx="679">
                  <c:v>41261.705555555498</c:v>
                </c:pt>
                <c:pt idx="680">
                  <c:v>41262.705555555498</c:v>
                </c:pt>
                <c:pt idx="681">
                  <c:v>41263.705555555498</c:v>
                </c:pt>
                <c:pt idx="682">
                  <c:v>41264.705555555498</c:v>
                </c:pt>
                <c:pt idx="683">
                  <c:v>41269.705555555498</c:v>
                </c:pt>
                <c:pt idx="684">
                  <c:v>41270.705555555498</c:v>
                </c:pt>
                <c:pt idx="685">
                  <c:v>41271.705555555498</c:v>
                </c:pt>
                <c:pt idx="686">
                  <c:v>41276.705555555498</c:v>
                </c:pt>
                <c:pt idx="687">
                  <c:v>41277.705555555498</c:v>
                </c:pt>
                <c:pt idx="688">
                  <c:v>41278.705555555498</c:v>
                </c:pt>
                <c:pt idx="689">
                  <c:v>41281.705555555498</c:v>
                </c:pt>
                <c:pt idx="690">
                  <c:v>41282.705555555498</c:v>
                </c:pt>
                <c:pt idx="691">
                  <c:v>41283.705555555498</c:v>
                </c:pt>
                <c:pt idx="692">
                  <c:v>41284.705555555498</c:v>
                </c:pt>
                <c:pt idx="693">
                  <c:v>41285.705555555498</c:v>
                </c:pt>
                <c:pt idx="694">
                  <c:v>41288.705555555498</c:v>
                </c:pt>
                <c:pt idx="695">
                  <c:v>41289.705555555498</c:v>
                </c:pt>
                <c:pt idx="696">
                  <c:v>41290.705555555498</c:v>
                </c:pt>
                <c:pt idx="697">
                  <c:v>41291.705555555498</c:v>
                </c:pt>
                <c:pt idx="698">
                  <c:v>41292.705555555498</c:v>
                </c:pt>
                <c:pt idx="699">
                  <c:v>41295.705555555498</c:v>
                </c:pt>
                <c:pt idx="700">
                  <c:v>41296.705555555498</c:v>
                </c:pt>
                <c:pt idx="701">
                  <c:v>41297.705555555498</c:v>
                </c:pt>
                <c:pt idx="702">
                  <c:v>41298.705555555498</c:v>
                </c:pt>
                <c:pt idx="703">
                  <c:v>41302.705555555498</c:v>
                </c:pt>
                <c:pt idx="704">
                  <c:v>41303.705555555498</c:v>
                </c:pt>
                <c:pt idx="705">
                  <c:v>41304.705555555498</c:v>
                </c:pt>
                <c:pt idx="706">
                  <c:v>41305.705555555498</c:v>
                </c:pt>
                <c:pt idx="707">
                  <c:v>41306.705555555498</c:v>
                </c:pt>
                <c:pt idx="708">
                  <c:v>41309.705555555498</c:v>
                </c:pt>
                <c:pt idx="709">
                  <c:v>41310.705555555498</c:v>
                </c:pt>
                <c:pt idx="710">
                  <c:v>41311.705555555498</c:v>
                </c:pt>
                <c:pt idx="711">
                  <c:v>41312.705555555498</c:v>
                </c:pt>
                <c:pt idx="712">
                  <c:v>41313.705555555498</c:v>
                </c:pt>
                <c:pt idx="713">
                  <c:v>41318.705555555498</c:v>
                </c:pt>
                <c:pt idx="714">
                  <c:v>41319.705555555498</c:v>
                </c:pt>
                <c:pt idx="715">
                  <c:v>41320.705555555498</c:v>
                </c:pt>
                <c:pt idx="716">
                  <c:v>41323.705555555498</c:v>
                </c:pt>
                <c:pt idx="717">
                  <c:v>41324.705555555498</c:v>
                </c:pt>
                <c:pt idx="718">
                  <c:v>41325.705555555498</c:v>
                </c:pt>
                <c:pt idx="719">
                  <c:v>41326.705555555498</c:v>
                </c:pt>
                <c:pt idx="720">
                  <c:v>41327.705555555498</c:v>
                </c:pt>
                <c:pt idx="721">
                  <c:v>41330.705555555498</c:v>
                </c:pt>
                <c:pt idx="722">
                  <c:v>41331.705555555498</c:v>
                </c:pt>
                <c:pt idx="723">
                  <c:v>41332.705555555498</c:v>
                </c:pt>
                <c:pt idx="724">
                  <c:v>41333.705555555498</c:v>
                </c:pt>
                <c:pt idx="725">
                  <c:v>41334.705555555498</c:v>
                </c:pt>
                <c:pt idx="726">
                  <c:v>41337.705555555498</c:v>
                </c:pt>
                <c:pt idx="727">
                  <c:v>41338.705555555498</c:v>
                </c:pt>
                <c:pt idx="728">
                  <c:v>41339.705555555498</c:v>
                </c:pt>
                <c:pt idx="729">
                  <c:v>41340.705555555498</c:v>
                </c:pt>
                <c:pt idx="730">
                  <c:v>41341.705555555498</c:v>
                </c:pt>
                <c:pt idx="731">
                  <c:v>41344.705555555498</c:v>
                </c:pt>
                <c:pt idx="732">
                  <c:v>41345.705555555498</c:v>
                </c:pt>
                <c:pt idx="733">
                  <c:v>41346.705555555498</c:v>
                </c:pt>
                <c:pt idx="734">
                  <c:v>41347.705555555498</c:v>
                </c:pt>
                <c:pt idx="735">
                  <c:v>41348.705555555498</c:v>
                </c:pt>
                <c:pt idx="736">
                  <c:v>41351.705555555498</c:v>
                </c:pt>
                <c:pt idx="737">
                  <c:v>41352.705555555498</c:v>
                </c:pt>
                <c:pt idx="738">
                  <c:v>41353.705555555498</c:v>
                </c:pt>
                <c:pt idx="739">
                  <c:v>41354.705555555498</c:v>
                </c:pt>
                <c:pt idx="740">
                  <c:v>41355.705555555498</c:v>
                </c:pt>
                <c:pt idx="741">
                  <c:v>41358.705555555498</c:v>
                </c:pt>
                <c:pt idx="742">
                  <c:v>41359.705555555498</c:v>
                </c:pt>
                <c:pt idx="743">
                  <c:v>41360.705555555498</c:v>
                </c:pt>
                <c:pt idx="744">
                  <c:v>41361.705555555498</c:v>
                </c:pt>
                <c:pt idx="745">
                  <c:v>41365.705555555498</c:v>
                </c:pt>
                <c:pt idx="746">
                  <c:v>41366.705555555498</c:v>
                </c:pt>
                <c:pt idx="747">
                  <c:v>41367.705555555498</c:v>
                </c:pt>
                <c:pt idx="748">
                  <c:v>41368.705555555498</c:v>
                </c:pt>
                <c:pt idx="749">
                  <c:v>41369.705555555498</c:v>
                </c:pt>
                <c:pt idx="750">
                  <c:v>41372.705555555498</c:v>
                </c:pt>
                <c:pt idx="751">
                  <c:v>41373.705555555498</c:v>
                </c:pt>
                <c:pt idx="752">
                  <c:v>41374.705555555498</c:v>
                </c:pt>
                <c:pt idx="753">
                  <c:v>41375.705555555498</c:v>
                </c:pt>
                <c:pt idx="754">
                  <c:v>41376.705555555498</c:v>
                </c:pt>
                <c:pt idx="755">
                  <c:v>41379.705555555498</c:v>
                </c:pt>
                <c:pt idx="756">
                  <c:v>41380.705555555498</c:v>
                </c:pt>
                <c:pt idx="757">
                  <c:v>41381.705555555498</c:v>
                </c:pt>
                <c:pt idx="758">
                  <c:v>41382.705555555498</c:v>
                </c:pt>
                <c:pt idx="759">
                  <c:v>41383.705555555498</c:v>
                </c:pt>
                <c:pt idx="760">
                  <c:v>41386.705555555498</c:v>
                </c:pt>
                <c:pt idx="761">
                  <c:v>41387.705555555498</c:v>
                </c:pt>
                <c:pt idx="762">
                  <c:v>41388.705555555498</c:v>
                </c:pt>
                <c:pt idx="763">
                  <c:v>41389.705555555498</c:v>
                </c:pt>
                <c:pt idx="764">
                  <c:v>41390.705555555498</c:v>
                </c:pt>
                <c:pt idx="765">
                  <c:v>41393.705555555498</c:v>
                </c:pt>
                <c:pt idx="766">
                  <c:v>41394.705555555498</c:v>
                </c:pt>
                <c:pt idx="767">
                  <c:v>41396.705555555498</c:v>
                </c:pt>
                <c:pt idx="768">
                  <c:v>41397.705555555498</c:v>
                </c:pt>
                <c:pt idx="769">
                  <c:v>41400.705555555498</c:v>
                </c:pt>
                <c:pt idx="770">
                  <c:v>41401.705555555498</c:v>
                </c:pt>
                <c:pt idx="771">
                  <c:v>41402.705555555498</c:v>
                </c:pt>
                <c:pt idx="772">
                  <c:v>41403.705555555498</c:v>
                </c:pt>
                <c:pt idx="773">
                  <c:v>41404.705555555498</c:v>
                </c:pt>
                <c:pt idx="774">
                  <c:v>41407.705555555498</c:v>
                </c:pt>
                <c:pt idx="775">
                  <c:v>41408.705555555498</c:v>
                </c:pt>
                <c:pt idx="776">
                  <c:v>41409.705555555498</c:v>
                </c:pt>
                <c:pt idx="777">
                  <c:v>41410.705555555498</c:v>
                </c:pt>
                <c:pt idx="778">
                  <c:v>41411.705555555498</c:v>
                </c:pt>
                <c:pt idx="779">
                  <c:v>41414.705555555498</c:v>
                </c:pt>
                <c:pt idx="780">
                  <c:v>41415.705555555498</c:v>
                </c:pt>
                <c:pt idx="781">
                  <c:v>41416.705555555498</c:v>
                </c:pt>
                <c:pt idx="782">
                  <c:v>41417.705555555498</c:v>
                </c:pt>
                <c:pt idx="783">
                  <c:v>41418.705555555498</c:v>
                </c:pt>
                <c:pt idx="784">
                  <c:v>41421.705555555498</c:v>
                </c:pt>
                <c:pt idx="785">
                  <c:v>41422.705555555498</c:v>
                </c:pt>
                <c:pt idx="786">
                  <c:v>41423.705555555498</c:v>
                </c:pt>
                <c:pt idx="787">
                  <c:v>41425.705555555498</c:v>
                </c:pt>
                <c:pt idx="788">
                  <c:v>41428.705555555498</c:v>
                </c:pt>
                <c:pt idx="789">
                  <c:v>41429.705555555498</c:v>
                </c:pt>
                <c:pt idx="790">
                  <c:v>41430.705555555498</c:v>
                </c:pt>
                <c:pt idx="791">
                  <c:v>41431.705555555498</c:v>
                </c:pt>
                <c:pt idx="792">
                  <c:v>41432.705555555498</c:v>
                </c:pt>
                <c:pt idx="793">
                  <c:v>41435.705555555498</c:v>
                </c:pt>
                <c:pt idx="794">
                  <c:v>41436.705555555498</c:v>
                </c:pt>
                <c:pt idx="795">
                  <c:v>41437.705555555498</c:v>
                </c:pt>
                <c:pt idx="796">
                  <c:v>41438.705555555498</c:v>
                </c:pt>
                <c:pt idx="797">
                  <c:v>41439.705555555498</c:v>
                </c:pt>
                <c:pt idx="798">
                  <c:v>41442.705555555498</c:v>
                </c:pt>
                <c:pt idx="799">
                  <c:v>41443.705555555498</c:v>
                </c:pt>
                <c:pt idx="800">
                  <c:v>41444.705555555498</c:v>
                </c:pt>
                <c:pt idx="801">
                  <c:v>41445.705555555498</c:v>
                </c:pt>
                <c:pt idx="802">
                  <c:v>41446.705555555498</c:v>
                </c:pt>
                <c:pt idx="803">
                  <c:v>41449.705555555498</c:v>
                </c:pt>
                <c:pt idx="804">
                  <c:v>41450.705555555498</c:v>
                </c:pt>
                <c:pt idx="805">
                  <c:v>41451.705555555498</c:v>
                </c:pt>
                <c:pt idx="806">
                  <c:v>41452.705555555498</c:v>
                </c:pt>
                <c:pt idx="807">
                  <c:v>41453.705555555498</c:v>
                </c:pt>
                <c:pt idx="808">
                  <c:v>41456.705555555498</c:v>
                </c:pt>
                <c:pt idx="809">
                  <c:v>41457.705555555498</c:v>
                </c:pt>
                <c:pt idx="810">
                  <c:v>41458.705555555498</c:v>
                </c:pt>
                <c:pt idx="811">
                  <c:v>41459.705555555498</c:v>
                </c:pt>
                <c:pt idx="812">
                  <c:v>41460.705555555498</c:v>
                </c:pt>
                <c:pt idx="813">
                  <c:v>41463.705555555498</c:v>
                </c:pt>
                <c:pt idx="814">
                  <c:v>41465.705555555498</c:v>
                </c:pt>
                <c:pt idx="815">
                  <c:v>41466.705555555498</c:v>
                </c:pt>
                <c:pt idx="816">
                  <c:v>41467.705555555498</c:v>
                </c:pt>
                <c:pt idx="817">
                  <c:v>41470.705555555498</c:v>
                </c:pt>
                <c:pt idx="818">
                  <c:v>41471.705555555498</c:v>
                </c:pt>
                <c:pt idx="819">
                  <c:v>41472.705555555498</c:v>
                </c:pt>
                <c:pt idx="820">
                  <c:v>41473.705555555498</c:v>
                </c:pt>
                <c:pt idx="821">
                  <c:v>41474.705555555498</c:v>
                </c:pt>
                <c:pt idx="822">
                  <c:v>41477.705555555498</c:v>
                </c:pt>
                <c:pt idx="823">
                  <c:v>41478.705555555498</c:v>
                </c:pt>
                <c:pt idx="824">
                  <c:v>41479.705555555498</c:v>
                </c:pt>
                <c:pt idx="825">
                  <c:v>41480.705555555498</c:v>
                </c:pt>
                <c:pt idx="826">
                  <c:v>41481.705555555498</c:v>
                </c:pt>
                <c:pt idx="827">
                  <c:v>41484.705555555498</c:v>
                </c:pt>
                <c:pt idx="828">
                  <c:v>41485.705555555498</c:v>
                </c:pt>
                <c:pt idx="829">
                  <c:v>41486.705555555498</c:v>
                </c:pt>
                <c:pt idx="830">
                  <c:v>41487.705555555498</c:v>
                </c:pt>
                <c:pt idx="831">
                  <c:v>41488.705555555498</c:v>
                </c:pt>
                <c:pt idx="832">
                  <c:v>41491.705555555498</c:v>
                </c:pt>
                <c:pt idx="833">
                  <c:v>41492.705555555498</c:v>
                </c:pt>
                <c:pt idx="834">
                  <c:v>41493.705555555498</c:v>
                </c:pt>
                <c:pt idx="835">
                  <c:v>41494.705555555498</c:v>
                </c:pt>
                <c:pt idx="836">
                  <c:v>41495.705555555498</c:v>
                </c:pt>
                <c:pt idx="837">
                  <c:v>41498.705555555498</c:v>
                </c:pt>
                <c:pt idx="838">
                  <c:v>41499.705555555498</c:v>
                </c:pt>
                <c:pt idx="839">
                  <c:v>41500.705555555498</c:v>
                </c:pt>
                <c:pt idx="840">
                  <c:v>41501.705555555498</c:v>
                </c:pt>
                <c:pt idx="841">
                  <c:v>41502.705555555498</c:v>
                </c:pt>
                <c:pt idx="842">
                  <c:v>41505.705555555498</c:v>
                </c:pt>
                <c:pt idx="843">
                  <c:v>41506.705555555498</c:v>
                </c:pt>
                <c:pt idx="844">
                  <c:v>41507.705555555498</c:v>
                </c:pt>
                <c:pt idx="845">
                  <c:v>41508.705555555498</c:v>
                </c:pt>
                <c:pt idx="846">
                  <c:v>41509.705555555498</c:v>
                </c:pt>
                <c:pt idx="847">
                  <c:v>41512.705555555498</c:v>
                </c:pt>
                <c:pt idx="848">
                  <c:v>41513.705555555498</c:v>
                </c:pt>
                <c:pt idx="849">
                  <c:v>41514.705555555498</c:v>
                </c:pt>
                <c:pt idx="850">
                  <c:v>41515.705555555498</c:v>
                </c:pt>
                <c:pt idx="851">
                  <c:v>41516.705555555498</c:v>
                </c:pt>
                <c:pt idx="852">
                  <c:v>41519.705555555498</c:v>
                </c:pt>
                <c:pt idx="853">
                  <c:v>41520.705555555498</c:v>
                </c:pt>
                <c:pt idx="854">
                  <c:v>41521.705555555498</c:v>
                </c:pt>
                <c:pt idx="855">
                  <c:v>41522.705555555498</c:v>
                </c:pt>
                <c:pt idx="856">
                  <c:v>41523.705555555498</c:v>
                </c:pt>
                <c:pt idx="857">
                  <c:v>41526.705555555498</c:v>
                </c:pt>
                <c:pt idx="858">
                  <c:v>41527.705555555498</c:v>
                </c:pt>
                <c:pt idx="859">
                  <c:v>41528.705555555498</c:v>
                </c:pt>
                <c:pt idx="860">
                  <c:v>41529.705555555498</c:v>
                </c:pt>
                <c:pt idx="861">
                  <c:v>41530.705555555498</c:v>
                </c:pt>
                <c:pt idx="862">
                  <c:v>41533.705555555498</c:v>
                </c:pt>
                <c:pt idx="863">
                  <c:v>41534.705555555498</c:v>
                </c:pt>
                <c:pt idx="864">
                  <c:v>41535.705555555498</c:v>
                </c:pt>
                <c:pt idx="865">
                  <c:v>41536.705555555498</c:v>
                </c:pt>
                <c:pt idx="866">
                  <c:v>41537.705555555498</c:v>
                </c:pt>
                <c:pt idx="867">
                  <c:v>41540.705555555498</c:v>
                </c:pt>
                <c:pt idx="868">
                  <c:v>41541.705555555498</c:v>
                </c:pt>
                <c:pt idx="869">
                  <c:v>41542.705555555498</c:v>
                </c:pt>
                <c:pt idx="870">
                  <c:v>41543.705555555498</c:v>
                </c:pt>
                <c:pt idx="871">
                  <c:v>41544.705555555498</c:v>
                </c:pt>
                <c:pt idx="872">
                  <c:v>41547.705555555498</c:v>
                </c:pt>
                <c:pt idx="873">
                  <c:v>41548.705555555498</c:v>
                </c:pt>
                <c:pt idx="874">
                  <c:v>41549.705555555498</c:v>
                </c:pt>
                <c:pt idx="875">
                  <c:v>41550.705555555498</c:v>
                </c:pt>
                <c:pt idx="876">
                  <c:v>41551.705555555498</c:v>
                </c:pt>
                <c:pt idx="877">
                  <c:v>41554.705555555498</c:v>
                </c:pt>
                <c:pt idx="878">
                  <c:v>41555.705555555498</c:v>
                </c:pt>
                <c:pt idx="879">
                  <c:v>41556.705555555498</c:v>
                </c:pt>
                <c:pt idx="880">
                  <c:v>41557.705555555498</c:v>
                </c:pt>
                <c:pt idx="881">
                  <c:v>41558.705555555498</c:v>
                </c:pt>
                <c:pt idx="882">
                  <c:v>41561.705555555498</c:v>
                </c:pt>
                <c:pt idx="883">
                  <c:v>41562.705555555498</c:v>
                </c:pt>
                <c:pt idx="884">
                  <c:v>41563.705555555498</c:v>
                </c:pt>
                <c:pt idx="885">
                  <c:v>41564.705555555498</c:v>
                </c:pt>
                <c:pt idx="886">
                  <c:v>41565.705555555498</c:v>
                </c:pt>
                <c:pt idx="887">
                  <c:v>41568.705555555498</c:v>
                </c:pt>
                <c:pt idx="888">
                  <c:v>41569.705555555498</c:v>
                </c:pt>
                <c:pt idx="889">
                  <c:v>41570.705555555498</c:v>
                </c:pt>
                <c:pt idx="890">
                  <c:v>41571.705555555498</c:v>
                </c:pt>
                <c:pt idx="891">
                  <c:v>41572.705555555498</c:v>
                </c:pt>
                <c:pt idx="892">
                  <c:v>41575.705555555498</c:v>
                </c:pt>
                <c:pt idx="893">
                  <c:v>41576.705555555498</c:v>
                </c:pt>
                <c:pt idx="894">
                  <c:v>41577.705555555498</c:v>
                </c:pt>
                <c:pt idx="895">
                  <c:v>41578.705555555498</c:v>
                </c:pt>
                <c:pt idx="896">
                  <c:v>41579.705555555498</c:v>
                </c:pt>
                <c:pt idx="897">
                  <c:v>41582.705555555498</c:v>
                </c:pt>
                <c:pt idx="898">
                  <c:v>41583.705555555498</c:v>
                </c:pt>
                <c:pt idx="899">
                  <c:v>41584.705555555498</c:v>
                </c:pt>
                <c:pt idx="900">
                  <c:v>41585.705555555498</c:v>
                </c:pt>
                <c:pt idx="901">
                  <c:v>41586.705555555498</c:v>
                </c:pt>
                <c:pt idx="902">
                  <c:v>41589.705555555498</c:v>
                </c:pt>
                <c:pt idx="903">
                  <c:v>41590.705555555498</c:v>
                </c:pt>
                <c:pt idx="904">
                  <c:v>41591.705555555498</c:v>
                </c:pt>
                <c:pt idx="905">
                  <c:v>41592.705555555498</c:v>
                </c:pt>
                <c:pt idx="906">
                  <c:v>41596.705555555498</c:v>
                </c:pt>
                <c:pt idx="907">
                  <c:v>41597.705555555498</c:v>
                </c:pt>
                <c:pt idx="908">
                  <c:v>41599.705555555498</c:v>
                </c:pt>
                <c:pt idx="909">
                  <c:v>41600.705555555498</c:v>
                </c:pt>
                <c:pt idx="910">
                  <c:v>41603.705555555498</c:v>
                </c:pt>
                <c:pt idx="911">
                  <c:v>41604.705555555498</c:v>
                </c:pt>
                <c:pt idx="912">
                  <c:v>41605.705555555498</c:v>
                </c:pt>
                <c:pt idx="913">
                  <c:v>41606.705555555498</c:v>
                </c:pt>
                <c:pt idx="914">
                  <c:v>41607.705555555498</c:v>
                </c:pt>
                <c:pt idx="915">
                  <c:v>41610.705555555498</c:v>
                </c:pt>
                <c:pt idx="916">
                  <c:v>41611.705555555498</c:v>
                </c:pt>
                <c:pt idx="917">
                  <c:v>41612.705555555498</c:v>
                </c:pt>
                <c:pt idx="918">
                  <c:v>41613.705555555498</c:v>
                </c:pt>
                <c:pt idx="919">
                  <c:v>41614.705555555498</c:v>
                </c:pt>
                <c:pt idx="920">
                  <c:v>41617.705555555498</c:v>
                </c:pt>
                <c:pt idx="921">
                  <c:v>41618.705555555498</c:v>
                </c:pt>
                <c:pt idx="922">
                  <c:v>41619.705555555498</c:v>
                </c:pt>
                <c:pt idx="923">
                  <c:v>41620.705555555498</c:v>
                </c:pt>
                <c:pt idx="924">
                  <c:v>41621.705555555498</c:v>
                </c:pt>
                <c:pt idx="925">
                  <c:v>41624.705555555498</c:v>
                </c:pt>
                <c:pt idx="926">
                  <c:v>41625.705555555498</c:v>
                </c:pt>
                <c:pt idx="927">
                  <c:v>41626.705555555498</c:v>
                </c:pt>
                <c:pt idx="928">
                  <c:v>41627.705555555498</c:v>
                </c:pt>
                <c:pt idx="929">
                  <c:v>41628.705555555498</c:v>
                </c:pt>
                <c:pt idx="930">
                  <c:v>41631.705555555498</c:v>
                </c:pt>
                <c:pt idx="931">
                  <c:v>41634.705555555498</c:v>
                </c:pt>
                <c:pt idx="932">
                  <c:v>41635.705555555498</c:v>
                </c:pt>
                <c:pt idx="933">
                  <c:v>41638.705555555498</c:v>
                </c:pt>
                <c:pt idx="934">
                  <c:v>41641.705555555498</c:v>
                </c:pt>
                <c:pt idx="935">
                  <c:v>41642.705555555498</c:v>
                </c:pt>
                <c:pt idx="936">
                  <c:v>41645.705555555498</c:v>
                </c:pt>
                <c:pt idx="937">
                  <c:v>41646.705555555498</c:v>
                </c:pt>
                <c:pt idx="938">
                  <c:v>41647.705555555498</c:v>
                </c:pt>
                <c:pt idx="939">
                  <c:v>41648.705555555498</c:v>
                </c:pt>
                <c:pt idx="940">
                  <c:v>41649.705555555498</c:v>
                </c:pt>
                <c:pt idx="941">
                  <c:v>41652.705555555498</c:v>
                </c:pt>
                <c:pt idx="942">
                  <c:v>41653.705555555498</c:v>
                </c:pt>
                <c:pt idx="943">
                  <c:v>41654.705555555498</c:v>
                </c:pt>
                <c:pt idx="944">
                  <c:v>41655.705555555498</c:v>
                </c:pt>
                <c:pt idx="945">
                  <c:v>41656.705555555498</c:v>
                </c:pt>
                <c:pt idx="946">
                  <c:v>41659.705555555498</c:v>
                </c:pt>
                <c:pt idx="947">
                  <c:v>41660.705555555498</c:v>
                </c:pt>
                <c:pt idx="948">
                  <c:v>41661.705555555498</c:v>
                </c:pt>
                <c:pt idx="949">
                  <c:v>41662.705555555498</c:v>
                </c:pt>
                <c:pt idx="950">
                  <c:v>41663.705555555498</c:v>
                </c:pt>
                <c:pt idx="951">
                  <c:v>41666.705555555498</c:v>
                </c:pt>
                <c:pt idx="952">
                  <c:v>41667.705555555498</c:v>
                </c:pt>
                <c:pt idx="953">
                  <c:v>41668.705555555498</c:v>
                </c:pt>
                <c:pt idx="954">
                  <c:v>41669.705555555498</c:v>
                </c:pt>
                <c:pt idx="955">
                  <c:v>41670.705555555498</c:v>
                </c:pt>
                <c:pt idx="956">
                  <c:v>41673.705555555498</c:v>
                </c:pt>
                <c:pt idx="957">
                  <c:v>41674.705555555498</c:v>
                </c:pt>
                <c:pt idx="958">
                  <c:v>41675.705555555498</c:v>
                </c:pt>
                <c:pt idx="959">
                  <c:v>41676.705555555498</c:v>
                </c:pt>
                <c:pt idx="960">
                  <c:v>41677.705555555498</c:v>
                </c:pt>
                <c:pt idx="961">
                  <c:v>41680.705555555498</c:v>
                </c:pt>
                <c:pt idx="962">
                  <c:v>41681.705555555498</c:v>
                </c:pt>
                <c:pt idx="963">
                  <c:v>41682.705555555498</c:v>
                </c:pt>
                <c:pt idx="964">
                  <c:v>41683.705555555498</c:v>
                </c:pt>
                <c:pt idx="965">
                  <c:v>41684.705555555498</c:v>
                </c:pt>
                <c:pt idx="966">
                  <c:v>41687.705555555498</c:v>
                </c:pt>
                <c:pt idx="967">
                  <c:v>41688.705555555498</c:v>
                </c:pt>
                <c:pt idx="968">
                  <c:v>41689.705555555498</c:v>
                </c:pt>
                <c:pt idx="969">
                  <c:v>41690.705555555498</c:v>
                </c:pt>
                <c:pt idx="970">
                  <c:v>41691.705555555498</c:v>
                </c:pt>
                <c:pt idx="971">
                  <c:v>41694.705555555498</c:v>
                </c:pt>
                <c:pt idx="972">
                  <c:v>41695.705555555498</c:v>
                </c:pt>
                <c:pt idx="973">
                  <c:v>41696.705555555498</c:v>
                </c:pt>
                <c:pt idx="974">
                  <c:v>41697.705555555498</c:v>
                </c:pt>
                <c:pt idx="975">
                  <c:v>41698.705555555498</c:v>
                </c:pt>
                <c:pt idx="976">
                  <c:v>41703.705555555498</c:v>
                </c:pt>
                <c:pt idx="977">
                  <c:v>41704.705555555498</c:v>
                </c:pt>
                <c:pt idx="978">
                  <c:v>41705.705555555498</c:v>
                </c:pt>
                <c:pt idx="979">
                  <c:v>41708.705555555498</c:v>
                </c:pt>
                <c:pt idx="980">
                  <c:v>41709.705555555498</c:v>
                </c:pt>
                <c:pt idx="981">
                  <c:v>41710.705555555498</c:v>
                </c:pt>
                <c:pt idx="982">
                  <c:v>41711.705555555498</c:v>
                </c:pt>
                <c:pt idx="983">
                  <c:v>41712.705555555498</c:v>
                </c:pt>
                <c:pt idx="984">
                  <c:v>41715.705555555498</c:v>
                </c:pt>
                <c:pt idx="985">
                  <c:v>41716.705555555498</c:v>
                </c:pt>
                <c:pt idx="986">
                  <c:v>41717.705555555498</c:v>
                </c:pt>
                <c:pt idx="987">
                  <c:v>41718.705555555498</c:v>
                </c:pt>
                <c:pt idx="988">
                  <c:v>41719.705555555498</c:v>
                </c:pt>
                <c:pt idx="989">
                  <c:v>41722.705555555498</c:v>
                </c:pt>
                <c:pt idx="990">
                  <c:v>41723.705555555498</c:v>
                </c:pt>
                <c:pt idx="991">
                  <c:v>41724.705555555498</c:v>
                </c:pt>
                <c:pt idx="992">
                  <c:v>41725.705555555498</c:v>
                </c:pt>
                <c:pt idx="993">
                  <c:v>41726.705555555498</c:v>
                </c:pt>
                <c:pt idx="994">
                  <c:v>41729.705555555498</c:v>
                </c:pt>
                <c:pt idx="995">
                  <c:v>41730.705555555498</c:v>
                </c:pt>
                <c:pt idx="996">
                  <c:v>41731.705555555498</c:v>
                </c:pt>
                <c:pt idx="997">
                  <c:v>41732.705555555498</c:v>
                </c:pt>
                <c:pt idx="998">
                  <c:v>41733.705555555498</c:v>
                </c:pt>
                <c:pt idx="999">
                  <c:v>41736.705555555498</c:v>
                </c:pt>
                <c:pt idx="1000">
                  <c:v>41737.705555555498</c:v>
                </c:pt>
                <c:pt idx="1001">
                  <c:v>41738.705555555498</c:v>
                </c:pt>
                <c:pt idx="1002">
                  <c:v>41739.705555555498</c:v>
                </c:pt>
                <c:pt idx="1003">
                  <c:v>41740.705555555498</c:v>
                </c:pt>
                <c:pt idx="1004">
                  <c:v>41743.705555555498</c:v>
                </c:pt>
                <c:pt idx="1005">
                  <c:v>41744.705555555498</c:v>
                </c:pt>
                <c:pt idx="1006">
                  <c:v>41745.705555555498</c:v>
                </c:pt>
                <c:pt idx="1007">
                  <c:v>41746.705555555498</c:v>
                </c:pt>
                <c:pt idx="1008">
                  <c:v>41751.705555555498</c:v>
                </c:pt>
                <c:pt idx="1009">
                  <c:v>41752.705555555498</c:v>
                </c:pt>
                <c:pt idx="1010">
                  <c:v>41753.705555555498</c:v>
                </c:pt>
                <c:pt idx="1011">
                  <c:v>41754.705555555498</c:v>
                </c:pt>
                <c:pt idx="1012">
                  <c:v>41757.705555555498</c:v>
                </c:pt>
                <c:pt idx="1013">
                  <c:v>41758.705555555498</c:v>
                </c:pt>
                <c:pt idx="1014">
                  <c:v>41759.705555555498</c:v>
                </c:pt>
                <c:pt idx="1015">
                  <c:v>41761.705555555498</c:v>
                </c:pt>
                <c:pt idx="1016">
                  <c:v>41764.705555555498</c:v>
                </c:pt>
                <c:pt idx="1017">
                  <c:v>41765.705555555498</c:v>
                </c:pt>
                <c:pt idx="1018">
                  <c:v>41766.705555555498</c:v>
                </c:pt>
                <c:pt idx="1019">
                  <c:v>41767.705555555498</c:v>
                </c:pt>
                <c:pt idx="1020">
                  <c:v>41768.705555555498</c:v>
                </c:pt>
                <c:pt idx="1021">
                  <c:v>41771.705555555498</c:v>
                </c:pt>
                <c:pt idx="1022">
                  <c:v>41772.705555555498</c:v>
                </c:pt>
                <c:pt idx="1023">
                  <c:v>41773.705555555498</c:v>
                </c:pt>
                <c:pt idx="1024">
                  <c:v>41774.705555555498</c:v>
                </c:pt>
                <c:pt idx="1025">
                  <c:v>41775.705555555498</c:v>
                </c:pt>
                <c:pt idx="1026">
                  <c:v>41778.705555555498</c:v>
                </c:pt>
                <c:pt idx="1027">
                  <c:v>41779.705555555498</c:v>
                </c:pt>
                <c:pt idx="1028">
                  <c:v>41780.705555555498</c:v>
                </c:pt>
                <c:pt idx="1029">
                  <c:v>41781.705555555498</c:v>
                </c:pt>
                <c:pt idx="1030">
                  <c:v>41782.705555555498</c:v>
                </c:pt>
                <c:pt idx="1031">
                  <c:v>41785.705555555498</c:v>
                </c:pt>
                <c:pt idx="1032">
                  <c:v>41786.705555555498</c:v>
                </c:pt>
                <c:pt idx="1033">
                  <c:v>41787.705555555498</c:v>
                </c:pt>
                <c:pt idx="1034">
                  <c:v>41788.705555555498</c:v>
                </c:pt>
                <c:pt idx="1035">
                  <c:v>41789.705555555498</c:v>
                </c:pt>
                <c:pt idx="1036">
                  <c:v>41792.705555555498</c:v>
                </c:pt>
                <c:pt idx="1037">
                  <c:v>41793.705555555498</c:v>
                </c:pt>
                <c:pt idx="1038">
                  <c:v>41794.705555555498</c:v>
                </c:pt>
                <c:pt idx="1039">
                  <c:v>41795.705555555498</c:v>
                </c:pt>
                <c:pt idx="1040">
                  <c:v>41796.705555555498</c:v>
                </c:pt>
                <c:pt idx="1041">
                  <c:v>41799.705555555498</c:v>
                </c:pt>
                <c:pt idx="1042">
                  <c:v>41800.705555555498</c:v>
                </c:pt>
                <c:pt idx="1043">
                  <c:v>41801.705555555498</c:v>
                </c:pt>
                <c:pt idx="1044">
                  <c:v>41803.705555555498</c:v>
                </c:pt>
                <c:pt idx="1045">
                  <c:v>41806.705555555498</c:v>
                </c:pt>
                <c:pt idx="1046">
                  <c:v>41807.705555555498</c:v>
                </c:pt>
                <c:pt idx="1047">
                  <c:v>41808.705555555498</c:v>
                </c:pt>
                <c:pt idx="1048">
                  <c:v>41810.705555555498</c:v>
                </c:pt>
                <c:pt idx="1049">
                  <c:v>41813.705555555498</c:v>
                </c:pt>
                <c:pt idx="1050">
                  <c:v>41814.705555555498</c:v>
                </c:pt>
                <c:pt idx="1051">
                  <c:v>41815.705555555498</c:v>
                </c:pt>
                <c:pt idx="1052">
                  <c:v>41816.705555555498</c:v>
                </c:pt>
                <c:pt idx="1053">
                  <c:v>41817.705555555498</c:v>
                </c:pt>
                <c:pt idx="1054">
                  <c:v>41820.705555555498</c:v>
                </c:pt>
                <c:pt idx="1055">
                  <c:v>41821.705555555498</c:v>
                </c:pt>
                <c:pt idx="1056">
                  <c:v>41822.705555555498</c:v>
                </c:pt>
                <c:pt idx="1057">
                  <c:v>41823.705555555498</c:v>
                </c:pt>
                <c:pt idx="1058">
                  <c:v>41824.705555555498</c:v>
                </c:pt>
                <c:pt idx="1059">
                  <c:v>41827.705555555498</c:v>
                </c:pt>
                <c:pt idx="1060">
                  <c:v>41828.705555555498</c:v>
                </c:pt>
                <c:pt idx="1061">
                  <c:v>41830.705555555498</c:v>
                </c:pt>
                <c:pt idx="1062">
                  <c:v>41831.705555555498</c:v>
                </c:pt>
                <c:pt idx="1063">
                  <c:v>41834.705555555498</c:v>
                </c:pt>
                <c:pt idx="1064">
                  <c:v>41835.705555555498</c:v>
                </c:pt>
                <c:pt idx="1065">
                  <c:v>41836.705555555498</c:v>
                </c:pt>
                <c:pt idx="1066">
                  <c:v>41837.705555555498</c:v>
                </c:pt>
                <c:pt idx="1067">
                  <c:v>41838.705555555498</c:v>
                </c:pt>
                <c:pt idx="1068">
                  <c:v>41841.705555555498</c:v>
                </c:pt>
                <c:pt idx="1069">
                  <c:v>41842.705555555498</c:v>
                </c:pt>
                <c:pt idx="1070">
                  <c:v>41843.705555555498</c:v>
                </c:pt>
                <c:pt idx="1071">
                  <c:v>41844.705555555498</c:v>
                </c:pt>
                <c:pt idx="1072">
                  <c:v>41845.705555555498</c:v>
                </c:pt>
                <c:pt idx="1073">
                  <c:v>41848.705555555498</c:v>
                </c:pt>
                <c:pt idx="1074">
                  <c:v>41849.705555555498</c:v>
                </c:pt>
                <c:pt idx="1075">
                  <c:v>41850.705555555498</c:v>
                </c:pt>
                <c:pt idx="1076">
                  <c:v>41851.705555555498</c:v>
                </c:pt>
                <c:pt idx="1077">
                  <c:v>41852.705555555498</c:v>
                </c:pt>
                <c:pt idx="1078">
                  <c:v>41855.705555555498</c:v>
                </c:pt>
                <c:pt idx="1079">
                  <c:v>41856.705555555498</c:v>
                </c:pt>
                <c:pt idx="1080">
                  <c:v>41857.705555555498</c:v>
                </c:pt>
                <c:pt idx="1081">
                  <c:v>41858.705555555498</c:v>
                </c:pt>
                <c:pt idx="1082">
                  <c:v>41859.705555555498</c:v>
                </c:pt>
                <c:pt idx="1083">
                  <c:v>41862.705555555498</c:v>
                </c:pt>
                <c:pt idx="1084">
                  <c:v>41863.705555555498</c:v>
                </c:pt>
                <c:pt idx="1085">
                  <c:v>41864.705555555498</c:v>
                </c:pt>
                <c:pt idx="1086">
                  <c:v>41865.705555555498</c:v>
                </c:pt>
                <c:pt idx="1087">
                  <c:v>41866.705555555498</c:v>
                </c:pt>
                <c:pt idx="1088">
                  <c:v>41869.705555555498</c:v>
                </c:pt>
                <c:pt idx="1089">
                  <c:v>41870.705555555498</c:v>
                </c:pt>
                <c:pt idx="1090">
                  <c:v>41871.705555555498</c:v>
                </c:pt>
                <c:pt idx="1091">
                  <c:v>41872.705555555498</c:v>
                </c:pt>
                <c:pt idx="1092">
                  <c:v>41873.705555555498</c:v>
                </c:pt>
                <c:pt idx="1093">
                  <c:v>41876.705555555498</c:v>
                </c:pt>
                <c:pt idx="1094">
                  <c:v>41877.705555555498</c:v>
                </c:pt>
                <c:pt idx="1095">
                  <c:v>41878.705555555498</c:v>
                </c:pt>
                <c:pt idx="1096">
                  <c:v>41879.705555555498</c:v>
                </c:pt>
                <c:pt idx="1097">
                  <c:v>41880.705555555498</c:v>
                </c:pt>
                <c:pt idx="1098">
                  <c:v>41883.705555555498</c:v>
                </c:pt>
                <c:pt idx="1099">
                  <c:v>41884.705555555498</c:v>
                </c:pt>
                <c:pt idx="1100">
                  <c:v>41885.705555555498</c:v>
                </c:pt>
                <c:pt idx="1101">
                  <c:v>41886.705555555498</c:v>
                </c:pt>
                <c:pt idx="1102">
                  <c:v>41887.705555555498</c:v>
                </c:pt>
                <c:pt idx="1103">
                  <c:v>41890.705555555498</c:v>
                </c:pt>
                <c:pt idx="1104">
                  <c:v>41891.705555555498</c:v>
                </c:pt>
                <c:pt idx="1105">
                  <c:v>41892.705555555498</c:v>
                </c:pt>
                <c:pt idx="1106">
                  <c:v>41893.705555555498</c:v>
                </c:pt>
                <c:pt idx="1107">
                  <c:v>41894.705555555498</c:v>
                </c:pt>
                <c:pt idx="1108">
                  <c:v>41897.705555555498</c:v>
                </c:pt>
                <c:pt idx="1109">
                  <c:v>41898.705555555498</c:v>
                </c:pt>
                <c:pt idx="1110">
                  <c:v>41899.705555555498</c:v>
                </c:pt>
                <c:pt idx="1111">
                  <c:v>41900.705555555498</c:v>
                </c:pt>
                <c:pt idx="1112">
                  <c:v>41901.705555555498</c:v>
                </c:pt>
                <c:pt idx="1113">
                  <c:v>41904.705555555498</c:v>
                </c:pt>
                <c:pt idx="1114">
                  <c:v>41905.705555555498</c:v>
                </c:pt>
                <c:pt idx="1115">
                  <c:v>41906.705555555498</c:v>
                </c:pt>
                <c:pt idx="1116">
                  <c:v>41907.705555555498</c:v>
                </c:pt>
                <c:pt idx="1117">
                  <c:v>41908.705555555498</c:v>
                </c:pt>
                <c:pt idx="1118">
                  <c:v>41911.705555555498</c:v>
                </c:pt>
                <c:pt idx="1119">
                  <c:v>41912.705555555498</c:v>
                </c:pt>
                <c:pt idx="1120">
                  <c:v>41913.705555555498</c:v>
                </c:pt>
                <c:pt idx="1121">
                  <c:v>41914.705555555498</c:v>
                </c:pt>
                <c:pt idx="1122">
                  <c:v>41915.705555555498</c:v>
                </c:pt>
                <c:pt idx="1123">
                  <c:v>41918.705555555498</c:v>
                </c:pt>
                <c:pt idx="1124">
                  <c:v>41919.705555555498</c:v>
                </c:pt>
                <c:pt idx="1125">
                  <c:v>41920.705555555498</c:v>
                </c:pt>
                <c:pt idx="1126">
                  <c:v>41921.705555555498</c:v>
                </c:pt>
                <c:pt idx="1127">
                  <c:v>41922.705555555498</c:v>
                </c:pt>
                <c:pt idx="1128">
                  <c:v>41925.705555555498</c:v>
                </c:pt>
                <c:pt idx="1129">
                  <c:v>41926.705555555498</c:v>
                </c:pt>
                <c:pt idx="1130">
                  <c:v>41927.705555555498</c:v>
                </c:pt>
                <c:pt idx="1131">
                  <c:v>41928.705555555498</c:v>
                </c:pt>
                <c:pt idx="1132">
                  <c:v>41929.705555555498</c:v>
                </c:pt>
                <c:pt idx="1133">
                  <c:v>41932.705555555498</c:v>
                </c:pt>
                <c:pt idx="1134">
                  <c:v>41933.705555555498</c:v>
                </c:pt>
                <c:pt idx="1135">
                  <c:v>41934.705555555498</c:v>
                </c:pt>
                <c:pt idx="1136">
                  <c:v>41935.705555555498</c:v>
                </c:pt>
                <c:pt idx="1137">
                  <c:v>41936.705555555498</c:v>
                </c:pt>
                <c:pt idx="1138">
                  <c:v>41939.705555555498</c:v>
                </c:pt>
                <c:pt idx="1139">
                  <c:v>41940.705555555498</c:v>
                </c:pt>
                <c:pt idx="1140">
                  <c:v>41941.705555555498</c:v>
                </c:pt>
                <c:pt idx="1141">
                  <c:v>41942.705555555498</c:v>
                </c:pt>
                <c:pt idx="1142">
                  <c:v>41943.705555555498</c:v>
                </c:pt>
                <c:pt idx="1143">
                  <c:v>41946.705555555498</c:v>
                </c:pt>
                <c:pt idx="1144">
                  <c:v>41947.705555555498</c:v>
                </c:pt>
                <c:pt idx="1145">
                  <c:v>41948.705555555498</c:v>
                </c:pt>
                <c:pt idx="1146">
                  <c:v>41949.705555555498</c:v>
                </c:pt>
                <c:pt idx="1147">
                  <c:v>41950.705555555498</c:v>
                </c:pt>
                <c:pt idx="1148">
                  <c:v>41953.705555555498</c:v>
                </c:pt>
                <c:pt idx="1149">
                  <c:v>41954.705555555498</c:v>
                </c:pt>
                <c:pt idx="1150">
                  <c:v>41955.705555555498</c:v>
                </c:pt>
                <c:pt idx="1151">
                  <c:v>41956.705555555498</c:v>
                </c:pt>
                <c:pt idx="1152">
                  <c:v>41957.705555555498</c:v>
                </c:pt>
                <c:pt idx="1153">
                  <c:v>41960.705555555498</c:v>
                </c:pt>
                <c:pt idx="1154">
                  <c:v>41961.705555555498</c:v>
                </c:pt>
                <c:pt idx="1155">
                  <c:v>41962.705555555498</c:v>
                </c:pt>
                <c:pt idx="1156">
                  <c:v>41964.705555555498</c:v>
                </c:pt>
                <c:pt idx="1157">
                  <c:v>41967.705555555498</c:v>
                </c:pt>
                <c:pt idx="1158">
                  <c:v>41968.705555555498</c:v>
                </c:pt>
                <c:pt idx="1159">
                  <c:v>41969.705555555498</c:v>
                </c:pt>
                <c:pt idx="1160">
                  <c:v>41970.705555555498</c:v>
                </c:pt>
                <c:pt idx="1161">
                  <c:v>41971.705555555498</c:v>
                </c:pt>
                <c:pt idx="1162">
                  <c:v>41974.705555555498</c:v>
                </c:pt>
                <c:pt idx="1163">
                  <c:v>41975.705555555498</c:v>
                </c:pt>
                <c:pt idx="1164">
                  <c:v>41976.705555555498</c:v>
                </c:pt>
                <c:pt idx="1165">
                  <c:v>41977.705555555498</c:v>
                </c:pt>
                <c:pt idx="1166">
                  <c:v>41978.705555555498</c:v>
                </c:pt>
                <c:pt idx="1167">
                  <c:v>41981.705555555498</c:v>
                </c:pt>
                <c:pt idx="1168">
                  <c:v>41982.705555555498</c:v>
                </c:pt>
                <c:pt idx="1169">
                  <c:v>41983.705555555498</c:v>
                </c:pt>
                <c:pt idx="1170">
                  <c:v>41984.705555555498</c:v>
                </c:pt>
                <c:pt idx="1171">
                  <c:v>41985.705555555498</c:v>
                </c:pt>
                <c:pt idx="1172">
                  <c:v>41988.705555555498</c:v>
                </c:pt>
                <c:pt idx="1173">
                  <c:v>41989.705555555498</c:v>
                </c:pt>
                <c:pt idx="1174">
                  <c:v>41990.705555555498</c:v>
                </c:pt>
                <c:pt idx="1175">
                  <c:v>41991.705555555498</c:v>
                </c:pt>
                <c:pt idx="1176">
                  <c:v>41992.705555555498</c:v>
                </c:pt>
                <c:pt idx="1177">
                  <c:v>41995.705555555498</c:v>
                </c:pt>
                <c:pt idx="1178">
                  <c:v>41996.705555555498</c:v>
                </c:pt>
                <c:pt idx="1179">
                  <c:v>41999.705555555498</c:v>
                </c:pt>
                <c:pt idx="1180">
                  <c:v>42002.705555555498</c:v>
                </c:pt>
                <c:pt idx="1181">
                  <c:v>42003.705555555498</c:v>
                </c:pt>
                <c:pt idx="1182">
                  <c:v>42006.705555555498</c:v>
                </c:pt>
                <c:pt idx="1183">
                  <c:v>42009.705555555498</c:v>
                </c:pt>
                <c:pt idx="1184">
                  <c:v>42010.705555555498</c:v>
                </c:pt>
                <c:pt idx="1185">
                  <c:v>42011.705555555498</c:v>
                </c:pt>
                <c:pt idx="1186">
                  <c:v>42012.705555555498</c:v>
                </c:pt>
                <c:pt idx="1187">
                  <c:v>42013.705555555498</c:v>
                </c:pt>
                <c:pt idx="1188">
                  <c:v>42016.705555555498</c:v>
                </c:pt>
                <c:pt idx="1189">
                  <c:v>42017.705555555498</c:v>
                </c:pt>
                <c:pt idx="1190">
                  <c:v>42018.705555555498</c:v>
                </c:pt>
                <c:pt idx="1191">
                  <c:v>42019.705555555498</c:v>
                </c:pt>
                <c:pt idx="1192">
                  <c:v>42020.705555555498</c:v>
                </c:pt>
                <c:pt idx="1193">
                  <c:v>42023.705555555498</c:v>
                </c:pt>
                <c:pt idx="1194">
                  <c:v>42024.705555555498</c:v>
                </c:pt>
                <c:pt idx="1195">
                  <c:v>42025.705555555498</c:v>
                </c:pt>
                <c:pt idx="1196">
                  <c:v>42026.705555555498</c:v>
                </c:pt>
                <c:pt idx="1197">
                  <c:v>42027.705555555498</c:v>
                </c:pt>
                <c:pt idx="1198">
                  <c:v>42030.705555555498</c:v>
                </c:pt>
                <c:pt idx="1199">
                  <c:v>42031.705555555498</c:v>
                </c:pt>
                <c:pt idx="1200">
                  <c:v>42032.705555555498</c:v>
                </c:pt>
                <c:pt idx="1201">
                  <c:v>42033.705555555498</c:v>
                </c:pt>
                <c:pt idx="1202">
                  <c:v>42034.705555555498</c:v>
                </c:pt>
                <c:pt idx="1203">
                  <c:v>42037.705555555498</c:v>
                </c:pt>
                <c:pt idx="1204">
                  <c:v>42038.705555555498</c:v>
                </c:pt>
                <c:pt idx="1205">
                  <c:v>42039.705555555498</c:v>
                </c:pt>
                <c:pt idx="1206">
                  <c:v>42040.705555555498</c:v>
                </c:pt>
                <c:pt idx="1207">
                  <c:v>42041.705555555498</c:v>
                </c:pt>
                <c:pt idx="1208">
                  <c:v>42044.705555555498</c:v>
                </c:pt>
                <c:pt idx="1209">
                  <c:v>42045.705555555498</c:v>
                </c:pt>
                <c:pt idx="1210">
                  <c:v>42046.705555555498</c:v>
                </c:pt>
                <c:pt idx="1211">
                  <c:v>42047.705555555498</c:v>
                </c:pt>
                <c:pt idx="1212">
                  <c:v>42048.705555555498</c:v>
                </c:pt>
                <c:pt idx="1213">
                  <c:v>42053.705555555498</c:v>
                </c:pt>
                <c:pt idx="1214">
                  <c:v>42054.705555555498</c:v>
                </c:pt>
                <c:pt idx="1215">
                  <c:v>42055.705555555498</c:v>
                </c:pt>
                <c:pt idx="1216">
                  <c:v>42058.705555555498</c:v>
                </c:pt>
                <c:pt idx="1217">
                  <c:v>42059.705555555498</c:v>
                </c:pt>
                <c:pt idx="1218">
                  <c:v>42060.705555555498</c:v>
                </c:pt>
                <c:pt idx="1219">
                  <c:v>42061.705555555498</c:v>
                </c:pt>
                <c:pt idx="1220">
                  <c:v>42062.705555555498</c:v>
                </c:pt>
                <c:pt idx="1221">
                  <c:v>42065.705555555498</c:v>
                </c:pt>
                <c:pt idx="1222">
                  <c:v>42066.705555555498</c:v>
                </c:pt>
                <c:pt idx="1223">
                  <c:v>42067.705555555498</c:v>
                </c:pt>
                <c:pt idx="1224">
                  <c:v>42068.705555555498</c:v>
                </c:pt>
                <c:pt idx="1225">
                  <c:v>42069.705555555498</c:v>
                </c:pt>
                <c:pt idx="1226">
                  <c:v>42072.705555555498</c:v>
                </c:pt>
                <c:pt idx="1227">
                  <c:v>42073.705555555498</c:v>
                </c:pt>
                <c:pt idx="1228">
                  <c:v>42074.705555555498</c:v>
                </c:pt>
                <c:pt idx="1229">
                  <c:v>42075.705555555498</c:v>
                </c:pt>
                <c:pt idx="1230">
                  <c:v>42076.705555555498</c:v>
                </c:pt>
                <c:pt idx="1231">
                  <c:v>42079.705555555498</c:v>
                </c:pt>
                <c:pt idx="1232">
                  <c:v>42080.705555555498</c:v>
                </c:pt>
                <c:pt idx="1233">
                  <c:v>42081.705555555498</c:v>
                </c:pt>
                <c:pt idx="1234">
                  <c:v>42082.705555555498</c:v>
                </c:pt>
                <c:pt idx="1235">
                  <c:v>42083.705555555498</c:v>
                </c:pt>
                <c:pt idx="1236">
                  <c:v>42086.705555555498</c:v>
                </c:pt>
                <c:pt idx="1237">
                  <c:v>42087.705555555498</c:v>
                </c:pt>
                <c:pt idx="1238">
                  <c:v>42088.705555555498</c:v>
                </c:pt>
                <c:pt idx="1239">
                  <c:v>42089.705555555498</c:v>
                </c:pt>
                <c:pt idx="1240">
                  <c:v>42090.705555555498</c:v>
                </c:pt>
                <c:pt idx="1241">
                  <c:v>42093.705555555498</c:v>
                </c:pt>
                <c:pt idx="1242">
                  <c:v>42094.705555555498</c:v>
                </c:pt>
                <c:pt idx="1243">
                  <c:v>42095.705555555498</c:v>
                </c:pt>
                <c:pt idx="1244">
                  <c:v>42096.705555555498</c:v>
                </c:pt>
                <c:pt idx="1245">
                  <c:v>42100.705555555498</c:v>
                </c:pt>
                <c:pt idx="1246">
                  <c:v>42101.705555555498</c:v>
                </c:pt>
                <c:pt idx="1247">
                  <c:v>42102.705555555498</c:v>
                </c:pt>
                <c:pt idx="1248">
                  <c:v>42103.705555555498</c:v>
                </c:pt>
                <c:pt idx="1249">
                  <c:v>42104.705555555498</c:v>
                </c:pt>
                <c:pt idx="1250">
                  <c:v>42107.705555555498</c:v>
                </c:pt>
                <c:pt idx="1251">
                  <c:v>42108.705555555498</c:v>
                </c:pt>
                <c:pt idx="1252">
                  <c:v>42109.705555555498</c:v>
                </c:pt>
                <c:pt idx="1253">
                  <c:v>42110.705555555498</c:v>
                </c:pt>
                <c:pt idx="1254">
                  <c:v>42111.705555555498</c:v>
                </c:pt>
                <c:pt idx="1255">
                  <c:v>42114.705555555498</c:v>
                </c:pt>
                <c:pt idx="1256">
                  <c:v>42116.705555555498</c:v>
                </c:pt>
                <c:pt idx="1257">
                  <c:v>42117.705555555498</c:v>
                </c:pt>
                <c:pt idx="1258">
                  <c:v>42118.705555555498</c:v>
                </c:pt>
                <c:pt idx="1259">
                  <c:v>42121.705555555498</c:v>
                </c:pt>
                <c:pt idx="1260">
                  <c:v>42122.705555555498</c:v>
                </c:pt>
                <c:pt idx="1261">
                  <c:v>42123.705555555498</c:v>
                </c:pt>
                <c:pt idx="1262">
                  <c:v>42124.705555555498</c:v>
                </c:pt>
                <c:pt idx="1263">
                  <c:v>42128.705555555498</c:v>
                </c:pt>
                <c:pt idx="1264">
                  <c:v>42129.705555555498</c:v>
                </c:pt>
                <c:pt idx="1265">
                  <c:v>42130.705555555498</c:v>
                </c:pt>
                <c:pt idx="1266">
                  <c:v>42131.705555555498</c:v>
                </c:pt>
                <c:pt idx="1267">
                  <c:v>42132.705555555498</c:v>
                </c:pt>
                <c:pt idx="1268">
                  <c:v>42135.705555555498</c:v>
                </c:pt>
                <c:pt idx="1269">
                  <c:v>42136.705555555498</c:v>
                </c:pt>
                <c:pt idx="1270">
                  <c:v>42137.705555555498</c:v>
                </c:pt>
                <c:pt idx="1271">
                  <c:v>42138.705555555498</c:v>
                </c:pt>
                <c:pt idx="1272">
                  <c:v>42139.705555555498</c:v>
                </c:pt>
                <c:pt idx="1273">
                  <c:v>42142.705555555498</c:v>
                </c:pt>
                <c:pt idx="1274">
                  <c:v>42143.705555555498</c:v>
                </c:pt>
                <c:pt idx="1275">
                  <c:v>42144.705555555498</c:v>
                </c:pt>
                <c:pt idx="1276">
                  <c:v>42145.705555555498</c:v>
                </c:pt>
                <c:pt idx="1277">
                  <c:v>42146.705555555498</c:v>
                </c:pt>
                <c:pt idx="1278">
                  <c:v>42149.705555555498</c:v>
                </c:pt>
                <c:pt idx="1279">
                  <c:v>42150.705555555498</c:v>
                </c:pt>
                <c:pt idx="1280">
                  <c:v>42151.705555555498</c:v>
                </c:pt>
                <c:pt idx="1281">
                  <c:v>42152.705555555498</c:v>
                </c:pt>
                <c:pt idx="1282">
                  <c:v>42153.705555555498</c:v>
                </c:pt>
                <c:pt idx="1283">
                  <c:v>42156.705555555498</c:v>
                </c:pt>
                <c:pt idx="1284">
                  <c:v>42157.705555555498</c:v>
                </c:pt>
                <c:pt idx="1285">
                  <c:v>42158.705555555498</c:v>
                </c:pt>
                <c:pt idx="1286">
                  <c:v>42160.705555555498</c:v>
                </c:pt>
                <c:pt idx="1287">
                  <c:v>42163.705555555498</c:v>
                </c:pt>
                <c:pt idx="1288">
                  <c:v>42164.705555555498</c:v>
                </c:pt>
                <c:pt idx="1289">
                  <c:v>42165.705555555498</c:v>
                </c:pt>
                <c:pt idx="1290">
                  <c:v>42166.705555555498</c:v>
                </c:pt>
                <c:pt idx="1291">
                  <c:v>42167.705555555498</c:v>
                </c:pt>
                <c:pt idx="1292">
                  <c:v>42170.705555555498</c:v>
                </c:pt>
                <c:pt idx="1293">
                  <c:v>42171.705555555498</c:v>
                </c:pt>
                <c:pt idx="1294">
                  <c:v>42172.705555555498</c:v>
                </c:pt>
                <c:pt idx="1295">
                  <c:v>42173.705555555498</c:v>
                </c:pt>
                <c:pt idx="1296">
                  <c:v>42174.705555555498</c:v>
                </c:pt>
                <c:pt idx="1297">
                  <c:v>42177.705555555498</c:v>
                </c:pt>
                <c:pt idx="1298">
                  <c:v>42178.705555555498</c:v>
                </c:pt>
                <c:pt idx="1299">
                  <c:v>42179.705555555498</c:v>
                </c:pt>
                <c:pt idx="1300">
                  <c:v>42180.705555555498</c:v>
                </c:pt>
                <c:pt idx="1301">
                  <c:v>42181.705555555498</c:v>
                </c:pt>
                <c:pt idx="1302">
                  <c:v>42184.705555555498</c:v>
                </c:pt>
                <c:pt idx="1303">
                  <c:v>42185.705555555498</c:v>
                </c:pt>
                <c:pt idx="1304">
                  <c:v>42186.705555555498</c:v>
                </c:pt>
                <c:pt idx="1305">
                  <c:v>42187.705555555498</c:v>
                </c:pt>
                <c:pt idx="1306">
                  <c:v>42188.705555555498</c:v>
                </c:pt>
                <c:pt idx="1307">
                  <c:v>42191.705555555498</c:v>
                </c:pt>
                <c:pt idx="1308">
                  <c:v>42192.705555555498</c:v>
                </c:pt>
                <c:pt idx="1309">
                  <c:v>42193.705555555498</c:v>
                </c:pt>
                <c:pt idx="1310">
                  <c:v>42195.705555555498</c:v>
                </c:pt>
                <c:pt idx="1311">
                  <c:v>42198.705555555498</c:v>
                </c:pt>
                <c:pt idx="1312">
                  <c:v>42199.705555555498</c:v>
                </c:pt>
                <c:pt idx="1313">
                  <c:v>42200.705555555498</c:v>
                </c:pt>
                <c:pt idx="1314">
                  <c:v>42201.705555555498</c:v>
                </c:pt>
                <c:pt idx="1315">
                  <c:v>42202.705555555498</c:v>
                </c:pt>
                <c:pt idx="1316">
                  <c:v>42205.705555555498</c:v>
                </c:pt>
                <c:pt idx="1317">
                  <c:v>42206.705555555498</c:v>
                </c:pt>
                <c:pt idx="1318">
                  <c:v>42207.705555555498</c:v>
                </c:pt>
                <c:pt idx="1319">
                  <c:v>42208.705555555498</c:v>
                </c:pt>
                <c:pt idx="1320">
                  <c:v>42209.705555555498</c:v>
                </c:pt>
                <c:pt idx="1321">
                  <c:v>42212.705555555498</c:v>
                </c:pt>
                <c:pt idx="1322">
                  <c:v>42213.705555555498</c:v>
                </c:pt>
                <c:pt idx="1323">
                  <c:v>42214.705555555498</c:v>
                </c:pt>
                <c:pt idx="1324">
                  <c:v>42215.705555555498</c:v>
                </c:pt>
                <c:pt idx="1325">
                  <c:v>42216.705555555498</c:v>
                </c:pt>
                <c:pt idx="1326">
                  <c:v>42219.705555555498</c:v>
                </c:pt>
                <c:pt idx="1327">
                  <c:v>42220.705555555498</c:v>
                </c:pt>
                <c:pt idx="1328">
                  <c:v>42221.705555555498</c:v>
                </c:pt>
                <c:pt idx="1329">
                  <c:v>42222.705555555498</c:v>
                </c:pt>
                <c:pt idx="1330">
                  <c:v>42223.705555555498</c:v>
                </c:pt>
                <c:pt idx="1331">
                  <c:v>42226.705555555498</c:v>
                </c:pt>
                <c:pt idx="1332">
                  <c:v>42227.705555555498</c:v>
                </c:pt>
                <c:pt idx="1333">
                  <c:v>42228.705555555498</c:v>
                </c:pt>
                <c:pt idx="1334">
                  <c:v>42229.705555555498</c:v>
                </c:pt>
                <c:pt idx="1335">
                  <c:v>42230.705555555498</c:v>
                </c:pt>
                <c:pt idx="1336">
                  <c:v>42233.705555555498</c:v>
                </c:pt>
                <c:pt idx="1337">
                  <c:v>42234.705555555498</c:v>
                </c:pt>
                <c:pt idx="1338">
                  <c:v>42235.705555555498</c:v>
                </c:pt>
                <c:pt idx="1339">
                  <c:v>42236.705555555498</c:v>
                </c:pt>
                <c:pt idx="1340">
                  <c:v>42237.705555555498</c:v>
                </c:pt>
                <c:pt idx="1341">
                  <c:v>42240.705555555498</c:v>
                </c:pt>
                <c:pt idx="1342">
                  <c:v>42241.705555555498</c:v>
                </c:pt>
                <c:pt idx="1343">
                  <c:v>42242.705555555498</c:v>
                </c:pt>
                <c:pt idx="1344">
                  <c:v>42243.705555555498</c:v>
                </c:pt>
                <c:pt idx="1345">
                  <c:v>42244.705555555498</c:v>
                </c:pt>
                <c:pt idx="1346">
                  <c:v>42247.705555555498</c:v>
                </c:pt>
                <c:pt idx="1347">
                  <c:v>42248.705555555498</c:v>
                </c:pt>
                <c:pt idx="1348">
                  <c:v>42249.705555555498</c:v>
                </c:pt>
                <c:pt idx="1349">
                  <c:v>42250.705555555498</c:v>
                </c:pt>
                <c:pt idx="1350">
                  <c:v>42251.705555555498</c:v>
                </c:pt>
                <c:pt idx="1351">
                  <c:v>42255.705555555498</c:v>
                </c:pt>
                <c:pt idx="1352">
                  <c:v>42256.705555555498</c:v>
                </c:pt>
                <c:pt idx="1353">
                  <c:v>42257.705555555498</c:v>
                </c:pt>
                <c:pt idx="1354">
                  <c:v>42258.705555555498</c:v>
                </c:pt>
                <c:pt idx="1355">
                  <c:v>42261.705555555498</c:v>
                </c:pt>
                <c:pt idx="1356">
                  <c:v>42262.705555555498</c:v>
                </c:pt>
                <c:pt idx="1357">
                  <c:v>42263.705555555498</c:v>
                </c:pt>
                <c:pt idx="1358">
                  <c:v>42264.705555555498</c:v>
                </c:pt>
                <c:pt idx="1359">
                  <c:v>42265.705555555498</c:v>
                </c:pt>
                <c:pt idx="1360">
                  <c:v>42268.705555555498</c:v>
                </c:pt>
                <c:pt idx="1361">
                  <c:v>42269.705555555498</c:v>
                </c:pt>
                <c:pt idx="1362">
                  <c:v>42270.705555555498</c:v>
                </c:pt>
                <c:pt idx="1363">
                  <c:v>42271.705555555498</c:v>
                </c:pt>
                <c:pt idx="1364">
                  <c:v>42272.705555555498</c:v>
                </c:pt>
                <c:pt idx="1365">
                  <c:v>42275.705555555498</c:v>
                </c:pt>
                <c:pt idx="1366">
                  <c:v>42276.705555555498</c:v>
                </c:pt>
                <c:pt idx="1367">
                  <c:v>42277.705555555498</c:v>
                </c:pt>
                <c:pt idx="1368">
                  <c:v>42278.705555555498</c:v>
                </c:pt>
                <c:pt idx="1369">
                  <c:v>42279.705555555498</c:v>
                </c:pt>
                <c:pt idx="1370">
                  <c:v>42282.705555555498</c:v>
                </c:pt>
                <c:pt idx="1371">
                  <c:v>42283.705555555498</c:v>
                </c:pt>
                <c:pt idx="1372">
                  <c:v>42284.705555555498</c:v>
                </c:pt>
                <c:pt idx="1373">
                  <c:v>42285.705555555498</c:v>
                </c:pt>
                <c:pt idx="1374">
                  <c:v>42286.705555555498</c:v>
                </c:pt>
                <c:pt idx="1375">
                  <c:v>42290.705555555498</c:v>
                </c:pt>
                <c:pt idx="1376">
                  <c:v>42291.705555555498</c:v>
                </c:pt>
                <c:pt idx="1377">
                  <c:v>42292.705555555498</c:v>
                </c:pt>
                <c:pt idx="1378">
                  <c:v>42293.705555555498</c:v>
                </c:pt>
                <c:pt idx="1379">
                  <c:v>42296.705555555498</c:v>
                </c:pt>
                <c:pt idx="1380">
                  <c:v>42297.705555555498</c:v>
                </c:pt>
                <c:pt idx="1381">
                  <c:v>42298.705555555498</c:v>
                </c:pt>
                <c:pt idx="1382">
                  <c:v>42299.705555555498</c:v>
                </c:pt>
                <c:pt idx="1383">
                  <c:v>42300.705555555498</c:v>
                </c:pt>
                <c:pt idx="1384">
                  <c:v>42303.705555555498</c:v>
                </c:pt>
                <c:pt idx="1385">
                  <c:v>42304.705555555498</c:v>
                </c:pt>
                <c:pt idx="1386">
                  <c:v>42305.705555555498</c:v>
                </c:pt>
                <c:pt idx="1387">
                  <c:v>42306.705555555498</c:v>
                </c:pt>
                <c:pt idx="1388">
                  <c:v>42307.705555555498</c:v>
                </c:pt>
                <c:pt idx="1389">
                  <c:v>42311.705555555498</c:v>
                </c:pt>
                <c:pt idx="1390">
                  <c:v>42312.705555555498</c:v>
                </c:pt>
                <c:pt idx="1391">
                  <c:v>42313.705555555498</c:v>
                </c:pt>
                <c:pt idx="1392">
                  <c:v>42314.705555555498</c:v>
                </c:pt>
                <c:pt idx="1393">
                  <c:v>42317.705555555498</c:v>
                </c:pt>
                <c:pt idx="1394">
                  <c:v>42318.705555555498</c:v>
                </c:pt>
                <c:pt idx="1395">
                  <c:v>42319.705555555498</c:v>
                </c:pt>
                <c:pt idx="1396">
                  <c:v>42320.705555555498</c:v>
                </c:pt>
                <c:pt idx="1397">
                  <c:v>42321.705555555498</c:v>
                </c:pt>
                <c:pt idx="1398">
                  <c:v>42324.705555555498</c:v>
                </c:pt>
                <c:pt idx="1399">
                  <c:v>42325.705555555498</c:v>
                </c:pt>
                <c:pt idx="1400">
                  <c:v>42326.705555555498</c:v>
                </c:pt>
                <c:pt idx="1401">
                  <c:v>42327.705555555498</c:v>
                </c:pt>
                <c:pt idx="1402">
                  <c:v>42331.705555555498</c:v>
                </c:pt>
                <c:pt idx="1403">
                  <c:v>42332.705555555498</c:v>
                </c:pt>
                <c:pt idx="1404">
                  <c:v>42333.705555555498</c:v>
                </c:pt>
                <c:pt idx="1405">
                  <c:v>42334.705555555498</c:v>
                </c:pt>
                <c:pt idx="1406">
                  <c:v>42335.705555555498</c:v>
                </c:pt>
                <c:pt idx="1407">
                  <c:v>42338.705555555498</c:v>
                </c:pt>
                <c:pt idx="1408">
                  <c:v>42339.705555555498</c:v>
                </c:pt>
                <c:pt idx="1409">
                  <c:v>42340.705555555498</c:v>
                </c:pt>
                <c:pt idx="1410">
                  <c:v>42341.705555555498</c:v>
                </c:pt>
                <c:pt idx="1411">
                  <c:v>42342.705555555498</c:v>
                </c:pt>
                <c:pt idx="1412">
                  <c:v>42345.705555555498</c:v>
                </c:pt>
                <c:pt idx="1413">
                  <c:v>42346.705555555498</c:v>
                </c:pt>
                <c:pt idx="1414">
                  <c:v>42347.705555555498</c:v>
                </c:pt>
                <c:pt idx="1415">
                  <c:v>42348.705555555498</c:v>
                </c:pt>
                <c:pt idx="1416">
                  <c:v>42349.705555555498</c:v>
                </c:pt>
                <c:pt idx="1417">
                  <c:v>42352.705555555498</c:v>
                </c:pt>
                <c:pt idx="1418">
                  <c:v>42353.705555555498</c:v>
                </c:pt>
                <c:pt idx="1419">
                  <c:v>42354.705555555498</c:v>
                </c:pt>
                <c:pt idx="1420">
                  <c:v>42355.705555555498</c:v>
                </c:pt>
                <c:pt idx="1421">
                  <c:v>42356.705555555498</c:v>
                </c:pt>
                <c:pt idx="1422">
                  <c:v>42359.705555555498</c:v>
                </c:pt>
                <c:pt idx="1423">
                  <c:v>42360.705555555498</c:v>
                </c:pt>
                <c:pt idx="1424">
                  <c:v>42361.705555555498</c:v>
                </c:pt>
                <c:pt idx="1425">
                  <c:v>42366.705555555498</c:v>
                </c:pt>
                <c:pt idx="1426">
                  <c:v>42367.705555555498</c:v>
                </c:pt>
                <c:pt idx="1427">
                  <c:v>42368.705555555498</c:v>
                </c:pt>
                <c:pt idx="1428">
                  <c:v>42373.705555555498</c:v>
                </c:pt>
                <c:pt idx="1429">
                  <c:v>42374.705555555498</c:v>
                </c:pt>
                <c:pt idx="1430">
                  <c:v>42375.705555555498</c:v>
                </c:pt>
                <c:pt idx="1431">
                  <c:v>42376.705555555498</c:v>
                </c:pt>
                <c:pt idx="1432">
                  <c:v>42377.705555555498</c:v>
                </c:pt>
                <c:pt idx="1433">
                  <c:v>42380.705555555498</c:v>
                </c:pt>
                <c:pt idx="1434">
                  <c:v>42381.705555555498</c:v>
                </c:pt>
                <c:pt idx="1435">
                  <c:v>42382.705555555498</c:v>
                </c:pt>
                <c:pt idx="1436">
                  <c:v>42383.705555555498</c:v>
                </c:pt>
                <c:pt idx="1437">
                  <c:v>42384.705555555498</c:v>
                </c:pt>
                <c:pt idx="1438">
                  <c:v>42387.705555555498</c:v>
                </c:pt>
                <c:pt idx="1439">
                  <c:v>42388.705555555498</c:v>
                </c:pt>
                <c:pt idx="1440">
                  <c:v>42389.705555555498</c:v>
                </c:pt>
                <c:pt idx="1441">
                  <c:v>42390.705555555498</c:v>
                </c:pt>
                <c:pt idx="1442">
                  <c:v>42391.705555555498</c:v>
                </c:pt>
                <c:pt idx="1443">
                  <c:v>42395.705555555498</c:v>
                </c:pt>
                <c:pt idx="1444">
                  <c:v>42396.705555555498</c:v>
                </c:pt>
                <c:pt idx="1445">
                  <c:v>42397.705555555498</c:v>
                </c:pt>
                <c:pt idx="1446">
                  <c:v>42398.705555555498</c:v>
                </c:pt>
                <c:pt idx="1447">
                  <c:v>42401.705555555498</c:v>
                </c:pt>
                <c:pt idx="1448">
                  <c:v>42402.705555555498</c:v>
                </c:pt>
                <c:pt idx="1449">
                  <c:v>42403.705555555498</c:v>
                </c:pt>
                <c:pt idx="1450">
                  <c:v>42404.705555555498</c:v>
                </c:pt>
                <c:pt idx="1451">
                  <c:v>42405.705555555498</c:v>
                </c:pt>
                <c:pt idx="1452">
                  <c:v>42410.705555555498</c:v>
                </c:pt>
                <c:pt idx="1453">
                  <c:v>42411.705555555498</c:v>
                </c:pt>
                <c:pt idx="1454">
                  <c:v>42412.705555555498</c:v>
                </c:pt>
                <c:pt idx="1455">
                  <c:v>42415.705555555498</c:v>
                </c:pt>
                <c:pt idx="1456">
                  <c:v>42416.705555555498</c:v>
                </c:pt>
                <c:pt idx="1457">
                  <c:v>42417.705555555498</c:v>
                </c:pt>
                <c:pt idx="1458">
                  <c:v>42418.705555555498</c:v>
                </c:pt>
                <c:pt idx="1459">
                  <c:v>42419.705555555498</c:v>
                </c:pt>
                <c:pt idx="1460">
                  <c:v>42422.705555555498</c:v>
                </c:pt>
                <c:pt idx="1461">
                  <c:v>42423.705555555498</c:v>
                </c:pt>
                <c:pt idx="1462">
                  <c:v>42424.705555555498</c:v>
                </c:pt>
                <c:pt idx="1463">
                  <c:v>42425.705555555498</c:v>
                </c:pt>
                <c:pt idx="1464">
                  <c:v>42426.705555555498</c:v>
                </c:pt>
                <c:pt idx="1465">
                  <c:v>42429.705555555498</c:v>
                </c:pt>
                <c:pt idx="1466">
                  <c:v>42430.705555555498</c:v>
                </c:pt>
                <c:pt idx="1467">
                  <c:v>42431.705555555498</c:v>
                </c:pt>
                <c:pt idx="1468">
                  <c:v>42432.705555555498</c:v>
                </c:pt>
                <c:pt idx="1469">
                  <c:v>42433.705555555498</c:v>
                </c:pt>
                <c:pt idx="1470">
                  <c:v>42436.705555555498</c:v>
                </c:pt>
                <c:pt idx="1471">
                  <c:v>42437.705555555498</c:v>
                </c:pt>
                <c:pt idx="1472">
                  <c:v>42438.705555555498</c:v>
                </c:pt>
                <c:pt idx="1473">
                  <c:v>42439.705555555498</c:v>
                </c:pt>
                <c:pt idx="1474">
                  <c:v>42440.705555555498</c:v>
                </c:pt>
                <c:pt idx="1475">
                  <c:v>42443.705555555498</c:v>
                </c:pt>
                <c:pt idx="1476">
                  <c:v>42444.705555555498</c:v>
                </c:pt>
                <c:pt idx="1477">
                  <c:v>42445.705555555498</c:v>
                </c:pt>
                <c:pt idx="1478">
                  <c:v>42446.705555555498</c:v>
                </c:pt>
                <c:pt idx="1479">
                  <c:v>42447.705555555498</c:v>
                </c:pt>
                <c:pt idx="1480">
                  <c:v>42450.705555555498</c:v>
                </c:pt>
                <c:pt idx="1481">
                  <c:v>42451.705555555498</c:v>
                </c:pt>
                <c:pt idx="1482">
                  <c:v>42452.705555555498</c:v>
                </c:pt>
                <c:pt idx="1483">
                  <c:v>42453.705555555498</c:v>
                </c:pt>
                <c:pt idx="1484">
                  <c:v>42457.705555555498</c:v>
                </c:pt>
                <c:pt idx="1485">
                  <c:v>42458.705555555498</c:v>
                </c:pt>
                <c:pt idx="1486">
                  <c:v>42459.705555555498</c:v>
                </c:pt>
                <c:pt idx="1487">
                  <c:v>42460.705555555498</c:v>
                </c:pt>
                <c:pt idx="1488">
                  <c:v>42461.705555555498</c:v>
                </c:pt>
                <c:pt idx="1489">
                  <c:v>42464.705555555498</c:v>
                </c:pt>
                <c:pt idx="1490">
                  <c:v>42465.705555555498</c:v>
                </c:pt>
                <c:pt idx="1491">
                  <c:v>42466.705555555498</c:v>
                </c:pt>
                <c:pt idx="1492">
                  <c:v>42467.705555555498</c:v>
                </c:pt>
                <c:pt idx="1493">
                  <c:v>42468.705555555498</c:v>
                </c:pt>
                <c:pt idx="1494">
                  <c:v>42471.705555555498</c:v>
                </c:pt>
                <c:pt idx="1495">
                  <c:v>42472.705555555498</c:v>
                </c:pt>
                <c:pt idx="1496">
                  <c:v>42473.705555555498</c:v>
                </c:pt>
                <c:pt idx="1497">
                  <c:v>42474.705555555498</c:v>
                </c:pt>
                <c:pt idx="1498">
                  <c:v>42475.705555555498</c:v>
                </c:pt>
                <c:pt idx="1499">
                  <c:v>42478.705555555498</c:v>
                </c:pt>
                <c:pt idx="1500">
                  <c:v>42479.705555555498</c:v>
                </c:pt>
                <c:pt idx="1501">
                  <c:v>42480.705555555498</c:v>
                </c:pt>
                <c:pt idx="1502">
                  <c:v>42482.705555555498</c:v>
                </c:pt>
                <c:pt idx="1503">
                  <c:v>42485.705555555498</c:v>
                </c:pt>
                <c:pt idx="1504">
                  <c:v>42486.705555555498</c:v>
                </c:pt>
                <c:pt idx="1505">
                  <c:v>42487.705555555498</c:v>
                </c:pt>
                <c:pt idx="1506">
                  <c:v>42488.705555555498</c:v>
                </c:pt>
                <c:pt idx="1507">
                  <c:v>42489.705555555498</c:v>
                </c:pt>
                <c:pt idx="1508">
                  <c:v>42492.705555555498</c:v>
                </c:pt>
                <c:pt idx="1509">
                  <c:v>42493.705555555498</c:v>
                </c:pt>
                <c:pt idx="1510">
                  <c:v>42494.705555555498</c:v>
                </c:pt>
                <c:pt idx="1511">
                  <c:v>42495.705555555498</c:v>
                </c:pt>
                <c:pt idx="1512">
                  <c:v>42496.705555555498</c:v>
                </c:pt>
                <c:pt idx="1513">
                  <c:v>42499.705555555498</c:v>
                </c:pt>
                <c:pt idx="1514">
                  <c:v>42500.705555555498</c:v>
                </c:pt>
                <c:pt idx="1515">
                  <c:v>42501.705555555498</c:v>
                </c:pt>
                <c:pt idx="1516">
                  <c:v>42502.705555555498</c:v>
                </c:pt>
                <c:pt idx="1517">
                  <c:v>42503.705555555498</c:v>
                </c:pt>
                <c:pt idx="1518">
                  <c:v>42506.705555555498</c:v>
                </c:pt>
                <c:pt idx="1519">
                  <c:v>42507.705555555498</c:v>
                </c:pt>
                <c:pt idx="1520">
                  <c:v>42508.705555555498</c:v>
                </c:pt>
                <c:pt idx="1521">
                  <c:v>42509.705555555498</c:v>
                </c:pt>
                <c:pt idx="1522">
                  <c:v>42510.705555555498</c:v>
                </c:pt>
                <c:pt idx="1523">
                  <c:v>42513.705555555498</c:v>
                </c:pt>
                <c:pt idx="1524">
                  <c:v>42514.705555555498</c:v>
                </c:pt>
                <c:pt idx="1525">
                  <c:v>42515.705555555498</c:v>
                </c:pt>
                <c:pt idx="1526">
                  <c:v>42517.705555555498</c:v>
                </c:pt>
                <c:pt idx="1527">
                  <c:v>42520.705555555498</c:v>
                </c:pt>
                <c:pt idx="1528">
                  <c:v>42521.705555555498</c:v>
                </c:pt>
                <c:pt idx="1529">
                  <c:v>42522.705555555498</c:v>
                </c:pt>
                <c:pt idx="1530">
                  <c:v>42523.705555555498</c:v>
                </c:pt>
                <c:pt idx="1531">
                  <c:v>42524.705555555498</c:v>
                </c:pt>
                <c:pt idx="1532">
                  <c:v>42527.705555555498</c:v>
                </c:pt>
                <c:pt idx="1533">
                  <c:v>42528.705555555498</c:v>
                </c:pt>
                <c:pt idx="1534">
                  <c:v>42529.705555555498</c:v>
                </c:pt>
                <c:pt idx="1535">
                  <c:v>42530.705555555498</c:v>
                </c:pt>
                <c:pt idx="1536">
                  <c:v>42531.705555555498</c:v>
                </c:pt>
                <c:pt idx="1537">
                  <c:v>42534.705555555498</c:v>
                </c:pt>
                <c:pt idx="1538">
                  <c:v>42535.705555555498</c:v>
                </c:pt>
                <c:pt idx="1539">
                  <c:v>42536.705555555498</c:v>
                </c:pt>
                <c:pt idx="1540">
                  <c:v>42537.705555555498</c:v>
                </c:pt>
                <c:pt idx="1541">
                  <c:v>42538.705555555498</c:v>
                </c:pt>
                <c:pt idx="1542">
                  <c:v>42541.705555555498</c:v>
                </c:pt>
                <c:pt idx="1543">
                  <c:v>42542.705555555498</c:v>
                </c:pt>
                <c:pt idx="1544">
                  <c:v>42543.705555555498</c:v>
                </c:pt>
                <c:pt idx="1545">
                  <c:v>42544.705555555498</c:v>
                </c:pt>
                <c:pt idx="1546">
                  <c:v>42545.705555555498</c:v>
                </c:pt>
                <c:pt idx="1547">
                  <c:v>42548.705555555498</c:v>
                </c:pt>
                <c:pt idx="1548">
                  <c:v>42549.705555555498</c:v>
                </c:pt>
                <c:pt idx="1549">
                  <c:v>42550.705555555498</c:v>
                </c:pt>
                <c:pt idx="1550">
                  <c:v>42551.705555555498</c:v>
                </c:pt>
                <c:pt idx="1551">
                  <c:v>42552.705555555498</c:v>
                </c:pt>
                <c:pt idx="1552">
                  <c:v>42555.705555555498</c:v>
                </c:pt>
                <c:pt idx="1553">
                  <c:v>42556.705555555498</c:v>
                </c:pt>
                <c:pt idx="1554">
                  <c:v>42557.705555555498</c:v>
                </c:pt>
                <c:pt idx="1555">
                  <c:v>42558.705555555498</c:v>
                </c:pt>
                <c:pt idx="1556">
                  <c:v>42559.705555555498</c:v>
                </c:pt>
                <c:pt idx="1557">
                  <c:v>42562.705555555498</c:v>
                </c:pt>
                <c:pt idx="1558">
                  <c:v>42563.705555555498</c:v>
                </c:pt>
                <c:pt idx="1559">
                  <c:v>42564.705555555498</c:v>
                </c:pt>
                <c:pt idx="1560">
                  <c:v>42565.705555555498</c:v>
                </c:pt>
                <c:pt idx="1561">
                  <c:v>42566.705555555498</c:v>
                </c:pt>
                <c:pt idx="1562">
                  <c:v>42569.705555555498</c:v>
                </c:pt>
                <c:pt idx="1563">
                  <c:v>42570.705555555498</c:v>
                </c:pt>
                <c:pt idx="1564">
                  <c:v>42571.705555555498</c:v>
                </c:pt>
                <c:pt idx="1565">
                  <c:v>42572.705555555498</c:v>
                </c:pt>
                <c:pt idx="1566">
                  <c:v>42573.705555555498</c:v>
                </c:pt>
                <c:pt idx="1567">
                  <c:v>42576.705555555498</c:v>
                </c:pt>
                <c:pt idx="1568">
                  <c:v>42577.705555555498</c:v>
                </c:pt>
                <c:pt idx="1569">
                  <c:v>42578.705555555498</c:v>
                </c:pt>
                <c:pt idx="1570">
                  <c:v>42579.705555555498</c:v>
                </c:pt>
                <c:pt idx="1571">
                  <c:v>42580.705555555498</c:v>
                </c:pt>
                <c:pt idx="1572">
                  <c:v>42583.705555555498</c:v>
                </c:pt>
                <c:pt idx="1573">
                  <c:v>42584.705555555498</c:v>
                </c:pt>
                <c:pt idx="1574">
                  <c:v>42585.705555555498</c:v>
                </c:pt>
                <c:pt idx="1575">
                  <c:v>42586.705555555498</c:v>
                </c:pt>
                <c:pt idx="1576">
                  <c:v>42587.705555555498</c:v>
                </c:pt>
                <c:pt idx="1577">
                  <c:v>42590.705555555498</c:v>
                </c:pt>
                <c:pt idx="1578">
                  <c:v>42591.705555555498</c:v>
                </c:pt>
                <c:pt idx="1579">
                  <c:v>42592.705555555498</c:v>
                </c:pt>
                <c:pt idx="1580">
                  <c:v>42593.705555555498</c:v>
                </c:pt>
                <c:pt idx="1581">
                  <c:v>42594.705555555498</c:v>
                </c:pt>
                <c:pt idx="1582">
                  <c:v>42597.705555555498</c:v>
                </c:pt>
                <c:pt idx="1583">
                  <c:v>42598.705555555498</c:v>
                </c:pt>
                <c:pt idx="1584">
                  <c:v>42599.705555555498</c:v>
                </c:pt>
                <c:pt idx="1585">
                  <c:v>42600.705555555498</c:v>
                </c:pt>
                <c:pt idx="1586">
                  <c:v>42601.705555555498</c:v>
                </c:pt>
                <c:pt idx="1587">
                  <c:v>42604.705555555498</c:v>
                </c:pt>
                <c:pt idx="1588">
                  <c:v>42605.705555555498</c:v>
                </c:pt>
                <c:pt idx="1589">
                  <c:v>42606.705555555498</c:v>
                </c:pt>
                <c:pt idx="1590">
                  <c:v>42607.705555555498</c:v>
                </c:pt>
                <c:pt idx="1591">
                  <c:v>42608.705555555498</c:v>
                </c:pt>
                <c:pt idx="1592">
                  <c:v>42611.705555555498</c:v>
                </c:pt>
                <c:pt idx="1593">
                  <c:v>42612.705555555498</c:v>
                </c:pt>
                <c:pt idx="1594">
                  <c:v>42613.705555555498</c:v>
                </c:pt>
                <c:pt idx="1595">
                  <c:v>42614.705555555498</c:v>
                </c:pt>
                <c:pt idx="1596">
                  <c:v>42615.705555555498</c:v>
                </c:pt>
                <c:pt idx="1597">
                  <c:v>42618.705555555498</c:v>
                </c:pt>
                <c:pt idx="1598">
                  <c:v>42619.705555555498</c:v>
                </c:pt>
                <c:pt idx="1599">
                  <c:v>42621.705555555498</c:v>
                </c:pt>
                <c:pt idx="1600">
                  <c:v>42622.705555555498</c:v>
                </c:pt>
                <c:pt idx="1601">
                  <c:v>42625.705555555498</c:v>
                </c:pt>
                <c:pt idx="1602">
                  <c:v>42626.705555555498</c:v>
                </c:pt>
                <c:pt idx="1603">
                  <c:v>42627.705555555498</c:v>
                </c:pt>
                <c:pt idx="1604">
                  <c:v>42628.705555555498</c:v>
                </c:pt>
                <c:pt idx="1605">
                  <c:v>42629.705555555498</c:v>
                </c:pt>
                <c:pt idx="1606">
                  <c:v>42632.705555555498</c:v>
                </c:pt>
                <c:pt idx="1607">
                  <c:v>42633.705555555498</c:v>
                </c:pt>
                <c:pt idx="1608">
                  <c:v>42634.705555555498</c:v>
                </c:pt>
                <c:pt idx="1609">
                  <c:v>42635.705555555498</c:v>
                </c:pt>
                <c:pt idx="1610">
                  <c:v>42636.705555555498</c:v>
                </c:pt>
                <c:pt idx="1611">
                  <c:v>42639.705555555498</c:v>
                </c:pt>
                <c:pt idx="1612">
                  <c:v>42640.705555555498</c:v>
                </c:pt>
                <c:pt idx="1613">
                  <c:v>42641.705555555498</c:v>
                </c:pt>
                <c:pt idx="1614">
                  <c:v>42642.705555555498</c:v>
                </c:pt>
                <c:pt idx="1615">
                  <c:v>42643.705555555498</c:v>
                </c:pt>
                <c:pt idx="1616">
                  <c:v>42646.705555555498</c:v>
                </c:pt>
                <c:pt idx="1617">
                  <c:v>42647.705555555498</c:v>
                </c:pt>
                <c:pt idx="1618">
                  <c:v>42648.705555555498</c:v>
                </c:pt>
                <c:pt idx="1619">
                  <c:v>42649.705555555498</c:v>
                </c:pt>
                <c:pt idx="1620">
                  <c:v>42650.705555555498</c:v>
                </c:pt>
                <c:pt idx="1621">
                  <c:v>42653.705555555498</c:v>
                </c:pt>
                <c:pt idx="1622">
                  <c:v>42654.705555555498</c:v>
                </c:pt>
                <c:pt idx="1623">
                  <c:v>42656.705555555498</c:v>
                </c:pt>
                <c:pt idx="1624">
                  <c:v>42657.705555555498</c:v>
                </c:pt>
                <c:pt idx="1625">
                  <c:v>42660.705555555498</c:v>
                </c:pt>
                <c:pt idx="1626">
                  <c:v>42661.705555555498</c:v>
                </c:pt>
                <c:pt idx="1627">
                  <c:v>42662.705555555498</c:v>
                </c:pt>
                <c:pt idx="1628">
                  <c:v>42663.705555555498</c:v>
                </c:pt>
                <c:pt idx="1629">
                  <c:v>42664.705555555498</c:v>
                </c:pt>
                <c:pt idx="1630">
                  <c:v>42667.705555555498</c:v>
                </c:pt>
                <c:pt idx="1631">
                  <c:v>42668.705555555498</c:v>
                </c:pt>
                <c:pt idx="1632">
                  <c:v>42669.705555555498</c:v>
                </c:pt>
                <c:pt idx="1633">
                  <c:v>42670.705555555498</c:v>
                </c:pt>
                <c:pt idx="1634">
                  <c:v>42671.705555555498</c:v>
                </c:pt>
                <c:pt idx="1635">
                  <c:v>42674.705555555498</c:v>
                </c:pt>
                <c:pt idx="1636">
                  <c:v>42675.705555555498</c:v>
                </c:pt>
                <c:pt idx="1637">
                  <c:v>42677.705555555498</c:v>
                </c:pt>
                <c:pt idx="1638">
                  <c:v>42678.705555555498</c:v>
                </c:pt>
                <c:pt idx="1639">
                  <c:v>42681.705555555498</c:v>
                </c:pt>
                <c:pt idx="1640">
                  <c:v>42682.705555555498</c:v>
                </c:pt>
                <c:pt idx="1641">
                  <c:v>42683.705555555498</c:v>
                </c:pt>
                <c:pt idx="1642">
                  <c:v>42684.705555555498</c:v>
                </c:pt>
                <c:pt idx="1643">
                  <c:v>42685.705555555498</c:v>
                </c:pt>
                <c:pt idx="1644">
                  <c:v>42688.705555555498</c:v>
                </c:pt>
                <c:pt idx="1645">
                  <c:v>42690.705555555498</c:v>
                </c:pt>
                <c:pt idx="1646">
                  <c:v>42691.705555555498</c:v>
                </c:pt>
                <c:pt idx="1647">
                  <c:v>42692.705555555498</c:v>
                </c:pt>
                <c:pt idx="1648">
                  <c:v>42695.705555555498</c:v>
                </c:pt>
                <c:pt idx="1649">
                  <c:v>42696.705555555498</c:v>
                </c:pt>
                <c:pt idx="1650">
                  <c:v>42697.705555555498</c:v>
                </c:pt>
                <c:pt idx="1651">
                  <c:v>42698.705555555498</c:v>
                </c:pt>
                <c:pt idx="1652">
                  <c:v>42699.705555555498</c:v>
                </c:pt>
                <c:pt idx="1653">
                  <c:v>42702.705555555498</c:v>
                </c:pt>
                <c:pt idx="1654">
                  <c:v>42703.705555555498</c:v>
                </c:pt>
                <c:pt idx="1655">
                  <c:v>42704.705555555498</c:v>
                </c:pt>
                <c:pt idx="1656">
                  <c:v>42705.705555555498</c:v>
                </c:pt>
                <c:pt idx="1657">
                  <c:v>42706.705555555498</c:v>
                </c:pt>
                <c:pt idx="1658">
                  <c:v>42709.705555555498</c:v>
                </c:pt>
                <c:pt idx="1659">
                  <c:v>42710.705555555498</c:v>
                </c:pt>
                <c:pt idx="1660">
                  <c:v>42711.705555555498</c:v>
                </c:pt>
                <c:pt idx="1661">
                  <c:v>42712.705555555498</c:v>
                </c:pt>
                <c:pt idx="1662">
                  <c:v>42713.705555555498</c:v>
                </c:pt>
                <c:pt idx="1663">
                  <c:v>42716.705555555498</c:v>
                </c:pt>
                <c:pt idx="1664">
                  <c:v>42717.705555555498</c:v>
                </c:pt>
                <c:pt idx="1665">
                  <c:v>42718.705555555498</c:v>
                </c:pt>
                <c:pt idx="1666">
                  <c:v>42719.705555555498</c:v>
                </c:pt>
                <c:pt idx="1667">
                  <c:v>42720.705555555498</c:v>
                </c:pt>
                <c:pt idx="1668">
                  <c:v>42723.705555555498</c:v>
                </c:pt>
                <c:pt idx="1669">
                  <c:v>42724.705555555498</c:v>
                </c:pt>
                <c:pt idx="1670">
                  <c:v>42725.705555555498</c:v>
                </c:pt>
                <c:pt idx="1671">
                  <c:v>42726.705555555498</c:v>
                </c:pt>
                <c:pt idx="1672">
                  <c:v>42727.705555555498</c:v>
                </c:pt>
                <c:pt idx="1673">
                  <c:v>42730.705555555498</c:v>
                </c:pt>
                <c:pt idx="1674">
                  <c:v>42731.705555555498</c:v>
                </c:pt>
                <c:pt idx="1675">
                  <c:v>42732.705555555498</c:v>
                </c:pt>
                <c:pt idx="1676">
                  <c:v>42733.705555555498</c:v>
                </c:pt>
                <c:pt idx="1677">
                  <c:v>42737.705555555498</c:v>
                </c:pt>
                <c:pt idx="1678">
                  <c:v>42738.705555555498</c:v>
                </c:pt>
                <c:pt idx="1679">
                  <c:v>42739.705555555498</c:v>
                </c:pt>
                <c:pt idx="1680">
                  <c:v>42740.705555555498</c:v>
                </c:pt>
                <c:pt idx="1681">
                  <c:v>42741.705555555498</c:v>
                </c:pt>
                <c:pt idx="1682">
                  <c:v>42744.705555555498</c:v>
                </c:pt>
                <c:pt idx="1683">
                  <c:v>42745.705555555498</c:v>
                </c:pt>
                <c:pt idx="1684">
                  <c:v>42746.705555555498</c:v>
                </c:pt>
                <c:pt idx="1685">
                  <c:v>42747.705555555498</c:v>
                </c:pt>
                <c:pt idx="1686">
                  <c:v>42748.705555555498</c:v>
                </c:pt>
                <c:pt idx="1687">
                  <c:v>42751.705555555498</c:v>
                </c:pt>
                <c:pt idx="1688">
                  <c:v>42752.705555555498</c:v>
                </c:pt>
                <c:pt idx="1689">
                  <c:v>42753.705555555498</c:v>
                </c:pt>
                <c:pt idx="1690">
                  <c:v>42754.705555555498</c:v>
                </c:pt>
                <c:pt idx="1691">
                  <c:v>42755.705555555498</c:v>
                </c:pt>
                <c:pt idx="1692">
                  <c:v>42758.705555555498</c:v>
                </c:pt>
                <c:pt idx="1693">
                  <c:v>42759.705555555498</c:v>
                </c:pt>
                <c:pt idx="1694">
                  <c:v>42761.705555555498</c:v>
                </c:pt>
                <c:pt idx="1695">
                  <c:v>42762.705555555498</c:v>
                </c:pt>
                <c:pt idx="1696">
                  <c:v>42765.705555555498</c:v>
                </c:pt>
                <c:pt idx="1697">
                  <c:v>42766.705555555498</c:v>
                </c:pt>
                <c:pt idx="1698">
                  <c:v>42767.705555555498</c:v>
                </c:pt>
                <c:pt idx="1699">
                  <c:v>42768.705555555498</c:v>
                </c:pt>
                <c:pt idx="1700">
                  <c:v>42769.705555555498</c:v>
                </c:pt>
                <c:pt idx="1701">
                  <c:v>42772.705555555498</c:v>
                </c:pt>
                <c:pt idx="1702">
                  <c:v>42773.705555555498</c:v>
                </c:pt>
                <c:pt idx="1703">
                  <c:v>42774.705555555498</c:v>
                </c:pt>
                <c:pt idx="1704">
                  <c:v>42775.705555555498</c:v>
                </c:pt>
                <c:pt idx="1705">
                  <c:v>42776.705555555498</c:v>
                </c:pt>
                <c:pt idx="1706">
                  <c:v>42779.705555555498</c:v>
                </c:pt>
                <c:pt idx="1707">
                  <c:v>42780.705555555498</c:v>
                </c:pt>
                <c:pt idx="1708">
                  <c:v>42781.705555555498</c:v>
                </c:pt>
                <c:pt idx="1709">
                  <c:v>42782.705555555498</c:v>
                </c:pt>
                <c:pt idx="1710">
                  <c:v>42783.705555555498</c:v>
                </c:pt>
                <c:pt idx="1711">
                  <c:v>42786.705555555498</c:v>
                </c:pt>
                <c:pt idx="1712">
                  <c:v>42787.705555555498</c:v>
                </c:pt>
                <c:pt idx="1713">
                  <c:v>42788.705555555498</c:v>
                </c:pt>
                <c:pt idx="1714">
                  <c:v>42789.705555555498</c:v>
                </c:pt>
                <c:pt idx="1715">
                  <c:v>42790.705555555498</c:v>
                </c:pt>
                <c:pt idx="1716">
                  <c:v>42795.705555555498</c:v>
                </c:pt>
                <c:pt idx="1717">
                  <c:v>42796.705555555498</c:v>
                </c:pt>
                <c:pt idx="1718">
                  <c:v>42797.705555555498</c:v>
                </c:pt>
                <c:pt idx="1719">
                  <c:v>42800.705555555498</c:v>
                </c:pt>
                <c:pt idx="1720">
                  <c:v>42801.705555555498</c:v>
                </c:pt>
                <c:pt idx="1721">
                  <c:v>42802.705555555498</c:v>
                </c:pt>
                <c:pt idx="1722">
                  <c:v>42803.705555555498</c:v>
                </c:pt>
                <c:pt idx="1723">
                  <c:v>42804.705555555498</c:v>
                </c:pt>
                <c:pt idx="1724">
                  <c:v>42807.705555555498</c:v>
                </c:pt>
                <c:pt idx="1725">
                  <c:v>42808.705555555498</c:v>
                </c:pt>
                <c:pt idx="1726">
                  <c:v>42809.705555555498</c:v>
                </c:pt>
                <c:pt idx="1727">
                  <c:v>42810.705555555498</c:v>
                </c:pt>
                <c:pt idx="1728">
                  <c:v>42811.705555555498</c:v>
                </c:pt>
                <c:pt idx="1729">
                  <c:v>42814.705555555498</c:v>
                </c:pt>
                <c:pt idx="1730">
                  <c:v>42815.705555555498</c:v>
                </c:pt>
                <c:pt idx="1731">
                  <c:v>42816.705555555498</c:v>
                </c:pt>
                <c:pt idx="1732">
                  <c:v>42817.705555555498</c:v>
                </c:pt>
                <c:pt idx="1733">
                  <c:v>42818.705555555498</c:v>
                </c:pt>
                <c:pt idx="1734">
                  <c:v>42821.705555555498</c:v>
                </c:pt>
                <c:pt idx="1735">
                  <c:v>42822.705555555498</c:v>
                </c:pt>
                <c:pt idx="1736">
                  <c:v>42823.705555555498</c:v>
                </c:pt>
                <c:pt idx="1737">
                  <c:v>42824.705555555498</c:v>
                </c:pt>
                <c:pt idx="1738">
                  <c:v>42825.705555555498</c:v>
                </c:pt>
                <c:pt idx="1739">
                  <c:v>42828.705555555498</c:v>
                </c:pt>
                <c:pt idx="1740">
                  <c:v>42829.705555555498</c:v>
                </c:pt>
                <c:pt idx="1741">
                  <c:v>42830.705555555498</c:v>
                </c:pt>
                <c:pt idx="1742">
                  <c:v>42831.705555555498</c:v>
                </c:pt>
                <c:pt idx="1743">
                  <c:v>42832.705555555498</c:v>
                </c:pt>
                <c:pt idx="1744">
                  <c:v>42835.705555555498</c:v>
                </c:pt>
                <c:pt idx="1745">
                  <c:v>42836.705555555498</c:v>
                </c:pt>
                <c:pt idx="1746">
                  <c:v>42837.705555555498</c:v>
                </c:pt>
                <c:pt idx="1747">
                  <c:v>42838.705555555498</c:v>
                </c:pt>
                <c:pt idx="1748">
                  <c:v>42842.705555555498</c:v>
                </c:pt>
                <c:pt idx="1749">
                  <c:v>42843.705555555498</c:v>
                </c:pt>
                <c:pt idx="1750">
                  <c:v>42844.705555555498</c:v>
                </c:pt>
                <c:pt idx="1751">
                  <c:v>42845.705555555498</c:v>
                </c:pt>
                <c:pt idx="1752">
                  <c:v>42849.705555555498</c:v>
                </c:pt>
                <c:pt idx="1753">
                  <c:v>42850.705555555498</c:v>
                </c:pt>
                <c:pt idx="1754">
                  <c:v>42851.705555555498</c:v>
                </c:pt>
                <c:pt idx="1755">
                  <c:v>42852.705555555498</c:v>
                </c:pt>
                <c:pt idx="1756">
                  <c:v>42853.705555555498</c:v>
                </c:pt>
                <c:pt idx="1757">
                  <c:v>42857.705555555498</c:v>
                </c:pt>
                <c:pt idx="1758">
                  <c:v>42858.705555555498</c:v>
                </c:pt>
                <c:pt idx="1759">
                  <c:v>42859.705555555498</c:v>
                </c:pt>
                <c:pt idx="1760">
                  <c:v>42860.705555555498</c:v>
                </c:pt>
                <c:pt idx="1761">
                  <c:v>42863.705555555498</c:v>
                </c:pt>
                <c:pt idx="1762">
                  <c:v>42864.705555555498</c:v>
                </c:pt>
                <c:pt idx="1763">
                  <c:v>42865.705555555498</c:v>
                </c:pt>
                <c:pt idx="1764">
                  <c:v>42866.705555555498</c:v>
                </c:pt>
                <c:pt idx="1765">
                  <c:v>42867.705555555498</c:v>
                </c:pt>
                <c:pt idx="1766">
                  <c:v>42870.705555555498</c:v>
                </c:pt>
                <c:pt idx="1767">
                  <c:v>42871.705555555498</c:v>
                </c:pt>
                <c:pt idx="1768">
                  <c:v>42872.705555555498</c:v>
                </c:pt>
                <c:pt idx="1769">
                  <c:v>42873.705555555498</c:v>
                </c:pt>
                <c:pt idx="1770">
                  <c:v>42874.705555555498</c:v>
                </c:pt>
                <c:pt idx="1771">
                  <c:v>42877.705555555498</c:v>
                </c:pt>
                <c:pt idx="1772">
                  <c:v>42878.705555555498</c:v>
                </c:pt>
                <c:pt idx="1773">
                  <c:v>42879.705555555498</c:v>
                </c:pt>
                <c:pt idx="1774">
                  <c:v>42880.705555555498</c:v>
                </c:pt>
                <c:pt idx="1775">
                  <c:v>42881.705555555498</c:v>
                </c:pt>
                <c:pt idx="1776">
                  <c:v>42884.705555555498</c:v>
                </c:pt>
                <c:pt idx="1777">
                  <c:v>42885.705555555498</c:v>
                </c:pt>
                <c:pt idx="1778">
                  <c:v>42886.705555555498</c:v>
                </c:pt>
                <c:pt idx="1779">
                  <c:v>42887.705555555498</c:v>
                </c:pt>
                <c:pt idx="1780">
                  <c:v>42888.705555555498</c:v>
                </c:pt>
                <c:pt idx="1781">
                  <c:v>42891.705555555498</c:v>
                </c:pt>
                <c:pt idx="1782">
                  <c:v>42892.705555555498</c:v>
                </c:pt>
                <c:pt idx="1783">
                  <c:v>42893.705555555498</c:v>
                </c:pt>
                <c:pt idx="1784">
                  <c:v>42894.705555555498</c:v>
                </c:pt>
                <c:pt idx="1785">
                  <c:v>42895.705555555498</c:v>
                </c:pt>
                <c:pt idx="1786">
                  <c:v>42898.705555555498</c:v>
                </c:pt>
                <c:pt idx="1787">
                  <c:v>42899.705555555498</c:v>
                </c:pt>
                <c:pt idx="1788">
                  <c:v>42900.705555555498</c:v>
                </c:pt>
                <c:pt idx="1789">
                  <c:v>42902.705555555498</c:v>
                </c:pt>
                <c:pt idx="1790">
                  <c:v>42905.705555555498</c:v>
                </c:pt>
                <c:pt idx="1791">
                  <c:v>42906.705555555498</c:v>
                </c:pt>
                <c:pt idx="1792">
                  <c:v>42907.705555555498</c:v>
                </c:pt>
                <c:pt idx="1793">
                  <c:v>42908.705555555498</c:v>
                </c:pt>
                <c:pt idx="1794">
                  <c:v>42909.705555555498</c:v>
                </c:pt>
                <c:pt idx="1795">
                  <c:v>42912.705555555498</c:v>
                </c:pt>
                <c:pt idx="1796">
                  <c:v>42913.705555555498</c:v>
                </c:pt>
                <c:pt idx="1797">
                  <c:v>42914.705555555498</c:v>
                </c:pt>
                <c:pt idx="1798">
                  <c:v>42915.705555555498</c:v>
                </c:pt>
                <c:pt idx="1799">
                  <c:v>42916.705555555498</c:v>
                </c:pt>
                <c:pt idx="1800">
                  <c:v>42919.705555555498</c:v>
                </c:pt>
                <c:pt idx="1801">
                  <c:v>42920.705555555498</c:v>
                </c:pt>
                <c:pt idx="1802">
                  <c:v>42921.705555555498</c:v>
                </c:pt>
                <c:pt idx="1803">
                  <c:v>42922.705555555498</c:v>
                </c:pt>
                <c:pt idx="1804">
                  <c:v>42923.705555555498</c:v>
                </c:pt>
                <c:pt idx="1805">
                  <c:v>42926.705555555498</c:v>
                </c:pt>
                <c:pt idx="1806">
                  <c:v>42927.705555555498</c:v>
                </c:pt>
                <c:pt idx="1807">
                  <c:v>42928.705555555498</c:v>
                </c:pt>
                <c:pt idx="1808">
                  <c:v>42929.705555555498</c:v>
                </c:pt>
                <c:pt idx="1809">
                  <c:v>42930.705555555498</c:v>
                </c:pt>
                <c:pt idx="1810">
                  <c:v>42933.705555555498</c:v>
                </c:pt>
                <c:pt idx="1811">
                  <c:v>42934.705555555498</c:v>
                </c:pt>
                <c:pt idx="1812">
                  <c:v>42935.705555555498</c:v>
                </c:pt>
                <c:pt idx="1813">
                  <c:v>42936.705555555498</c:v>
                </c:pt>
                <c:pt idx="1814">
                  <c:v>42937.705555555498</c:v>
                </c:pt>
                <c:pt idx="1815">
                  <c:v>42940.705555555498</c:v>
                </c:pt>
                <c:pt idx="1816">
                  <c:v>42941.705555555498</c:v>
                </c:pt>
                <c:pt idx="1817">
                  <c:v>42942.705555555498</c:v>
                </c:pt>
                <c:pt idx="1818">
                  <c:v>42943.705555555498</c:v>
                </c:pt>
                <c:pt idx="1819">
                  <c:v>42944.705555555498</c:v>
                </c:pt>
                <c:pt idx="1820">
                  <c:v>42947.705555555498</c:v>
                </c:pt>
                <c:pt idx="1821">
                  <c:v>42948.705555555498</c:v>
                </c:pt>
                <c:pt idx="1822">
                  <c:v>42949.705555555498</c:v>
                </c:pt>
                <c:pt idx="1823">
                  <c:v>42950.705555555498</c:v>
                </c:pt>
                <c:pt idx="1824">
                  <c:v>42951.705555555498</c:v>
                </c:pt>
                <c:pt idx="1825">
                  <c:v>42954.705555555498</c:v>
                </c:pt>
                <c:pt idx="1826">
                  <c:v>42955.705555555498</c:v>
                </c:pt>
                <c:pt idx="1827">
                  <c:v>42956.705555555498</c:v>
                </c:pt>
                <c:pt idx="1828">
                  <c:v>42957.705555555498</c:v>
                </c:pt>
                <c:pt idx="1829">
                  <c:v>42958.705555555498</c:v>
                </c:pt>
                <c:pt idx="1830">
                  <c:v>42961.705555555498</c:v>
                </c:pt>
                <c:pt idx="1831">
                  <c:v>42962.705555555498</c:v>
                </c:pt>
                <c:pt idx="1832">
                  <c:v>42963.705555555498</c:v>
                </c:pt>
                <c:pt idx="1833">
                  <c:v>42964.705555555498</c:v>
                </c:pt>
                <c:pt idx="1834">
                  <c:v>42965.705555555498</c:v>
                </c:pt>
                <c:pt idx="1835">
                  <c:v>42968.705555555498</c:v>
                </c:pt>
                <c:pt idx="1836">
                  <c:v>42969.705555555498</c:v>
                </c:pt>
                <c:pt idx="1837">
                  <c:v>42970.705555555498</c:v>
                </c:pt>
                <c:pt idx="1838">
                  <c:v>42971.705555555498</c:v>
                </c:pt>
                <c:pt idx="1839">
                  <c:v>42972.705555555498</c:v>
                </c:pt>
                <c:pt idx="1840">
                  <c:v>42975.705555555498</c:v>
                </c:pt>
                <c:pt idx="1841">
                  <c:v>42976.705555555498</c:v>
                </c:pt>
                <c:pt idx="1842">
                  <c:v>42977.705555555498</c:v>
                </c:pt>
                <c:pt idx="1843">
                  <c:v>42978.705555555498</c:v>
                </c:pt>
                <c:pt idx="1844">
                  <c:v>42979.705555555498</c:v>
                </c:pt>
                <c:pt idx="1845">
                  <c:v>42982.705555555498</c:v>
                </c:pt>
                <c:pt idx="1846">
                  <c:v>42983.705555555498</c:v>
                </c:pt>
                <c:pt idx="1847">
                  <c:v>42984.705555555498</c:v>
                </c:pt>
                <c:pt idx="1848">
                  <c:v>42986.705555555498</c:v>
                </c:pt>
                <c:pt idx="1849">
                  <c:v>42989.705555555498</c:v>
                </c:pt>
                <c:pt idx="1850">
                  <c:v>42990.705555555498</c:v>
                </c:pt>
                <c:pt idx="1851">
                  <c:v>42991.705555555498</c:v>
                </c:pt>
                <c:pt idx="1852">
                  <c:v>42992.705555555498</c:v>
                </c:pt>
                <c:pt idx="1853">
                  <c:v>42993.705555555498</c:v>
                </c:pt>
                <c:pt idx="1854">
                  <c:v>42996.705555555498</c:v>
                </c:pt>
                <c:pt idx="1855">
                  <c:v>42997.705555555498</c:v>
                </c:pt>
                <c:pt idx="1856">
                  <c:v>42998.705555555498</c:v>
                </c:pt>
                <c:pt idx="1857">
                  <c:v>42999.705555555498</c:v>
                </c:pt>
                <c:pt idx="1858">
                  <c:v>43000.705555555498</c:v>
                </c:pt>
                <c:pt idx="1859">
                  <c:v>43003.705555555498</c:v>
                </c:pt>
                <c:pt idx="1860">
                  <c:v>43004.705555555498</c:v>
                </c:pt>
                <c:pt idx="1861">
                  <c:v>43005.705555555498</c:v>
                </c:pt>
                <c:pt idx="1862">
                  <c:v>43006.705555555498</c:v>
                </c:pt>
                <c:pt idx="1863">
                  <c:v>43007.705555555498</c:v>
                </c:pt>
                <c:pt idx="1864">
                  <c:v>43010.705555555498</c:v>
                </c:pt>
                <c:pt idx="1865">
                  <c:v>43011.705555555498</c:v>
                </c:pt>
                <c:pt idx="1866">
                  <c:v>43012.705555555498</c:v>
                </c:pt>
                <c:pt idx="1867">
                  <c:v>43013.705555555498</c:v>
                </c:pt>
                <c:pt idx="1868">
                  <c:v>43014.705555555498</c:v>
                </c:pt>
                <c:pt idx="1869">
                  <c:v>43017.705555555498</c:v>
                </c:pt>
                <c:pt idx="1870">
                  <c:v>43018.705555555498</c:v>
                </c:pt>
                <c:pt idx="1871">
                  <c:v>43019.705555555498</c:v>
                </c:pt>
                <c:pt idx="1872">
                  <c:v>43021.705555555498</c:v>
                </c:pt>
                <c:pt idx="1873">
                  <c:v>43024.705555555498</c:v>
                </c:pt>
                <c:pt idx="1874">
                  <c:v>43025.705555555498</c:v>
                </c:pt>
                <c:pt idx="1875">
                  <c:v>43026.705555555498</c:v>
                </c:pt>
                <c:pt idx="1876">
                  <c:v>43027.705555555498</c:v>
                </c:pt>
                <c:pt idx="1877">
                  <c:v>43028.705555555498</c:v>
                </c:pt>
                <c:pt idx="1878">
                  <c:v>43031.705555555498</c:v>
                </c:pt>
                <c:pt idx="1879">
                  <c:v>43032.705555555498</c:v>
                </c:pt>
                <c:pt idx="1880">
                  <c:v>43033.705555555498</c:v>
                </c:pt>
                <c:pt idx="1881">
                  <c:v>43034.705555555498</c:v>
                </c:pt>
                <c:pt idx="1882">
                  <c:v>43035.705555555498</c:v>
                </c:pt>
                <c:pt idx="1883">
                  <c:v>43038.705555555498</c:v>
                </c:pt>
                <c:pt idx="1884">
                  <c:v>43039.705555555498</c:v>
                </c:pt>
                <c:pt idx="1885">
                  <c:v>43040.705555555498</c:v>
                </c:pt>
                <c:pt idx="1886">
                  <c:v>43042.705555555498</c:v>
                </c:pt>
                <c:pt idx="1887">
                  <c:v>43045.705555555498</c:v>
                </c:pt>
                <c:pt idx="1888">
                  <c:v>43046.705555555498</c:v>
                </c:pt>
                <c:pt idx="1889">
                  <c:v>43047.705555555498</c:v>
                </c:pt>
                <c:pt idx="1890">
                  <c:v>43048.705555555498</c:v>
                </c:pt>
                <c:pt idx="1891">
                  <c:v>43049.705555555498</c:v>
                </c:pt>
                <c:pt idx="1892">
                  <c:v>43052.705555555498</c:v>
                </c:pt>
                <c:pt idx="1893">
                  <c:v>43053.705555555498</c:v>
                </c:pt>
                <c:pt idx="1894">
                  <c:v>43055.705555555498</c:v>
                </c:pt>
                <c:pt idx="1895">
                  <c:v>43056.705555555498</c:v>
                </c:pt>
                <c:pt idx="1896">
                  <c:v>43060.705555555498</c:v>
                </c:pt>
                <c:pt idx="1897">
                  <c:v>43061.705555555498</c:v>
                </c:pt>
                <c:pt idx="1898">
                  <c:v>43062.705555555498</c:v>
                </c:pt>
                <c:pt idx="1899">
                  <c:v>43063.705555555498</c:v>
                </c:pt>
                <c:pt idx="1900">
                  <c:v>43066.705555555498</c:v>
                </c:pt>
                <c:pt idx="1901">
                  <c:v>43067.705555555498</c:v>
                </c:pt>
                <c:pt idx="1902">
                  <c:v>43068.705555555498</c:v>
                </c:pt>
                <c:pt idx="1903">
                  <c:v>43069.705555555498</c:v>
                </c:pt>
                <c:pt idx="1904">
                  <c:v>43070.705555555498</c:v>
                </c:pt>
                <c:pt idx="1905">
                  <c:v>43073.705555555498</c:v>
                </c:pt>
                <c:pt idx="1906">
                  <c:v>43074.705555555498</c:v>
                </c:pt>
                <c:pt idx="1907">
                  <c:v>43075.705555555498</c:v>
                </c:pt>
                <c:pt idx="1908">
                  <c:v>43076.705555555498</c:v>
                </c:pt>
                <c:pt idx="1909">
                  <c:v>43077.705555555498</c:v>
                </c:pt>
                <c:pt idx="1910">
                  <c:v>43080.705555555498</c:v>
                </c:pt>
                <c:pt idx="1911">
                  <c:v>43081.705555555498</c:v>
                </c:pt>
                <c:pt idx="1912">
                  <c:v>43082.705555555498</c:v>
                </c:pt>
                <c:pt idx="1913">
                  <c:v>43083.705555555498</c:v>
                </c:pt>
                <c:pt idx="1914">
                  <c:v>43084.705555555498</c:v>
                </c:pt>
                <c:pt idx="1915">
                  <c:v>43087.705555555498</c:v>
                </c:pt>
                <c:pt idx="1916">
                  <c:v>43088.705555555498</c:v>
                </c:pt>
                <c:pt idx="1917">
                  <c:v>43089.705555555498</c:v>
                </c:pt>
                <c:pt idx="1918">
                  <c:v>43090.705555555498</c:v>
                </c:pt>
                <c:pt idx="1919">
                  <c:v>43091.705555555498</c:v>
                </c:pt>
                <c:pt idx="1920">
                  <c:v>43095.705555555498</c:v>
                </c:pt>
                <c:pt idx="1921">
                  <c:v>43096.705555555498</c:v>
                </c:pt>
                <c:pt idx="1922">
                  <c:v>43097.705555555498</c:v>
                </c:pt>
                <c:pt idx="1923">
                  <c:v>43102.705555555498</c:v>
                </c:pt>
                <c:pt idx="1924">
                  <c:v>43103.705555555498</c:v>
                </c:pt>
                <c:pt idx="1925">
                  <c:v>43104.705555555498</c:v>
                </c:pt>
                <c:pt idx="1926">
                  <c:v>43105.705555555498</c:v>
                </c:pt>
                <c:pt idx="1927">
                  <c:v>43108.705555555498</c:v>
                </c:pt>
                <c:pt idx="1928">
                  <c:v>43109.705555555498</c:v>
                </c:pt>
                <c:pt idx="1929">
                  <c:v>43110.705555555498</c:v>
                </c:pt>
                <c:pt idx="1930">
                  <c:v>43111.705555555498</c:v>
                </c:pt>
                <c:pt idx="1931">
                  <c:v>43112.705555555498</c:v>
                </c:pt>
                <c:pt idx="1932">
                  <c:v>43115.705555555498</c:v>
                </c:pt>
                <c:pt idx="1933">
                  <c:v>43116.705555555498</c:v>
                </c:pt>
                <c:pt idx="1934">
                  <c:v>43117.705555555498</c:v>
                </c:pt>
                <c:pt idx="1935">
                  <c:v>43118.705555555498</c:v>
                </c:pt>
                <c:pt idx="1936">
                  <c:v>43119.705555555498</c:v>
                </c:pt>
                <c:pt idx="1937">
                  <c:v>43122.705555555498</c:v>
                </c:pt>
                <c:pt idx="1938">
                  <c:v>43123.705555555498</c:v>
                </c:pt>
                <c:pt idx="1939">
                  <c:v>43124.705555555498</c:v>
                </c:pt>
                <c:pt idx="1940">
                  <c:v>43126.705555555498</c:v>
                </c:pt>
                <c:pt idx="1941">
                  <c:v>43129.705555555498</c:v>
                </c:pt>
                <c:pt idx="1942">
                  <c:v>43130.705555555498</c:v>
                </c:pt>
                <c:pt idx="1943">
                  <c:v>43131.705555555498</c:v>
                </c:pt>
                <c:pt idx="1944">
                  <c:v>43132.705555555498</c:v>
                </c:pt>
                <c:pt idx="1945">
                  <c:v>43133.705555555498</c:v>
                </c:pt>
                <c:pt idx="1946">
                  <c:v>43136.705555555498</c:v>
                </c:pt>
                <c:pt idx="1947">
                  <c:v>43137.705555555498</c:v>
                </c:pt>
                <c:pt idx="1948">
                  <c:v>43138.705555555498</c:v>
                </c:pt>
                <c:pt idx="1949">
                  <c:v>43139.705555555498</c:v>
                </c:pt>
                <c:pt idx="1950">
                  <c:v>43140.705555555498</c:v>
                </c:pt>
                <c:pt idx="1951">
                  <c:v>43145.705555555498</c:v>
                </c:pt>
                <c:pt idx="1952">
                  <c:v>43146.705555555498</c:v>
                </c:pt>
                <c:pt idx="1953">
                  <c:v>43147.705555555498</c:v>
                </c:pt>
                <c:pt idx="1954">
                  <c:v>43150.705555555498</c:v>
                </c:pt>
                <c:pt idx="1955">
                  <c:v>43151.705555555498</c:v>
                </c:pt>
                <c:pt idx="1956">
                  <c:v>43152.705555555498</c:v>
                </c:pt>
                <c:pt idx="1957">
                  <c:v>43153.705555555498</c:v>
                </c:pt>
                <c:pt idx="1958">
                  <c:v>43154.705555555498</c:v>
                </c:pt>
                <c:pt idx="1959">
                  <c:v>43157.705555555498</c:v>
                </c:pt>
                <c:pt idx="1960">
                  <c:v>43158.705555555498</c:v>
                </c:pt>
                <c:pt idx="1961">
                  <c:v>43159.705555555498</c:v>
                </c:pt>
                <c:pt idx="1962">
                  <c:v>43160.705555555498</c:v>
                </c:pt>
                <c:pt idx="1963">
                  <c:v>43161.705555555498</c:v>
                </c:pt>
                <c:pt idx="1964">
                  <c:v>43164.705555555498</c:v>
                </c:pt>
                <c:pt idx="1965">
                  <c:v>43165.705555555498</c:v>
                </c:pt>
                <c:pt idx="1966">
                  <c:v>43166.705555555498</c:v>
                </c:pt>
                <c:pt idx="1967">
                  <c:v>43167.705555555498</c:v>
                </c:pt>
                <c:pt idx="1968">
                  <c:v>43168.705555555498</c:v>
                </c:pt>
                <c:pt idx="1969">
                  <c:v>43171.705555555498</c:v>
                </c:pt>
                <c:pt idx="1970">
                  <c:v>43172.705555555498</c:v>
                </c:pt>
                <c:pt idx="1971">
                  <c:v>43173.705555555498</c:v>
                </c:pt>
                <c:pt idx="1972">
                  <c:v>43174.705555555498</c:v>
                </c:pt>
                <c:pt idx="1973">
                  <c:v>43175.705555555498</c:v>
                </c:pt>
                <c:pt idx="1974">
                  <c:v>43178.705555555498</c:v>
                </c:pt>
                <c:pt idx="1975">
                  <c:v>43179.705555555498</c:v>
                </c:pt>
                <c:pt idx="1976">
                  <c:v>43180.705555555498</c:v>
                </c:pt>
                <c:pt idx="1977">
                  <c:v>43181.705555555498</c:v>
                </c:pt>
                <c:pt idx="1978">
                  <c:v>43182.705555555498</c:v>
                </c:pt>
                <c:pt idx="1979">
                  <c:v>43185.705555555498</c:v>
                </c:pt>
                <c:pt idx="1980">
                  <c:v>43186.705555555498</c:v>
                </c:pt>
                <c:pt idx="1981">
                  <c:v>43187.705555555498</c:v>
                </c:pt>
                <c:pt idx="1982">
                  <c:v>43188.705555555498</c:v>
                </c:pt>
                <c:pt idx="1983">
                  <c:v>43192.705555555498</c:v>
                </c:pt>
                <c:pt idx="1984">
                  <c:v>43193.705555555498</c:v>
                </c:pt>
                <c:pt idx="1985">
                  <c:v>43194.705555555498</c:v>
                </c:pt>
                <c:pt idx="1986">
                  <c:v>43195.705555555498</c:v>
                </c:pt>
                <c:pt idx="1987">
                  <c:v>43196.705555555498</c:v>
                </c:pt>
                <c:pt idx="1988">
                  <c:v>43199.705555555498</c:v>
                </c:pt>
                <c:pt idx="1989">
                  <c:v>43200.705555555498</c:v>
                </c:pt>
                <c:pt idx="1990">
                  <c:v>43201.705555555498</c:v>
                </c:pt>
                <c:pt idx="1991">
                  <c:v>43202.705555555498</c:v>
                </c:pt>
                <c:pt idx="1992">
                  <c:v>43203.705555555498</c:v>
                </c:pt>
                <c:pt idx="1993">
                  <c:v>43206.705555555498</c:v>
                </c:pt>
                <c:pt idx="1994">
                  <c:v>43207.705555555498</c:v>
                </c:pt>
                <c:pt idx="1995">
                  <c:v>43208.705555555498</c:v>
                </c:pt>
                <c:pt idx="1996">
                  <c:v>43209.705555555498</c:v>
                </c:pt>
                <c:pt idx="1997">
                  <c:v>43210.705555555498</c:v>
                </c:pt>
                <c:pt idx="1998">
                  <c:v>43213.705555555498</c:v>
                </c:pt>
                <c:pt idx="1999">
                  <c:v>43214.705555555498</c:v>
                </c:pt>
                <c:pt idx="2000">
                  <c:v>43215.705555555498</c:v>
                </c:pt>
                <c:pt idx="2001">
                  <c:v>43216.705555555498</c:v>
                </c:pt>
                <c:pt idx="2002">
                  <c:v>43217.705555555498</c:v>
                </c:pt>
                <c:pt idx="2003">
                  <c:v>43220.705555555498</c:v>
                </c:pt>
                <c:pt idx="2004">
                  <c:v>43222.705555555498</c:v>
                </c:pt>
                <c:pt idx="2005">
                  <c:v>43223.705555555498</c:v>
                </c:pt>
                <c:pt idx="2006">
                  <c:v>43224.705555555498</c:v>
                </c:pt>
                <c:pt idx="2007">
                  <c:v>43227.705555555498</c:v>
                </c:pt>
                <c:pt idx="2008">
                  <c:v>43228.705555555498</c:v>
                </c:pt>
                <c:pt idx="2009">
                  <c:v>43229.705555555498</c:v>
                </c:pt>
                <c:pt idx="2010">
                  <c:v>43230.705555555498</c:v>
                </c:pt>
                <c:pt idx="2011">
                  <c:v>43231.705555555498</c:v>
                </c:pt>
                <c:pt idx="2012">
                  <c:v>43234.705555555498</c:v>
                </c:pt>
                <c:pt idx="2013">
                  <c:v>43235.705555555498</c:v>
                </c:pt>
                <c:pt idx="2014">
                  <c:v>43236.705555555498</c:v>
                </c:pt>
                <c:pt idx="2015">
                  <c:v>43237.705555555498</c:v>
                </c:pt>
                <c:pt idx="2016">
                  <c:v>43238.705555555498</c:v>
                </c:pt>
                <c:pt idx="2017">
                  <c:v>43241.705555555498</c:v>
                </c:pt>
                <c:pt idx="2018">
                  <c:v>43242.705555555498</c:v>
                </c:pt>
                <c:pt idx="2019">
                  <c:v>43243.705555555498</c:v>
                </c:pt>
                <c:pt idx="2020">
                  <c:v>43244.705555555498</c:v>
                </c:pt>
                <c:pt idx="2021">
                  <c:v>43245.705555555498</c:v>
                </c:pt>
                <c:pt idx="2022">
                  <c:v>43248.705555555498</c:v>
                </c:pt>
                <c:pt idx="2023">
                  <c:v>43249.705555555498</c:v>
                </c:pt>
                <c:pt idx="2024">
                  <c:v>43250.705555555498</c:v>
                </c:pt>
                <c:pt idx="2025">
                  <c:v>43252.705555555498</c:v>
                </c:pt>
                <c:pt idx="2026">
                  <c:v>43255.705555555498</c:v>
                </c:pt>
                <c:pt idx="2027">
                  <c:v>43256.705555555498</c:v>
                </c:pt>
                <c:pt idx="2028">
                  <c:v>43257.705555555498</c:v>
                </c:pt>
                <c:pt idx="2029">
                  <c:v>43258.705555555498</c:v>
                </c:pt>
                <c:pt idx="2030">
                  <c:v>43259.705555555498</c:v>
                </c:pt>
                <c:pt idx="2031">
                  <c:v>43262.705555555498</c:v>
                </c:pt>
                <c:pt idx="2032">
                  <c:v>43263.705555555498</c:v>
                </c:pt>
                <c:pt idx="2033">
                  <c:v>43264.705555555498</c:v>
                </c:pt>
                <c:pt idx="2034">
                  <c:v>43265.705555555498</c:v>
                </c:pt>
                <c:pt idx="2035">
                  <c:v>43266.705555555498</c:v>
                </c:pt>
                <c:pt idx="2036">
                  <c:v>43269.705555555498</c:v>
                </c:pt>
                <c:pt idx="2037">
                  <c:v>43270.705555555498</c:v>
                </c:pt>
                <c:pt idx="2038">
                  <c:v>43271.705555555498</c:v>
                </c:pt>
                <c:pt idx="2039">
                  <c:v>43272.705555555498</c:v>
                </c:pt>
                <c:pt idx="2040">
                  <c:v>43273.705555555498</c:v>
                </c:pt>
                <c:pt idx="2041">
                  <c:v>43276.705555555498</c:v>
                </c:pt>
                <c:pt idx="2042">
                  <c:v>43277.705555555498</c:v>
                </c:pt>
                <c:pt idx="2043">
                  <c:v>43278.705555555498</c:v>
                </c:pt>
                <c:pt idx="2044">
                  <c:v>43279.705555555498</c:v>
                </c:pt>
                <c:pt idx="2045">
                  <c:v>43280.705555555498</c:v>
                </c:pt>
                <c:pt idx="2046">
                  <c:v>43283.705555555498</c:v>
                </c:pt>
                <c:pt idx="2047">
                  <c:v>43284.705555555498</c:v>
                </c:pt>
                <c:pt idx="2048">
                  <c:v>43285.705555555498</c:v>
                </c:pt>
                <c:pt idx="2049">
                  <c:v>43286.705555555498</c:v>
                </c:pt>
                <c:pt idx="2050">
                  <c:v>43287.705555555498</c:v>
                </c:pt>
                <c:pt idx="2051">
                  <c:v>43291.705555555498</c:v>
                </c:pt>
                <c:pt idx="2052">
                  <c:v>43292.705555555498</c:v>
                </c:pt>
                <c:pt idx="2053">
                  <c:v>43293.705555555498</c:v>
                </c:pt>
                <c:pt idx="2054">
                  <c:v>43294.705555555498</c:v>
                </c:pt>
                <c:pt idx="2055">
                  <c:v>43297.705555555498</c:v>
                </c:pt>
                <c:pt idx="2056">
                  <c:v>43298.705555555498</c:v>
                </c:pt>
                <c:pt idx="2057">
                  <c:v>43299.705555555498</c:v>
                </c:pt>
                <c:pt idx="2058">
                  <c:v>43300.705555555498</c:v>
                </c:pt>
                <c:pt idx="2059">
                  <c:v>43301.705555555498</c:v>
                </c:pt>
                <c:pt idx="2060">
                  <c:v>43304.705555555498</c:v>
                </c:pt>
                <c:pt idx="2061">
                  <c:v>43305.705555555498</c:v>
                </c:pt>
                <c:pt idx="2062">
                  <c:v>43306.705555555498</c:v>
                </c:pt>
                <c:pt idx="2063">
                  <c:v>43307.705555555498</c:v>
                </c:pt>
                <c:pt idx="2064">
                  <c:v>43308.705555555498</c:v>
                </c:pt>
                <c:pt idx="2065">
                  <c:v>43311.705555555498</c:v>
                </c:pt>
                <c:pt idx="2066">
                  <c:v>43312.705555555498</c:v>
                </c:pt>
                <c:pt idx="2067">
                  <c:v>43313.705555555498</c:v>
                </c:pt>
                <c:pt idx="2068">
                  <c:v>43314.705555555498</c:v>
                </c:pt>
                <c:pt idx="2069">
                  <c:v>43315.705555555498</c:v>
                </c:pt>
                <c:pt idx="2070">
                  <c:v>43318.705555555498</c:v>
                </c:pt>
                <c:pt idx="2071">
                  <c:v>43319.705555555498</c:v>
                </c:pt>
                <c:pt idx="2072">
                  <c:v>43320.705555555498</c:v>
                </c:pt>
                <c:pt idx="2073">
                  <c:v>43321.705555555498</c:v>
                </c:pt>
                <c:pt idx="2074">
                  <c:v>43322.705555555498</c:v>
                </c:pt>
                <c:pt idx="2075">
                  <c:v>43325.705555555498</c:v>
                </c:pt>
                <c:pt idx="2076">
                  <c:v>43326.705555555498</c:v>
                </c:pt>
                <c:pt idx="2077">
                  <c:v>43327.705555555498</c:v>
                </c:pt>
                <c:pt idx="2078">
                  <c:v>43328.705555555498</c:v>
                </c:pt>
                <c:pt idx="2079">
                  <c:v>43329.705555555498</c:v>
                </c:pt>
                <c:pt idx="2080">
                  <c:v>43332.705555555498</c:v>
                </c:pt>
                <c:pt idx="2081">
                  <c:v>43333.705555555498</c:v>
                </c:pt>
                <c:pt idx="2082">
                  <c:v>43334.705555555498</c:v>
                </c:pt>
                <c:pt idx="2083">
                  <c:v>43335.705555555498</c:v>
                </c:pt>
                <c:pt idx="2084">
                  <c:v>43336.705555555498</c:v>
                </c:pt>
                <c:pt idx="2085">
                  <c:v>43339.705555555498</c:v>
                </c:pt>
                <c:pt idx="2086">
                  <c:v>43340.705555555498</c:v>
                </c:pt>
                <c:pt idx="2087">
                  <c:v>43341.705555555498</c:v>
                </c:pt>
                <c:pt idx="2088">
                  <c:v>43342.705555555498</c:v>
                </c:pt>
                <c:pt idx="2089">
                  <c:v>43343.705555555498</c:v>
                </c:pt>
                <c:pt idx="2090">
                  <c:v>43346.705555555498</c:v>
                </c:pt>
                <c:pt idx="2091">
                  <c:v>43347.705555555498</c:v>
                </c:pt>
                <c:pt idx="2092">
                  <c:v>43348.705555555498</c:v>
                </c:pt>
                <c:pt idx="2093">
                  <c:v>43349.705555555498</c:v>
                </c:pt>
                <c:pt idx="2094">
                  <c:v>43353.705555555498</c:v>
                </c:pt>
                <c:pt idx="2095">
                  <c:v>43354.705555555498</c:v>
                </c:pt>
                <c:pt idx="2096">
                  <c:v>43355.705555555498</c:v>
                </c:pt>
                <c:pt idx="2097">
                  <c:v>43356.705555555498</c:v>
                </c:pt>
                <c:pt idx="2098">
                  <c:v>43357.705555555498</c:v>
                </c:pt>
                <c:pt idx="2099">
                  <c:v>43360.705555555498</c:v>
                </c:pt>
                <c:pt idx="2100">
                  <c:v>43361.705555555498</c:v>
                </c:pt>
                <c:pt idx="2101">
                  <c:v>43362.705555555498</c:v>
                </c:pt>
                <c:pt idx="2102">
                  <c:v>43363.705555555498</c:v>
                </c:pt>
                <c:pt idx="2103">
                  <c:v>43364.705555555498</c:v>
                </c:pt>
                <c:pt idx="2104">
                  <c:v>43367.705555555498</c:v>
                </c:pt>
                <c:pt idx="2105">
                  <c:v>43368.705555555498</c:v>
                </c:pt>
                <c:pt idx="2106">
                  <c:v>43369.705555555498</c:v>
                </c:pt>
                <c:pt idx="2107">
                  <c:v>43370.705555555498</c:v>
                </c:pt>
                <c:pt idx="2108">
                  <c:v>43371.705555555498</c:v>
                </c:pt>
                <c:pt idx="2109">
                  <c:v>43374.705555555498</c:v>
                </c:pt>
                <c:pt idx="2110">
                  <c:v>43375.705555555498</c:v>
                </c:pt>
                <c:pt idx="2111">
                  <c:v>43376.705555555498</c:v>
                </c:pt>
                <c:pt idx="2112">
                  <c:v>43377.705555555498</c:v>
                </c:pt>
                <c:pt idx="2113">
                  <c:v>43378.705555555498</c:v>
                </c:pt>
                <c:pt idx="2114">
                  <c:v>43381.705555555498</c:v>
                </c:pt>
                <c:pt idx="2115">
                  <c:v>43382.705555555498</c:v>
                </c:pt>
                <c:pt idx="2116">
                  <c:v>43383.705555555498</c:v>
                </c:pt>
                <c:pt idx="2117">
                  <c:v>43384.705555555498</c:v>
                </c:pt>
                <c:pt idx="2118">
                  <c:v>43388.705555555498</c:v>
                </c:pt>
                <c:pt idx="2119">
                  <c:v>43389.705555555498</c:v>
                </c:pt>
                <c:pt idx="2120">
                  <c:v>43390.705555555498</c:v>
                </c:pt>
                <c:pt idx="2121">
                  <c:v>43391.705555555498</c:v>
                </c:pt>
                <c:pt idx="2122">
                  <c:v>43392.705555555498</c:v>
                </c:pt>
                <c:pt idx="2123">
                  <c:v>43395.705555555498</c:v>
                </c:pt>
                <c:pt idx="2124">
                  <c:v>43396.705555555498</c:v>
                </c:pt>
                <c:pt idx="2125">
                  <c:v>43397.705555555498</c:v>
                </c:pt>
                <c:pt idx="2126">
                  <c:v>43398.705555555498</c:v>
                </c:pt>
                <c:pt idx="2127">
                  <c:v>43399.705555555498</c:v>
                </c:pt>
                <c:pt idx="2128">
                  <c:v>43402.705555555498</c:v>
                </c:pt>
                <c:pt idx="2129">
                  <c:v>43403.705555555498</c:v>
                </c:pt>
                <c:pt idx="2130">
                  <c:v>43404.705555555498</c:v>
                </c:pt>
                <c:pt idx="2131">
                  <c:v>43405.705555555498</c:v>
                </c:pt>
                <c:pt idx="2132">
                  <c:v>43409.705555555498</c:v>
                </c:pt>
                <c:pt idx="2133">
                  <c:v>43410.705555555498</c:v>
                </c:pt>
                <c:pt idx="2134">
                  <c:v>43411.705555555498</c:v>
                </c:pt>
                <c:pt idx="2135">
                  <c:v>43412.705555555498</c:v>
                </c:pt>
                <c:pt idx="2136">
                  <c:v>43413.705555555498</c:v>
                </c:pt>
                <c:pt idx="2137">
                  <c:v>43416.705555555498</c:v>
                </c:pt>
                <c:pt idx="2138">
                  <c:v>43417.705555555498</c:v>
                </c:pt>
                <c:pt idx="2139">
                  <c:v>43418.705555555498</c:v>
                </c:pt>
                <c:pt idx="2140">
                  <c:v>43420.705555555498</c:v>
                </c:pt>
                <c:pt idx="2141">
                  <c:v>43423.705555555498</c:v>
                </c:pt>
                <c:pt idx="2142">
                  <c:v>43425.705555555498</c:v>
                </c:pt>
                <c:pt idx="2143">
                  <c:v>43426.705555555498</c:v>
                </c:pt>
                <c:pt idx="2144">
                  <c:v>43427.705555555498</c:v>
                </c:pt>
                <c:pt idx="2145">
                  <c:v>43430.705555555498</c:v>
                </c:pt>
                <c:pt idx="2146">
                  <c:v>43431.705555555498</c:v>
                </c:pt>
                <c:pt idx="2147">
                  <c:v>43432.705555555498</c:v>
                </c:pt>
                <c:pt idx="2148">
                  <c:v>43433.705555555498</c:v>
                </c:pt>
                <c:pt idx="2149">
                  <c:v>43434.705555555498</c:v>
                </c:pt>
                <c:pt idx="2150">
                  <c:v>43437.705555555498</c:v>
                </c:pt>
                <c:pt idx="2151">
                  <c:v>43438.705555555498</c:v>
                </c:pt>
                <c:pt idx="2152">
                  <c:v>43439.705555555498</c:v>
                </c:pt>
                <c:pt idx="2153">
                  <c:v>43440.705555555498</c:v>
                </c:pt>
                <c:pt idx="2154">
                  <c:v>43441.705555555498</c:v>
                </c:pt>
                <c:pt idx="2155">
                  <c:v>43444.705555555498</c:v>
                </c:pt>
                <c:pt idx="2156">
                  <c:v>43445.705555555498</c:v>
                </c:pt>
                <c:pt idx="2157">
                  <c:v>43446.705555555498</c:v>
                </c:pt>
                <c:pt idx="2158">
                  <c:v>43447.705555555498</c:v>
                </c:pt>
                <c:pt idx="2159">
                  <c:v>43448.705555555498</c:v>
                </c:pt>
                <c:pt idx="2160">
                  <c:v>43451.705555555498</c:v>
                </c:pt>
                <c:pt idx="2161">
                  <c:v>43452.705555555498</c:v>
                </c:pt>
                <c:pt idx="2162">
                  <c:v>43453.705555555498</c:v>
                </c:pt>
                <c:pt idx="2163">
                  <c:v>43454.705555555498</c:v>
                </c:pt>
                <c:pt idx="2164">
                  <c:v>43455.705555555498</c:v>
                </c:pt>
                <c:pt idx="2165">
                  <c:v>43460.705555555498</c:v>
                </c:pt>
                <c:pt idx="2166">
                  <c:v>43461.705555555498</c:v>
                </c:pt>
                <c:pt idx="2167">
                  <c:v>43462.705555555498</c:v>
                </c:pt>
                <c:pt idx="2168">
                  <c:v>43467.705555555498</c:v>
                </c:pt>
                <c:pt idx="2169">
                  <c:v>43468.705555555498</c:v>
                </c:pt>
                <c:pt idx="2170">
                  <c:v>43469.705555555498</c:v>
                </c:pt>
                <c:pt idx="2171">
                  <c:v>43472.705555555498</c:v>
                </c:pt>
                <c:pt idx="2172">
                  <c:v>43473.705555555498</c:v>
                </c:pt>
                <c:pt idx="2173">
                  <c:v>43474.705555555498</c:v>
                </c:pt>
                <c:pt idx="2174">
                  <c:v>43475.705555555498</c:v>
                </c:pt>
                <c:pt idx="2175">
                  <c:v>43476.705555555498</c:v>
                </c:pt>
                <c:pt idx="2176">
                  <c:v>43479.705555555498</c:v>
                </c:pt>
                <c:pt idx="2177">
                  <c:v>43480.705555555498</c:v>
                </c:pt>
                <c:pt idx="2178">
                  <c:v>43481.705555555498</c:v>
                </c:pt>
                <c:pt idx="2179">
                  <c:v>43482.705555555498</c:v>
                </c:pt>
                <c:pt idx="2180">
                  <c:v>43483.705555555498</c:v>
                </c:pt>
                <c:pt idx="2181">
                  <c:v>43486.705555555498</c:v>
                </c:pt>
                <c:pt idx="2182">
                  <c:v>43487.705555555498</c:v>
                </c:pt>
                <c:pt idx="2183">
                  <c:v>43488.705555555498</c:v>
                </c:pt>
                <c:pt idx="2184">
                  <c:v>43489.705555555498</c:v>
                </c:pt>
                <c:pt idx="2185">
                  <c:v>43493.705555555498</c:v>
                </c:pt>
                <c:pt idx="2186">
                  <c:v>43494.705555555498</c:v>
                </c:pt>
                <c:pt idx="2187">
                  <c:v>43495.705555555498</c:v>
                </c:pt>
                <c:pt idx="2188">
                  <c:v>43496.705555555498</c:v>
                </c:pt>
                <c:pt idx="2189">
                  <c:v>43497.705555555498</c:v>
                </c:pt>
                <c:pt idx="2190">
                  <c:v>43500.705555555498</c:v>
                </c:pt>
                <c:pt idx="2191">
                  <c:v>43501.705555555498</c:v>
                </c:pt>
                <c:pt idx="2192">
                  <c:v>43502.705555555498</c:v>
                </c:pt>
                <c:pt idx="2193">
                  <c:v>43503.705555555498</c:v>
                </c:pt>
                <c:pt idx="2194">
                  <c:v>43504.705555555498</c:v>
                </c:pt>
                <c:pt idx="2195">
                  <c:v>43507.705555555498</c:v>
                </c:pt>
                <c:pt idx="2196">
                  <c:v>43508.705555555498</c:v>
                </c:pt>
                <c:pt idx="2197">
                  <c:v>43509.705555555498</c:v>
                </c:pt>
                <c:pt idx="2198">
                  <c:v>43510.705555555498</c:v>
                </c:pt>
                <c:pt idx="2199">
                  <c:v>43511.705555555498</c:v>
                </c:pt>
                <c:pt idx="2200">
                  <c:v>43515.705555555498</c:v>
                </c:pt>
                <c:pt idx="2201">
                  <c:v>43516.705555555498</c:v>
                </c:pt>
                <c:pt idx="2202">
                  <c:v>43517.705555555498</c:v>
                </c:pt>
                <c:pt idx="2203">
                  <c:v>43518.705555555498</c:v>
                </c:pt>
                <c:pt idx="2204">
                  <c:v>43521.705555555498</c:v>
                </c:pt>
                <c:pt idx="2205">
                  <c:v>43522.705555555498</c:v>
                </c:pt>
                <c:pt idx="2206">
                  <c:v>43523.705555555498</c:v>
                </c:pt>
                <c:pt idx="2207">
                  <c:v>43524.705555555498</c:v>
                </c:pt>
                <c:pt idx="2208">
                  <c:v>43525.705555555498</c:v>
                </c:pt>
                <c:pt idx="2209">
                  <c:v>43530.705555555498</c:v>
                </c:pt>
                <c:pt idx="2210">
                  <c:v>43531.705555555498</c:v>
                </c:pt>
                <c:pt idx="2211">
                  <c:v>43532.705555555498</c:v>
                </c:pt>
                <c:pt idx="2212">
                  <c:v>43535.705555555498</c:v>
                </c:pt>
                <c:pt idx="2213">
                  <c:v>43536.705555555498</c:v>
                </c:pt>
                <c:pt idx="2214">
                  <c:v>43537.705555555498</c:v>
                </c:pt>
                <c:pt idx="2215">
                  <c:v>43538.705555555498</c:v>
                </c:pt>
                <c:pt idx="2216">
                  <c:v>43539.705555555498</c:v>
                </c:pt>
                <c:pt idx="2217">
                  <c:v>43542.705555555498</c:v>
                </c:pt>
                <c:pt idx="2218">
                  <c:v>43543.705555555498</c:v>
                </c:pt>
                <c:pt idx="2219">
                  <c:v>43544.705555555498</c:v>
                </c:pt>
                <c:pt idx="2220">
                  <c:v>43545.705555555498</c:v>
                </c:pt>
                <c:pt idx="2221">
                  <c:v>43546.705555555498</c:v>
                </c:pt>
                <c:pt idx="2222">
                  <c:v>43549.705555555498</c:v>
                </c:pt>
                <c:pt idx="2223">
                  <c:v>43550.705555555498</c:v>
                </c:pt>
                <c:pt idx="2224">
                  <c:v>43551.705555555498</c:v>
                </c:pt>
                <c:pt idx="2225">
                  <c:v>43552.705555555498</c:v>
                </c:pt>
                <c:pt idx="2226">
                  <c:v>43553.705555555498</c:v>
                </c:pt>
                <c:pt idx="2227">
                  <c:v>43556.705555555498</c:v>
                </c:pt>
                <c:pt idx="2228">
                  <c:v>43557.705555555498</c:v>
                </c:pt>
                <c:pt idx="2229">
                  <c:v>43558.705555555498</c:v>
                </c:pt>
                <c:pt idx="2230">
                  <c:v>43559.705555555498</c:v>
                </c:pt>
                <c:pt idx="2231">
                  <c:v>43560.705555555498</c:v>
                </c:pt>
                <c:pt idx="2232">
                  <c:v>43563.705555555498</c:v>
                </c:pt>
                <c:pt idx="2233">
                  <c:v>43564.705555555498</c:v>
                </c:pt>
                <c:pt idx="2234">
                  <c:v>43565.705555555498</c:v>
                </c:pt>
                <c:pt idx="2235">
                  <c:v>43566.705555555498</c:v>
                </c:pt>
                <c:pt idx="2236">
                  <c:v>43567.705555555498</c:v>
                </c:pt>
                <c:pt idx="2237">
                  <c:v>43570.705555555498</c:v>
                </c:pt>
                <c:pt idx="2238">
                  <c:v>43571.705555555498</c:v>
                </c:pt>
                <c:pt idx="2239">
                  <c:v>43572.705555555498</c:v>
                </c:pt>
                <c:pt idx="2240">
                  <c:v>43573.705555555498</c:v>
                </c:pt>
                <c:pt idx="2241">
                  <c:v>43577.705555555498</c:v>
                </c:pt>
                <c:pt idx="2242">
                  <c:v>43578.705555555498</c:v>
                </c:pt>
                <c:pt idx="2243">
                  <c:v>43579.705555555498</c:v>
                </c:pt>
                <c:pt idx="2244">
                  <c:v>43580.705555555498</c:v>
                </c:pt>
                <c:pt idx="2245">
                  <c:v>43581.705555555498</c:v>
                </c:pt>
                <c:pt idx="2246">
                  <c:v>43584.705555555498</c:v>
                </c:pt>
                <c:pt idx="2247">
                  <c:v>43585.705555555498</c:v>
                </c:pt>
                <c:pt idx="2248">
                  <c:v>43587.705555555498</c:v>
                </c:pt>
                <c:pt idx="2249">
                  <c:v>43588.705555555498</c:v>
                </c:pt>
                <c:pt idx="2250">
                  <c:v>43591.705555555498</c:v>
                </c:pt>
                <c:pt idx="2251">
                  <c:v>43592.705555555498</c:v>
                </c:pt>
                <c:pt idx="2252">
                  <c:v>43593.705555555498</c:v>
                </c:pt>
                <c:pt idx="2253">
                  <c:v>43594.705555555498</c:v>
                </c:pt>
                <c:pt idx="2254">
                  <c:v>43595.705555555498</c:v>
                </c:pt>
                <c:pt idx="2255">
                  <c:v>43598.705555555498</c:v>
                </c:pt>
                <c:pt idx="2256">
                  <c:v>43599.705555555498</c:v>
                </c:pt>
                <c:pt idx="2257">
                  <c:v>43600.705555555498</c:v>
                </c:pt>
                <c:pt idx="2258">
                  <c:v>43601.705555555498</c:v>
                </c:pt>
                <c:pt idx="2259">
                  <c:v>43602.705555555498</c:v>
                </c:pt>
                <c:pt idx="2260">
                  <c:v>43605.705555555498</c:v>
                </c:pt>
                <c:pt idx="2261">
                  <c:v>43606.705555555498</c:v>
                </c:pt>
                <c:pt idx="2262">
                  <c:v>43607.705555555498</c:v>
                </c:pt>
                <c:pt idx="2263">
                  <c:v>43608.705555555498</c:v>
                </c:pt>
                <c:pt idx="2264">
                  <c:v>43609.705555555498</c:v>
                </c:pt>
                <c:pt idx="2265">
                  <c:v>43612.705555555498</c:v>
                </c:pt>
                <c:pt idx="2266">
                  <c:v>43613.705555555498</c:v>
                </c:pt>
                <c:pt idx="2267">
                  <c:v>43614.705555555498</c:v>
                </c:pt>
                <c:pt idx="2268">
                  <c:v>43615.705555555498</c:v>
                </c:pt>
                <c:pt idx="2269">
                  <c:v>43616.705555555498</c:v>
                </c:pt>
                <c:pt idx="2270">
                  <c:v>43619.705555555498</c:v>
                </c:pt>
                <c:pt idx="2271">
                  <c:v>43620.705555555498</c:v>
                </c:pt>
                <c:pt idx="2272">
                  <c:v>43621.705555555498</c:v>
                </c:pt>
                <c:pt idx="2273">
                  <c:v>43622.705555555498</c:v>
                </c:pt>
                <c:pt idx="2274">
                  <c:v>43623.705555555498</c:v>
                </c:pt>
                <c:pt idx="2275">
                  <c:v>43626.705555555498</c:v>
                </c:pt>
                <c:pt idx="2276">
                  <c:v>43627.705555555498</c:v>
                </c:pt>
                <c:pt idx="2277">
                  <c:v>43628.705555555498</c:v>
                </c:pt>
                <c:pt idx="2278">
                  <c:v>43629.705555555498</c:v>
                </c:pt>
                <c:pt idx="2279">
                  <c:v>43630.705555555498</c:v>
                </c:pt>
                <c:pt idx="2280">
                  <c:v>43633.705555555498</c:v>
                </c:pt>
                <c:pt idx="2281">
                  <c:v>43634.705555555498</c:v>
                </c:pt>
                <c:pt idx="2282">
                  <c:v>43635.705555555498</c:v>
                </c:pt>
                <c:pt idx="2283">
                  <c:v>43637.705555555498</c:v>
                </c:pt>
                <c:pt idx="2284">
                  <c:v>43640.705555555498</c:v>
                </c:pt>
                <c:pt idx="2285">
                  <c:v>43641.705555555498</c:v>
                </c:pt>
                <c:pt idx="2286">
                  <c:v>43642.705555555498</c:v>
                </c:pt>
                <c:pt idx="2287">
                  <c:v>43643.705555555498</c:v>
                </c:pt>
                <c:pt idx="2288">
                  <c:v>43644.705555555498</c:v>
                </c:pt>
                <c:pt idx="2289">
                  <c:v>43647.705555555498</c:v>
                </c:pt>
                <c:pt idx="2290">
                  <c:v>43648.705555555498</c:v>
                </c:pt>
                <c:pt idx="2291">
                  <c:v>43649.705555555498</c:v>
                </c:pt>
                <c:pt idx="2292">
                  <c:v>43650.705555555498</c:v>
                </c:pt>
                <c:pt idx="2293">
                  <c:v>43651.705555555498</c:v>
                </c:pt>
                <c:pt idx="2294">
                  <c:v>43654.705555555498</c:v>
                </c:pt>
                <c:pt idx="2295">
                  <c:v>43656.705555555498</c:v>
                </c:pt>
                <c:pt idx="2296">
                  <c:v>43657.705555555498</c:v>
                </c:pt>
                <c:pt idx="2297">
                  <c:v>43658.705555555498</c:v>
                </c:pt>
                <c:pt idx="2298">
                  <c:v>43661.705555555498</c:v>
                </c:pt>
                <c:pt idx="2299">
                  <c:v>43662.705555555498</c:v>
                </c:pt>
                <c:pt idx="2300">
                  <c:v>43663.705555555498</c:v>
                </c:pt>
                <c:pt idx="2301">
                  <c:v>43664.705555555498</c:v>
                </c:pt>
                <c:pt idx="2302">
                  <c:v>43665.705555555498</c:v>
                </c:pt>
                <c:pt idx="2303">
                  <c:v>43668.705555555498</c:v>
                </c:pt>
                <c:pt idx="2304">
                  <c:v>43669.705555555498</c:v>
                </c:pt>
                <c:pt idx="2305">
                  <c:v>43670.705555555498</c:v>
                </c:pt>
                <c:pt idx="2306">
                  <c:v>43671.705555555498</c:v>
                </c:pt>
                <c:pt idx="2307">
                  <c:v>43672.705555555498</c:v>
                </c:pt>
                <c:pt idx="2308">
                  <c:v>43675.705555555498</c:v>
                </c:pt>
                <c:pt idx="2309">
                  <c:v>43676.705555555498</c:v>
                </c:pt>
                <c:pt idx="2310">
                  <c:v>43677.705555555498</c:v>
                </c:pt>
                <c:pt idx="2311">
                  <c:v>43678.705555555498</c:v>
                </c:pt>
                <c:pt idx="2312">
                  <c:v>43679.705555555498</c:v>
                </c:pt>
                <c:pt idx="2313">
                  <c:v>43682.705555555498</c:v>
                </c:pt>
                <c:pt idx="2314">
                  <c:v>43683.705555555498</c:v>
                </c:pt>
                <c:pt idx="2315">
                  <c:v>43684.705555555498</c:v>
                </c:pt>
                <c:pt idx="2316">
                  <c:v>43685.705555555498</c:v>
                </c:pt>
                <c:pt idx="2317">
                  <c:v>43686.705555555498</c:v>
                </c:pt>
                <c:pt idx="2318">
                  <c:v>43689.705555555498</c:v>
                </c:pt>
                <c:pt idx="2319">
                  <c:v>43690.705555555498</c:v>
                </c:pt>
                <c:pt idx="2320">
                  <c:v>43691.705555555498</c:v>
                </c:pt>
                <c:pt idx="2321">
                  <c:v>43692.705555555498</c:v>
                </c:pt>
                <c:pt idx="2322">
                  <c:v>43693.705555555498</c:v>
                </c:pt>
                <c:pt idx="2323">
                  <c:v>43696.705555555498</c:v>
                </c:pt>
                <c:pt idx="2324">
                  <c:v>43697.705555555498</c:v>
                </c:pt>
                <c:pt idx="2325">
                  <c:v>43698.705555555498</c:v>
                </c:pt>
                <c:pt idx="2326">
                  <c:v>43699.705555555498</c:v>
                </c:pt>
                <c:pt idx="2327">
                  <c:v>43700.705555555498</c:v>
                </c:pt>
                <c:pt idx="2328">
                  <c:v>43703.705555555498</c:v>
                </c:pt>
                <c:pt idx="2329">
                  <c:v>43704.705555555498</c:v>
                </c:pt>
                <c:pt idx="2330">
                  <c:v>43705.705555555498</c:v>
                </c:pt>
                <c:pt idx="2331">
                  <c:v>43706.705555555498</c:v>
                </c:pt>
                <c:pt idx="2332">
                  <c:v>43707.705555555498</c:v>
                </c:pt>
                <c:pt idx="2333">
                  <c:v>43710.705555555498</c:v>
                </c:pt>
                <c:pt idx="2334">
                  <c:v>43711.705555555498</c:v>
                </c:pt>
                <c:pt idx="2335">
                  <c:v>43712.705555555498</c:v>
                </c:pt>
                <c:pt idx="2336">
                  <c:v>43713.705555555498</c:v>
                </c:pt>
                <c:pt idx="2337">
                  <c:v>43714.705555555498</c:v>
                </c:pt>
                <c:pt idx="2338">
                  <c:v>43717.705555555498</c:v>
                </c:pt>
                <c:pt idx="2339">
                  <c:v>43718.705555555498</c:v>
                </c:pt>
                <c:pt idx="2340">
                  <c:v>43719.705555555498</c:v>
                </c:pt>
                <c:pt idx="2341">
                  <c:v>43720.705555555498</c:v>
                </c:pt>
                <c:pt idx="2342">
                  <c:v>43721.705555555498</c:v>
                </c:pt>
                <c:pt idx="2343">
                  <c:v>43724.705555555498</c:v>
                </c:pt>
                <c:pt idx="2344">
                  <c:v>43725.705555555498</c:v>
                </c:pt>
                <c:pt idx="2345">
                  <c:v>43726.705555555498</c:v>
                </c:pt>
                <c:pt idx="2346">
                  <c:v>43727.705555555498</c:v>
                </c:pt>
                <c:pt idx="2347">
                  <c:v>43728.705555555498</c:v>
                </c:pt>
                <c:pt idx="2348">
                  <c:v>43731.705555555498</c:v>
                </c:pt>
                <c:pt idx="2349">
                  <c:v>43732.705555555498</c:v>
                </c:pt>
                <c:pt idx="2350">
                  <c:v>43733.705555555498</c:v>
                </c:pt>
                <c:pt idx="2351">
                  <c:v>43734.705555555498</c:v>
                </c:pt>
                <c:pt idx="2352">
                  <c:v>43735.705555555498</c:v>
                </c:pt>
                <c:pt idx="2353">
                  <c:v>43738.705555555498</c:v>
                </c:pt>
                <c:pt idx="2354">
                  <c:v>43739.705555555498</c:v>
                </c:pt>
                <c:pt idx="2355">
                  <c:v>43740.705555555498</c:v>
                </c:pt>
                <c:pt idx="2356">
                  <c:v>43741.705555555498</c:v>
                </c:pt>
                <c:pt idx="2357">
                  <c:v>43742.705555555498</c:v>
                </c:pt>
                <c:pt idx="2358">
                  <c:v>43745.705555555498</c:v>
                </c:pt>
                <c:pt idx="2359">
                  <c:v>43746.705555555498</c:v>
                </c:pt>
                <c:pt idx="2360">
                  <c:v>43747.705555555498</c:v>
                </c:pt>
                <c:pt idx="2361">
                  <c:v>43748.705555555498</c:v>
                </c:pt>
                <c:pt idx="2362">
                  <c:v>43749.705555555498</c:v>
                </c:pt>
                <c:pt idx="2363">
                  <c:v>43752.705555555498</c:v>
                </c:pt>
                <c:pt idx="2364">
                  <c:v>43753.705555555498</c:v>
                </c:pt>
                <c:pt idx="2365">
                  <c:v>43754.705555555498</c:v>
                </c:pt>
                <c:pt idx="2366">
                  <c:v>43755.705555555498</c:v>
                </c:pt>
                <c:pt idx="2367">
                  <c:v>43756.705555555498</c:v>
                </c:pt>
                <c:pt idx="2368">
                  <c:v>43759.705555555498</c:v>
                </c:pt>
                <c:pt idx="2369">
                  <c:v>43760.705555555498</c:v>
                </c:pt>
                <c:pt idx="2370">
                  <c:v>43761.705555555498</c:v>
                </c:pt>
                <c:pt idx="2371">
                  <c:v>43762.705555555498</c:v>
                </c:pt>
                <c:pt idx="2372">
                  <c:v>43763.705555555498</c:v>
                </c:pt>
                <c:pt idx="2373">
                  <c:v>43766.705555555498</c:v>
                </c:pt>
                <c:pt idx="2374">
                  <c:v>43767.705555555498</c:v>
                </c:pt>
                <c:pt idx="2375">
                  <c:v>43768.705555555498</c:v>
                </c:pt>
                <c:pt idx="2376">
                  <c:v>43769.705555555498</c:v>
                </c:pt>
                <c:pt idx="2377">
                  <c:v>43770.705555555498</c:v>
                </c:pt>
                <c:pt idx="2378">
                  <c:v>43773.705555555498</c:v>
                </c:pt>
                <c:pt idx="2379">
                  <c:v>43774.705555555498</c:v>
                </c:pt>
                <c:pt idx="2380">
                  <c:v>43775.705555555498</c:v>
                </c:pt>
                <c:pt idx="2381">
                  <c:v>43776.705555555498</c:v>
                </c:pt>
                <c:pt idx="2382">
                  <c:v>43777.705555555498</c:v>
                </c:pt>
                <c:pt idx="2383">
                  <c:v>43780.705555555498</c:v>
                </c:pt>
                <c:pt idx="2384">
                  <c:v>43781.705555555498</c:v>
                </c:pt>
                <c:pt idx="2385">
                  <c:v>43782.705555555498</c:v>
                </c:pt>
                <c:pt idx="2386">
                  <c:v>43783.705555555498</c:v>
                </c:pt>
                <c:pt idx="2387">
                  <c:v>43787.705555555498</c:v>
                </c:pt>
                <c:pt idx="2388">
                  <c:v>43788.705555555498</c:v>
                </c:pt>
                <c:pt idx="2389">
                  <c:v>43790.705555555498</c:v>
                </c:pt>
                <c:pt idx="2390">
                  <c:v>43791.705555555498</c:v>
                </c:pt>
                <c:pt idx="2391">
                  <c:v>43794.705555555498</c:v>
                </c:pt>
                <c:pt idx="2392">
                  <c:v>43795.705555555498</c:v>
                </c:pt>
                <c:pt idx="2393">
                  <c:v>43796.705555555498</c:v>
                </c:pt>
                <c:pt idx="2394">
                  <c:v>43797.705555555498</c:v>
                </c:pt>
                <c:pt idx="2395">
                  <c:v>43798.705555555498</c:v>
                </c:pt>
                <c:pt idx="2396">
                  <c:v>43801.705555555498</c:v>
                </c:pt>
                <c:pt idx="2397">
                  <c:v>43802.705555555498</c:v>
                </c:pt>
                <c:pt idx="2398">
                  <c:v>43803.705555555498</c:v>
                </c:pt>
                <c:pt idx="2399">
                  <c:v>43804.705555555498</c:v>
                </c:pt>
                <c:pt idx="2400">
                  <c:v>43805.705555555498</c:v>
                </c:pt>
                <c:pt idx="2401">
                  <c:v>43808.705555555498</c:v>
                </c:pt>
                <c:pt idx="2402">
                  <c:v>43809.705555555498</c:v>
                </c:pt>
                <c:pt idx="2403">
                  <c:v>43810.705555555498</c:v>
                </c:pt>
                <c:pt idx="2404">
                  <c:v>43811.705555555498</c:v>
                </c:pt>
                <c:pt idx="2405">
                  <c:v>43812.705555555498</c:v>
                </c:pt>
                <c:pt idx="2406">
                  <c:v>43815.705555555498</c:v>
                </c:pt>
                <c:pt idx="2407">
                  <c:v>43816.705555555498</c:v>
                </c:pt>
                <c:pt idx="2408">
                  <c:v>43817.705555555498</c:v>
                </c:pt>
                <c:pt idx="2409">
                  <c:v>43818.705555555498</c:v>
                </c:pt>
                <c:pt idx="2410">
                  <c:v>43819.705555555498</c:v>
                </c:pt>
                <c:pt idx="2411">
                  <c:v>43822.705555555498</c:v>
                </c:pt>
                <c:pt idx="2412">
                  <c:v>43825.705555555498</c:v>
                </c:pt>
                <c:pt idx="2413">
                  <c:v>43826.705555555498</c:v>
                </c:pt>
                <c:pt idx="2414">
                  <c:v>43829.705555555498</c:v>
                </c:pt>
                <c:pt idx="2415">
                  <c:v>43832.705555555498</c:v>
                </c:pt>
                <c:pt idx="2416">
                  <c:v>43833.743055555497</c:v>
                </c:pt>
                <c:pt idx="2417">
                  <c:v>43836.705555555498</c:v>
                </c:pt>
                <c:pt idx="2418">
                  <c:v>43837.705555555498</c:v>
                </c:pt>
                <c:pt idx="2419">
                  <c:v>43838.705555555498</c:v>
                </c:pt>
                <c:pt idx="2420">
                  <c:v>43839.705555555498</c:v>
                </c:pt>
                <c:pt idx="2421">
                  <c:v>43840.705555555498</c:v>
                </c:pt>
                <c:pt idx="2422">
                  <c:v>43843.705555555498</c:v>
                </c:pt>
                <c:pt idx="2423">
                  <c:v>43844.705555555498</c:v>
                </c:pt>
                <c:pt idx="2424">
                  <c:v>43845.705555555498</c:v>
                </c:pt>
                <c:pt idx="2425">
                  <c:v>43846.705555555498</c:v>
                </c:pt>
                <c:pt idx="2426">
                  <c:v>43847.705555555498</c:v>
                </c:pt>
                <c:pt idx="2427">
                  <c:v>43850.705555555498</c:v>
                </c:pt>
                <c:pt idx="2428">
                  <c:v>43851.705555555498</c:v>
                </c:pt>
                <c:pt idx="2429">
                  <c:v>43852.705555555498</c:v>
                </c:pt>
                <c:pt idx="2430">
                  <c:v>43853.705555555498</c:v>
                </c:pt>
                <c:pt idx="2431">
                  <c:v>43854.705555555498</c:v>
                </c:pt>
                <c:pt idx="2432">
                  <c:v>43857.705555555498</c:v>
                </c:pt>
                <c:pt idx="2433">
                  <c:v>43858.705555555498</c:v>
                </c:pt>
                <c:pt idx="2434">
                  <c:v>43859.705555555498</c:v>
                </c:pt>
                <c:pt idx="2435">
                  <c:v>43860.705555555498</c:v>
                </c:pt>
                <c:pt idx="2436">
                  <c:v>43861.705555555498</c:v>
                </c:pt>
                <c:pt idx="2437">
                  <c:v>43864.705555555498</c:v>
                </c:pt>
                <c:pt idx="2438">
                  <c:v>43865.705555555498</c:v>
                </c:pt>
                <c:pt idx="2439">
                  <c:v>43866.705555555498</c:v>
                </c:pt>
                <c:pt idx="2440">
                  <c:v>43867.705555555498</c:v>
                </c:pt>
                <c:pt idx="2441">
                  <c:v>43868.705555555498</c:v>
                </c:pt>
                <c:pt idx="2442">
                  <c:v>43871.705555555498</c:v>
                </c:pt>
                <c:pt idx="2443">
                  <c:v>43872.705555555498</c:v>
                </c:pt>
                <c:pt idx="2444">
                  <c:v>43873.705555555498</c:v>
                </c:pt>
                <c:pt idx="2445">
                  <c:v>43874.705555555498</c:v>
                </c:pt>
                <c:pt idx="2446">
                  <c:v>43875.705555555498</c:v>
                </c:pt>
                <c:pt idx="2447">
                  <c:v>43878.705555555498</c:v>
                </c:pt>
                <c:pt idx="2448">
                  <c:v>43879.705555555498</c:v>
                </c:pt>
                <c:pt idx="2449">
                  <c:v>43880.705555555498</c:v>
                </c:pt>
                <c:pt idx="2450">
                  <c:v>43881.705555555498</c:v>
                </c:pt>
                <c:pt idx="2451">
                  <c:v>43882.705555555498</c:v>
                </c:pt>
                <c:pt idx="2452">
                  <c:v>43887.705555555498</c:v>
                </c:pt>
                <c:pt idx="2453">
                  <c:v>43888.705555555498</c:v>
                </c:pt>
                <c:pt idx="2454">
                  <c:v>43889.705555555498</c:v>
                </c:pt>
                <c:pt idx="2455">
                  <c:v>43892.705555555498</c:v>
                </c:pt>
                <c:pt idx="2456">
                  <c:v>43893.705555555498</c:v>
                </c:pt>
                <c:pt idx="2457">
                  <c:v>43894.705555555498</c:v>
                </c:pt>
                <c:pt idx="2458">
                  <c:v>43895.705555555498</c:v>
                </c:pt>
                <c:pt idx="2459">
                  <c:v>43896.705555555498</c:v>
                </c:pt>
                <c:pt idx="2460">
                  <c:v>43899.705555555498</c:v>
                </c:pt>
                <c:pt idx="2461">
                  <c:v>43900.705555555498</c:v>
                </c:pt>
                <c:pt idx="2462">
                  <c:v>43901.705555555498</c:v>
                </c:pt>
                <c:pt idx="2463">
                  <c:v>43902.705555555498</c:v>
                </c:pt>
                <c:pt idx="2464">
                  <c:v>43903.705555555498</c:v>
                </c:pt>
                <c:pt idx="2465">
                  <c:v>43906.705555555498</c:v>
                </c:pt>
                <c:pt idx="2466">
                  <c:v>43907.705555555498</c:v>
                </c:pt>
                <c:pt idx="2467">
                  <c:v>43908.705555555498</c:v>
                </c:pt>
                <c:pt idx="2468">
                  <c:v>43909.705555555498</c:v>
                </c:pt>
                <c:pt idx="2469">
                  <c:v>43910.705555555498</c:v>
                </c:pt>
                <c:pt idx="2470">
                  <c:v>43913.705555555498</c:v>
                </c:pt>
                <c:pt idx="2471">
                  <c:v>43914.705555555498</c:v>
                </c:pt>
                <c:pt idx="2472">
                  <c:v>43915.705555555498</c:v>
                </c:pt>
                <c:pt idx="2473">
                  <c:v>43916.705555555498</c:v>
                </c:pt>
                <c:pt idx="2474">
                  <c:v>43917.705555555498</c:v>
                </c:pt>
                <c:pt idx="2475">
                  <c:v>43920.705555555498</c:v>
                </c:pt>
                <c:pt idx="2476">
                  <c:v>43921.705555555498</c:v>
                </c:pt>
                <c:pt idx="2477">
                  <c:v>43922.705555555498</c:v>
                </c:pt>
                <c:pt idx="2478">
                  <c:v>43923.705555555498</c:v>
                </c:pt>
                <c:pt idx="2479">
                  <c:v>43924.705555555498</c:v>
                </c:pt>
                <c:pt idx="2480">
                  <c:v>43927.705555555498</c:v>
                </c:pt>
                <c:pt idx="2481">
                  <c:v>43928.705555555498</c:v>
                </c:pt>
                <c:pt idx="2482">
                  <c:v>43929.705555555498</c:v>
                </c:pt>
                <c:pt idx="2483">
                  <c:v>43930.705555555498</c:v>
                </c:pt>
                <c:pt idx="2484">
                  <c:v>43934.705555555498</c:v>
                </c:pt>
                <c:pt idx="2485">
                  <c:v>43935.705555555498</c:v>
                </c:pt>
                <c:pt idx="2486">
                  <c:v>43936.705555555498</c:v>
                </c:pt>
                <c:pt idx="2487">
                  <c:v>43937.705555555498</c:v>
                </c:pt>
                <c:pt idx="2488">
                  <c:v>43938.705555555498</c:v>
                </c:pt>
                <c:pt idx="2489">
                  <c:v>43941.705555555498</c:v>
                </c:pt>
                <c:pt idx="2490">
                  <c:v>43943.705555555498</c:v>
                </c:pt>
                <c:pt idx="2491">
                  <c:v>43944.705555555498</c:v>
                </c:pt>
                <c:pt idx="2492">
                  <c:v>43945.705555555498</c:v>
                </c:pt>
                <c:pt idx="2493">
                  <c:v>43948.705555555498</c:v>
                </c:pt>
                <c:pt idx="2494">
                  <c:v>43949.705555555498</c:v>
                </c:pt>
                <c:pt idx="2495">
                  <c:v>43950.705555555498</c:v>
                </c:pt>
                <c:pt idx="2496">
                  <c:v>43951.705555555498</c:v>
                </c:pt>
                <c:pt idx="2497">
                  <c:v>43955.705555555498</c:v>
                </c:pt>
                <c:pt idx="2498">
                  <c:v>43956.705555555498</c:v>
                </c:pt>
                <c:pt idx="2499">
                  <c:v>43957.705555555498</c:v>
                </c:pt>
                <c:pt idx="2500">
                  <c:v>43958.705555555498</c:v>
                </c:pt>
                <c:pt idx="2501">
                  <c:v>43959.705555555498</c:v>
                </c:pt>
                <c:pt idx="2502">
                  <c:v>43962.705555555498</c:v>
                </c:pt>
                <c:pt idx="2503">
                  <c:v>43963.705555555498</c:v>
                </c:pt>
                <c:pt idx="2504">
                  <c:v>43964.705555555498</c:v>
                </c:pt>
                <c:pt idx="2505">
                  <c:v>43965.705555555498</c:v>
                </c:pt>
                <c:pt idx="2506">
                  <c:v>43966.705555555498</c:v>
                </c:pt>
                <c:pt idx="2507">
                  <c:v>43969.705555555498</c:v>
                </c:pt>
                <c:pt idx="2508">
                  <c:v>43970.705555555498</c:v>
                </c:pt>
                <c:pt idx="2509">
                  <c:v>43971.705555555498</c:v>
                </c:pt>
                <c:pt idx="2510">
                  <c:v>43972.705555555498</c:v>
                </c:pt>
                <c:pt idx="2511">
                  <c:v>43973.705555555498</c:v>
                </c:pt>
                <c:pt idx="2512">
                  <c:v>43976.705555555498</c:v>
                </c:pt>
                <c:pt idx="2513">
                  <c:v>43977.705555555498</c:v>
                </c:pt>
                <c:pt idx="2514">
                  <c:v>43978.705555555498</c:v>
                </c:pt>
                <c:pt idx="2515">
                  <c:v>43979.705555555498</c:v>
                </c:pt>
                <c:pt idx="2516">
                  <c:v>43980.705555555498</c:v>
                </c:pt>
                <c:pt idx="2517">
                  <c:v>43983.705555555498</c:v>
                </c:pt>
                <c:pt idx="2518">
                  <c:v>43984.705555555498</c:v>
                </c:pt>
                <c:pt idx="2519">
                  <c:v>43985.705555555498</c:v>
                </c:pt>
                <c:pt idx="2520">
                  <c:v>43986.705555555498</c:v>
                </c:pt>
                <c:pt idx="2521">
                  <c:v>43987.705555555498</c:v>
                </c:pt>
                <c:pt idx="2522">
                  <c:v>43990.705555555498</c:v>
                </c:pt>
                <c:pt idx="2523">
                  <c:v>43991.705555555498</c:v>
                </c:pt>
                <c:pt idx="2524">
                  <c:v>43992.705555555498</c:v>
                </c:pt>
                <c:pt idx="2525">
                  <c:v>43994.705555555498</c:v>
                </c:pt>
                <c:pt idx="2526">
                  <c:v>43997.705555555498</c:v>
                </c:pt>
                <c:pt idx="2527">
                  <c:v>43998.705555555498</c:v>
                </c:pt>
                <c:pt idx="2528">
                  <c:v>43999.705555555498</c:v>
                </c:pt>
                <c:pt idx="2529">
                  <c:v>44000.705555555498</c:v>
                </c:pt>
                <c:pt idx="2530">
                  <c:v>44001.705555555498</c:v>
                </c:pt>
                <c:pt idx="2531">
                  <c:v>44004.705555555498</c:v>
                </c:pt>
                <c:pt idx="2532">
                  <c:v>44005.705555555498</c:v>
                </c:pt>
                <c:pt idx="2533">
                  <c:v>44006.705555555498</c:v>
                </c:pt>
                <c:pt idx="2534">
                  <c:v>44007.705555555498</c:v>
                </c:pt>
                <c:pt idx="2535">
                  <c:v>44008.705555555498</c:v>
                </c:pt>
                <c:pt idx="2536">
                  <c:v>44011.705555555498</c:v>
                </c:pt>
                <c:pt idx="2537">
                  <c:v>44012.705555555498</c:v>
                </c:pt>
                <c:pt idx="2538">
                  <c:v>44013.705555555498</c:v>
                </c:pt>
                <c:pt idx="2539">
                  <c:v>44014.705555555498</c:v>
                </c:pt>
                <c:pt idx="2540">
                  <c:v>44015.705555555498</c:v>
                </c:pt>
                <c:pt idx="2541">
                  <c:v>44018.705555555498</c:v>
                </c:pt>
                <c:pt idx="2542">
                  <c:v>44019.705555555498</c:v>
                </c:pt>
                <c:pt idx="2543">
                  <c:v>44020.705555555498</c:v>
                </c:pt>
                <c:pt idx="2544">
                  <c:v>44022.705555555498</c:v>
                </c:pt>
                <c:pt idx="2545">
                  <c:v>44025.705555555498</c:v>
                </c:pt>
                <c:pt idx="2546">
                  <c:v>44026.705555555498</c:v>
                </c:pt>
                <c:pt idx="2547">
                  <c:v>44027.705555555498</c:v>
                </c:pt>
                <c:pt idx="2548">
                  <c:v>44028.705555555498</c:v>
                </c:pt>
                <c:pt idx="2549">
                  <c:v>44029.705555555498</c:v>
                </c:pt>
                <c:pt idx="2550">
                  <c:v>44032.705555555498</c:v>
                </c:pt>
                <c:pt idx="2551">
                  <c:v>44033.705555555498</c:v>
                </c:pt>
                <c:pt idx="2552">
                  <c:v>44034.705555555498</c:v>
                </c:pt>
                <c:pt idx="2553">
                  <c:v>44035.705555555498</c:v>
                </c:pt>
                <c:pt idx="2554">
                  <c:v>44036.705555555498</c:v>
                </c:pt>
                <c:pt idx="2555">
                  <c:v>44039.705555555498</c:v>
                </c:pt>
                <c:pt idx="2556">
                  <c:v>44040.705555555498</c:v>
                </c:pt>
                <c:pt idx="2557">
                  <c:v>44041.705555555498</c:v>
                </c:pt>
                <c:pt idx="2558">
                  <c:v>44042.705555555498</c:v>
                </c:pt>
                <c:pt idx="2559">
                  <c:v>44043.705555555498</c:v>
                </c:pt>
                <c:pt idx="2560">
                  <c:v>44046.705555555498</c:v>
                </c:pt>
                <c:pt idx="2561">
                  <c:v>44047.705555555498</c:v>
                </c:pt>
                <c:pt idx="2562">
                  <c:v>44048.705555555498</c:v>
                </c:pt>
                <c:pt idx="2563">
                  <c:v>44049.705555555498</c:v>
                </c:pt>
                <c:pt idx="2564">
                  <c:v>44050.705555555498</c:v>
                </c:pt>
                <c:pt idx="2565">
                  <c:v>44053.705555555498</c:v>
                </c:pt>
                <c:pt idx="2566">
                  <c:v>44054.705555555498</c:v>
                </c:pt>
                <c:pt idx="2567">
                  <c:v>44055.705555555498</c:v>
                </c:pt>
                <c:pt idx="2568">
                  <c:v>44056.705555555498</c:v>
                </c:pt>
                <c:pt idx="2569">
                  <c:v>44057.705555555498</c:v>
                </c:pt>
                <c:pt idx="2570">
                  <c:v>44060.705555555498</c:v>
                </c:pt>
                <c:pt idx="2571">
                  <c:v>44061.705555555498</c:v>
                </c:pt>
                <c:pt idx="2572">
                  <c:v>44062.705555555498</c:v>
                </c:pt>
                <c:pt idx="2573">
                  <c:v>44063.705555555498</c:v>
                </c:pt>
                <c:pt idx="2574">
                  <c:v>44064.705555555498</c:v>
                </c:pt>
                <c:pt idx="2575">
                  <c:v>44067.705555555498</c:v>
                </c:pt>
                <c:pt idx="2576">
                  <c:v>44068.705555555498</c:v>
                </c:pt>
                <c:pt idx="2577">
                  <c:v>44069.705555555498</c:v>
                </c:pt>
                <c:pt idx="2578">
                  <c:v>44070.705555555498</c:v>
                </c:pt>
                <c:pt idx="2579">
                  <c:v>44071.705555555498</c:v>
                </c:pt>
                <c:pt idx="2580">
                  <c:v>44074.705555555498</c:v>
                </c:pt>
                <c:pt idx="2581">
                  <c:v>44075.705555555498</c:v>
                </c:pt>
                <c:pt idx="2582">
                  <c:v>44076.705555555498</c:v>
                </c:pt>
                <c:pt idx="2583">
                  <c:v>44077.705555555498</c:v>
                </c:pt>
                <c:pt idx="2584">
                  <c:v>44078.705555555498</c:v>
                </c:pt>
                <c:pt idx="2585">
                  <c:v>44082.705555555498</c:v>
                </c:pt>
                <c:pt idx="2586">
                  <c:v>44083.705555555498</c:v>
                </c:pt>
                <c:pt idx="2587">
                  <c:v>44084.705555555498</c:v>
                </c:pt>
                <c:pt idx="2588">
                  <c:v>44085.705555555498</c:v>
                </c:pt>
                <c:pt idx="2589">
                  <c:v>44088.705555555498</c:v>
                </c:pt>
                <c:pt idx="2590">
                  <c:v>44089.705555555498</c:v>
                </c:pt>
                <c:pt idx="2591">
                  <c:v>44090.705555555498</c:v>
                </c:pt>
                <c:pt idx="2592">
                  <c:v>44091.705555555498</c:v>
                </c:pt>
                <c:pt idx="2593">
                  <c:v>44092.705555555498</c:v>
                </c:pt>
                <c:pt idx="2594">
                  <c:v>44095.705555555498</c:v>
                </c:pt>
                <c:pt idx="2595">
                  <c:v>44096.705555555498</c:v>
                </c:pt>
                <c:pt idx="2596">
                  <c:v>44097.705555555498</c:v>
                </c:pt>
                <c:pt idx="2597">
                  <c:v>44098.705555555498</c:v>
                </c:pt>
                <c:pt idx="2598">
                  <c:v>44099.705555555498</c:v>
                </c:pt>
                <c:pt idx="2599">
                  <c:v>44102.705555555498</c:v>
                </c:pt>
                <c:pt idx="2600">
                  <c:v>44103.705555555498</c:v>
                </c:pt>
                <c:pt idx="2601">
                  <c:v>44104.705555555498</c:v>
                </c:pt>
                <c:pt idx="2602">
                  <c:v>44105.705555555498</c:v>
                </c:pt>
                <c:pt idx="2603">
                  <c:v>44106.705555555498</c:v>
                </c:pt>
                <c:pt idx="2604">
                  <c:v>44109.705555555498</c:v>
                </c:pt>
                <c:pt idx="2605">
                  <c:v>44110.705555555498</c:v>
                </c:pt>
                <c:pt idx="2606">
                  <c:v>44111.705555555498</c:v>
                </c:pt>
                <c:pt idx="2607">
                  <c:v>44112.705555555498</c:v>
                </c:pt>
                <c:pt idx="2608">
                  <c:v>44113.705555555498</c:v>
                </c:pt>
                <c:pt idx="2609">
                  <c:v>44117.705555555498</c:v>
                </c:pt>
                <c:pt idx="2610">
                  <c:v>44118.705555555498</c:v>
                </c:pt>
                <c:pt idx="2611">
                  <c:v>44119.705555555498</c:v>
                </c:pt>
                <c:pt idx="2612">
                  <c:v>44120.705555555498</c:v>
                </c:pt>
                <c:pt idx="2613">
                  <c:v>44123.705555555498</c:v>
                </c:pt>
                <c:pt idx="2614">
                  <c:v>44124.705555555498</c:v>
                </c:pt>
                <c:pt idx="2615">
                  <c:v>44125.705555555498</c:v>
                </c:pt>
                <c:pt idx="2616">
                  <c:v>44126.705555555498</c:v>
                </c:pt>
                <c:pt idx="2617">
                  <c:v>44127.705555555498</c:v>
                </c:pt>
                <c:pt idx="2618">
                  <c:v>44130.705555555498</c:v>
                </c:pt>
                <c:pt idx="2619">
                  <c:v>44131.705555555498</c:v>
                </c:pt>
                <c:pt idx="2620">
                  <c:v>44132.705555555498</c:v>
                </c:pt>
                <c:pt idx="2621">
                  <c:v>44133.705555555498</c:v>
                </c:pt>
                <c:pt idx="2622">
                  <c:v>44134.705555555498</c:v>
                </c:pt>
                <c:pt idx="2623">
                  <c:v>44138.705555555498</c:v>
                </c:pt>
                <c:pt idx="2624">
                  <c:v>44139.705555555498</c:v>
                </c:pt>
                <c:pt idx="2625">
                  <c:v>44140.705555555498</c:v>
                </c:pt>
                <c:pt idx="2626">
                  <c:v>44141.705555555498</c:v>
                </c:pt>
                <c:pt idx="2627">
                  <c:v>44144.705555555498</c:v>
                </c:pt>
                <c:pt idx="2628">
                  <c:v>44145.705555555498</c:v>
                </c:pt>
                <c:pt idx="2629">
                  <c:v>44146.705555555498</c:v>
                </c:pt>
                <c:pt idx="2630">
                  <c:v>44147.705555555498</c:v>
                </c:pt>
                <c:pt idx="2631">
                  <c:v>44148.705555555498</c:v>
                </c:pt>
                <c:pt idx="2632">
                  <c:v>44151.705555555498</c:v>
                </c:pt>
                <c:pt idx="2633">
                  <c:v>44152.705555555498</c:v>
                </c:pt>
                <c:pt idx="2634">
                  <c:v>44153.705555555498</c:v>
                </c:pt>
                <c:pt idx="2635">
                  <c:v>44154.705555555498</c:v>
                </c:pt>
                <c:pt idx="2636">
                  <c:v>44155.705555555498</c:v>
                </c:pt>
                <c:pt idx="2637">
                  <c:v>44158.705555555498</c:v>
                </c:pt>
                <c:pt idx="2638">
                  <c:v>44159.705555555498</c:v>
                </c:pt>
                <c:pt idx="2639">
                  <c:v>44160.705555555498</c:v>
                </c:pt>
                <c:pt idx="2640">
                  <c:v>44161.705555555498</c:v>
                </c:pt>
                <c:pt idx="2641">
                  <c:v>44162.705555555498</c:v>
                </c:pt>
                <c:pt idx="2642">
                  <c:v>44165.705555555498</c:v>
                </c:pt>
                <c:pt idx="2643">
                  <c:v>44166.705555555498</c:v>
                </c:pt>
                <c:pt idx="2644">
                  <c:v>44167.705555555498</c:v>
                </c:pt>
                <c:pt idx="2645">
                  <c:v>44168.705555555498</c:v>
                </c:pt>
                <c:pt idx="2646">
                  <c:v>44169.705555555498</c:v>
                </c:pt>
                <c:pt idx="2647">
                  <c:v>44172.705555555498</c:v>
                </c:pt>
                <c:pt idx="2648">
                  <c:v>44173.705555555498</c:v>
                </c:pt>
                <c:pt idx="2649">
                  <c:v>44174.705555555498</c:v>
                </c:pt>
                <c:pt idx="2650">
                  <c:v>44175.705555555498</c:v>
                </c:pt>
                <c:pt idx="2651">
                  <c:v>44176.705555555498</c:v>
                </c:pt>
                <c:pt idx="2652">
                  <c:v>44179.705555555498</c:v>
                </c:pt>
                <c:pt idx="2653">
                  <c:v>44180.705555555498</c:v>
                </c:pt>
                <c:pt idx="2654">
                  <c:v>44181.705555555498</c:v>
                </c:pt>
                <c:pt idx="2655">
                  <c:v>44182.705555555498</c:v>
                </c:pt>
                <c:pt idx="2656">
                  <c:v>44183.705555555498</c:v>
                </c:pt>
                <c:pt idx="2657">
                  <c:v>44186.705555555498</c:v>
                </c:pt>
                <c:pt idx="2658">
                  <c:v>44187.705555555498</c:v>
                </c:pt>
                <c:pt idx="2659">
                  <c:v>44188.705555555498</c:v>
                </c:pt>
                <c:pt idx="2660">
                  <c:v>44193.705555555498</c:v>
                </c:pt>
                <c:pt idx="2661">
                  <c:v>44194.705555555498</c:v>
                </c:pt>
                <c:pt idx="2662">
                  <c:v>44195.705555555498</c:v>
                </c:pt>
                <c:pt idx="2663">
                  <c:v>44200.705555555498</c:v>
                </c:pt>
                <c:pt idx="2664">
                  <c:v>44201.705555555498</c:v>
                </c:pt>
                <c:pt idx="2665">
                  <c:v>44202.705555555498</c:v>
                </c:pt>
                <c:pt idx="2666">
                  <c:v>44203.705555555498</c:v>
                </c:pt>
                <c:pt idx="2667">
                  <c:v>44204.705555555498</c:v>
                </c:pt>
                <c:pt idx="2668">
                  <c:v>44207.705555555498</c:v>
                </c:pt>
                <c:pt idx="2669">
                  <c:v>44208.8125</c:v>
                </c:pt>
                <c:pt idx="2670">
                  <c:v>44209.705555555498</c:v>
                </c:pt>
                <c:pt idx="2671">
                  <c:v>44210.705555555498</c:v>
                </c:pt>
                <c:pt idx="2672">
                  <c:v>44211.705555555498</c:v>
                </c:pt>
                <c:pt idx="2673">
                  <c:v>44214.705555555498</c:v>
                </c:pt>
                <c:pt idx="2674">
                  <c:v>44215.705555555498</c:v>
                </c:pt>
                <c:pt idx="2675">
                  <c:v>44216.705555555498</c:v>
                </c:pt>
                <c:pt idx="2676">
                  <c:v>44217.705555555498</c:v>
                </c:pt>
                <c:pt idx="2677">
                  <c:v>44218.705555555498</c:v>
                </c:pt>
                <c:pt idx="2678">
                  <c:v>44222.705555555498</c:v>
                </c:pt>
                <c:pt idx="2679">
                  <c:v>44223.705555555498</c:v>
                </c:pt>
                <c:pt idx="2680">
                  <c:v>44224.705555555498</c:v>
                </c:pt>
                <c:pt idx="2681">
                  <c:v>44225.705555555498</c:v>
                </c:pt>
                <c:pt idx="2682">
                  <c:v>44228.705555555498</c:v>
                </c:pt>
                <c:pt idx="2683">
                  <c:v>44229.705555555498</c:v>
                </c:pt>
                <c:pt idx="2684">
                  <c:v>44230.705555555498</c:v>
                </c:pt>
                <c:pt idx="2685">
                  <c:v>44231.705555555498</c:v>
                </c:pt>
                <c:pt idx="2686">
                  <c:v>44232.705555555498</c:v>
                </c:pt>
                <c:pt idx="2687">
                  <c:v>44235.705555555498</c:v>
                </c:pt>
                <c:pt idx="2688">
                  <c:v>44236.705555555498</c:v>
                </c:pt>
                <c:pt idx="2689">
                  <c:v>44237.705555555498</c:v>
                </c:pt>
                <c:pt idx="2690">
                  <c:v>44238.705555555498</c:v>
                </c:pt>
                <c:pt idx="2691">
                  <c:v>44239.705555555498</c:v>
                </c:pt>
                <c:pt idx="2692">
                  <c:v>44244.705555555498</c:v>
                </c:pt>
                <c:pt idx="2693">
                  <c:v>44245.705555555498</c:v>
                </c:pt>
                <c:pt idx="2694">
                  <c:v>44246.705555555498</c:v>
                </c:pt>
                <c:pt idx="2695">
                  <c:v>44249.705555555498</c:v>
                </c:pt>
                <c:pt idx="2696">
                  <c:v>44250.705555555498</c:v>
                </c:pt>
                <c:pt idx="2697">
                  <c:v>44251.705555555498</c:v>
                </c:pt>
                <c:pt idx="2698">
                  <c:v>44252.705555555498</c:v>
                </c:pt>
                <c:pt idx="2699">
                  <c:v>44253.705555555498</c:v>
                </c:pt>
                <c:pt idx="2700">
                  <c:v>44256.705555555498</c:v>
                </c:pt>
                <c:pt idx="2701">
                  <c:v>44257.705555555498</c:v>
                </c:pt>
                <c:pt idx="2702">
                  <c:v>44258.705555555498</c:v>
                </c:pt>
                <c:pt idx="2703">
                  <c:v>44259.705555555498</c:v>
                </c:pt>
                <c:pt idx="2704">
                  <c:v>44260.705555555498</c:v>
                </c:pt>
                <c:pt idx="2705">
                  <c:v>44263.705555555498</c:v>
                </c:pt>
                <c:pt idx="2706">
                  <c:v>44264.705555555498</c:v>
                </c:pt>
                <c:pt idx="2707">
                  <c:v>44265.705555555498</c:v>
                </c:pt>
                <c:pt idx="2708">
                  <c:v>44266.705555555498</c:v>
                </c:pt>
                <c:pt idx="2709">
                  <c:v>44267.8125</c:v>
                </c:pt>
                <c:pt idx="2710">
                  <c:v>44270.705555555498</c:v>
                </c:pt>
                <c:pt idx="2711">
                  <c:v>44271.705555555498</c:v>
                </c:pt>
                <c:pt idx="2712">
                  <c:v>44272.705555555498</c:v>
                </c:pt>
                <c:pt idx="2713">
                  <c:v>44273.705555555498</c:v>
                </c:pt>
                <c:pt idx="2714">
                  <c:v>44274.705555555498</c:v>
                </c:pt>
                <c:pt idx="2715">
                  <c:v>44277.705555555498</c:v>
                </c:pt>
                <c:pt idx="2716">
                  <c:v>44278.705555555498</c:v>
                </c:pt>
                <c:pt idx="2717">
                  <c:v>44279.705555555498</c:v>
                </c:pt>
                <c:pt idx="2718">
                  <c:v>44280.705555555498</c:v>
                </c:pt>
                <c:pt idx="2719">
                  <c:v>44281.705555555498</c:v>
                </c:pt>
                <c:pt idx="2720">
                  <c:v>44284.705555555498</c:v>
                </c:pt>
                <c:pt idx="2721">
                  <c:v>44285.705555555498</c:v>
                </c:pt>
                <c:pt idx="2722">
                  <c:v>44286.705555555498</c:v>
                </c:pt>
                <c:pt idx="2723">
                  <c:v>44287.705555555498</c:v>
                </c:pt>
                <c:pt idx="2724">
                  <c:v>44291.705555555498</c:v>
                </c:pt>
                <c:pt idx="2725">
                  <c:v>44292.705555555498</c:v>
                </c:pt>
                <c:pt idx="2726">
                  <c:v>44293.705555555498</c:v>
                </c:pt>
                <c:pt idx="2727">
                  <c:v>44294.705555555498</c:v>
                </c:pt>
                <c:pt idx="2728">
                  <c:v>44295.705555555498</c:v>
                </c:pt>
                <c:pt idx="2729">
                  <c:v>44298.8125</c:v>
                </c:pt>
                <c:pt idx="2730">
                  <c:v>44299.705555555498</c:v>
                </c:pt>
                <c:pt idx="2731">
                  <c:v>44300.705555555498</c:v>
                </c:pt>
                <c:pt idx="2732">
                  <c:v>44301.705555555498</c:v>
                </c:pt>
                <c:pt idx="2733">
                  <c:v>44302.705555555498</c:v>
                </c:pt>
                <c:pt idx="2734">
                  <c:v>44305.705555555498</c:v>
                </c:pt>
                <c:pt idx="2735">
                  <c:v>44306.705555555498</c:v>
                </c:pt>
                <c:pt idx="2736">
                  <c:v>44308.705555555498</c:v>
                </c:pt>
                <c:pt idx="2737">
                  <c:v>44309.705555555498</c:v>
                </c:pt>
                <c:pt idx="2738">
                  <c:v>44312.705555555498</c:v>
                </c:pt>
                <c:pt idx="2739">
                  <c:v>44313.705555555498</c:v>
                </c:pt>
                <c:pt idx="2740">
                  <c:v>44314.705555555498</c:v>
                </c:pt>
                <c:pt idx="2741">
                  <c:v>44315.705555555498</c:v>
                </c:pt>
                <c:pt idx="2742">
                  <c:v>44316.705555555498</c:v>
                </c:pt>
                <c:pt idx="2743">
                  <c:v>44319.705555555498</c:v>
                </c:pt>
                <c:pt idx="2744">
                  <c:v>44320.705555555498</c:v>
                </c:pt>
                <c:pt idx="2745">
                  <c:v>44321.705555555498</c:v>
                </c:pt>
                <c:pt idx="2746">
                  <c:v>44322.705555555498</c:v>
                </c:pt>
                <c:pt idx="2747">
                  <c:v>44323.705555555498</c:v>
                </c:pt>
                <c:pt idx="2748">
                  <c:v>44326.705555555498</c:v>
                </c:pt>
                <c:pt idx="2749">
                  <c:v>44327.705555555498</c:v>
                </c:pt>
                <c:pt idx="2750">
                  <c:v>44328.705555555498</c:v>
                </c:pt>
                <c:pt idx="2751">
                  <c:v>44329.705555555498</c:v>
                </c:pt>
                <c:pt idx="2752">
                  <c:v>44330.705555555498</c:v>
                </c:pt>
                <c:pt idx="2753">
                  <c:v>44333.705555555498</c:v>
                </c:pt>
                <c:pt idx="2754">
                  <c:v>44334.705555555498</c:v>
                </c:pt>
                <c:pt idx="2755">
                  <c:v>44335.705555555498</c:v>
                </c:pt>
                <c:pt idx="2756">
                  <c:v>44336.705555555498</c:v>
                </c:pt>
                <c:pt idx="2757">
                  <c:v>44337.705555555498</c:v>
                </c:pt>
                <c:pt idx="2758">
                  <c:v>44340.705555555498</c:v>
                </c:pt>
                <c:pt idx="2759">
                  <c:v>44341.705555555498</c:v>
                </c:pt>
                <c:pt idx="2760">
                  <c:v>44342.705555555498</c:v>
                </c:pt>
                <c:pt idx="2761">
                  <c:v>44343.705555555498</c:v>
                </c:pt>
                <c:pt idx="2762">
                  <c:v>44344.705555555498</c:v>
                </c:pt>
                <c:pt idx="2763">
                  <c:v>44347.705555555498</c:v>
                </c:pt>
                <c:pt idx="2764">
                  <c:v>44348.705555555498</c:v>
                </c:pt>
                <c:pt idx="2765">
                  <c:v>44349.705555555498</c:v>
                </c:pt>
                <c:pt idx="2766">
                  <c:v>44351.705555555498</c:v>
                </c:pt>
                <c:pt idx="2767">
                  <c:v>44354.705555555498</c:v>
                </c:pt>
                <c:pt idx="2768">
                  <c:v>44355.705555555498</c:v>
                </c:pt>
                <c:pt idx="2769">
                  <c:v>44356.705555555498</c:v>
                </c:pt>
                <c:pt idx="2770">
                  <c:v>44357.705555555498</c:v>
                </c:pt>
                <c:pt idx="2771">
                  <c:v>44358.705555555498</c:v>
                </c:pt>
                <c:pt idx="2772">
                  <c:v>44361.705555555498</c:v>
                </c:pt>
                <c:pt idx="2773">
                  <c:v>44362.705555555498</c:v>
                </c:pt>
                <c:pt idx="2774">
                  <c:v>44363.705555555498</c:v>
                </c:pt>
                <c:pt idx="2775">
                  <c:v>44364.705555555498</c:v>
                </c:pt>
                <c:pt idx="2776">
                  <c:v>44365.705555555498</c:v>
                </c:pt>
                <c:pt idx="2777">
                  <c:v>44368.705555555498</c:v>
                </c:pt>
                <c:pt idx="2778">
                  <c:v>44369.705555555498</c:v>
                </c:pt>
                <c:pt idx="2779">
                  <c:v>44370.705555555498</c:v>
                </c:pt>
                <c:pt idx="2780">
                  <c:v>44371.705555555498</c:v>
                </c:pt>
                <c:pt idx="2781">
                  <c:v>44372.705555555498</c:v>
                </c:pt>
                <c:pt idx="2782">
                  <c:v>44375.705555555498</c:v>
                </c:pt>
                <c:pt idx="2783">
                  <c:v>44376.705555555498</c:v>
                </c:pt>
                <c:pt idx="2784">
                  <c:v>44377.705555555498</c:v>
                </c:pt>
                <c:pt idx="2785">
                  <c:v>44378.705555555498</c:v>
                </c:pt>
                <c:pt idx="2786">
                  <c:v>44379.705555555498</c:v>
                </c:pt>
                <c:pt idx="2787">
                  <c:v>44382.705555555498</c:v>
                </c:pt>
                <c:pt idx="2788">
                  <c:v>44383.705555555498</c:v>
                </c:pt>
                <c:pt idx="2789">
                  <c:v>44384.705555555498</c:v>
                </c:pt>
                <c:pt idx="2790">
                  <c:v>44385.705555555498</c:v>
                </c:pt>
                <c:pt idx="2791">
                  <c:v>44389.8125</c:v>
                </c:pt>
                <c:pt idx="2792">
                  <c:v>44390.705555555498</c:v>
                </c:pt>
                <c:pt idx="2793">
                  <c:v>44391.705555555498</c:v>
                </c:pt>
                <c:pt idx="2794">
                  <c:v>44392.705555555498</c:v>
                </c:pt>
                <c:pt idx="2795">
                  <c:v>44393.705555555498</c:v>
                </c:pt>
                <c:pt idx="2796">
                  <c:v>44396.705555555498</c:v>
                </c:pt>
                <c:pt idx="2797">
                  <c:v>44397.705555555498</c:v>
                </c:pt>
                <c:pt idx="2798">
                  <c:v>44398.705555555498</c:v>
                </c:pt>
                <c:pt idx="2799">
                  <c:v>44399.705555555498</c:v>
                </c:pt>
                <c:pt idx="2800">
                  <c:v>44400.705555555498</c:v>
                </c:pt>
                <c:pt idx="2801">
                  <c:v>44403.705555555498</c:v>
                </c:pt>
                <c:pt idx="2802">
                  <c:v>44404.705555555498</c:v>
                </c:pt>
                <c:pt idx="2803">
                  <c:v>44405.705555555498</c:v>
                </c:pt>
                <c:pt idx="2804">
                  <c:v>44406.705555555498</c:v>
                </c:pt>
                <c:pt idx="2805">
                  <c:v>44407.705555555498</c:v>
                </c:pt>
                <c:pt idx="2806">
                  <c:v>44410.705555555498</c:v>
                </c:pt>
                <c:pt idx="2807">
                  <c:v>44411.705555555498</c:v>
                </c:pt>
                <c:pt idx="2808">
                  <c:v>44412.705555555498</c:v>
                </c:pt>
                <c:pt idx="2809">
                  <c:v>44413.705555555498</c:v>
                </c:pt>
                <c:pt idx="2810">
                  <c:v>44414.705555555498</c:v>
                </c:pt>
                <c:pt idx="2811">
                  <c:v>44417.705555555498</c:v>
                </c:pt>
                <c:pt idx="2812">
                  <c:v>44418.705555555498</c:v>
                </c:pt>
                <c:pt idx="2813">
                  <c:v>44419.705555555498</c:v>
                </c:pt>
                <c:pt idx="2814">
                  <c:v>44420.8125</c:v>
                </c:pt>
                <c:pt idx="2815">
                  <c:v>44421.705555555498</c:v>
                </c:pt>
                <c:pt idx="2816">
                  <c:v>44424.705555555498</c:v>
                </c:pt>
                <c:pt idx="2817">
                  <c:v>44425.705555555498</c:v>
                </c:pt>
                <c:pt idx="2818">
                  <c:v>44426.705555555498</c:v>
                </c:pt>
                <c:pt idx="2819">
                  <c:v>44427.705555555498</c:v>
                </c:pt>
                <c:pt idx="2820">
                  <c:v>44428.705555555498</c:v>
                </c:pt>
                <c:pt idx="2821">
                  <c:v>44431.705555555498</c:v>
                </c:pt>
                <c:pt idx="2822">
                  <c:v>44432.705555555498</c:v>
                </c:pt>
                <c:pt idx="2823">
                  <c:v>44433.705555555498</c:v>
                </c:pt>
                <c:pt idx="2824">
                  <c:v>44434.705555555498</c:v>
                </c:pt>
                <c:pt idx="2825">
                  <c:v>44435.705555555498</c:v>
                </c:pt>
                <c:pt idx="2826">
                  <c:v>44438.705555555498</c:v>
                </c:pt>
                <c:pt idx="2827">
                  <c:v>44439.705555555498</c:v>
                </c:pt>
                <c:pt idx="2828">
                  <c:v>44440.705555555498</c:v>
                </c:pt>
                <c:pt idx="2829">
                  <c:v>44441.705555555498</c:v>
                </c:pt>
                <c:pt idx="2830">
                  <c:v>44442.705555555498</c:v>
                </c:pt>
                <c:pt idx="2831">
                  <c:v>44445.705555555498</c:v>
                </c:pt>
                <c:pt idx="2832">
                  <c:v>44447.705555555498</c:v>
                </c:pt>
                <c:pt idx="2833">
                  <c:v>44448.705555555498</c:v>
                </c:pt>
                <c:pt idx="2834">
                  <c:v>44449.705555555498</c:v>
                </c:pt>
                <c:pt idx="2835">
                  <c:v>44452.705555555498</c:v>
                </c:pt>
                <c:pt idx="2836">
                  <c:v>44453.705555555498</c:v>
                </c:pt>
                <c:pt idx="2837">
                  <c:v>44454.705555555498</c:v>
                </c:pt>
                <c:pt idx="2838">
                  <c:v>44455.705555555498</c:v>
                </c:pt>
                <c:pt idx="2839">
                  <c:v>44456.705555555498</c:v>
                </c:pt>
                <c:pt idx="2840">
                  <c:v>44459.705555555498</c:v>
                </c:pt>
                <c:pt idx="2841">
                  <c:v>44460.705555555498</c:v>
                </c:pt>
                <c:pt idx="2842">
                  <c:v>44461.705555555498</c:v>
                </c:pt>
                <c:pt idx="2843">
                  <c:v>44462.705555555498</c:v>
                </c:pt>
                <c:pt idx="2844">
                  <c:v>44463.705555555498</c:v>
                </c:pt>
                <c:pt idx="2845">
                  <c:v>44466.705555555498</c:v>
                </c:pt>
                <c:pt idx="2846">
                  <c:v>44467.705555555498</c:v>
                </c:pt>
                <c:pt idx="2847">
                  <c:v>44468.705555555498</c:v>
                </c:pt>
                <c:pt idx="2848">
                  <c:v>44469.705555555498</c:v>
                </c:pt>
                <c:pt idx="2849">
                  <c:v>44470.705555555498</c:v>
                </c:pt>
                <c:pt idx="2850">
                  <c:v>44473.705555555498</c:v>
                </c:pt>
                <c:pt idx="2851">
                  <c:v>44474.705555555498</c:v>
                </c:pt>
                <c:pt idx="2852">
                  <c:v>44475.705555555498</c:v>
                </c:pt>
                <c:pt idx="2853">
                  <c:v>44476.705555555498</c:v>
                </c:pt>
                <c:pt idx="2854">
                  <c:v>44477.705555555498</c:v>
                </c:pt>
                <c:pt idx="2855">
                  <c:v>44480.705555555498</c:v>
                </c:pt>
                <c:pt idx="2856">
                  <c:v>44482.705555555498</c:v>
                </c:pt>
                <c:pt idx="2857">
                  <c:v>44483.705555555498</c:v>
                </c:pt>
                <c:pt idx="2858">
                  <c:v>44484.705555555498</c:v>
                </c:pt>
                <c:pt idx="2859">
                  <c:v>44487.705555555498</c:v>
                </c:pt>
                <c:pt idx="2860">
                  <c:v>44488.705555555498</c:v>
                </c:pt>
                <c:pt idx="2861">
                  <c:v>44489.705555555498</c:v>
                </c:pt>
                <c:pt idx="2862">
                  <c:v>44490.705555555498</c:v>
                </c:pt>
                <c:pt idx="2863">
                  <c:v>44491.705555555498</c:v>
                </c:pt>
                <c:pt idx="2864">
                  <c:v>44494.705555555498</c:v>
                </c:pt>
                <c:pt idx="2865">
                  <c:v>44495.705555555498</c:v>
                </c:pt>
                <c:pt idx="2866">
                  <c:v>44496.705555555498</c:v>
                </c:pt>
                <c:pt idx="2867">
                  <c:v>44497.705555555498</c:v>
                </c:pt>
                <c:pt idx="2868">
                  <c:v>44498.705555555498</c:v>
                </c:pt>
                <c:pt idx="2869">
                  <c:v>44501.705555555498</c:v>
                </c:pt>
                <c:pt idx="2870">
                  <c:v>44503.705555555498</c:v>
                </c:pt>
                <c:pt idx="2871">
                  <c:v>44504.705555555498</c:v>
                </c:pt>
                <c:pt idx="2872">
                  <c:v>44505.705555555498</c:v>
                </c:pt>
                <c:pt idx="2873">
                  <c:v>44508.705555555498</c:v>
                </c:pt>
                <c:pt idx="2874">
                  <c:v>44509.705555555498</c:v>
                </c:pt>
                <c:pt idx="2875">
                  <c:v>44510.705555555498</c:v>
                </c:pt>
                <c:pt idx="2876">
                  <c:v>44511.705555555498</c:v>
                </c:pt>
                <c:pt idx="2877">
                  <c:v>44512.8125</c:v>
                </c:pt>
                <c:pt idx="2878">
                  <c:v>44516.705555555498</c:v>
                </c:pt>
                <c:pt idx="2879">
                  <c:v>44517.705555555498</c:v>
                </c:pt>
                <c:pt idx="2880">
                  <c:v>44518.705555555498</c:v>
                </c:pt>
                <c:pt idx="2881">
                  <c:v>44519.8125</c:v>
                </c:pt>
                <c:pt idx="2882">
                  <c:v>44522.8125</c:v>
                </c:pt>
                <c:pt idx="2883">
                  <c:v>44523.8125</c:v>
                </c:pt>
                <c:pt idx="2884">
                  <c:v>44524.8125</c:v>
                </c:pt>
                <c:pt idx="2885">
                  <c:v>44525.8125</c:v>
                </c:pt>
                <c:pt idx="2886">
                  <c:v>44526.8125</c:v>
                </c:pt>
                <c:pt idx="2887">
                  <c:v>44529.8125</c:v>
                </c:pt>
                <c:pt idx="2888">
                  <c:v>44530.75</c:v>
                </c:pt>
                <c:pt idx="2889">
                  <c:v>44531.705555555498</c:v>
                </c:pt>
                <c:pt idx="2890">
                  <c:v>44532.705555555498</c:v>
                </c:pt>
                <c:pt idx="2891">
                  <c:v>44533.705555555498</c:v>
                </c:pt>
                <c:pt idx="2892">
                  <c:v>44536.705555555498</c:v>
                </c:pt>
                <c:pt idx="2893">
                  <c:v>44537.705555555498</c:v>
                </c:pt>
                <c:pt idx="2894">
                  <c:v>44538.705555555498</c:v>
                </c:pt>
                <c:pt idx="2895">
                  <c:v>44539.705555555498</c:v>
                </c:pt>
                <c:pt idx="2896">
                  <c:v>44540.705555555498</c:v>
                </c:pt>
                <c:pt idx="2897">
                  <c:v>44543.75</c:v>
                </c:pt>
                <c:pt idx="2898">
                  <c:v>44544.75</c:v>
                </c:pt>
                <c:pt idx="2899">
                  <c:v>44545.75</c:v>
                </c:pt>
                <c:pt idx="2900">
                  <c:v>44546.75</c:v>
                </c:pt>
                <c:pt idx="2901">
                  <c:v>44547.75</c:v>
                </c:pt>
                <c:pt idx="2902">
                  <c:v>44550.75</c:v>
                </c:pt>
                <c:pt idx="2903">
                  <c:v>44551.75</c:v>
                </c:pt>
                <c:pt idx="2904">
                  <c:v>44552.75</c:v>
                </c:pt>
                <c:pt idx="2905">
                  <c:v>44553.75</c:v>
                </c:pt>
                <c:pt idx="2906">
                  <c:v>44557.75</c:v>
                </c:pt>
                <c:pt idx="2907">
                  <c:v>44558.75</c:v>
                </c:pt>
                <c:pt idx="2908">
                  <c:v>44559.75</c:v>
                </c:pt>
                <c:pt idx="2909">
                  <c:v>44560.75</c:v>
                </c:pt>
                <c:pt idx="2910">
                  <c:v>44564.705555555498</c:v>
                </c:pt>
                <c:pt idx="2911">
                  <c:v>44565.705555555498</c:v>
                </c:pt>
                <c:pt idx="2912">
                  <c:v>44566.705555555498</c:v>
                </c:pt>
                <c:pt idx="2913">
                  <c:v>44567.705555555498</c:v>
                </c:pt>
                <c:pt idx="2914">
                  <c:v>44568.705555555498</c:v>
                </c:pt>
                <c:pt idx="2915">
                  <c:v>44571.705555555498</c:v>
                </c:pt>
                <c:pt idx="2916">
                  <c:v>44572.705555555498</c:v>
                </c:pt>
                <c:pt idx="2917">
                  <c:v>44573.705555555498</c:v>
                </c:pt>
                <c:pt idx="2918">
                  <c:v>44574.705555555498</c:v>
                </c:pt>
                <c:pt idx="2919">
                  <c:v>44575.705555555498</c:v>
                </c:pt>
                <c:pt idx="2920">
                  <c:v>44578.705555555498</c:v>
                </c:pt>
                <c:pt idx="2921">
                  <c:v>44579.705555555498</c:v>
                </c:pt>
                <c:pt idx="2922">
                  <c:v>44580.705555555498</c:v>
                </c:pt>
                <c:pt idx="2923">
                  <c:v>44581.705555555498</c:v>
                </c:pt>
                <c:pt idx="2924">
                  <c:v>44582.705555555498</c:v>
                </c:pt>
                <c:pt idx="2925">
                  <c:v>44585.705555555498</c:v>
                </c:pt>
                <c:pt idx="2926">
                  <c:v>44586.705555555498</c:v>
                </c:pt>
                <c:pt idx="2927">
                  <c:v>44587.705555555498</c:v>
                </c:pt>
                <c:pt idx="2928">
                  <c:v>44588.705555555498</c:v>
                </c:pt>
                <c:pt idx="2929">
                  <c:v>44589.705555555498</c:v>
                </c:pt>
                <c:pt idx="2930">
                  <c:v>44592.705555555498</c:v>
                </c:pt>
                <c:pt idx="2931">
                  <c:v>44593.705555555498</c:v>
                </c:pt>
                <c:pt idx="2932">
                  <c:v>44594.705555555498</c:v>
                </c:pt>
                <c:pt idx="2933">
                  <c:v>44595.705555555498</c:v>
                </c:pt>
                <c:pt idx="2934">
                  <c:v>44596.705555555498</c:v>
                </c:pt>
                <c:pt idx="2935">
                  <c:v>44599.705555555498</c:v>
                </c:pt>
                <c:pt idx="2936">
                  <c:v>44600.705555555498</c:v>
                </c:pt>
                <c:pt idx="2937">
                  <c:v>44601.705555555498</c:v>
                </c:pt>
                <c:pt idx="2938">
                  <c:v>44602.705555555498</c:v>
                </c:pt>
                <c:pt idx="2939">
                  <c:v>44603.705555555498</c:v>
                </c:pt>
                <c:pt idx="2940">
                  <c:v>44606.705555555498</c:v>
                </c:pt>
                <c:pt idx="2941">
                  <c:v>44607.705555555498</c:v>
                </c:pt>
                <c:pt idx="2942">
                  <c:v>44608.705555555498</c:v>
                </c:pt>
                <c:pt idx="2943">
                  <c:v>44609.705555555498</c:v>
                </c:pt>
                <c:pt idx="2944">
                  <c:v>44610.705555555498</c:v>
                </c:pt>
                <c:pt idx="2945">
                  <c:v>44613.705555555498</c:v>
                </c:pt>
                <c:pt idx="2946">
                  <c:v>44614.705555555498</c:v>
                </c:pt>
                <c:pt idx="2947">
                  <c:v>44615.705555555498</c:v>
                </c:pt>
                <c:pt idx="2948">
                  <c:v>44616.705555555498</c:v>
                </c:pt>
                <c:pt idx="2949">
                  <c:v>44617.705555555498</c:v>
                </c:pt>
                <c:pt idx="2950">
                  <c:v>44622.705555555498</c:v>
                </c:pt>
                <c:pt idx="2951">
                  <c:v>44623.705555555498</c:v>
                </c:pt>
                <c:pt idx="2952">
                  <c:v>44624.705555555498</c:v>
                </c:pt>
                <c:pt idx="2953">
                  <c:v>44627.705555555498</c:v>
                </c:pt>
                <c:pt idx="2954">
                  <c:v>44628.705555555498</c:v>
                </c:pt>
                <c:pt idx="2955">
                  <c:v>44629.705555555498</c:v>
                </c:pt>
                <c:pt idx="2956">
                  <c:v>44630.705555555498</c:v>
                </c:pt>
                <c:pt idx="2957">
                  <c:v>44631.705555555498</c:v>
                </c:pt>
                <c:pt idx="2958">
                  <c:v>44634.705555555498</c:v>
                </c:pt>
                <c:pt idx="2959">
                  <c:v>44635.705555555498</c:v>
                </c:pt>
                <c:pt idx="2960">
                  <c:v>44636.705555555498</c:v>
                </c:pt>
                <c:pt idx="2961">
                  <c:v>44637.705555555498</c:v>
                </c:pt>
                <c:pt idx="2962">
                  <c:v>44638.705555555498</c:v>
                </c:pt>
                <c:pt idx="2963">
                  <c:v>44641.705555555498</c:v>
                </c:pt>
                <c:pt idx="2964">
                  <c:v>44642.705555555498</c:v>
                </c:pt>
                <c:pt idx="2965">
                  <c:v>44643.705555555498</c:v>
                </c:pt>
                <c:pt idx="2966">
                  <c:v>44644.705555555498</c:v>
                </c:pt>
                <c:pt idx="2967">
                  <c:v>44645.705555555498</c:v>
                </c:pt>
                <c:pt idx="2968">
                  <c:v>44648.705555555498</c:v>
                </c:pt>
                <c:pt idx="2969">
                  <c:v>44649.705555555498</c:v>
                </c:pt>
                <c:pt idx="2970">
                  <c:v>44650.705555555498</c:v>
                </c:pt>
                <c:pt idx="2971">
                  <c:v>44651.705555555498</c:v>
                </c:pt>
                <c:pt idx="2972">
                  <c:v>44652.705555555498</c:v>
                </c:pt>
                <c:pt idx="2973">
                  <c:v>44655.705555555498</c:v>
                </c:pt>
                <c:pt idx="2974">
                  <c:v>44656.705555555498</c:v>
                </c:pt>
                <c:pt idx="2975">
                  <c:v>44657.705555555498</c:v>
                </c:pt>
                <c:pt idx="2976">
                  <c:v>44658.705555555498</c:v>
                </c:pt>
                <c:pt idx="2977">
                  <c:v>44659.705555555498</c:v>
                </c:pt>
                <c:pt idx="2978">
                  <c:v>44662.705555555498</c:v>
                </c:pt>
                <c:pt idx="2979">
                  <c:v>44663.705555555498</c:v>
                </c:pt>
                <c:pt idx="2980">
                  <c:v>44664.705555555498</c:v>
                </c:pt>
                <c:pt idx="2981">
                  <c:v>44665.705555555498</c:v>
                </c:pt>
                <c:pt idx="2982">
                  <c:v>44669.705555555498</c:v>
                </c:pt>
                <c:pt idx="2983">
                  <c:v>44670.705555555498</c:v>
                </c:pt>
                <c:pt idx="2984">
                  <c:v>44671.705555555498</c:v>
                </c:pt>
                <c:pt idx="2985">
                  <c:v>44673.705555555498</c:v>
                </c:pt>
                <c:pt idx="2986">
                  <c:v>44677.705555555498</c:v>
                </c:pt>
                <c:pt idx="2987">
                  <c:v>44678.705555555498</c:v>
                </c:pt>
                <c:pt idx="2988">
                  <c:v>44679.705555555498</c:v>
                </c:pt>
                <c:pt idx="2989">
                  <c:v>44680.705555555498</c:v>
                </c:pt>
                <c:pt idx="2990">
                  <c:v>44683.705555555498</c:v>
                </c:pt>
                <c:pt idx="2991">
                  <c:v>44684.705555555498</c:v>
                </c:pt>
                <c:pt idx="2992">
                  <c:v>44685.705555555498</c:v>
                </c:pt>
                <c:pt idx="2993">
                  <c:v>44686.705555555498</c:v>
                </c:pt>
                <c:pt idx="2994">
                  <c:v>44687.705555555498</c:v>
                </c:pt>
                <c:pt idx="2995">
                  <c:v>44690.705555555498</c:v>
                </c:pt>
                <c:pt idx="2996">
                  <c:v>44691.705555555498</c:v>
                </c:pt>
                <c:pt idx="2997">
                  <c:v>44692.705555555498</c:v>
                </c:pt>
                <c:pt idx="2998">
                  <c:v>44693.705555555498</c:v>
                </c:pt>
                <c:pt idx="2999">
                  <c:v>44694.705555555498</c:v>
                </c:pt>
                <c:pt idx="3000">
                  <c:v>44697.705555555498</c:v>
                </c:pt>
                <c:pt idx="3001">
                  <c:v>44698.705555555498</c:v>
                </c:pt>
                <c:pt idx="3002">
                  <c:v>44699.705555555498</c:v>
                </c:pt>
                <c:pt idx="3003">
                  <c:v>44700.705555555498</c:v>
                </c:pt>
                <c:pt idx="3004">
                  <c:v>44701.705555555498</c:v>
                </c:pt>
                <c:pt idx="3005">
                  <c:v>44704.705555555498</c:v>
                </c:pt>
                <c:pt idx="3006">
                  <c:v>44705.705555555498</c:v>
                </c:pt>
                <c:pt idx="3007">
                  <c:v>44706.705555555498</c:v>
                </c:pt>
                <c:pt idx="3008">
                  <c:v>44707.705555555498</c:v>
                </c:pt>
                <c:pt idx="3009">
                  <c:v>44708.705555555498</c:v>
                </c:pt>
                <c:pt idx="3010">
                  <c:v>44711.705555555498</c:v>
                </c:pt>
                <c:pt idx="3011">
                  <c:v>44712.705555555498</c:v>
                </c:pt>
                <c:pt idx="3012">
                  <c:v>44713.705555555498</c:v>
                </c:pt>
                <c:pt idx="3013">
                  <c:v>44714.705555555498</c:v>
                </c:pt>
                <c:pt idx="3014">
                  <c:v>44715.705555555498</c:v>
                </c:pt>
                <c:pt idx="3015">
                  <c:v>44718.705555555498</c:v>
                </c:pt>
                <c:pt idx="3016">
                  <c:v>44719.705555555498</c:v>
                </c:pt>
                <c:pt idx="3017">
                  <c:v>44720.705555555498</c:v>
                </c:pt>
                <c:pt idx="3018">
                  <c:v>44721.705555555498</c:v>
                </c:pt>
                <c:pt idx="3019">
                  <c:v>44722.705555555498</c:v>
                </c:pt>
                <c:pt idx="3020">
                  <c:v>44725.705555555498</c:v>
                </c:pt>
                <c:pt idx="3021">
                  <c:v>44726.705555555498</c:v>
                </c:pt>
                <c:pt idx="3022">
                  <c:v>44727.705555555498</c:v>
                </c:pt>
                <c:pt idx="3023">
                  <c:v>44729.705555555498</c:v>
                </c:pt>
                <c:pt idx="3024">
                  <c:v>44732.705555555498</c:v>
                </c:pt>
                <c:pt idx="3025">
                  <c:v>44733.705555555498</c:v>
                </c:pt>
                <c:pt idx="3026">
                  <c:v>44734.705555555498</c:v>
                </c:pt>
                <c:pt idx="3027">
                  <c:v>44735.705555555498</c:v>
                </c:pt>
                <c:pt idx="3028">
                  <c:v>44736.705555555498</c:v>
                </c:pt>
                <c:pt idx="3029">
                  <c:v>44739.705555555498</c:v>
                </c:pt>
                <c:pt idx="3030">
                  <c:v>44740.705555555498</c:v>
                </c:pt>
                <c:pt idx="3031">
                  <c:v>44741.705555555498</c:v>
                </c:pt>
                <c:pt idx="3032">
                  <c:v>44742.705555555498</c:v>
                </c:pt>
                <c:pt idx="3033">
                  <c:v>44743.705555555498</c:v>
                </c:pt>
                <c:pt idx="3034">
                  <c:v>44746.705555555498</c:v>
                </c:pt>
                <c:pt idx="3035">
                  <c:v>44747.705555555498</c:v>
                </c:pt>
                <c:pt idx="3036">
                  <c:v>44748.705555555498</c:v>
                </c:pt>
                <c:pt idx="3037">
                  <c:v>44749.705555555498</c:v>
                </c:pt>
                <c:pt idx="3038">
                  <c:v>44750.705555555498</c:v>
                </c:pt>
                <c:pt idx="3039">
                  <c:v>44753.705555555498</c:v>
                </c:pt>
                <c:pt idx="3040">
                  <c:v>44754.705555555498</c:v>
                </c:pt>
                <c:pt idx="3041">
                  <c:v>44755.705555555498</c:v>
                </c:pt>
                <c:pt idx="3042">
                  <c:v>44756.705555555498</c:v>
                </c:pt>
                <c:pt idx="3043">
                  <c:v>44757.705555555498</c:v>
                </c:pt>
                <c:pt idx="3044">
                  <c:v>44760.705555555498</c:v>
                </c:pt>
                <c:pt idx="3045">
                  <c:v>44761.705555555498</c:v>
                </c:pt>
                <c:pt idx="3046">
                  <c:v>44762.705555555498</c:v>
                </c:pt>
                <c:pt idx="3047">
                  <c:v>44763.705555555498</c:v>
                </c:pt>
                <c:pt idx="3048">
                  <c:v>44764.705555555498</c:v>
                </c:pt>
                <c:pt idx="3049">
                  <c:v>44767.705555555498</c:v>
                </c:pt>
                <c:pt idx="3050">
                  <c:v>44768.705555555498</c:v>
                </c:pt>
                <c:pt idx="3051">
                  <c:v>44769.705555555498</c:v>
                </c:pt>
                <c:pt idx="3052">
                  <c:v>44770.705555555498</c:v>
                </c:pt>
                <c:pt idx="3053">
                  <c:v>44771.705555555498</c:v>
                </c:pt>
                <c:pt idx="3054">
                  <c:v>44774.705555555498</c:v>
                </c:pt>
                <c:pt idx="3055">
                  <c:v>44775.705555555498</c:v>
                </c:pt>
                <c:pt idx="3056">
                  <c:v>44776.705555555498</c:v>
                </c:pt>
                <c:pt idx="3057">
                  <c:v>44777.705555555498</c:v>
                </c:pt>
                <c:pt idx="3058">
                  <c:v>44778.705555555498</c:v>
                </c:pt>
                <c:pt idx="3059">
                  <c:v>44781.705555555498</c:v>
                </c:pt>
                <c:pt idx="3060">
                  <c:v>44782.705555555498</c:v>
                </c:pt>
                <c:pt idx="3061">
                  <c:v>44783.705555555498</c:v>
                </c:pt>
                <c:pt idx="3062">
                  <c:v>44784.705555555498</c:v>
                </c:pt>
                <c:pt idx="3063">
                  <c:v>44785.705555555498</c:v>
                </c:pt>
                <c:pt idx="3064">
                  <c:v>44788.705555555498</c:v>
                </c:pt>
                <c:pt idx="3065">
                  <c:v>44789.705555555498</c:v>
                </c:pt>
                <c:pt idx="3066">
                  <c:v>44790.705555555498</c:v>
                </c:pt>
                <c:pt idx="3067">
                  <c:v>44791.705555555498</c:v>
                </c:pt>
                <c:pt idx="3068">
                  <c:v>44792.705555555498</c:v>
                </c:pt>
                <c:pt idx="3069">
                  <c:v>44795.705555555498</c:v>
                </c:pt>
                <c:pt idx="3070">
                  <c:v>44796.705555555498</c:v>
                </c:pt>
                <c:pt idx="3071">
                  <c:v>44797.705555555498</c:v>
                </c:pt>
                <c:pt idx="3072">
                  <c:v>44798.705555555498</c:v>
                </c:pt>
                <c:pt idx="3073">
                  <c:v>44799.705555555498</c:v>
                </c:pt>
                <c:pt idx="3074">
                  <c:v>44802.705555555498</c:v>
                </c:pt>
                <c:pt idx="3075">
                  <c:v>44803.705555555498</c:v>
                </c:pt>
                <c:pt idx="3076">
                  <c:v>44804.705555555498</c:v>
                </c:pt>
                <c:pt idx="3077">
                  <c:v>44805.705555555498</c:v>
                </c:pt>
                <c:pt idx="3078">
                  <c:v>44806.705555555498</c:v>
                </c:pt>
                <c:pt idx="3079">
                  <c:v>44809.705555555498</c:v>
                </c:pt>
                <c:pt idx="3080">
                  <c:v>44810.705555555498</c:v>
                </c:pt>
                <c:pt idx="3081">
                  <c:v>44812.705555555498</c:v>
                </c:pt>
                <c:pt idx="3082">
                  <c:v>44813.705555555498</c:v>
                </c:pt>
                <c:pt idx="3083">
                  <c:v>44816.705555555498</c:v>
                </c:pt>
                <c:pt idx="3084">
                  <c:v>44817.705555555498</c:v>
                </c:pt>
                <c:pt idx="3085">
                  <c:v>44818.705555555498</c:v>
                </c:pt>
                <c:pt idx="3086">
                  <c:v>44819.705555555498</c:v>
                </c:pt>
                <c:pt idx="3087">
                  <c:v>44820.705555555498</c:v>
                </c:pt>
                <c:pt idx="3088">
                  <c:v>44823.705555555498</c:v>
                </c:pt>
              </c:numCache>
            </c:numRef>
          </c:cat>
          <c:val>
            <c:numRef>
              <c:f>'Dados Preços Acoes'!$B$3:$B$3148</c:f>
              <c:numCache>
                <c:formatCode>General</c:formatCode>
                <c:ptCount val="3146"/>
                <c:pt idx="0">
                  <c:v>37.369999999999997</c:v>
                </c:pt>
                <c:pt idx="1">
                  <c:v>37.07</c:v>
                </c:pt>
                <c:pt idx="2">
                  <c:v>36.590000000000003</c:v>
                </c:pt>
                <c:pt idx="3">
                  <c:v>37.44</c:v>
                </c:pt>
                <c:pt idx="4">
                  <c:v>38.07</c:v>
                </c:pt>
                <c:pt idx="5">
                  <c:v>37.479999999999997</c:v>
                </c:pt>
                <c:pt idx="6">
                  <c:v>37.130000000000003</c:v>
                </c:pt>
                <c:pt idx="7">
                  <c:v>37.49</c:v>
                </c:pt>
                <c:pt idx="8">
                  <c:v>36.89</c:v>
                </c:pt>
                <c:pt idx="9">
                  <c:v>35.590000000000003</c:v>
                </c:pt>
                <c:pt idx="10">
                  <c:v>35.6</c:v>
                </c:pt>
                <c:pt idx="11">
                  <c:v>36.79</c:v>
                </c:pt>
                <c:pt idx="12">
                  <c:v>36.29</c:v>
                </c:pt>
                <c:pt idx="13">
                  <c:v>37.78</c:v>
                </c:pt>
                <c:pt idx="14">
                  <c:v>41.54</c:v>
                </c:pt>
                <c:pt idx="15">
                  <c:v>39.96</c:v>
                </c:pt>
                <c:pt idx="16">
                  <c:v>38.869999999999997</c:v>
                </c:pt>
                <c:pt idx="17">
                  <c:v>38.17</c:v>
                </c:pt>
                <c:pt idx="18">
                  <c:v>39.6</c:v>
                </c:pt>
                <c:pt idx="19">
                  <c:v>28.37</c:v>
                </c:pt>
                <c:pt idx="20">
                  <c:v>28.18</c:v>
                </c:pt>
                <c:pt idx="21">
                  <c:v>26.9</c:v>
                </c:pt>
                <c:pt idx="22">
                  <c:v>24.88</c:v>
                </c:pt>
                <c:pt idx="23">
                  <c:v>23.83</c:v>
                </c:pt>
                <c:pt idx="24">
                  <c:v>23.74</c:v>
                </c:pt>
                <c:pt idx="25">
                  <c:v>24.13</c:v>
                </c:pt>
                <c:pt idx="26">
                  <c:v>24.33</c:v>
                </c:pt>
                <c:pt idx="27">
                  <c:v>24.48</c:v>
                </c:pt>
                <c:pt idx="28">
                  <c:v>24.06</c:v>
                </c:pt>
                <c:pt idx="29">
                  <c:v>24.45</c:v>
                </c:pt>
                <c:pt idx="30">
                  <c:v>24.72</c:v>
                </c:pt>
                <c:pt idx="31">
                  <c:v>24.19</c:v>
                </c:pt>
                <c:pt idx="32">
                  <c:v>23.64</c:v>
                </c:pt>
                <c:pt idx="33">
                  <c:v>23.15</c:v>
                </c:pt>
                <c:pt idx="34">
                  <c:v>22.99</c:v>
                </c:pt>
                <c:pt idx="35">
                  <c:v>23.54</c:v>
                </c:pt>
                <c:pt idx="36">
                  <c:v>23.14</c:v>
                </c:pt>
                <c:pt idx="37">
                  <c:v>24.03</c:v>
                </c:pt>
                <c:pt idx="38">
                  <c:v>24.34</c:v>
                </c:pt>
                <c:pt idx="39">
                  <c:v>23.68</c:v>
                </c:pt>
                <c:pt idx="40">
                  <c:v>23.93</c:v>
                </c:pt>
                <c:pt idx="41">
                  <c:v>24.32</c:v>
                </c:pt>
                <c:pt idx="42">
                  <c:v>24.33</c:v>
                </c:pt>
                <c:pt idx="43">
                  <c:v>25.17</c:v>
                </c:pt>
                <c:pt idx="44">
                  <c:v>25.42</c:v>
                </c:pt>
                <c:pt idx="45">
                  <c:v>25.27</c:v>
                </c:pt>
                <c:pt idx="46">
                  <c:v>24.86</c:v>
                </c:pt>
                <c:pt idx="47">
                  <c:v>25.51</c:v>
                </c:pt>
                <c:pt idx="48">
                  <c:v>26.55</c:v>
                </c:pt>
                <c:pt idx="49">
                  <c:v>26.7</c:v>
                </c:pt>
                <c:pt idx="50">
                  <c:v>26.6</c:v>
                </c:pt>
                <c:pt idx="51">
                  <c:v>26.06</c:v>
                </c:pt>
                <c:pt idx="52">
                  <c:v>25.96</c:v>
                </c:pt>
                <c:pt idx="53">
                  <c:v>25.48</c:v>
                </c:pt>
                <c:pt idx="54">
                  <c:v>25.22</c:v>
                </c:pt>
                <c:pt idx="55">
                  <c:v>25.95</c:v>
                </c:pt>
                <c:pt idx="56">
                  <c:v>26.4</c:v>
                </c:pt>
                <c:pt idx="57">
                  <c:v>26.1</c:v>
                </c:pt>
                <c:pt idx="58">
                  <c:v>25.91</c:v>
                </c:pt>
                <c:pt idx="59">
                  <c:v>26.28</c:v>
                </c:pt>
                <c:pt idx="60">
                  <c:v>25.86</c:v>
                </c:pt>
                <c:pt idx="61">
                  <c:v>25.68</c:v>
                </c:pt>
                <c:pt idx="62">
                  <c:v>25.61</c:v>
                </c:pt>
                <c:pt idx="63">
                  <c:v>25.42</c:v>
                </c:pt>
                <c:pt idx="64">
                  <c:v>25.02</c:v>
                </c:pt>
                <c:pt idx="65">
                  <c:v>24.93</c:v>
                </c:pt>
                <c:pt idx="66">
                  <c:v>25.11</c:v>
                </c:pt>
                <c:pt idx="67">
                  <c:v>24.72</c:v>
                </c:pt>
                <c:pt idx="68">
                  <c:v>25</c:v>
                </c:pt>
                <c:pt idx="69">
                  <c:v>24.95</c:v>
                </c:pt>
                <c:pt idx="70">
                  <c:v>25.11</c:v>
                </c:pt>
                <c:pt idx="71">
                  <c:v>25.23</c:v>
                </c:pt>
                <c:pt idx="72">
                  <c:v>25.47</c:v>
                </c:pt>
                <c:pt idx="73">
                  <c:v>24.97</c:v>
                </c:pt>
                <c:pt idx="74">
                  <c:v>24.56</c:v>
                </c:pt>
                <c:pt idx="75">
                  <c:v>24.56</c:v>
                </c:pt>
                <c:pt idx="76">
                  <c:v>24.62</c:v>
                </c:pt>
                <c:pt idx="77">
                  <c:v>24.43</c:v>
                </c:pt>
                <c:pt idx="78">
                  <c:v>22.94</c:v>
                </c:pt>
                <c:pt idx="79">
                  <c:v>22.38</c:v>
                </c:pt>
                <c:pt idx="80">
                  <c:v>21.86</c:v>
                </c:pt>
                <c:pt idx="81">
                  <c:v>22.34</c:v>
                </c:pt>
                <c:pt idx="82">
                  <c:v>23.04</c:v>
                </c:pt>
                <c:pt idx="83">
                  <c:v>22.93</c:v>
                </c:pt>
                <c:pt idx="84">
                  <c:v>23.15</c:v>
                </c:pt>
                <c:pt idx="85">
                  <c:v>23.19</c:v>
                </c:pt>
                <c:pt idx="86">
                  <c:v>22.65</c:v>
                </c:pt>
                <c:pt idx="87">
                  <c:v>22.75</c:v>
                </c:pt>
                <c:pt idx="88">
                  <c:v>21.94</c:v>
                </c:pt>
                <c:pt idx="89">
                  <c:v>21.76</c:v>
                </c:pt>
                <c:pt idx="90">
                  <c:v>21.62</c:v>
                </c:pt>
                <c:pt idx="91">
                  <c:v>21.66</c:v>
                </c:pt>
                <c:pt idx="92">
                  <c:v>21.91</c:v>
                </c:pt>
                <c:pt idx="93">
                  <c:v>21.66</c:v>
                </c:pt>
                <c:pt idx="94">
                  <c:v>22.09</c:v>
                </c:pt>
                <c:pt idx="95">
                  <c:v>22.17</c:v>
                </c:pt>
                <c:pt idx="96">
                  <c:v>22.35</c:v>
                </c:pt>
                <c:pt idx="97">
                  <c:v>22.4</c:v>
                </c:pt>
                <c:pt idx="98">
                  <c:v>22.22</c:v>
                </c:pt>
                <c:pt idx="99">
                  <c:v>22.25</c:v>
                </c:pt>
                <c:pt idx="100">
                  <c:v>22.35</c:v>
                </c:pt>
                <c:pt idx="101">
                  <c:v>22.16</c:v>
                </c:pt>
                <c:pt idx="102">
                  <c:v>21.94</c:v>
                </c:pt>
                <c:pt idx="103">
                  <c:v>21.87</c:v>
                </c:pt>
                <c:pt idx="104">
                  <c:v>22.1</c:v>
                </c:pt>
                <c:pt idx="105">
                  <c:v>22.62</c:v>
                </c:pt>
                <c:pt idx="106">
                  <c:v>22.79</c:v>
                </c:pt>
                <c:pt idx="107">
                  <c:v>23.23</c:v>
                </c:pt>
                <c:pt idx="108">
                  <c:v>23.93</c:v>
                </c:pt>
                <c:pt idx="109">
                  <c:v>24.04</c:v>
                </c:pt>
                <c:pt idx="110">
                  <c:v>24.58</c:v>
                </c:pt>
                <c:pt idx="111">
                  <c:v>24.2</c:v>
                </c:pt>
                <c:pt idx="112">
                  <c:v>24.19</c:v>
                </c:pt>
                <c:pt idx="113">
                  <c:v>24.33</c:v>
                </c:pt>
                <c:pt idx="114">
                  <c:v>24.25</c:v>
                </c:pt>
                <c:pt idx="115">
                  <c:v>23.6</c:v>
                </c:pt>
                <c:pt idx="116">
                  <c:v>22.99</c:v>
                </c:pt>
                <c:pt idx="117">
                  <c:v>22.75</c:v>
                </c:pt>
                <c:pt idx="118">
                  <c:v>22.48</c:v>
                </c:pt>
                <c:pt idx="119">
                  <c:v>22.32</c:v>
                </c:pt>
                <c:pt idx="120">
                  <c:v>22.15</c:v>
                </c:pt>
                <c:pt idx="121">
                  <c:v>21.71</c:v>
                </c:pt>
                <c:pt idx="122">
                  <c:v>21.96</c:v>
                </c:pt>
                <c:pt idx="123">
                  <c:v>21.86</c:v>
                </c:pt>
                <c:pt idx="124">
                  <c:v>21.66</c:v>
                </c:pt>
                <c:pt idx="125">
                  <c:v>21.26</c:v>
                </c:pt>
                <c:pt idx="126">
                  <c:v>21.47</c:v>
                </c:pt>
                <c:pt idx="127">
                  <c:v>21.62</c:v>
                </c:pt>
                <c:pt idx="128">
                  <c:v>21.68</c:v>
                </c:pt>
                <c:pt idx="129">
                  <c:v>22.05</c:v>
                </c:pt>
                <c:pt idx="130">
                  <c:v>22.28</c:v>
                </c:pt>
                <c:pt idx="131">
                  <c:v>22.36</c:v>
                </c:pt>
                <c:pt idx="132">
                  <c:v>21.76</c:v>
                </c:pt>
                <c:pt idx="133">
                  <c:v>22.02</c:v>
                </c:pt>
                <c:pt idx="134">
                  <c:v>22.25</c:v>
                </c:pt>
                <c:pt idx="135">
                  <c:v>22.55</c:v>
                </c:pt>
                <c:pt idx="136">
                  <c:v>22.73</c:v>
                </c:pt>
                <c:pt idx="137">
                  <c:v>22.45</c:v>
                </c:pt>
                <c:pt idx="138">
                  <c:v>22.48</c:v>
                </c:pt>
                <c:pt idx="139">
                  <c:v>22.65</c:v>
                </c:pt>
                <c:pt idx="140">
                  <c:v>22.75</c:v>
                </c:pt>
                <c:pt idx="141">
                  <c:v>22.54</c:v>
                </c:pt>
                <c:pt idx="142">
                  <c:v>22.44</c:v>
                </c:pt>
                <c:pt idx="143">
                  <c:v>22.05</c:v>
                </c:pt>
                <c:pt idx="144">
                  <c:v>21.96</c:v>
                </c:pt>
                <c:pt idx="145">
                  <c:v>21.83</c:v>
                </c:pt>
                <c:pt idx="146">
                  <c:v>21.95</c:v>
                </c:pt>
                <c:pt idx="147">
                  <c:v>22.04</c:v>
                </c:pt>
                <c:pt idx="148">
                  <c:v>22.12</c:v>
                </c:pt>
                <c:pt idx="149">
                  <c:v>21.71</c:v>
                </c:pt>
                <c:pt idx="150">
                  <c:v>21.97</c:v>
                </c:pt>
                <c:pt idx="151">
                  <c:v>21.76</c:v>
                </c:pt>
                <c:pt idx="152">
                  <c:v>21.93</c:v>
                </c:pt>
                <c:pt idx="153">
                  <c:v>21.62</c:v>
                </c:pt>
                <c:pt idx="154">
                  <c:v>21.26</c:v>
                </c:pt>
                <c:pt idx="155">
                  <c:v>21.49</c:v>
                </c:pt>
                <c:pt idx="156">
                  <c:v>21.13</c:v>
                </c:pt>
                <c:pt idx="157">
                  <c:v>21.34</c:v>
                </c:pt>
                <c:pt idx="158">
                  <c:v>21.16</c:v>
                </c:pt>
                <c:pt idx="159">
                  <c:v>20.95</c:v>
                </c:pt>
                <c:pt idx="160">
                  <c:v>21.03</c:v>
                </c:pt>
                <c:pt idx="161">
                  <c:v>21.31</c:v>
                </c:pt>
                <c:pt idx="162">
                  <c:v>21.59</c:v>
                </c:pt>
                <c:pt idx="163">
                  <c:v>21.21</c:v>
                </c:pt>
                <c:pt idx="164">
                  <c:v>21.5</c:v>
                </c:pt>
                <c:pt idx="165">
                  <c:v>21.34</c:v>
                </c:pt>
                <c:pt idx="166">
                  <c:v>21.09</c:v>
                </c:pt>
                <c:pt idx="167">
                  <c:v>21.46</c:v>
                </c:pt>
                <c:pt idx="168">
                  <c:v>21.32</c:v>
                </c:pt>
                <c:pt idx="169">
                  <c:v>21.47</c:v>
                </c:pt>
                <c:pt idx="170">
                  <c:v>21.44</c:v>
                </c:pt>
                <c:pt idx="171">
                  <c:v>21.26</c:v>
                </c:pt>
                <c:pt idx="172">
                  <c:v>21.09</c:v>
                </c:pt>
                <c:pt idx="173">
                  <c:v>21.32</c:v>
                </c:pt>
                <c:pt idx="174">
                  <c:v>21.44</c:v>
                </c:pt>
                <c:pt idx="175">
                  <c:v>22.01</c:v>
                </c:pt>
                <c:pt idx="176">
                  <c:v>22.6</c:v>
                </c:pt>
                <c:pt idx="177">
                  <c:v>22.84</c:v>
                </c:pt>
                <c:pt idx="178">
                  <c:v>22.51</c:v>
                </c:pt>
                <c:pt idx="179">
                  <c:v>22.69</c:v>
                </c:pt>
                <c:pt idx="180">
                  <c:v>22.94</c:v>
                </c:pt>
                <c:pt idx="181">
                  <c:v>24.35</c:v>
                </c:pt>
                <c:pt idx="182">
                  <c:v>24.67</c:v>
                </c:pt>
                <c:pt idx="183">
                  <c:v>25.76</c:v>
                </c:pt>
                <c:pt idx="184">
                  <c:v>24.13</c:v>
                </c:pt>
                <c:pt idx="185">
                  <c:v>23.94</c:v>
                </c:pt>
                <c:pt idx="186">
                  <c:v>24.43</c:v>
                </c:pt>
                <c:pt idx="187">
                  <c:v>23.47</c:v>
                </c:pt>
                <c:pt idx="188">
                  <c:v>23.24</c:v>
                </c:pt>
                <c:pt idx="189">
                  <c:v>22.94</c:v>
                </c:pt>
                <c:pt idx="190">
                  <c:v>24.17</c:v>
                </c:pt>
                <c:pt idx="191">
                  <c:v>23.65</c:v>
                </c:pt>
                <c:pt idx="192">
                  <c:v>23.05</c:v>
                </c:pt>
                <c:pt idx="193">
                  <c:v>23.14</c:v>
                </c:pt>
                <c:pt idx="194">
                  <c:v>23.77</c:v>
                </c:pt>
                <c:pt idx="195">
                  <c:v>23.82</c:v>
                </c:pt>
                <c:pt idx="196">
                  <c:v>23.34</c:v>
                </c:pt>
                <c:pt idx="197">
                  <c:v>23.04</c:v>
                </c:pt>
                <c:pt idx="198">
                  <c:v>22.75</c:v>
                </c:pt>
                <c:pt idx="199">
                  <c:v>22.34</c:v>
                </c:pt>
                <c:pt idx="200">
                  <c:v>22.22</c:v>
                </c:pt>
                <c:pt idx="201">
                  <c:v>22.25</c:v>
                </c:pt>
                <c:pt idx="202">
                  <c:v>22.14</c:v>
                </c:pt>
                <c:pt idx="203">
                  <c:v>22.3</c:v>
                </c:pt>
                <c:pt idx="204">
                  <c:v>22.24</c:v>
                </c:pt>
                <c:pt idx="205">
                  <c:v>22.07</c:v>
                </c:pt>
                <c:pt idx="206">
                  <c:v>21.86</c:v>
                </c:pt>
                <c:pt idx="207">
                  <c:v>22.1</c:v>
                </c:pt>
                <c:pt idx="208">
                  <c:v>21.95</c:v>
                </c:pt>
                <c:pt idx="209">
                  <c:v>21.86</c:v>
                </c:pt>
                <c:pt idx="210">
                  <c:v>21.7</c:v>
                </c:pt>
                <c:pt idx="211">
                  <c:v>22.24</c:v>
                </c:pt>
                <c:pt idx="212">
                  <c:v>22.53</c:v>
                </c:pt>
                <c:pt idx="213">
                  <c:v>22.71</c:v>
                </c:pt>
                <c:pt idx="214">
                  <c:v>23.49</c:v>
                </c:pt>
                <c:pt idx="215">
                  <c:v>23.17</c:v>
                </c:pt>
                <c:pt idx="216">
                  <c:v>22.75</c:v>
                </c:pt>
                <c:pt idx="217">
                  <c:v>22.55</c:v>
                </c:pt>
                <c:pt idx="218">
                  <c:v>22.1</c:v>
                </c:pt>
                <c:pt idx="219">
                  <c:v>22.55</c:v>
                </c:pt>
                <c:pt idx="220">
                  <c:v>22.56</c:v>
                </c:pt>
                <c:pt idx="221">
                  <c:v>22.27</c:v>
                </c:pt>
                <c:pt idx="222">
                  <c:v>21.88</c:v>
                </c:pt>
                <c:pt idx="223">
                  <c:v>21.82</c:v>
                </c:pt>
                <c:pt idx="224">
                  <c:v>21.71</c:v>
                </c:pt>
                <c:pt idx="225">
                  <c:v>21.92</c:v>
                </c:pt>
                <c:pt idx="226">
                  <c:v>21.81</c:v>
                </c:pt>
                <c:pt idx="227">
                  <c:v>21.63</c:v>
                </c:pt>
                <c:pt idx="228">
                  <c:v>21.58</c:v>
                </c:pt>
                <c:pt idx="229">
                  <c:v>21.52</c:v>
                </c:pt>
                <c:pt idx="230">
                  <c:v>21.56</c:v>
                </c:pt>
                <c:pt idx="231">
                  <c:v>21.76</c:v>
                </c:pt>
                <c:pt idx="232">
                  <c:v>21.99</c:v>
                </c:pt>
                <c:pt idx="233">
                  <c:v>22.43</c:v>
                </c:pt>
                <c:pt idx="234">
                  <c:v>22.97</c:v>
                </c:pt>
                <c:pt idx="235">
                  <c:v>23.61</c:v>
                </c:pt>
                <c:pt idx="236">
                  <c:v>22.94</c:v>
                </c:pt>
                <c:pt idx="237">
                  <c:v>22.79</c:v>
                </c:pt>
                <c:pt idx="238">
                  <c:v>22.6</c:v>
                </c:pt>
                <c:pt idx="239">
                  <c:v>22.4</c:v>
                </c:pt>
                <c:pt idx="240">
                  <c:v>22.48</c:v>
                </c:pt>
                <c:pt idx="241">
                  <c:v>22.74</c:v>
                </c:pt>
                <c:pt idx="242">
                  <c:v>23.12</c:v>
                </c:pt>
                <c:pt idx="243">
                  <c:v>23.07</c:v>
                </c:pt>
                <c:pt idx="244">
                  <c:v>22.86</c:v>
                </c:pt>
                <c:pt idx="245">
                  <c:v>22.4</c:v>
                </c:pt>
                <c:pt idx="246">
                  <c:v>22.23</c:v>
                </c:pt>
                <c:pt idx="247">
                  <c:v>22.24</c:v>
                </c:pt>
                <c:pt idx="248">
                  <c:v>22.26</c:v>
                </c:pt>
                <c:pt idx="249">
                  <c:v>21.95</c:v>
                </c:pt>
                <c:pt idx="250">
                  <c:v>21.89</c:v>
                </c:pt>
                <c:pt idx="251">
                  <c:v>21.98</c:v>
                </c:pt>
                <c:pt idx="252">
                  <c:v>22.15</c:v>
                </c:pt>
                <c:pt idx="253">
                  <c:v>22.15</c:v>
                </c:pt>
                <c:pt idx="254">
                  <c:v>22.25</c:v>
                </c:pt>
                <c:pt idx="255">
                  <c:v>22.38</c:v>
                </c:pt>
                <c:pt idx="256">
                  <c:v>22.38</c:v>
                </c:pt>
                <c:pt idx="257">
                  <c:v>22.25</c:v>
                </c:pt>
                <c:pt idx="258">
                  <c:v>22.31</c:v>
                </c:pt>
                <c:pt idx="259">
                  <c:v>22.25</c:v>
                </c:pt>
                <c:pt idx="260">
                  <c:v>22.28</c:v>
                </c:pt>
                <c:pt idx="261">
                  <c:v>22.53</c:v>
                </c:pt>
                <c:pt idx="262">
                  <c:v>22.63</c:v>
                </c:pt>
                <c:pt idx="263">
                  <c:v>22.94</c:v>
                </c:pt>
                <c:pt idx="264">
                  <c:v>22.83</c:v>
                </c:pt>
                <c:pt idx="265">
                  <c:v>22.86</c:v>
                </c:pt>
                <c:pt idx="266">
                  <c:v>22.89</c:v>
                </c:pt>
                <c:pt idx="267">
                  <c:v>22.75</c:v>
                </c:pt>
                <c:pt idx="268">
                  <c:v>23.24</c:v>
                </c:pt>
                <c:pt idx="269">
                  <c:v>22.88</c:v>
                </c:pt>
                <c:pt idx="270">
                  <c:v>23.19</c:v>
                </c:pt>
                <c:pt idx="271">
                  <c:v>23.44</c:v>
                </c:pt>
                <c:pt idx="272">
                  <c:v>23.68</c:v>
                </c:pt>
                <c:pt idx="273">
                  <c:v>23.51</c:v>
                </c:pt>
                <c:pt idx="274">
                  <c:v>23.82</c:v>
                </c:pt>
                <c:pt idx="275">
                  <c:v>24.18</c:v>
                </c:pt>
                <c:pt idx="276">
                  <c:v>23.91</c:v>
                </c:pt>
                <c:pt idx="277">
                  <c:v>23.3</c:v>
                </c:pt>
                <c:pt idx="278">
                  <c:v>23.43</c:v>
                </c:pt>
                <c:pt idx="279">
                  <c:v>23.74</c:v>
                </c:pt>
                <c:pt idx="280">
                  <c:v>23.75</c:v>
                </c:pt>
                <c:pt idx="281">
                  <c:v>24.17</c:v>
                </c:pt>
                <c:pt idx="282">
                  <c:v>24.38</c:v>
                </c:pt>
                <c:pt idx="283">
                  <c:v>23.98</c:v>
                </c:pt>
                <c:pt idx="284">
                  <c:v>24.03</c:v>
                </c:pt>
                <c:pt idx="285">
                  <c:v>24.13</c:v>
                </c:pt>
                <c:pt idx="286">
                  <c:v>24.4</c:v>
                </c:pt>
                <c:pt idx="287">
                  <c:v>24.83</c:v>
                </c:pt>
                <c:pt idx="288">
                  <c:v>25.12</c:v>
                </c:pt>
                <c:pt idx="289">
                  <c:v>24.97</c:v>
                </c:pt>
                <c:pt idx="290">
                  <c:v>24.77</c:v>
                </c:pt>
                <c:pt idx="291">
                  <c:v>24.38</c:v>
                </c:pt>
                <c:pt idx="292">
                  <c:v>23.92</c:v>
                </c:pt>
                <c:pt idx="293">
                  <c:v>23.7</c:v>
                </c:pt>
                <c:pt idx="294">
                  <c:v>23.67</c:v>
                </c:pt>
                <c:pt idx="295">
                  <c:v>23.59</c:v>
                </c:pt>
                <c:pt idx="296">
                  <c:v>23.61</c:v>
                </c:pt>
                <c:pt idx="297">
                  <c:v>23.54</c:v>
                </c:pt>
                <c:pt idx="298">
                  <c:v>23.55</c:v>
                </c:pt>
                <c:pt idx="299">
                  <c:v>23.28</c:v>
                </c:pt>
                <c:pt idx="300">
                  <c:v>23.37</c:v>
                </c:pt>
                <c:pt idx="301">
                  <c:v>22.97</c:v>
                </c:pt>
                <c:pt idx="302">
                  <c:v>22.81</c:v>
                </c:pt>
                <c:pt idx="303">
                  <c:v>22.65</c:v>
                </c:pt>
                <c:pt idx="304">
                  <c:v>22.1</c:v>
                </c:pt>
                <c:pt idx="305">
                  <c:v>22.09</c:v>
                </c:pt>
                <c:pt idx="306">
                  <c:v>22.3</c:v>
                </c:pt>
                <c:pt idx="307">
                  <c:v>22.56</c:v>
                </c:pt>
                <c:pt idx="308">
                  <c:v>22.6</c:v>
                </c:pt>
                <c:pt idx="309">
                  <c:v>22.45</c:v>
                </c:pt>
                <c:pt idx="310">
                  <c:v>22.2</c:v>
                </c:pt>
                <c:pt idx="311">
                  <c:v>22.27</c:v>
                </c:pt>
                <c:pt idx="312">
                  <c:v>22.17</c:v>
                </c:pt>
                <c:pt idx="313">
                  <c:v>22.15</c:v>
                </c:pt>
                <c:pt idx="314">
                  <c:v>22.26</c:v>
                </c:pt>
                <c:pt idx="315">
                  <c:v>22.24</c:v>
                </c:pt>
                <c:pt idx="316">
                  <c:v>22.56</c:v>
                </c:pt>
                <c:pt idx="317">
                  <c:v>22.45</c:v>
                </c:pt>
                <c:pt idx="318">
                  <c:v>22.25</c:v>
                </c:pt>
                <c:pt idx="319">
                  <c:v>22.29</c:v>
                </c:pt>
                <c:pt idx="320">
                  <c:v>22.17</c:v>
                </c:pt>
                <c:pt idx="321">
                  <c:v>22</c:v>
                </c:pt>
                <c:pt idx="322">
                  <c:v>22</c:v>
                </c:pt>
                <c:pt idx="323">
                  <c:v>22.15</c:v>
                </c:pt>
                <c:pt idx="324">
                  <c:v>22.04</c:v>
                </c:pt>
                <c:pt idx="325">
                  <c:v>22.06</c:v>
                </c:pt>
                <c:pt idx="326">
                  <c:v>22.01</c:v>
                </c:pt>
                <c:pt idx="327">
                  <c:v>21.86</c:v>
                </c:pt>
                <c:pt idx="328">
                  <c:v>21.41</c:v>
                </c:pt>
                <c:pt idx="329">
                  <c:v>21.51</c:v>
                </c:pt>
                <c:pt idx="330">
                  <c:v>21.14</c:v>
                </c:pt>
                <c:pt idx="331">
                  <c:v>21.11</c:v>
                </c:pt>
                <c:pt idx="332">
                  <c:v>21.08</c:v>
                </c:pt>
                <c:pt idx="333">
                  <c:v>21.06</c:v>
                </c:pt>
                <c:pt idx="334">
                  <c:v>21.15</c:v>
                </c:pt>
                <c:pt idx="335">
                  <c:v>20.72</c:v>
                </c:pt>
                <c:pt idx="336">
                  <c:v>20.43</c:v>
                </c:pt>
                <c:pt idx="337">
                  <c:v>20.47</c:v>
                </c:pt>
                <c:pt idx="338">
                  <c:v>20.25</c:v>
                </c:pt>
                <c:pt idx="339">
                  <c:v>20.11</c:v>
                </c:pt>
                <c:pt idx="340">
                  <c:v>20.309999999999999</c:v>
                </c:pt>
                <c:pt idx="341">
                  <c:v>20.32</c:v>
                </c:pt>
                <c:pt idx="342">
                  <c:v>20.57</c:v>
                </c:pt>
                <c:pt idx="343">
                  <c:v>20.66</c:v>
                </c:pt>
                <c:pt idx="344">
                  <c:v>20.63</c:v>
                </c:pt>
                <c:pt idx="345">
                  <c:v>20.52</c:v>
                </c:pt>
                <c:pt idx="346">
                  <c:v>20.13</c:v>
                </c:pt>
                <c:pt idx="347">
                  <c:v>20.02</c:v>
                </c:pt>
                <c:pt idx="348">
                  <c:v>19.809999999999999</c:v>
                </c:pt>
                <c:pt idx="349">
                  <c:v>19.579999999999998</c:v>
                </c:pt>
                <c:pt idx="350">
                  <c:v>19.07</c:v>
                </c:pt>
                <c:pt idx="351">
                  <c:v>19.149999999999999</c:v>
                </c:pt>
                <c:pt idx="352">
                  <c:v>19.23</c:v>
                </c:pt>
                <c:pt idx="353">
                  <c:v>19.260000000000002</c:v>
                </c:pt>
                <c:pt idx="354">
                  <c:v>19.190000000000001</c:v>
                </c:pt>
                <c:pt idx="355">
                  <c:v>18.79</c:v>
                </c:pt>
                <c:pt idx="356">
                  <c:v>18.64</c:v>
                </c:pt>
                <c:pt idx="357">
                  <c:v>18.82</c:v>
                </c:pt>
                <c:pt idx="358">
                  <c:v>18.98</c:v>
                </c:pt>
                <c:pt idx="359">
                  <c:v>18.38</c:v>
                </c:pt>
                <c:pt idx="360">
                  <c:v>18</c:v>
                </c:pt>
                <c:pt idx="361">
                  <c:v>18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17.72</c:v>
                </c:pt>
                <c:pt idx="365">
                  <c:v>16.920000000000002</c:v>
                </c:pt>
                <c:pt idx="366">
                  <c:v>16.850000000000001</c:v>
                </c:pt>
                <c:pt idx="367">
                  <c:v>15.58</c:v>
                </c:pt>
                <c:pt idx="368">
                  <c:v>15.78</c:v>
                </c:pt>
                <c:pt idx="369">
                  <c:v>15.58</c:v>
                </c:pt>
                <c:pt idx="370">
                  <c:v>16.07</c:v>
                </c:pt>
                <c:pt idx="371">
                  <c:v>16.399999999999999</c:v>
                </c:pt>
                <c:pt idx="372">
                  <c:v>16.8</c:v>
                </c:pt>
                <c:pt idx="373">
                  <c:v>16.47</c:v>
                </c:pt>
                <c:pt idx="374">
                  <c:v>16.12</c:v>
                </c:pt>
                <c:pt idx="375">
                  <c:v>16.43</c:v>
                </c:pt>
                <c:pt idx="376">
                  <c:v>15.82</c:v>
                </c:pt>
                <c:pt idx="377">
                  <c:v>15.67</c:v>
                </c:pt>
                <c:pt idx="378">
                  <c:v>15.76</c:v>
                </c:pt>
                <c:pt idx="379">
                  <c:v>15.72</c:v>
                </c:pt>
                <c:pt idx="380">
                  <c:v>15.95</c:v>
                </c:pt>
                <c:pt idx="381">
                  <c:v>15.91</c:v>
                </c:pt>
                <c:pt idx="382">
                  <c:v>16.12</c:v>
                </c:pt>
                <c:pt idx="383">
                  <c:v>16.12</c:v>
                </c:pt>
                <c:pt idx="384">
                  <c:v>15.89</c:v>
                </c:pt>
                <c:pt idx="385">
                  <c:v>15.86</c:v>
                </c:pt>
                <c:pt idx="386">
                  <c:v>16.57</c:v>
                </c:pt>
                <c:pt idx="387">
                  <c:v>16.38</c:v>
                </c:pt>
                <c:pt idx="388">
                  <c:v>16.100000000000001</c:v>
                </c:pt>
                <c:pt idx="389">
                  <c:v>16.149999999999999</c:v>
                </c:pt>
                <c:pt idx="390">
                  <c:v>16.2</c:v>
                </c:pt>
                <c:pt idx="391">
                  <c:v>16.27</c:v>
                </c:pt>
                <c:pt idx="392">
                  <c:v>16.100000000000001</c:v>
                </c:pt>
                <c:pt idx="393">
                  <c:v>17.440000000000001</c:v>
                </c:pt>
                <c:pt idx="394">
                  <c:v>17.27</c:v>
                </c:pt>
                <c:pt idx="395">
                  <c:v>17.14</c:v>
                </c:pt>
                <c:pt idx="396">
                  <c:v>17.38</c:v>
                </c:pt>
                <c:pt idx="397">
                  <c:v>16.260000000000002</c:v>
                </c:pt>
                <c:pt idx="398">
                  <c:v>15.82</c:v>
                </c:pt>
                <c:pt idx="399">
                  <c:v>16</c:v>
                </c:pt>
                <c:pt idx="400">
                  <c:v>15.82</c:v>
                </c:pt>
                <c:pt idx="401">
                  <c:v>15.77</c:v>
                </c:pt>
                <c:pt idx="402">
                  <c:v>16.02</c:v>
                </c:pt>
                <c:pt idx="403">
                  <c:v>15.77</c:v>
                </c:pt>
                <c:pt idx="404">
                  <c:v>15.28</c:v>
                </c:pt>
                <c:pt idx="405">
                  <c:v>15.5</c:v>
                </c:pt>
                <c:pt idx="406">
                  <c:v>15.18</c:v>
                </c:pt>
                <c:pt idx="407">
                  <c:v>15.95</c:v>
                </c:pt>
                <c:pt idx="408">
                  <c:v>16.28</c:v>
                </c:pt>
                <c:pt idx="409">
                  <c:v>16.25</c:v>
                </c:pt>
                <c:pt idx="410">
                  <c:v>16.29</c:v>
                </c:pt>
                <c:pt idx="411">
                  <c:v>16.420000000000002</c:v>
                </c:pt>
                <c:pt idx="412">
                  <c:v>16.36</c:v>
                </c:pt>
                <c:pt idx="413">
                  <c:v>16.149999999999999</c:v>
                </c:pt>
                <c:pt idx="414">
                  <c:v>16.77</c:v>
                </c:pt>
                <c:pt idx="415">
                  <c:v>17.25</c:v>
                </c:pt>
                <c:pt idx="416">
                  <c:v>16.59</c:v>
                </c:pt>
                <c:pt idx="417">
                  <c:v>16.71</c:v>
                </c:pt>
                <c:pt idx="418">
                  <c:v>17.45</c:v>
                </c:pt>
                <c:pt idx="419">
                  <c:v>17.11</c:v>
                </c:pt>
                <c:pt idx="420">
                  <c:v>16.78</c:v>
                </c:pt>
                <c:pt idx="421">
                  <c:v>16.79</c:v>
                </c:pt>
                <c:pt idx="422">
                  <c:v>17.79</c:v>
                </c:pt>
                <c:pt idx="423">
                  <c:v>18.12</c:v>
                </c:pt>
                <c:pt idx="424">
                  <c:v>17.79</c:v>
                </c:pt>
                <c:pt idx="425">
                  <c:v>17.350000000000001</c:v>
                </c:pt>
                <c:pt idx="426">
                  <c:v>17.190000000000001</c:v>
                </c:pt>
                <c:pt idx="427">
                  <c:v>16.760000000000002</c:v>
                </c:pt>
                <c:pt idx="428">
                  <c:v>17.059999999999999</c:v>
                </c:pt>
                <c:pt idx="429">
                  <c:v>16.170000000000002</c:v>
                </c:pt>
                <c:pt idx="430">
                  <c:v>16.32</c:v>
                </c:pt>
                <c:pt idx="431">
                  <c:v>16.420000000000002</c:v>
                </c:pt>
                <c:pt idx="432">
                  <c:v>15.95</c:v>
                </c:pt>
                <c:pt idx="433">
                  <c:v>15.66</c:v>
                </c:pt>
                <c:pt idx="434">
                  <c:v>15.9</c:v>
                </c:pt>
                <c:pt idx="435">
                  <c:v>15.99</c:v>
                </c:pt>
                <c:pt idx="436">
                  <c:v>16.43</c:v>
                </c:pt>
                <c:pt idx="437">
                  <c:v>16.02</c:v>
                </c:pt>
                <c:pt idx="438">
                  <c:v>16.39</c:v>
                </c:pt>
                <c:pt idx="439">
                  <c:v>16.670000000000002</c:v>
                </c:pt>
                <c:pt idx="440">
                  <c:v>16.75</c:v>
                </c:pt>
                <c:pt idx="441">
                  <c:v>17.07</c:v>
                </c:pt>
                <c:pt idx="442">
                  <c:v>17.350000000000001</c:v>
                </c:pt>
                <c:pt idx="443">
                  <c:v>17.079999999999998</c:v>
                </c:pt>
                <c:pt idx="444">
                  <c:v>17.09</c:v>
                </c:pt>
                <c:pt idx="445">
                  <c:v>17.29</c:v>
                </c:pt>
                <c:pt idx="446">
                  <c:v>17.25</c:v>
                </c:pt>
                <c:pt idx="447">
                  <c:v>17.11</c:v>
                </c:pt>
                <c:pt idx="448">
                  <c:v>17.18</c:v>
                </c:pt>
                <c:pt idx="449">
                  <c:v>17.239999999999998</c:v>
                </c:pt>
                <c:pt idx="450">
                  <c:v>17.55</c:v>
                </c:pt>
                <c:pt idx="451">
                  <c:v>18.03</c:v>
                </c:pt>
                <c:pt idx="452">
                  <c:v>17.96</c:v>
                </c:pt>
                <c:pt idx="453">
                  <c:v>18.05</c:v>
                </c:pt>
                <c:pt idx="454">
                  <c:v>18.059999999999999</c:v>
                </c:pt>
                <c:pt idx="455">
                  <c:v>17.39</c:v>
                </c:pt>
                <c:pt idx="456">
                  <c:v>17.64</c:v>
                </c:pt>
                <c:pt idx="457">
                  <c:v>17.45</c:v>
                </c:pt>
                <c:pt idx="458">
                  <c:v>17.690000000000001</c:v>
                </c:pt>
                <c:pt idx="459">
                  <c:v>18.48</c:v>
                </c:pt>
                <c:pt idx="460">
                  <c:v>18.11</c:v>
                </c:pt>
                <c:pt idx="461">
                  <c:v>17.940000000000001</c:v>
                </c:pt>
                <c:pt idx="462">
                  <c:v>18.04</c:v>
                </c:pt>
                <c:pt idx="463">
                  <c:v>17.670000000000002</c:v>
                </c:pt>
                <c:pt idx="464">
                  <c:v>17.420000000000002</c:v>
                </c:pt>
                <c:pt idx="465">
                  <c:v>17.43</c:v>
                </c:pt>
                <c:pt idx="466">
                  <c:v>17.43</c:v>
                </c:pt>
                <c:pt idx="467">
                  <c:v>17.55</c:v>
                </c:pt>
                <c:pt idx="468">
                  <c:v>17.59</c:v>
                </c:pt>
                <c:pt idx="469">
                  <c:v>17.399999999999999</c:v>
                </c:pt>
                <c:pt idx="470">
                  <c:v>17.39</c:v>
                </c:pt>
                <c:pt idx="471">
                  <c:v>16.940000000000001</c:v>
                </c:pt>
                <c:pt idx="472">
                  <c:v>17.03</c:v>
                </c:pt>
                <c:pt idx="473">
                  <c:v>17.16</c:v>
                </c:pt>
                <c:pt idx="474">
                  <c:v>17.29</c:v>
                </c:pt>
                <c:pt idx="475">
                  <c:v>17.440000000000001</c:v>
                </c:pt>
                <c:pt idx="476">
                  <c:v>17.75</c:v>
                </c:pt>
                <c:pt idx="477">
                  <c:v>17.579999999999998</c:v>
                </c:pt>
                <c:pt idx="478">
                  <c:v>17.28</c:v>
                </c:pt>
                <c:pt idx="479">
                  <c:v>17.440000000000001</c:v>
                </c:pt>
                <c:pt idx="480">
                  <c:v>17.600000000000001</c:v>
                </c:pt>
                <c:pt idx="481">
                  <c:v>17.72</c:v>
                </c:pt>
                <c:pt idx="482">
                  <c:v>17.899999999999999</c:v>
                </c:pt>
                <c:pt idx="483">
                  <c:v>18.05</c:v>
                </c:pt>
                <c:pt idx="484">
                  <c:v>18.78</c:v>
                </c:pt>
                <c:pt idx="485">
                  <c:v>18.62</c:v>
                </c:pt>
                <c:pt idx="486">
                  <c:v>18.07</c:v>
                </c:pt>
                <c:pt idx="487">
                  <c:v>18.649999999999999</c:v>
                </c:pt>
                <c:pt idx="488">
                  <c:v>19.100000000000001</c:v>
                </c:pt>
                <c:pt idx="489">
                  <c:v>19.149999999999999</c:v>
                </c:pt>
                <c:pt idx="490">
                  <c:v>18.75</c:v>
                </c:pt>
                <c:pt idx="491">
                  <c:v>18.37</c:v>
                </c:pt>
                <c:pt idx="492">
                  <c:v>18.760000000000002</c:v>
                </c:pt>
                <c:pt idx="493">
                  <c:v>18.3</c:v>
                </c:pt>
                <c:pt idx="494">
                  <c:v>18.34</c:v>
                </c:pt>
                <c:pt idx="495">
                  <c:v>18.47</c:v>
                </c:pt>
                <c:pt idx="496">
                  <c:v>18.670000000000002</c:v>
                </c:pt>
                <c:pt idx="497">
                  <c:v>18.78</c:v>
                </c:pt>
                <c:pt idx="498">
                  <c:v>18.38</c:v>
                </c:pt>
                <c:pt idx="499">
                  <c:v>18.260000000000002</c:v>
                </c:pt>
                <c:pt idx="500">
                  <c:v>18.100000000000001</c:v>
                </c:pt>
                <c:pt idx="501">
                  <c:v>18.13</c:v>
                </c:pt>
                <c:pt idx="502">
                  <c:v>18.489999999999998</c:v>
                </c:pt>
                <c:pt idx="503">
                  <c:v>18.12</c:v>
                </c:pt>
                <c:pt idx="504">
                  <c:v>17.329999999999998</c:v>
                </c:pt>
                <c:pt idx="505">
                  <c:v>17.7</c:v>
                </c:pt>
                <c:pt idx="506">
                  <c:v>17.55</c:v>
                </c:pt>
                <c:pt idx="507">
                  <c:v>17.440000000000001</c:v>
                </c:pt>
                <c:pt idx="508">
                  <c:v>17.12</c:v>
                </c:pt>
                <c:pt idx="509">
                  <c:v>17.239999999999998</c:v>
                </c:pt>
                <c:pt idx="510">
                  <c:v>17.25</c:v>
                </c:pt>
                <c:pt idx="511">
                  <c:v>17.37</c:v>
                </c:pt>
                <c:pt idx="512">
                  <c:v>17.399999999999999</c:v>
                </c:pt>
                <c:pt idx="513">
                  <c:v>17.09</c:v>
                </c:pt>
                <c:pt idx="514">
                  <c:v>17.190000000000001</c:v>
                </c:pt>
                <c:pt idx="515">
                  <c:v>16.52</c:v>
                </c:pt>
                <c:pt idx="516">
                  <c:v>16.61</c:v>
                </c:pt>
                <c:pt idx="517">
                  <c:v>16.3</c:v>
                </c:pt>
                <c:pt idx="518">
                  <c:v>15.99</c:v>
                </c:pt>
                <c:pt idx="519">
                  <c:v>15.71</c:v>
                </c:pt>
                <c:pt idx="520">
                  <c:v>15.56</c:v>
                </c:pt>
                <c:pt idx="521">
                  <c:v>15.93</c:v>
                </c:pt>
                <c:pt idx="522">
                  <c:v>15.64</c:v>
                </c:pt>
                <c:pt idx="523">
                  <c:v>16.649999999999999</c:v>
                </c:pt>
                <c:pt idx="524">
                  <c:v>16.16</c:v>
                </c:pt>
                <c:pt idx="525">
                  <c:v>15.89</c:v>
                </c:pt>
                <c:pt idx="526">
                  <c:v>15.67</c:v>
                </c:pt>
                <c:pt idx="527">
                  <c:v>15.98</c:v>
                </c:pt>
                <c:pt idx="528">
                  <c:v>16.37</c:v>
                </c:pt>
                <c:pt idx="529">
                  <c:v>16.16</c:v>
                </c:pt>
                <c:pt idx="530">
                  <c:v>16.02</c:v>
                </c:pt>
                <c:pt idx="531">
                  <c:v>15.97</c:v>
                </c:pt>
                <c:pt idx="532">
                  <c:v>16.12</c:v>
                </c:pt>
                <c:pt idx="533">
                  <c:v>15.93</c:v>
                </c:pt>
                <c:pt idx="534">
                  <c:v>15.82</c:v>
                </c:pt>
                <c:pt idx="535">
                  <c:v>16.010000000000002</c:v>
                </c:pt>
                <c:pt idx="536">
                  <c:v>15.87</c:v>
                </c:pt>
                <c:pt idx="537">
                  <c:v>15.85</c:v>
                </c:pt>
                <c:pt idx="538">
                  <c:v>16.100000000000001</c:v>
                </c:pt>
                <c:pt idx="539">
                  <c:v>15.56</c:v>
                </c:pt>
                <c:pt idx="540">
                  <c:v>15.49</c:v>
                </c:pt>
                <c:pt idx="541">
                  <c:v>15.86</c:v>
                </c:pt>
                <c:pt idx="542">
                  <c:v>15.67</c:v>
                </c:pt>
                <c:pt idx="543">
                  <c:v>15.44</c:v>
                </c:pt>
                <c:pt idx="544">
                  <c:v>13.75</c:v>
                </c:pt>
                <c:pt idx="545">
                  <c:v>13.48</c:v>
                </c:pt>
                <c:pt idx="546">
                  <c:v>13.09</c:v>
                </c:pt>
                <c:pt idx="547">
                  <c:v>12.98</c:v>
                </c:pt>
                <c:pt idx="548">
                  <c:v>12.74</c:v>
                </c:pt>
                <c:pt idx="549">
                  <c:v>13.08</c:v>
                </c:pt>
                <c:pt idx="550">
                  <c:v>12.56</c:v>
                </c:pt>
                <c:pt idx="551">
                  <c:v>12.85</c:v>
                </c:pt>
                <c:pt idx="552">
                  <c:v>12.87</c:v>
                </c:pt>
                <c:pt idx="553">
                  <c:v>12.95</c:v>
                </c:pt>
                <c:pt idx="554">
                  <c:v>12.69</c:v>
                </c:pt>
                <c:pt idx="555">
                  <c:v>13.15</c:v>
                </c:pt>
                <c:pt idx="556">
                  <c:v>13.55</c:v>
                </c:pt>
                <c:pt idx="557">
                  <c:v>13.33</c:v>
                </c:pt>
                <c:pt idx="558">
                  <c:v>13.73</c:v>
                </c:pt>
                <c:pt idx="559">
                  <c:v>13.9</c:v>
                </c:pt>
                <c:pt idx="560">
                  <c:v>13.87</c:v>
                </c:pt>
                <c:pt idx="561">
                  <c:v>14.23</c:v>
                </c:pt>
                <c:pt idx="562">
                  <c:v>13.99</c:v>
                </c:pt>
                <c:pt idx="563">
                  <c:v>14</c:v>
                </c:pt>
                <c:pt idx="564">
                  <c:v>14.12</c:v>
                </c:pt>
                <c:pt idx="565">
                  <c:v>14.04</c:v>
                </c:pt>
                <c:pt idx="566">
                  <c:v>13.62</c:v>
                </c:pt>
                <c:pt idx="567">
                  <c:v>13.5</c:v>
                </c:pt>
                <c:pt idx="568">
                  <c:v>13.52</c:v>
                </c:pt>
                <c:pt idx="569">
                  <c:v>13.77</c:v>
                </c:pt>
                <c:pt idx="570">
                  <c:v>13.9</c:v>
                </c:pt>
                <c:pt idx="571">
                  <c:v>14.09</c:v>
                </c:pt>
                <c:pt idx="572">
                  <c:v>14.11</c:v>
                </c:pt>
                <c:pt idx="573">
                  <c:v>14.43</c:v>
                </c:pt>
                <c:pt idx="574">
                  <c:v>14.45</c:v>
                </c:pt>
                <c:pt idx="575">
                  <c:v>13.94</c:v>
                </c:pt>
                <c:pt idx="576">
                  <c:v>13.65</c:v>
                </c:pt>
                <c:pt idx="577">
                  <c:v>13.43</c:v>
                </c:pt>
                <c:pt idx="578">
                  <c:v>13.54</c:v>
                </c:pt>
                <c:pt idx="579">
                  <c:v>13.45</c:v>
                </c:pt>
                <c:pt idx="580">
                  <c:v>13.6</c:v>
                </c:pt>
                <c:pt idx="581">
                  <c:v>13.88</c:v>
                </c:pt>
                <c:pt idx="582">
                  <c:v>13.6</c:v>
                </c:pt>
                <c:pt idx="583">
                  <c:v>13.26</c:v>
                </c:pt>
                <c:pt idx="584">
                  <c:v>13.11</c:v>
                </c:pt>
                <c:pt idx="585">
                  <c:v>13.1</c:v>
                </c:pt>
                <c:pt idx="586">
                  <c:v>12.97</c:v>
                </c:pt>
                <c:pt idx="587">
                  <c:v>13.96</c:v>
                </c:pt>
                <c:pt idx="588">
                  <c:v>13.99</c:v>
                </c:pt>
                <c:pt idx="589">
                  <c:v>14.11</c:v>
                </c:pt>
                <c:pt idx="590">
                  <c:v>13.78</c:v>
                </c:pt>
                <c:pt idx="591">
                  <c:v>14.29</c:v>
                </c:pt>
                <c:pt idx="592">
                  <c:v>14.5</c:v>
                </c:pt>
                <c:pt idx="593">
                  <c:v>15.04</c:v>
                </c:pt>
                <c:pt idx="594">
                  <c:v>15.02</c:v>
                </c:pt>
                <c:pt idx="595">
                  <c:v>15.47</c:v>
                </c:pt>
                <c:pt idx="596">
                  <c:v>15.58</c:v>
                </c:pt>
                <c:pt idx="597">
                  <c:v>15.18</c:v>
                </c:pt>
                <c:pt idx="598">
                  <c:v>15.76</c:v>
                </c:pt>
                <c:pt idx="599">
                  <c:v>15.35</c:v>
                </c:pt>
                <c:pt idx="600">
                  <c:v>15.5</c:v>
                </c:pt>
                <c:pt idx="601">
                  <c:v>15.06</c:v>
                </c:pt>
                <c:pt idx="602">
                  <c:v>14.93</c:v>
                </c:pt>
                <c:pt idx="603">
                  <c:v>14.89</c:v>
                </c:pt>
                <c:pt idx="604">
                  <c:v>15.1</c:v>
                </c:pt>
                <c:pt idx="605">
                  <c:v>14.74</c:v>
                </c:pt>
                <c:pt idx="606">
                  <c:v>14.02</c:v>
                </c:pt>
                <c:pt idx="607">
                  <c:v>13</c:v>
                </c:pt>
                <c:pt idx="608">
                  <c:v>12.97</c:v>
                </c:pt>
                <c:pt idx="609">
                  <c:v>13.07</c:v>
                </c:pt>
                <c:pt idx="610">
                  <c:v>12.91</c:v>
                </c:pt>
                <c:pt idx="611">
                  <c:v>12.85</c:v>
                </c:pt>
                <c:pt idx="612">
                  <c:v>12.36</c:v>
                </c:pt>
                <c:pt idx="613">
                  <c:v>11.57</c:v>
                </c:pt>
                <c:pt idx="614">
                  <c:v>12.07</c:v>
                </c:pt>
                <c:pt idx="615">
                  <c:v>12.26</c:v>
                </c:pt>
                <c:pt idx="616">
                  <c:v>12.34</c:v>
                </c:pt>
                <c:pt idx="617">
                  <c:v>12.3</c:v>
                </c:pt>
                <c:pt idx="618">
                  <c:v>11.99</c:v>
                </c:pt>
                <c:pt idx="619">
                  <c:v>12.24</c:v>
                </c:pt>
                <c:pt idx="620">
                  <c:v>11.95</c:v>
                </c:pt>
                <c:pt idx="621">
                  <c:v>12.18</c:v>
                </c:pt>
                <c:pt idx="622">
                  <c:v>12.13</c:v>
                </c:pt>
                <c:pt idx="623">
                  <c:v>12.19</c:v>
                </c:pt>
                <c:pt idx="624">
                  <c:v>12.17</c:v>
                </c:pt>
                <c:pt idx="625">
                  <c:v>11.97</c:v>
                </c:pt>
                <c:pt idx="626">
                  <c:v>12.08</c:v>
                </c:pt>
                <c:pt idx="627">
                  <c:v>12.05</c:v>
                </c:pt>
                <c:pt idx="628">
                  <c:v>11.82</c:v>
                </c:pt>
                <c:pt idx="629">
                  <c:v>11.47</c:v>
                </c:pt>
                <c:pt idx="630">
                  <c:v>11.75</c:v>
                </c:pt>
                <c:pt idx="631">
                  <c:v>11.75</c:v>
                </c:pt>
                <c:pt idx="632">
                  <c:v>11.65</c:v>
                </c:pt>
                <c:pt idx="633">
                  <c:v>11.59</c:v>
                </c:pt>
                <c:pt idx="634">
                  <c:v>11.63</c:v>
                </c:pt>
                <c:pt idx="635">
                  <c:v>11.8</c:v>
                </c:pt>
                <c:pt idx="636">
                  <c:v>11.76</c:v>
                </c:pt>
                <c:pt idx="637">
                  <c:v>11.53</c:v>
                </c:pt>
                <c:pt idx="638">
                  <c:v>11.8</c:v>
                </c:pt>
                <c:pt idx="639">
                  <c:v>11.78</c:v>
                </c:pt>
                <c:pt idx="640">
                  <c:v>11.91</c:v>
                </c:pt>
                <c:pt idx="641">
                  <c:v>11.77</c:v>
                </c:pt>
                <c:pt idx="642">
                  <c:v>11.49</c:v>
                </c:pt>
                <c:pt idx="643">
                  <c:v>11.51</c:v>
                </c:pt>
                <c:pt idx="644">
                  <c:v>11.41</c:v>
                </c:pt>
                <c:pt idx="645">
                  <c:v>10.98</c:v>
                </c:pt>
                <c:pt idx="646">
                  <c:v>11.03</c:v>
                </c:pt>
                <c:pt idx="647">
                  <c:v>11.03</c:v>
                </c:pt>
                <c:pt idx="648">
                  <c:v>11.45</c:v>
                </c:pt>
                <c:pt idx="649">
                  <c:v>10.92</c:v>
                </c:pt>
                <c:pt idx="650">
                  <c:v>10.78</c:v>
                </c:pt>
                <c:pt idx="651">
                  <c:v>10.4</c:v>
                </c:pt>
                <c:pt idx="652">
                  <c:v>10.19</c:v>
                </c:pt>
                <c:pt idx="653">
                  <c:v>9.9499999999999993</c:v>
                </c:pt>
                <c:pt idx="654">
                  <c:v>9.66</c:v>
                </c:pt>
                <c:pt idx="655">
                  <c:v>9.7799999999999994</c:v>
                </c:pt>
                <c:pt idx="656">
                  <c:v>9.3800000000000008</c:v>
                </c:pt>
                <c:pt idx="657">
                  <c:v>9.3800000000000008</c:v>
                </c:pt>
                <c:pt idx="658">
                  <c:v>9.15</c:v>
                </c:pt>
                <c:pt idx="659">
                  <c:v>7.92</c:v>
                </c:pt>
                <c:pt idx="660">
                  <c:v>6.68</c:v>
                </c:pt>
                <c:pt idx="661">
                  <c:v>6.09</c:v>
                </c:pt>
                <c:pt idx="662">
                  <c:v>6.56</c:v>
                </c:pt>
                <c:pt idx="663">
                  <c:v>6.75</c:v>
                </c:pt>
                <c:pt idx="664">
                  <c:v>6.72</c:v>
                </c:pt>
                <c:pt idx="665">
                  <c:v>6.74</c:v>
                </c:pt>
                <c:pt idx="666">
                  <c:v>6.48</c:v>
                </c:pt>
                <c:pt idx="667">
                  <c:v>7.57</c:v>
                </c:pt>
                <c:pt idx="668">
                  <c:v>7.37</c:v>
                </c:pt>
                <c:pt idx="669">
                  <c:v>7.22</c:v>
                </c:pt>
                <c:pt idx="670">
                  <c:v>6.82</c:v>
                </c:pt>
                <c:pt idx="671">
                  <c:v>6.65</c:v>
                </c:pt>
                <c:pt idx="672">
                  <c:v>6.6</c:v>
                </c:pt>
                <c:pt idx="673">
                  <c:v>6.4</c:v>
                </c:pt>
                <c:pt idx="674">
                  <c:v>6.73</c:v>
                </c:pt>
                <c:pt idx="675">
                  <c:v>6.59</c:v>
                </c:pt>
                <c:pt idx="676">
                  <c:v>6.53</c:v>
                </c:pt>
                <c:pt idx="677">
                  <c:v>6.57</c:v>
                </c:pt>
                <c:pt idx="678">
                  <c:v>6.58</c:v>
                </c:pt>
                <c:pt idx="679">
                  <c:v>6.58</c:v>
                </c:pt>
                <c:pt idx="680">
                  <c:v>6.38</c:v>
                </c:pt>
                <c:pt idx="681">
                  <c:v>6.28</c:v>
                </c:pt>
                <c:pt idx="682">
                  <c:v>6.53</c:v>
                </c:pt>
                <c:pt idx="683">
                  <c:v>6.43</c:v>
                </c:pt>
                <c:pt idx="684">
                  <c:v>6.25</c:v>
                </c:pt>
                <c:pt idx="685">
                  <c:v>6.26</c:v>
                </c:pt>
                <c:pt idx="686">
                  <c:v>6.66</c:v>
                </c:pt>
                <c:pt idx="687">
                  <c:v>6.9</c:v>
                </c:pt>
                <c:pt idx="688">
                  <c:v>6.98</c:v>
                </c:pt>
                <c:pt idx="689">
                  <c:v>6.91</c:v>
                </c:pt>
                <c:pt idx="690">
                  <c:v>6.33</c:v>
                </c:pt>
                <c:pt idx="691">
                  <c:v>6.51</c:v>
                </c:pt>
                <c:pt idx="692">
                  <c:v>6.53</c:v>
                </c:pt>
                <c:pt idx="693">
                  <c:v>6.44</c:v>
                </c:pt>
                <c:pt idx="694">
                  <c:v>6.48</c:v>
                </c:pt>
                <c:pt idx="695">
                  <c:v>6.54</c:v>
                </c:pt>
                <c:pt idx="696">
                  <c:v>6.69</c:v>
                </c:pt>
                <c:pt idx="697">
                  <c:v>6.91</c:v>
                </c:pt>
                <c:pt idx="698">
                  <c:v>7.24</c:v>
                </c:pt>
                <c:pt idx="699">
                  <c:v>7.61</c:v>
                </c:pt>
                <c:pt idx="700">
                  <c:v>7.61</c:v>
                </c:pt>
                <c:pt idx="701">
                  <c:v>7.75</c:v>
                </c:pt>
                <c:pt idx="702">
                  <c:v>7.17</c:v>
                </c:pt>
                <c:pt idx="703">
                  <c:v>6.92</c:v>
                </c:pt>
                <c:pt idx="704">
                  <c:v>6.97</c:v>
                </c:pt>
                <c:pt idx="705">
                  <c:v>6.92</c:v>
                </c:pt>
                <c:pt idx="706">
                  <c:v>7.04</c:v>
                </c:pt>
                <c:pt idx="707">
                  <c:v>7.04</c:v>
                </c:pt>
                <c:pt idx="708">
                  <c:v>6.9</c:v>
                </c:pt>
                <c:pt idx="709">
                  <c:v>6.96</c:v>
                </c:pt>
                <c:pt idx="710">
                  <c:v>6.9</c:v>
                </c:pt>
                <c:pt idx="711">
                  <c:v>6.72</c:v>
                </c:pt>
                <c:pt idx="712">
                  <c:v>6.77</c:v>
                </c:pt>
                <c:pt idx="713">
                  <c:v>6.89</c:v>
                </c:pt>
                <c:pt idx="714">
                  <c:v>6.8</c:v>
                </c:pt>
                <c:pt idx="715">
                  <c:v>6.72</c:v>
                </c:pt>
                <c:pt idx="716">
                  <c:v>6.57</c:v>
                </c:pt>
                <c:pt idx="717">
                  <c:v>6.56</c:v>
                </c:pt>
                <c:pt idx="718">
                  <c:v>6.29</c:v>
                </c:pt>
                <c:pt idx="719">
                  <c:v>6.15</c:v>
                </c:pt>
                <c:pt idx="720">
                  <c:v>6.06</c:v>
                </c:pt>
                <c:pt idx="721">
                  <c:v>6.21</c:v>
                </c:pt>
                <c:pt idx="722">
                  <c:v>6.47</c:v>
                </c:pt>
                <c:pt idx="723">
                  <c:v>6.78</c:v>
                </c:pt>
                <c:pt idx="724">
                  <c:v>6.87</c:v>
                </c:pt>
                <c:pt idx="725">
                  <c:v>6.77</c:v>
                </c:pt>
                <c:pt idx="726">
                  <c:v>6.66</c:v>
                </c:pt>
                <c:pt idx="727">
                  <c:v>6.49</c:v>
                </c:pt>
                <c:pt idx="728">
                  <c:v>6.86</c:v>
                </c:pt>
                <c:pt idx="729">
                  <c:v>7.36</c:v>
                </c:pt>
                <c:pt idx="730">
                  <c:v>7.22</c:v>
                </c:pt>
                <c:pt idx="731">
                  <c:v>7.21</c:v>
                </c:pt>
                <c:pt idx="732">
                  <c:v>7.27</c:v>
                </c:pt>
                <c:pt idx="733">
                  <c:v>7.1</c:v>
                </c:pt>
                <c:pt idx="734">
                  <c:v>6.86</c:v>
                </c:pt>
                <c:pt idx="735">
                  <c:v>6.69</c:v>
                </c:pt>
                <c:pt idx="736">
                  <c:v>6.72</c:v>
                </c:pt>
                <c:pt idx="737">
                  <c:v>6.7</c:v>
                </c:pt>
                <c:pt idx="738">
                  <c:v>6.45</c:v>
                </c:pt>
                <c:pt idx="739">
                  <c:v>6.26</c:v>
                </c:pt>
                <c:pt idx="740">
                  <c:v>6.31</c:v>
                </c:pt>
                <c:pt idx="741">
                  <c:v>6.31</c:v>
                </c:pt>
                <c:pt idx="742">
                  <c:v>6.27</c:v>
                </c:pt>
                <c:pt idx="743">
                  <c:v>6.18</c:v>
                </c:pt>
                <c:pt idx="744">
                  <c:v>6.91</c:v>
                </c:pt>
                <c:pt idx="745">
                  <c:v>6.85</c:v>
                </c:pt>
                <c:pt idx="746">
                  <c:v>6.61</c:v>
                </c:pt>
                <c:pt idx="747">
                  <c:v>6.54</c:v>
                </c:pt>
                <c:pt idx="748">
                  <c:v>6.36</c:v>
                </c:pt>
                <c:pt idx="749">
                  <c:v>6.4</c:v>
                </c:pt>
                <c:pt idx="750">
                  <c:v>6.23</c:v>
                </c:pt>
                <c:pt idx="751">
                  <c:v>6.22</c:v>
                </c:pt>
                <c:pt idx="752">
                  <c:v>6.18</c:v>
                </c:pt>
                <c:pt idx="753">
                  <c:v>6.13</c:v>
                </c:pt>
                <c:pt idx="754">
                  <c:v>6.01</c:v>
                </c:pt>
                <c:pt idx="755">
                  <c:v>5.55</c:v>
                </c:pt>
                <c:pt idx="756">
                  <c:v>5.57</c:v>
                </c:pt>
                <c:pt idx="757">
                  <c:v>5.29</c:v>
                </c:pt>
                <c:pt idx="758">
                  <c:v>5.16</c:v>
                </c:pt>
                <c:pt idx="759">
                  <c:v>5.22</c:v>
                </c:pt>
                <c:pt idx="760">
                  <c:v>5.37</c:v>
                </c:pt>
                <c:pt idx="761">
                  <c:v>5.44</c:v>
                </c:pt>
                <c:pt idx="762">
                  <c:v>5.42</c:v>
                </c:pt>
                <c:pt idx="763">
                  <c:v>5.33</c:v>
                </c:pt>
                <c:pt idx="764">
                  <c:v>5.2</c:v>
                </c:pt>
                <c:pt idx="765">
                  <c:v>5.24</c:v>
                </c:pt>
                <c:pt idx="766">
                  <c:v>5.38</c:v>
                </c:pt>
                <c:pt idx="767">
                  <c:v>5.09</c:v>
                </c:pt>
                <c:pt idx="768">
                  <c:v>4.9800000000000004</c:v>
                </c:pt>
                <c:pt idx="769">
                  <c:v>4.8499999999999996</c:v>
                </c:pt>
                <c:pt idx="770">
                  <c:v>4.8899999999999997</c:v>
                </c:pt>
                <c:pt idx="771">
                  <c:v>4.8499999999999996</c:v>
                </c:pt>
                <c:pt idx="772">
                  <c:v>4.8099999999999996</c:v>
                </c:pt>
                <c:pt idx="773">
                  <c:v>4.8099999999999996</c:v>
                </c:pt>
                <c:pt idx="774">
                  <c:v>4.68</c:v>
                </c:pt>
                <c:pt idx="775">
                  <c:v>4.5999999999999996</c:v>
                </c:pt>
                <c:pt idx="776">
                  <c:v>4.66</c:v>
                </c:pt>
                <c:pt idx="777">
                  <c:v>5.12</c:v>
                </c:pt>
                <c:pt idx="778">
                  <c:v>5.04</c:v>
                </c:pt>
                <c:pt idx="779">
                  <c:v>5.19</c:v>
                </c:pt>
                <c:pt idx="780">
                  <c:v>5.48</c:v>
                </c:pt>
                <c:pt idx="781">
                  <c:v>5.9</c:v>
                </c:pt>
                <c:pt idx="782">
                  <c:v>5.99</c:v>
                </c:pt>
                <c:pt idx="783">
                  <c:v>6.12</c:v>
                </c:pt>
                <c:pt idx="784">
                  <c:v>6.08</c:v>
                </c:pt>
                <c:pt idx="785">
                  <c:v>6.19</c:v>
                </c:pt>
                <c:pt idx="786">
                  <c:v>5.89</c:v>
                </c:pt>
                <c:pt idx="787">
                  <c:v>5.55</c:v>
                </c:pt>
                <c:pt idx="788">
                  <c:v>5.69</c:v>
                </c:pt>
                <c:pt idx="789">
                  <c:v>5.55</c:v>
                </c:pt>
                <c:pt idx="790">
                  <c:v>5.32</c:v>
                </c:pt>
                <c:pt idx="791">
                  <c:v>5.33</c:v>
                </c:pt>
                <c:pt idx="792">
                  <c:v>4.95</c:v>
                </c:pt>
                <c:pt idx="793">
                  <c:v>4.9800000000000004</c:v>
                </c:pt>
                <c:pt idx="794">
                  <c:v>4.78</c:v>
                </c:pt>
                <c:pt idx="795">
                  <c:v>4.66</c:v>
                </c:pt>
                <c:pt idx="796">
                  <c:v>4.95</c:v>
                </c:pt>
                <c:pt idx="797">
                  <c:v>4.71</c:v>
                </c:pt>
                <c:pt idx="798">
                  <c:v>4.78</c:v>
                </c:pt>
                <c:pt idx="799">
                  <c:v>4.97</c:v>
                </c:pt>
                <c:pt idx="800">
                  <c:v>4.75</c:v>
                </c:pt>
                <c:pt idx="801">
                  <c:v>4.63</c:v>
                </c:pt>
                <c:pt idx="802">
                  <c:v>4.53</c:v>
                </c:pt>
                <c:pt idx="803">
                  <c:v>4.49</c:v>
                </c:pt>
                <c:pt idx="804">
                  <c:v>4.59</c:v>
                </c:pt>
                <c:pt idx="805">
                  <c:v>4.51</c:v>
                </c:pt>
                <c:pt idx="806">
                  <c:v>4.6100000000000003</c:v>
                </c:pt>
                <c:pt idx="807">
                  <c:v>4.58</c:v>
                </c:pt>
                <c:pt idx="808">
                  <c:v>4.54</c:v>
                </c:pt>
                <c:pt idx="809">
                  <c:v>4.43</c:v>
                </c:pt>
                <c:pt idx="810">
                  <c:v>4.3600000000000003</c:v>
                </c:pt>
                <c:pt idx="811">
                  <c:v>4.42</c:v>
                </c:pt>
                <c:pt idx="812">
                  <c:v>4.37</c:v>
                </c:pt>
                <c:pt idx="813">
                  <c:v>4.38</c:v>
                </c:pt>
                <c:pt idx="814">
                  <c:v>4.51</c:v>
                </c:pt>
                <c:pt idx="815">
                  <c:v>4.7</c:v>
                </c:pt>
                <c:pt idx="816">
                  <c:v>4.7300000000000004</c:v>
                </c:pt>
                <c:pt idx="817">
                  <c:v>4.91</c:v>
                </c:pt>
                <c:pt idx="818">
                  <c:v>4.8</c:v>
                </c:pt>
                <c:pt idx="819">
                  <c:v>4.78</c:v>
                </c:pt>
                <c:pt idx="820">
                  <c:v>4.68</c:v>
                </c:pt>
                <c:pt idx="821">
                  <c:v>4.57</c:v>
                </c:pt>
                <c:pt idx="822">
                  <c:v>4.7699999999999996</c:v>
                </c:pt>
                <c:pt idx="823">
                  <c:v>4.79</c:v>
                </c:pt>
                <c:pt idx="824">
                  <c:v>4.7</c:v>
                </c:pt>
                <c:pt idx="825">
                  <c:v>4.83</c:v>
                </c:pt>
                <c:pt idx="826">
                  <c:v>4.91</c:v>
                </c:pt>
                <c:pt idx="827">
                  <c:v>4.83</c:v>
                </c:pt>
                <c:pt idx="828">
                  <c:v>4.66</c:v>
                </c:pt>
                <c:pt idx="829">
                  <c:v>4.53</c:v>
                </c:pt>
                <c:pt idx="830">
                  <c:v>4.62</c:v>
                </c:pt>
                <c:pt idx="831">
                  <c:v>4.47</c:v>
                </c:pt>
                <c:pt idx="832">
                  <c:v>4.5599999999999996</c:v>
                </c:pt>
                <c:pt idx="833">
                  <c:v>4.4000000000000004</c:v>
                </c:pt>
                <c:pt idx="834">
                  <c:v>4.41</c:v>
                </c:pt>
                <c:pt idx="835">
                  <c:v>4.59</c:v>
                </c:pt>
                <c:pt idx="836">
                  <c:v>4.7699999999999996</c:v>
                </c:pt>
                <c:pt idx="837">
                  <c:v>4.93</c:v>
                </c:pt>
                <c:pt idx="838">
                  <c:v>4.92</c:v>
                </c:pt>
                <c:pt idx="839">
                  <c:v>4.95</c:v>
                </c:pt>
                <c:pt idx="840">
                  <c:v>4.92</c:v>
                </c:pt>
                <c:pt idx="841">
                  <c:v>4.99</c:v>
                </c:pt>
                <c:pt idx="842">
                  <c:v>4.92</c:v>
                </c:pt>
                <c:pt idx="843">
                  <c:v>4.8</c:v>
                </c:pt>
                <c:pt idx="844">
                  <c:v>4.8499999999999996</c:v>
                </c:pt>
                <c:pt idx="845">
                  <c:v>4.9400000000000004</c:v>
                </c:pt>
                <c:pt idx="846">
                  <c:v>4.99</c:v>
                </c:pt>
                <c:pt idx="847">
                  <c:v>4.8499999999999996</c:v>
                </c:pt>
                <c:pt idx="848">
                  <c:v>4.82</c:v>
                </c:pt>
                <c:pt idx="849">
                  <c:v>4.8499999999999996</c:v>
                </c:pt>
                <c:pt idx="850">
                  <c:v>4.92</c:v>
                </c:pt>
                <c:pt idx="851">
                  <c:v>4.92</c:v>
                </c:pt>
                <c:pt idx="852">
                  <c:v>5.18</c:v>
                </c:pt>
                <c:pt idx="853">
                  <c:v>5.21</c:v>
                </c:pt>
                <c:pt idx="854">
                  <c:v>5.2</c:v>
                </c:pt>
                <c:pt idx="855">
                  <c:v>5.39</c:v>
                </c:pt>
                <c:pt idx="856">
                  <c:v>5.55</c:v>
                </c:pt>
                <c:pt idx="857">
                  <c:v>6.05</c:v>
                </c:pt>
                <c:pt idx="858">
                  <c:v>6.08</c:v>
                </c:pt>
                <c:pt idx="859">
                  <c:v>6.03</c:v>
                </c:pt>
                <c:pt idx="860">
                  <c:v>5.94</c:v>
                </c:pt>
                <c:pt idx="861">
                  <c:v>6.01</c:v>
                </c:pt>
                <c:pt idx="862">
                  <c:v>5.93</c:v>
                </c:pt>
                <c:pt idx="863">
                  <c:v>6.15</c:v>
                </c:pt>
                <c:pt idx="864">
                  <c:v>6.27</c:v>
                </c:pt>
                <c:pt idx="865">
                  <c:v>6.08</c:v>
                </c:pt>
                <c:pt idx="866">
                  <c:v>6.13</c:v>
                </c:pt>
                <c:pt idx="867">
                  <c:v>6.18</c:v>
                </c:pt>
                <c:pt idx="868">
                  <c:v>6.13</c:v>
                </c:pt>
                <c:pt idx="869">
                  <c:v>6.14</c:v>
                </c:pt>
                <c:pt idx="870">
                  <c:v>6.13</c:v>
                </c:pt>
                <c:pt idx="871">
                  <c:v>6.22</c:v>
                </c:pt>
                <c:pt idx="872">
                  <c:v>6.18</c:v>
                </c:pt>
                <c:pt idx="873">
                  <c:v>6.32</c:v>
                </c:pt>
                <c:pt idx="874">
                  <c:v>6.42</c:v>
                </c:pt>
                <c:pt idx="875">
                  <c:v>6.6</c:v>
                </c:pt>
                <c:pt idx="876">
                  <c:v>6.56</c:v>
                </c:pt>
                <c:pt idx="877">
                  <c:v>6.65</c:v>
                </c:pt>
                <c:pt idx="878">
                  <c:v>6.53</c:v>
                </c:pt>
                <c:pt idx="879">
                  <c:v>6.36</c:v>
                </c:pt>
                <c:pt idx="880">
                  <c:v>6.7</c:v>
                </c:pt>
                <c:pt idx="881">
                  <c:v>6.66</c:v>
                </c:pt>
                <c:pt idx="882">
                  <c:v>6.95</c:v>
                </c:pt>
                <c:pt idx="883">
                  <c:v>7.09</c:v>
                </c:pt>
                <c:pt idx="884">
                  <c:v>7.09</c:v>
                </c:pt>
                <c:pt idx="885">
                  <c:v>7.1</c:v>
                </c:pt>
                <c:pt idx="886">
                  <c:v>7.22</c:v>
                </c:pt>
                <c:pt idx="887">
                  <c:v>7.32</c:v>
                </c:pt>
                <c:pt idx="888">
                  <c:v>7.47</c:v>
                </c:pt>
                <c:pt idx="889">
                  <c:v>7.29</c:v>
                </c:pt>
                <c:pt idx="890">
                  <c:v>7.08</c:v>
                </c:pt>
                <c:pt idx="891">
                  <c:v>7.08</c:v>
                </c:pt>
                <c:pt idx="892">
                  <c:v>7.26</c:v>
                </c:pt>
                <c:pt idx="893">
                  <c:v>7.26</c:v>
                </c:pt>
                <c:pt idx="894">
                  <c:v>7.02</c:v>
                </c:pt>
                <c:pt idx="895">
                  <c:v>7.01</c:v>
                </c:pt>
                <c:pt idx="896">
                  <c:v>6.68</c:v>
                </c:pt>
                <c:pt idx="897">
                  <c:v>6.68</c:v>
                </c:pt>
                <c:pt idx="898">
                  <c:v>6.33</c:v>
                </c:pt>
                <c:pt idx="899">
                  <c:v>6.05</c:v>
                </c:pt>
                <c:pt idx="900">
                  <c:v>6.03</c:v>
                </c:pt>
                <c:pt idx="901">
                  <c:v>5.93</c:v>
                </c:pt>
                <c:pt idx="902">
                  <c:v>5.89</c:v>
                </c:pt>
                <c:pt idx="903">
                  <c:v>5.95</c:v>
                </c:pt>
                <c:pt idx="904">
                  <c:v>6.08</c:v>
                </c:pt>
                <c:pt idx="905">
                  <c:v>6.11</c:v>
                </c:pt>
                <c:pt idx="906">
                  <c:v>6.18</c:v>
                </c:pt>
                <c:pt idx="907">
                  <c:v>5.83</c:v>
                </c:pt>
                <c:pt idx="908">
                  <c:v>5.93</c:v>
                </c:pt>
                <c:pt idx="909">
                  <c:v>6</c:v>
                </c:pt>
                <c:pt idx="910">
                  <c:v>6.04</c:v>
                </c:pt>
                <c:pt idx="911">
                  <c:v>5.87</c:v>
                </c:pt>
                <c:pt idx="912">
                  <c:v>5.84</c:v>
                </c:pt>
                <c:pt idx="913">
                  <c:v>5.75</c:v>
                </c:pt>
                <c:pt idx="914">
                  <c:v>5.85</c:v>
                </c:pt>
                <c:pt idx="915">
                  <c:v>5.74</c:v>
                </c:pt>
                <c:pt idx="916">
                  <c:v>5.66</c:v>
                </c:pt>
                <c:pt idx="917">
                  <c:v>5.65</c:v>
                </c:pt>
                <c:pt idx="918">
                  <c:v>5.76</c:v>
                </c:pt>
                <c:pt idx="919">
                  <c:v>5.88</c:v>
                </c:pt>
                <c:pt idx="920">
                  <c:v>5.92</c:v>
                </c:pt>
                <c:pt idx="921">
                  <c:v>5.92</c:v>
                </c:pt>
                <c:pt idx="922">
                  <c:v>5.83</c:v>
                </c:pt>
                <c:pt idx="923">
                  <c:v>5.84</c:v>
                </c:pt>
                <c:pt idx="924">
                  <c:v>5.79</c:v>
                </c:pt>
                <c:pt idx="925">
                  <c:v>5.83</c:v>
                </c:pt>
                <c:pt idx="926">
                  <c:v>5.75</c:v>
                </c:pt>
                <c:pt idx="927">
                  <c:v>5.86</c:v>
                </c:pt>
                <c:pt idx="928">
                  <c:v>5.98</c:v>
                </c:pt>
                <c:pt idx="929">
                  <c:v>5.96</c:v>
                </c:pt>
                <c:pt idx="930">
                  <c:v>5.94</c:v>
                </c:pt>
                <c:pt idx="931">
                  <c:v>5.93</c:v>
                </c:pt>
                <c:pt idx="932">
                  <c:v>5.88</c:v>
                </c:pt>
                <c:pt idx="933">
                  <c:v>5.81</c:v>
                </c:pt>
                <c:pt idx="934">
                  <c:v>5.48</c:v>
                </c:pt>
                <c:pt idx="935">
                  <c:v>5.88</c:v>
                </c:pt>
                <c:pt idx="936">
                  <c:v>6.02</c:v>
                </c:pt>
                <c:pt idx="937">
                  <c:v>5.84</c:v>
                </c:pt>
                <c:pt idx="938">
                  <c:v>5.8</c:v>
                </c:pt>
                <c:pt idx="939">
                  <c:v>5.73</c:v>
                </c:pt>
                <c:pt idx="940">
                  <c:v>5.71</c:v>
                </c:pt>
                <c:pt idx="941">
                  <c:v>5.72</c:v>
                </c:pt>
                <c:pt idx="942">
                  <c:v>5.68</c:v>
                </c:pt>
                <c:pt idx="943">
                  <c:v>5.59</c:v>
                </c:pt>
                <c:pt idx="944">
                  <c:v>5.36</c:v>
                </c:pt>
                <c:pt idx="945">
                  <c:v>5.35</c:v>
                </c:pt>
                <c:pt idx="946">
                  <c:v>5.37</c:v>
                </c:pt>
                <c:pt idx="947">
                  <c:v>5.32</c:v>
                </c:pt>
                <c:pt idx="948">
                  <c:v>5.33</c:v>
                </c:pt>
                <c:pt idx="949">
                  <c:v>5.2</c:v>
                </c:pt>
                <c:pt idx="950">
                  <c:v>5.0999999999999996</c:v>
                </c:pt>
                <c:pt idx="951">
                  <c:v>5.16</c:v>
                </c:pt>
                <c:pt idx="952">
                  <c:v>5.19</c:v>
                </c:pt>
                <c:pt idx="953">
                  <c:v>5.1100000000000003</c:v>
                </c:pt>
                <c:pt idx="954">
                  <c:v>5.07</c:v>
                </c:pt>
                <c:pt idx="955">
                  <c:v>5.16</c:v>
                </c:pt>
                <c:pt idx="956">
                  <c:v>4.97</c:v>
                </c:pt>
                <c:pt idx="957">
                  <c:v>4.96</c:v>
                </c:pt>
                <c:pt idx="958">
                  <c:v>4.93</c:v>
                </c:pt>
                <c:pt idx="959">
                  <c:v>4.99</c:v>
                </c:pt>
                <c:pt idx="960">
                  <c:v>5.08</c:v>
                </c:pt>
                <c:pt idx="961">
                  <c:v>4.9400000000000004</c:v>
                </c:pt>
                <c:pt idx="962">
                  <c:v>5</c:v>
                </c:pt>
                <c:pt idx="963">
                  <c:v>5.01</c:v>
                </c:pt>
                <c:pt idx="964">
                  <c:v>5.01</c:v>
                </c:pt>
                <c:pt idx="965">
                  <c:v>4.9800000000000004</c:v>
                </c:pt>
                <c:pt idx="966">
                  <c:v>4.71</c:v>
                </c:pt>
                <c:pt idx="967">
                  <c:v>4.5199999999999996</c:v>
                </c:pt>
                <c:pt idx="968">
                  <c:v>4.66</c:v>
                </c:pt>
                <c:pt idx="969">
                  <c:v>4.7300000000000004</c:v>
                </c:pt>
                <c:pt idx="970">
                  <c:v>4.8499999999999996</c:v>
                </c:pt>
                <c:pt idx="971">
                  <c:v>4.7</c:v>
                </c:pt>
                <c:pt idx="972">
                  <c:v>4.72</c:v>
                </c:pt>
                <c:pt idx="973">
                  <c:v>4.74</c:v>
                </c:pt>
                <c:pt idx="974">
                  <c:v>4.9400000000000004</c:v>
                </c:pt>
                <c:pt idx="975">
                  <c:v>4.9400000000000004</c:v>
                </c:pt>
                <c:pt idx="976">
                  <c:v>4.8499999999999996</c:v>
                </c:pt>
                <c:pt idx="977">
                  <c:v>4.8499999999999996</c:v>
                </c:pt>
                <c:pt idx="978">
                  <c:v>4.62</c:v>
                </c:pt>
                <c:pt idx="979">
                  <c:v>4.58</c:v>
                </c:pt>
                <c:pt idx="980">
                  <c:v>4.6500000000000004</c:v>
                </c:pt>
                <c:pt idx="981">
                  <c:v>4.9000000000000004</c:v>
                </c:pt>
                <c:pt idx="982">
                  <c:v>4.99</c:v>
                </c:pt>
                <c:pt idx="983">
                  <c:v>4.84</c:v>
                </c:pt>
                <c:pt idx="984">
                  <c:v>4.92</c:v>
                </c:pt>
                <c:pt idx="985">
                  <c:v>5.15</c:v>
                </c:pt>
                <c:pt idx="986">
                  <c:v>5.47</c:v>
                </c:pt>
                <c:pt idx="987">
                  <c:v>5.71</c:v>
                </c:pt>
                <c:pt idx="988">
                  <c:v>5.69</c:v>
                </c:pt>
                <c:pt idx="989">
                  <c:v>5.85</c:v>
                </c:pt>
                <c:pt idx="990">
                  <c:v>5.75</c:v>
                </c:pt>
                <c:pt idx="991">
                  <c:v>5.73</c:v>
                </c:pt>
                <c:pt idx="992">
                  <c:v>6.29</c:v>
                </c:pt>
                <c:pt idx="993">
                  <c:v>6.23</c:v>
                </c:pt>
                <c:pt idx="994">
                  <c:v>6.53</c:v>
                </c:pt>
                <c:pt idx="995">
                  <c:v>6.68</c:v>
                </c:pt>
                <c:pt idx="996">
                  <c:v>6.97</c:v>
                </c:pt>
                <c:pt idx="997">
                  <c:v>7.24</c:v>
                </c:pt>
                <c:pt idx="998">
                  <c:v>7.1</c:v>
                </c:pt>
                <c:pt idx="999">
                  <c:v>7.32</c:v>
                </c:pt>
                <c:pt idx="1000">
                  <c:v>7.22</c:v>
                </c:pt>
                <c:pt idx="1001">
                  <c:v>6.74</c:v>
                </c:pt>
                <c:pt idx="1002">
                  <c:v>6.92</c:v>
                </c:pt>
                <c:pt idx="1003">
                  <c:v>7.01</c:v>
                </c:pt>
                <c:pt idx="1004">
                  <c:v>7.18</c:v>
                </c:pt>
                <c:pt idx="1005">
                  <c:v>7.12</c:v>
                </c:pt>
                <c:pt idx="1006">
                  <c:v>7.35</c:v>
                </c:pt>
                <c:pt idx="1007">
                  <c:v>7.59</c:v>
                </c:pt>
                <c:pt idx="1008">
                  <c:v>7.81</c:v>
                </c:pt>
                <c:pt idx="1009">
                  <c:v>7.82</c:v>
                </c:pt>
                <c:pt idx="1010">
                  <c:v>7.79</c:v>
                </c:pt>
                <c:pt idx="1011">
                  <c:v>7.58</c:v>
                </c:pt>
                <c:pt idx="1012">
                  <c:v>7.61</c:v>
                </c:pt>
                <c:pt idx="1013">
                  <c:v>7.89</c:v>
                </c:pt>
                <c:pt idx="1014">
                  <c:v>7.68</c:v>
                </c:pt>
                <c:pt idx="1015">
                  <c:v>7.42</c:v>
                </c:pt>
                <c:pt idx="1016">
                  <c:v>7.63</c:v>
                </c:pt>
                <c:pt idx="1017">
                  <c:v>7.69</c:v>
                </c:pt>
                <c:pt idx="1018">
                  <c:v>7.45</c:v>
                </c:pt>
                <c:pt idx="1019">
                  <c:v>7.44</c:v>
                </c:pt>
                <c:pt idx="1020">
                  <c:v>6.87</c:v>
                </c:pt>
                <c:pt idx="1021">
                  <c:v>7.14</c:v>
                </c:pt>
                <c:pt idx="1022">
                  <c:v>7.26</c:v>
                </c:pt>
                <c:pt idx="1023">
                  <c:v>7.46</c:v>
                </c:pt>
                <c:pt idx="1024">
                  <c:v>7.08</c:v>
                </c:pt>
                <c:pt idx="1025">
                  <c:v>7.23</c:v>
                </c:pt>
                <c:pt idx="1026">
                  <c:v>7.07</c:v>
                </c:pt>
                <c:pt idx="1027">
                  <c:v>6.85</c:v>
                </c:pt>
                <c:pt idx="1028">
                  <c:v>6.75</c:v>
                </c:pt>
                <c:pt idx="1029">
                  <c:v>6.87</c:v>
                </c:pt>
                <c:pt idx="1030">
                  <c:v>6.81</c:v>
                </c:pt>
                <c:pt idx="1031">
                  <c:v>6.82</c:v>
                </c:pt>
                <c:pt idx="1032">
                  <c:v>6.63</c:v>
                </c:pt>
                <c:pt idx="1033">
                  <c:v>6.62</c:v>
                </c:pt>
                <c:pt idx="1034">
                  <c:v>6.66</c:v>
                </c:pt>
                <c:pt idx="1035">
                  <c:v>6.52</c:v>
                </c:pt>
                <c:pt idx="1036">
                  <c:v>6.49</c:v>
                </c:pt>
                <c:pt idx="1037">
                  <c:v>6.57</c:v>
                </c:pt>
                <c:pt idx="1038">
                  <c:v>6.54</c:v>
                </c:pt>
                <c:pt idx="1039">
                  <c:v>6.47</c:v>
                </c:pt>
                <c:pt idx="1040">
                  <c:v>7.07</c:v>
                </c:pt>
                <c:pt idx="1041">
                  <c:v>7.15</c:v>
                </c:pt>
                <c:pt idx="1042">
                  <c:v>7.31</c:v>
                </c:pt>
                <c:pt idx="1043">
                  <c:v>7.02</c:v>
                </c:pt>
                <c:pt idx="1044">
                  <c:v>6.91</c:v>
                </c:pt>
                <c:pt idx="1045">
                  <c:v>6.81</c:v>
                </c:pt>
                <c:pt idx="1046">
                  <c:v>6.68</c:v>
                </c:pt>
                <c:pt idx="1047">
                  <c:v>6.89</c:v>
                </c:pt>
                <c:pt idx="1048">
                  <c:v>6.51</c:v>
                </c:pt>
                <c:pt idx="1049">
                  <c:v>6.48</c:v>
                </c:pt>
                <c:pt idx="1050">
                  <c:v>6.45</c:v>
                </c:pt>
                <c:pt idx="1051">
                  <c:v>6.44</c:v>
                </c:pt>
                <c:pt idx="1052">
                  <c:v>6.44</c:v>
                </c:pt>
                <c:pt idx="1053">
                  <c:v>6.37</c:v>
                </c:pt>
                <c:pt idx="1054">
                  <c:v>6.32</c:v>
                </c:pt>
                <c:pt idx="1055">
                  <c:v>6.08</c:v>
                </c:pt>
                <c:pt idx="1056">
                  <c:v>6.13</c:v>
                </c:pt>
                <c:pt idx="1057">
                  <c:v>6.13</c:v>
                </c:pt>
                <c:pt idx="1058">
                  <c:v>6.16</c:v>
                </c:pt>
                <c:pt idx="1059">
                  <c:v>6.32</c:v>
                </c:pt>
                <c:pt idx="1060">
                  <c:v>6.32</c:v>
                </c:pt>
                <c:pt idx="1061">
                  <c:v>6.28</c:v>
                </c:pt>
                <c:pt idx="1062">
                  <c:v>6.24</c:v>
                </c:pt>
                <c:pt idx="1063">
                  <c:v>6.5</c:v>
                </c:pt>
                <c:pt idx="1064">
                  <c:v>6.59</c:v>
                </c:pt>
                <c:pt idx="1065">
                  <c:v>6.46</c:v>
                </c:pt>
                <c:pt idx="1066">
                  <c:v>6.38</c:v>
                </c:pt>
                <c:pt idx="1067">
                  <c:v>6.77</c:v>
                </c:pt>
                <c:pt idx="1068">
                  <c:v>6.88</c:v>
                </c:pt>
                <c:pt idx="1069">
                  <c:v>6.76</c:v>
                </c:pt>
                <c:pt idx="1070">
                  <c:v>6.5</c:v>
                </c:pt>
                <c:pt idx="1071">
                  <c:v>6.55</c:v>
                </c:pt>
                <c:pt idx="1072">
                  <c:v>6.51</c:v>
                </c:pt>
                <c:pt idx="1073">
                  <c:v>6.32</c:v>
                </c:pt>
                <c:pt idx="1074">
                  <c:v>6.3</c:v>
                </c:pt>
                <c:pt idx="1075">
                  <c:v>6.27</c:v>
                </c:pt>
                <c:pt idx="1076">
                  <c:v>6.18</c:v>
                </c:pt>
                <c:pt idx="1077">
                  <c:v>6.21</c:v>
                </c:pt>
                <c:pt idx="1078">
                  <c:v>6.38</c:v>
                </c:pt>
                <c:pt idx="1079">
                  <c:v>6.3</c:v>
                </c:pt>
                <c:pt idx="1080">
                  <c:v>6.4</c:v>
                </c:pt>
                <c:pt idx="1081">
                  <c:v>6.42</c:v>
                </c:pt>
                <c:pt idx="1082">
                  <c:v>6.55</c:v>
                </c:pt>
                <c:pt idx="1083">
                  <c:v>6.64</c:v>
                </c:pt>
                <c:pt idx="1084">
                  <c:v>6.57</c:v>
                </c:pt>
                <c:pt idx="1085">
                  <c:v>6.42</c:v>
                </c:pt>
                <c:pt idx="1086">
                  <c:v>6.51</c:v>
                </c:pt>
                <c:pt idx="1087">
                  <c:v>6.74</c:v>
                </c:pt>
                <c:pt idx="1088">
                  <c:v>6.72</c:v>
                </c:pt>
                <c:pt idx="1089">
                  <c:v>6.8</c:v>
                </c:pt>
                <c:pt idx="1090">
                  <c:v>7</c:v>
                </c:pt>
                <c:pt idx="1091">
                  <c:v>7.13</c:v>
                </c:pt>
                <c:pt idx="1092">
                  <c:v>7.09</c:v>
                </c:pt>
                <c:pt idx="1093">
                  <c:v>7.25</c:v>
                </c:pt>
                <c:pt idx="1094">
                  <c:v>7.43</c:v>
                </c:pt>
                <c:pt idx="1095">
                  <c:v>7.91</c:v>
                </c:pt>
                <c:pt idx="1096">
                  <c:v>7.64</c:v>
                </c:pt>
                <c:pt idx="1097">
                  <c:v>8.08</c:v>
                </c:pt>
                <c:pt idx="1098">
                  <c:v>8.5</c:v>
                </c:pt>
                <c:pt idx="1099">
                  <c:v>8.26</c:v>
                </c:pt>
                <c:pt idx="1100">
                  <c:v>8.19</c:v>
                </c:pt>
                <c:pt idx="1101">
                  <c:v>7.86</c:v>
                </c:pt>
                <c:pt idx="1102">
                  <c:v>7.72</c:v>
                </c:pt>
                <c:pt idx="1103">
                  <c:v>7.42</c:v>
                </c:pt>
                <c:pt idx="1104">
                  <c:v>7.21</c:v>
                </c:pt>
                <c:pt idx="1105">
                  <c:v>7.27</c:v>
                </c:pt>
                <c:pt idx="1106">
                  <c:v>7.31</c:v>
                </c:pt>
                <c:pt idx="1107">
                  <c:v>7.26</c:v>
                </c:pt>
                <c:pt idx="1108">
                  <c:v>7.22</c:v>
                </c:pt>
                <c:pt idx="1109">
                  <c:v>7.57</c:v>
                </c:pt>
                <c:pt idx="1110">
                  <c:v>7.77</c:v>
                </c:pt>
                <c:pt idx="1111">
                  <c:v>7.65</c:v>
                </c:pt>
                <c:pt idx="1112">
                  <c:v>7.49</c:v>
                </c:pt>
                <c:pt idx="1113">
                  <c:v>7.19</c:v>
                </c:pt>
                <c:pt idx="1114">
                  <c:v>7.02</c:v>
                </c:pt>
                <c:pt idx="1115">
                  <c:v>6.98</c:v>
                </c:pt>
                <c:pt idx="1116">
                  <c:v>6.96</c:v>
                </c:pt>
                <c:pt idx="1117">
                  <c:v>7.25</c:v>
                </c:pt>
                <c:pt idx="1118">
                  <c:v>6.8</c:v>
                </c:pt>
                <c:pt idx="1119">
                  <c:v>6.49</c:v>
                </c:pt>
                <c:pt idx="1120">
                  <c:v>6.23</c:v>
                </c:pt>
                <c:pt idx="1121">
                  <c:v>6.14</c:v>
                </c:pt>
                <c:pt idx="1122">
                  <c:v>6.28</c:v>
                </c:pt>
                <c:pt idx="1123">
                  <c:v>6.86</c:v>
                </c:pt>
                <c:pt idx="1124">
                  <c:v>7.08</c:v>
                </c:pt>
                <c:pt idx="1125">
                  <c:v>6.93</c:v>
                </c:pt>
                <c:pt idx="1126">
                  <c:v>7</c:v>
                </c:pt>
                <c:pt idx="1127">
                  <c:v>6.65</c:v>
                </c:pt>
                <c:pt idx="1128">
                  <c:v>7.07</c:v>
                </c:pt>
                <c:pt idx="1129">
                  <c:v>6.99</c:v>
                </c:pt>
                <c:pt idx="1130">
                  <c:v>6.73</c:v>
                </c:pt>
                <c:pt idx="1131">
                  <c:v>6.48</c:v>
                </c:pt>
                <c:pt idx="1132">
                  <c:v>6.91</c:v>
                </c:pt>
                <c:pt idx="1133">
                  <c:v>6.7</c:v>
                </c:pt>
                <c:pt idx="1134">
                  <c:v>6.25</c:v>
                </c:pt>
                <c:pt idx="1135">
                  <c:v>6.04</c:v>
                </c:pt>
                <c:pt idx="1136">
                  <c:v>5.56</c:v>
                </c:pt>
                <c:pt idx="1137">
                  <c:v>6.1</c:v>
                </c:pt>
                <c:pt idx="1138">
                  <c:v>5.4</c:v>
                </c:pt>
                <c:pt idx="1139">
                  <c:v>5.61</c:v>
                </c:pt>
                <c:pt idx="1140">
                  <c:v>5.69</c:v>
                </c:pt>
                <c:pt idx="1141">
                  <c:v>5.93</c:v>
                </c:pt>
                <c:pt idx="1142">
                  <c:v>6.15</c:v>
                </c:pt>
                <c:pt idx="1143">
                  <c:v>5.97</c:v>
                </c:pt>
                <c:pt idx="1144">
                  <c:v>5.99</c:v>
                </c:pt>
                <c:pt idx="1145">
                  <c:v>5.93</c:v>
                </c:pt>
                <c:pt idx="1146">
                  <c:v>5.76</c:v>
                </c:pt>
                <c:pt idx="1147">
                  <c:v>5.8</c:v>
                </c:pt>
                <c:pt idx="1148">
                  <c:v>5.95</c:v>
                </c:pt>
                <c:pt idx="1149">
                  <c:v>6.01</c:v>
                </c:pt>
                <c:pt idx="1150">
                  <c:v>5.96</c:v>
                </c:pt>
                <c:pt idx="1151">
                  <c:v>5.87</c:v>
                </c:pt>
                <c:pt idx="1152">
                  <c:v>5.59</c:v>
                </c:pt>
                <c:pt idx="1153">
                  <c:v>5.15</c:v>
                </c:pt>
                <c:pt idx="1154">
                  <c:v>5.2</c:v>
                </c:pt>
                <c:pt idx="1155">
                  <c:v>5.63</c:v>
                </c:pt>
                <c:pt idx="1156">
                  <c:v>6.02</c:v>
                </c:pt>
                <c:pt idx="1157">
                  <c:v>6.01</c:v>
                </c:pt>
                <c:pt idx="1158">
                  <c:v>6.04</c:v>
                </c:pt>
                <c:pt idx="1159">
                  <c:v>5.98</c:v>
                </c:pt>
                <c:pt idx="1160">
                  <c:v>5.97</c:v>
                </c:pt>
                <c:pt idx="1161">
                  <c:v>5.94</c:v>
                </c:pt>
                <c:pt idx="1162">
                  <c:v>5.57</c:v>
                </c:pt>
                <c:pt idx="1163">
                  <c:v>5.76</c:v>
                </c:pt>
                <c:pt idx="1164">
                  <c:v>5.85</c:v>
                </c:pt>
                <c:pt idx="1165">
                  <c:v>5.79</c:v>
                </c:pt>
                <c:pt idx="1166">
                  <c:v>5.62</c:v>
                </c:pt>
                <c:pt idx="1167">
                  <c:v>5.54</c:v>
                </c:pt>
                <c:pt idx="1168">
                  <c:v>5.49</c:v>
                </c:pt>
                <c:pt idx="1169">
                  <c:v>5.23</c:v>
                </c:pt>
                <c:pt idx="1170">
                  <c:v>5.19</c:v>
                </c:pt>
                <c:pt idx="1171">
                  <c:v>5.3</c:v>
                </c:pt>
                <c:pt idx="1172">
                  <c:v>5.34</c:v>
                </c:pt>
                <c:pt idx="1173">
                  <c:v>5.09</c:v>
                </c:pt>
                <c:pt idx="1174">
                  <c:v>5.46</c:v>
                </c:pt>
                <c:pt idx="1175">
                  <c:v>5.35</c:v>
                </c:pt>
                <c:pt idx="1176">
                  <c:v>5.52</c:v>
                </c:pt>
                <c:pt idx="1177">
                  <c:v>5.53</c:v>
                </c:pt>
                <c:pt idx="1178">
                  <c:v>5.52</c:v>
                </c:pt>
                <c:pt idx="1179">
                  <c:v>5.78</c:v>
                </c:pt>
                <c:pt idx="1180">
                  <c:v>5.88</c:v>
                </c:pt>
                <c:pt idx="1181">
                  <c:v>5.75</c:v>
                </c:pt>
                <c:pt idx="1182">
                  <c:v>5.57</c:v>
                </c:pt>
                <c:pt idx="1183">
                  <c:v>5.52</c:v>
                </c:pt>
                <c:pt idx="1184">
                  <c:v>5.49</c:v>
                </c:pt>
                <c:pt idx="1185">
                  <c:v>5.76</c:v>
                </c:pt>
                <c:pt idx="1186">
                  <c:v>5.57</c:v>
                </c:pt>
                <c:pt idx="1187">
                  <c:v>5.49</c:v>
                </c:pt>
                <c:pt idx="1188">
                  <c:v>5.5</c:v>
                </c:pt>
                <c:pt idx="1189">
                  <c:v>5.49</c:v>
                </c:pt>
                <c:pt idx="1190">
                  <c:v>5.6</c:v>
                </c:pt>
                <c:pt idx="1191">
                  <c:v>5.56</c:v>
                </c:pt>
                <c:pt idx="1192">
                  <c:v>5.55</c:v>
                </c:pt>
                <c:pt idx="1193">
                  <c:v>5.3</c:v>
                </c:pt>
                <c:pt idx="1194">
                  <c:v>5.27</c:v>
                </c:pt>
                <c:pt idx="1195">
                  <c:v>5.44</c:v>
                </c:pt>
                <c:pt idx="1196">
                  <c:v>5.41</c:v>
                </c:pt>
                <c:pt idx="1197">
                  <c:v>5.16</c:v>
                </c:pt>
                <c:pt idx="1198">
                  <c:v>5.19</c:v>
                </c:pt>
                <c:pt idx="1199">
                  <c:v>5.19</c:v>
                </c:pt>
                <c:pt idx="1200">
                  <c:v>5.21</c:v>
                </c:pt>
                <c:pt idx="1201">
                  <c:v>5.24</c:v>
                </c:pt>
                <c:pt idx="1202">
                  <c:v>5</c:v>
                </c:pt>
                <c:pt idx="1203">
                  <c:v>5.13</c:v>
                </c:pt>
                <c:pt idx="1204">
                  <c:v>5.31</c:v>
                </c:pt>
                <c:pt idx="1205">
                  <c:v>5.18</c:v>
                </c:pt>
                <c:pt idx="1206">
                  <c:v>5.0999999999999996</c:v>
                </c:pt>
                <c:pt idx="1207">
                  <c:v>5.09</c:v>
                </c:pt>
                <c:pt idx="1208">
                  <c:v>4.99</c:v>
                </c:pt>
                <c:pt idx="1209">
                  <c:v>4.88</c:v>
                </c:pt>
                <c:pt idx="1210">
                  <c:v>4.9800000000000004</c:v>
                </c:pt>
                <c:pt idx="1211">
                  <c:v>4.99</c:v>
                </c:pt>
                <c:pt idx="1212">
                  <c:v>5.04</c:v>
                </c:pt>
                <c:pt idx="1213">
                  <c:v>5.21</c:v>
                </c:pt>
                <c:pt idx="1214">
                  <c:v>5.35</c:v>
                </c:pt>
                <c:pt idx="1215">
                  <c:v>5.19</c:v>
                </c:pt>
                <c:pt idx="1216">
                  <c:v>5</c:v>
                </c:pt>
                <c:pt idx="1217">
                  <c:v>5.07</c:v>
                </c:pt>
                <c:pt idx="1218">
                  <c:v>5.09</c:v>
                </c:pt>
                <c:pt idx="1219">
                  <c:v>5.27</c:v>
                </c:pt>
                <c:pt idx="1220">
                  <c:v>5.28</c:v>
                </c:pt>
                <c:pt idx="1221">
                  <c:v>5.04</c:v>
                </c:pt>
                <c:pt idx="1222">
                  <c:v>5.08</c:v>
                </c:pt>
                <c:pt idx="1223">
                  <c:v>5.0599999999999996</c:v>
                </c:pt>
                <c:pt idx="1224">
                  <c:v>5.0599999999999996</c:v>
                </c:pt>
                <c:pt idx="1225">
                  <c:v>5.01</c:v>
                </c:pt>
                <c:pt idx="1226">
                  <c:v>4.95</c:v>
                </c:pt>
                <c:pt idx="1227">
                  <c:v>4.91</c:v>
                </c:pt>
                <c:pt idx="1228">
                  <c:v>4.87</c:v>
                </c:pt>
                <c:pt idx="1229">
                  <c:v>4.84</c:v>
                </c:pt>
                <c:pt idx="1230">
                  <c:v>4.92</c:v>
                </c:pt>
                <c:pt idx="1231">
                  <c:v>4.83</c:v>
                </c:pt>
                <c:pt idx="1232">
                  <c:v>5.05</c:v>
                </c:pt>
                <c:pt idx="1233">
                  <c:v>5.27</c:v>
                </c:pt>
                <c:pt idx="1234">
                  <c:v>5.22</c:v>
                </c:pt>
                <c:pt idx="1235">
                  <c:v>5.45</c:v>
                </c:pt>
                <c:pt idx="1236">
                  <c:v>5.65</c:v>
                </c:pt>
                <c:pt idx="1237">
                  <c:v>5.87</c:v>
                </c:pt>
                <c:pt idx="1238">
                  <c:v>5.93</c:v>
                </c:pt>
                <c:pt idx="1239">
                  <c:v>5.65</c:v>
                </c:pt>
                <c:pt idx="1240">
                  <c:v>5.39</c:v>
                </c:pt>
                <c:pt idx="1241">
                  <c:v>5.66</c:v>
                </c:pt>
                <c:pt idx="1242">
                  <c:v>5.71</c:v>
                </c:pt>
                <c:pt idx="1243">
                  <c:v>5.88</c:v>
                </c:pt>
                <c:pt idx="1244">
                  <c:v>5.91</c:v>
                </c:pt>
                <c:pt idx="1245">
                  <c:v>5.97</c:v>
                </c:pt>
                <c:pt idx="1246">
                  <c:v>5.98</c:v>
                </c:pt>
                <c:pt idx="1247">
                  <c:v>5.93</c:v>
                </c:pt>
                <c:pt idx="1248">
                  <c:v>5.96</c:v>
                </c:pt>
                <c:pt idx="1249">
                  <c:v>5.91</c:v>
                </c:pt>
                <c:pt idx="1250">
                  <c:v>6.04</c:v>
                </c:pt>
                <c:pt idx="1251">
                  <c:v>5.89</c:v>
                </c:pt>
                <c:pt idx="1252">
                  <c:v>6.11</c:v>
                </c:pt>
                <c:pt idx="1253">
                  <c:v>6.28</c:v>
                </c:pt>
                <c:pt idx="1254">
                  <c:v>6.13</c:v>
                </c:pt>
                <c:pt idx="1255">
                  <c:v>6.2</c:v>
                </c:pt>
                <c:pt idx="1256">
                  <c:v>6.56</c:v>
                </c:pt>
                <c:pt idx="1257">
                  <c:v>6.79</c:v>
                </c:pt>
                <c:pt idx="1258">
                  <c:v>7.24</c:v>
                </c:pt>
                <c:pt idx="1259">
                  <c:v>7.35</c:v>
                </c:pt>
                <c:pt idx="1260">
                  <c:v>7.7</c:v>
                </c:pt>
                <c:pt idx="1261">
                  <c:v>7.63</c:v>
                </c:pt>
                <c:pt idx="1262">
                  <c:v>7.25</c:v>
                </c:pt>
                <c:pt idx="1263">
                  <c:v>7.4</c:v>
                </c:pt>
                <c:pt idx="1264">
                  <c:v>8.2100000000000009</c:v>
                </c:pt>
                <c:pt idx="1265">
                  <c:v>8.5500000000000007</c:v>
                </c:pt>
                <c:pt idx="1266">
                  <c:v>8.14</c:v>
                </c:pt>
                <c:pt idx="1267">
                  <c:v>7.99</c:v>
                </c:pt>
                <c:pt idx="1268">
                  <c:v>7.96</c:v>
                </c:pt>
                <c:pt idx="1269">
                  <c:v>7.99</c:v>
                </c:pt>
                <c:pt idx="1270">
                  <c:v>7.28</c:v>
                </c:pt>
                <c:pt idx="1271">
                  <c:v>7.01</c:v>
                </c:pt>
                <c:pt idx="1272">
                  <c:v>7.13</c:v>
                </c:pt>
                <c:pt idx="1273">
                  <c:v>7.12</c:v>
                </c:pt>
                <c:pt idx="1274">
                  <c:v>6.74</c:v>
                </c:pt>
                <c:pt idx="1275">
                  <c:v>6.65</c:v>
                </c:pt>
                <c:pt idx="1276">
                  <c:v>6.47</c:v>
                </c:pt>
                <c:pt idx="1277">
                  <c:v>6.65</c:v>
                </c:pt>
                <c:pt idx="1278">
                  <c:v>6.94</c:v>
                </c:pt>
                <c:pt idx="1279">
                  <c:v>6.48</c:v>
                </c:pt>
                <c:pt idx="1280">
                  <c:v>6.95</c:v>
                </c:pt>
                <c:pt idx="1281">
                  <c:v>6.64</c:v>
                </c:pt>
                <c:pt idx="1282">
                  <c:v>6.37</c:v>
                </c:pt>
                <c:pt idx="1283">
                  <c:v>6.74</c:v>
                </c:pt>
                <c:pt idx="1284">
                  <c:v>6.94</c:v>
                </c:pt>
                <c:pt idx="1285">
                  <c:v>6.75</c:v>
                </c:pt>
                <c:pt idx="1286">
                  <c:v>6.63</c:v>
                </c:pt>
                <c:pt idx="1287">
                  <c:v>6.59</c:v>
                </c:pt>
                <c:pt idx="1288">
                  <c:v>6.5</c:v>
                </c:pt>
                <c:pt idx="1289">
                  <c:v>6.42</c:v>
                </c:pt>
                <c:pt idx="1290">
                  <c:v>6.48</c:v>
                </c:pt>
                <c:pt idx="1291">
                  <c:v>6.43</c:v>
                </c:pt>
                <c:pt idx="1292">
                  <c:v>6.38</c:v>
                </c:pt>
                <c:pt idx="1293">
                  <c:v>6.37</c:v>
                </c:pt>
                <c:pt idx="1294">
                  <c:v>6.28</c:v>
                </c:pt>
                <c:pt idx="1295">
                  <c:v>6.47</c:v>
                </c:pt>
                <c:pt idx="1296">
                  <c:v>6.38</c:v>
                </c:pt>
                <c:pt idx="1297">
                  <c:v>6.45</c:v>
                </c:pt>
                <c:pt idx="1298">
                  <c:v>6.26</c:v>
                </c:pt>
                <c:pt idx="1299">
                  <c:v>6.21</c:v>
                </c:pt>
                <c:pt idx="1300">
                  <c:v>5.94</c:v>
                </c:pt>
                <c:pt idx="1301">
                  <c:v>5.89</c:v>
                </c:pt>
                <c:pt idx="1302">
                  <c:v>5.9</c:v>
                </c:pt>
                <c:pt idx="1303">
                  <c:v>5.81</c:v>
                </c:pt>
                <c:pt idx="1304">
                  <c:v>5.81</c:v>
                </c:pt>
                <c:pt idx="1305">
                  <c:v>5.88</c:v>
                </c:pt>
                <c:pt idx="1306">
                  <c:v>5.81</c:v>
                </c:pt>
                <c:pt idx="1307">
                  <c:v>5.9</c:v>
                </c:pt>
                <c:pt idx="1308">
                  <c:v>5.86</c:v>
                </c:pt>
                <c:pt idx="1309">
                  <c:v>5.74</c:v>
                </c:pt>
                <c:pt idx="1310">
                  <c:v>5.83</c:v>
                </c:pt>
                <c:pt idx="1311">
                  <c:v>5.85</c:v>
                </c:pt>
                <c:pt idx="1312">
                  <c:v>6.06</c:v>
                </c:pt>
                <c:pt idx="1313">
                  <c:v>5.88</c:v>
                </c:pt>
                <c:pt idx="1314">
                  <c:v>5.81</c:v>
                </c:pt>
                <c:pt idx="1315">
                  <c:v>5.78</c:v>
                </c:pt>
                <c:pt idx="1316">
                  <c:v>5.56</c:v>
                </c:pt>
                <c:pt idx="1317">
                  <c:v>5.66</c:v>
                </c:pt>
                <c:pt idx="1318">
                  <c:v>5.7</c:v>
                </c:pt>
                <c:pt idx="1319">
                  <c:v>5.51</c:v>
                </c:pt>
                <c:pt idx="1320">
                  <c:v>5.19</c:v>
                </c:pt>
                <c:pt idx="1321">
                  <c:v>5.39</c:v>
                </c:pt>
                <c:pt idx="1322">
                  <c:v>5.38</c:v>
                </c:pt>
                <c:pt idx="1323">
                  <c:v>5.38</c:v>
                </c:pt>
                <c:pt idx="1324">
                  <c:v>5.53</c:v>
                </c:pt>
                <c:pt idx="1325">
                  <c:v>5.71</c:v>
                </c:pt>
                <c:pt idx="1326">
                  <c:v>5.79</c:v>
                </c:pt>
                <c:pt idx="1327">
                  <c:v>5.72</c:v>
                </c:pt>
                <c:pt idx="1328">
                  <c:v>5.56</c:v>
                </c:pt>
                <c:pt idx="1329">
                  <c:v>5.6</c:v>
                </c:pt>
                <c:pt idx="1330">
                  <c:v>5.39</c:v>
                </c:pt>
                <c:pt idx="1331">
                  <c:v>5.36</c:v>
                </c:pt>
                <c:pt idx="1332">
                  <c:v>5.45</c:v>
                </c:pt>
                <c:pt idx="1333">
                  <c:v>5.23</c:v>
                </c:pt>
                <c:pt idx="1334">
                  <c:v>5.16</c:v>
                </c:pt>
                <c:pt idx="1335">
                  <c:v>5.22</c:v>
                </c:pt>
                <c:pt idx="1336">
                  <c:v>5.0999999999999996</c:v>
                </c:pt>
                <c:pt idx="1337">
                  <c:v>5.04</c:v>
                </c:pt>
                <c:pt idx="1338">
                  <c:v>4.88</c:v>
                </c:pt>
                <c:pt idx="1339">
                  <c:v>4.8499999999999996</c:v>
                </c:pt>
                <c:pt idx="1340">
                  <c:v>4.8600000000000003</c:v>
                </c:pt>
                <c:pt idx="1341">
                  <c:v>4.6500000000000004</c:v>
                </c:pt>
                <c:pt idx="1342">
                  <c:v>4.6100000000000003</c:v>
                </c:pt>
                <c:pt idx="1343">
                  <c:v>4.79</c:v>
                </c:pt>
                <c:pt idx="1344">
                  <c:v>5.03</c:v>
                </c:pt>
                <c:pt idx="1345">
                  <c:v>4.87</c:v>
                </c:pt>
                <c:pt idx="1346">
                  <c:v>4.92</c:v>
                </c:pt>
                <c:pt idx="1347">
                  <c:v>4.8099999999999996</c:v>
                </c:pt>
                <c:pt idx="1348">
                  <c:v>4.76</c:v>
                </c:pt>
                <c:pt idx="1349">
                  <c:v>4.97</c:v>
                </c:pt>
                <c:pt idx="1350">
                  <c:v>5.03</c:v>
                </c:pt>
                <c:pt idx="1351">
                  <c:v>4.92</c:v>
                </c:pt>
                <c:pt idx="1352">
                  <c:v>4.8499999999999996</c:v>
                </c:pt>
                <c:pt idx="1353">
                  <c:v>4.84</c:v>
                </c:pt>
                <c:pt idx="1354">
                  <c:v>5.01</c:v>
                </c:pt>
                <c:pt idx="1355">
                  <c:v>5.13</c:v>
                </c:pt>
                <c:pt idx="1356">
                  <c:v>5.28</c:v>
                </c:pt>
                <c:pt idx="1357">
                  <c:v>5.47</c:v>
                </c:pt>
                <c:pt idx="1358">
                  <c:v>5.46</c:v>
                </c:pt>
                <c:pt idx="1359">
                  <c:v>5.19</c:v>
                </c:pt>
                <c:pt idx="1360">
                  <c:v>5.28</c:v>
                </c:pt>
                <c:pt idx="1361">
                  <c:v>5.0199999999999996</c:v>
                </c:pt>
                <c:pt idx="1362">
                  <c:v>5.03</c:v>
                </c:pt>
                <c:pt idx="1363">
                  <c:v>4.9400000000000004</c:v>
                </c:pt>
                <c:pt idx="1364">
                  <c:v>5.1100000000000003</c:v>
                </c:pt>
                <c:pt idx="1365">
                  <c:v>4.9800000000000004</c:v>
                </c:pt>
                <c:pt idx="1366">
                  <c:v>5.05</c:v>
                </c:pt>
                <c:pt idx="1367">
                  <c:v>5.19</c:v>
                </c:pt>
                <c:pt idx="1368">
                  <c:v>5.14</c:v>
                </c:pt>
                <c:pt idx="1369">
                  <c:v>5.54</c:v>
                </c:pt>
                <c:pt idx="1370">
                  <c:v>5.73</c:v>
                </c:pt>
                <c:pt idx="1371">
                  <c:v>5.52</c:v>
                </c:pt>
                <c:pt idx="1372">
                  <c:v>5.59</c:v>
                </c:pt>
                <c:pt idx="1373">
                  <c:v>5.55</c:v>
                </c:pt>
                <c:pt idx="1374">
                  <c:v>5.69</c:v>
                </c:pt>
                <c:pt idx="1375">
                  <c:v>5.51</c:v>
                </c:pt>
                <c:pt idx="1376">
                  <c:v>5.32</c:v>
                </c:pt>
                <c:pt idx="1377">
                  <c:v>5.33</c:v>
                </c:pt>
                <c:pt idx="1378">
                  <c:v>5.14</c:v>
                </c:pt>
                <c:pt idx="1379">
                  <c:v>5.09</c:v>
                </c:pt>
                <c:pt idx="1380">
                  <c:v>5.13</c:v>
                </c:pt>
                <c:pt idx="1381">
                  <c:v>4.9400000000000004</c:v>
                </c:pt>
                <c:pt idx="1382">
                  <c:v>5.14</c:v>
                </c:pt>
                <c:pt idx="1383">
                  <c:v>5.2</c:v>
                </c:pt>
                <c:pt idx="1384">
                  <c:v>5.05</c:v>
                </c:pt>
                <c:pt idx="1385">
                  <c:v>5.1100000000000003</c:v>
                </c:pt>
                <c:pt idx="1386">
                  <c:v>4.99</c:v>
                </c:pt>
                <c:pt idx="1387">
                  <c:v>4.92</c:v>
                </c:pt>
                <c:pt idx="1388">
                  <c:v>4.96</c:v>
                </c:pt>
                <c:pt idx="1389">
                  <c:v>5.36</c:v>
                </c:pt>
                <c:pt idx="1390">
                  <c:v>5.44</c:v>
                </c:pt>
                <c:pt idx="1391">
                  <c:v>5.88</c:v>
                </c:pt>
                <c:pt idx="1392">
                  <c:v>5.74</c:v>
                </c:pt>
                <c:pt idx="1393">
                  <c:v>5.64</c:v>
                </c:pt>
                <c:pt idx="1394">
                  <c:v>5.98</c:v>
                </c:pt>
                <c:pt idx="1395">
                  <c:v>6.22</c:v>
                </c:pt>
                <c:pt idx="1396">
                  <c:v>6.08</c:v>
                </c:pt>
                <c:pt idx="1397">
                  <c:v>6.24</c:v>
                </c:pt>
                <c:pt idx="1398">
                  <c:v>6.19</c:v>
                </c:pt>
                <c:pt idx="1399">
                  <c:v>5.93</c:v>
                </c:pt>
                <c:pt idx="1400">
                  <c:v>6.03</c:v>
                </c:pt>
                <c:pt idx="1401">
                  <c:v>6.22</c:v>
                </c:pt>
                <c:pt idx="1402">
                  <c:v>6.1</c:v>
                </c:pt>
                <c:pt idx="1403">
                  <c:v>6.27</c:v>
                </c:pt>
                <c:pt idx="1404">
                  <c:v>6</c:v>
                </c:pt>
                <c:pt idx="1405">
                  <c:v>5.92</c:v>
                </c:pt>
                <c:pt idx="1406">
                  <c:v>5.9</c:v>
                </c:pt>
                <c:pt idx="1407">
                  <c:v>5.73</c:v>
                </c:pt>
                <c:pt idx="1408">
                  <c:v>5.46</c:v>
                </c:pt>
                <c:pt idx="1409">
                  <c:v>5.71</c:v>
                </c:pt>
                <c:pt idx="1410">
                  <c:v>5.92</c:v>
                </c:pt>
                <c:pt idx="1411">
                  <c:v>5.54</c:v>
                </c:pt>
                <c:pt idx="1412">
                  <c:v>5.55</c:v>
                </c:pt>
                <c:pt idx="1413">
                  <c:v>5.41</c:v>
                </c:pt>
                <c:pt idx="1414">
                  <c:v>5.65</c:v>
                </c:pt>
                <c:pt idx="1415">
                  <c:v>5.74</c:v>
                </c:pt>
                <c:pt idx="1416">
                  <c:v>5.75</c:v>
                </c:pt>
                <c:pt idx="1417">
                  <c:v>5.55</c:v>
                </c:pt>
                <c:pt idx="1418">
                  <c:v>5.73</c:v>
                </c:pt>
                <c:pt idx="1419">
                  <c:v>5.71</c:v>
                </c:pt>
                <c:pt idx="1420">
                  <c:v>5.79</c:v>
                </c:pt>
                <c:pt idx="1421">
                  <c:v>5.65</c:v>
                </c:pt>
                <c:pt idx="1422">
                  <c:v>5.45</c:v>
                </c:pt>
                <c:pt idx="1423">
                  <c:v>5.54</c:v>
                </c:pt>
                <c:pt idx="1424">
                  <c:v>5.5</c:v>
                </c:pt>
                <c:pt idx="1425">
                  <c:v>5.49</c:v>
                </c:pt>
                <c:pt idx="1426">
                  <c:v>5.59</c:v>
                </c:pt>
                <c:pt idx="1427">
                  <c:v>5.7</c:v>
                </c:pt>
                <c:pt idx="1428">
                  <c:v>5.37</c:v>
                </c:pt>
                <c:pt idx="1429">
                  <c:v>5.49</c:v>
                </c:pt>
                <c:pt idx="1430">
                  <c:v>5.39</c:v>
                </c:pt>
                <c:pt idx="1431">
                  <c:v>5.12</c:v>
                </c:pt>
                <c:pt idx="1432">
                  <c:v>4.9800000000000004</c:v>
                </c:pt>
                <c:pt idx="1433">
                  <c:v>4.9400000000000004</c:v>
                </c:pt>
                <c:pt idx="1434">
                  <c:v>5.07</c:v>
                </c:pt>
                <c:pt idx="1435">
                  <c:v>4.99</c:v>
                </c:pt>
                <c:pt idx="1436">
                  <c:v>4.9000000000000004</c:v>
                </c:pt>
                <c:pt idx="1437">
                  <c:v>4.95</c:v>
                </c:pt>
                <c:pt idx="1438">
                  <c:v>4.9800000000000004</c:v>
                </c:pt>
                <c:pt idx="1439">
                  <c:v>4.93</c:v>
                </c:pt>
                <c:pt idx="1440">
                  <c:v>4.93</c:v>
                </c:pt>
                <c:pt idx="1441">
                  <c:v>4.97</c:v>
                </c:pt>
                <c:pt idx="1442">
                  <c:v>5.14</c:v>
                </c:pt>
                <c:pt idx="1443">
                  <c:v>4.83</c:v>
                </c:pt>
                <c:pt idx="1444">
                  <c:v>5.27</c:v>
                </c:pt>
                <c:pt idx="1445">
                  <c:v>5.45</c:v>
                </c:pt>
                <c:pt idx="1446">
                  <c:v>5.76</c:v>
                </c:pt>
                <c:pt idx="1447">
                  <c:v>5.85</c:v>
                </c:pt>
                <c:pt idx="1448">
                  <c:v>5.74</c:v>
                </c:pt>
                <c:pt idx="1449">
                  <c:v>5.73</c:v>
                </c:pt>
                <c:pt idx="1450">
                  <c:v>5.98</c:v>
                </c:pt>
                <c:pt idx="1451">
                  <c:v>5.95</c:v>
                </c:pt>
                <c:pt idx="1452">
                  <c:v>5.81</c:v>
                </c:pt>
                <c:pt idx="1453">
                  <c:v>5.85</c:v>
                </c:pt>
                <c:pt idx="1454">
                  <c:v>5.74</c:v>
                </c:pt>
                <c:pt idx="1455">
                  <c:v>5.77</c:v>
                </c:pt>
                <c:pt idx="1456">
                  <c:v>5.77</c:v>
                </c:pt>
                <c:pt idx="1457">
                  <c:v>6.03</c:v>
                </c:pt>
                <c:pt idx="1458">
                  <c:v>5.98</c:v>
                </c:pt>
                <c:pt idx="1459">
                  <c:v>5.96</c:v>
                </c:pt>
                <c:pt idx="1460">
                  <c:v>6.26</c:v>
                </c:pt>
                <c:pt idx="1461">
                  <c:v>5.94</c:v>
                </c:pt>
                <c:pt idx="1462">
                  <c:v>5.65</c:v>
                </c:pt>
                <c:pt idx="1463">
                  <c:v>5.71</c:v>
                </c:pt>
                <c:pt idx="1464">
                  <c:v>5.52</c:v>
                </c:pt>
                <c:pt idx="1465">
                  <c:v>5.62</c:v>
                </c:pt>
                <c:pt idx="1466">
                  <c:v>5.64</c:v>
                </c:pt>
                <c:pt idx="1467">
                  <c:v>5.82</c:v>
                </c:pt>
                <c:pt idx="1468">
                  <c:v>6.47</c:v>
                </c:pt>
                <c:pt idx="1469">
                  <c:v>6.65</c:v>
                </c:pt>
                <c:pt idx="1470">
                  <c:v>6.41</c:v>
                </c:pt>
                <c:pt idx="1471">
                  <c:v>6.7</c:v>
                </c:pt>
                <c:pt idx="1472">
                  <c:v>6.83</c:v>
                </c:pt>
                <c:pt idx="1473">
                  <c:v>7.07</c:v>
                </c:pt>
                <c:pt idx="1474">
                  <c:v>7.23</c:v>
                </c:pt>
                <c:pt idx="1475">
                  <c:v>7.02</c:v>
                </c:pt>
                <c:pt idx="1476">
                  <c:v>6.49</c:v>
                </c:pt>
                <c:pt idx="1477">
                  <c:v>6.48</c:v>
                </c:pt>
                <c:pt idx="1478">
                  <c:v>7.15</c:v>
                </c:pt>
                <c:pt idx="1479">
                  <c:v>6.92</c:v>
                </c:pt>
                <c:pt idx="1480">
                  <c:v>7.15</c:v>
                </c:pt>
                <c:pt idx="1481">
                  <c:v>7.07</c:v>
                </c:pt>
                <c:pt idx="1482">
                  <c:v>6.86</c:v>
                </c:pt>
                <c:pt idx="1483">
                  <c:v>6.86</c:v>
                </c:pt>
                <c:pt idx="1484">
                  <c:v>7.02</c:v>
                </c:pt>
                <c:pt idx="1485">
                  <c:v>6.87</c:v>
                </c:pt>
                <c:pt idx="1486">
                  <c:v>6.65</c:v>
                </c:pt>
                <c:pt idx="1487">
                  <c:v>6.58</c:v>
                </c:pt>
                <c:pt idx="1488">
                  <c:v>6.72</c:v>
                </c:pt>
                <c:pt idx="1489">
                  <c:v>6.52</c:v>
                </c:pt>
                <c:pt idx="1490">
                  <c:v>6.47</c:v>
                </c:pt>
                <c:pt idx="1491">
                  <c:v>6.09</c:v>
                </c:pt>
                <c:pt idx="1492">
                  <c:v>6.13</c:v>
                </c:pt>
                <c:pt idx="1493">
                  <c:v>6.27</c:v>
                </c:pt>
                <c:pt idx="1494">
                  <c:v>6.3</c:v>
                </c:pt>
                <c:pt idx="1495">
                  <c:v>6.72</c:v>
                </c:pt>
                <c:pt idx="1496">
                  <c:v>6.98</c:v>
                </c:pt>
                <c:pt idx="1497">
                  <c:v>6.62</c:v>
                </c:pt>
                <c:pt idx="1498">
                  <c:v>6.82</c:v>
                </c:pt>
                <c:pt idx="1499">
                  <c:v>6.74</c:v>
                </c:pt>
                <c:pt idx="1500">
                  <c:v>6.98</c:v>
                </c:pt>
                <c:pt idx="1501">
                  <c:v>7.02</c:v>
                </c:pt>
                <c:pt idx="1502">
                  <c:v>7.71</c:v>
                </c:pt>
                <c:pt idx="1503">
                  <c:v>7.77</c:v>
                </c:pt>
                <c:pt idx="1504">
                  <c:v>7.65</c:v>
                </c:pt>
                <c:pt idx="1505">
                  <c:v>7.76</c:v>
                </c:pt>
                <c:pt idx="1506">
                  <c:v>7.66</c:v>
                </c:pt>
                <c:pt idx="1507">
                  <c:v>7.7</c:v>
                </c:pt>
                <c:pt idx="1508">
                  <c:v>7.86</c:v>
                </c:pt>
                <c:pt idx="1509">
                  <c:v>7.91</c:v>
                </c:pt>
                <c:pt idx="1510">
                  <c:v>8.11</c:v>
                </c:pt>
                <c:pt idx="1511">
                  <c:v>7.73</c:v>
                </c:pt>
                <c:pt idx="1512">
                  <c:v>7.84</c:v>
                </c:pt>
                <c:pt idx="1513">
                  <c:v>7.61</c:v>
                </c:pt>
                <c:pt idx="1514">
                  <c:v>7.83</c:v>
                </c:pt>
                <c:pt idx="1515">
                  <c:v>7.89</c:v>
                </c:pt>
                <c:pt idx="1516">
                  <c:v>7.91</c:v>
                </c:pt>
                <c:pt idx="1517">
                  <c:v>7.9</c:v>
                </c:pt>
                <c:pt idx="1518">
                  <c:v>7.42</c:v>
                </c:pt>
                <c:pt idx="1519">
                  <c:v>6.92</c:v>
                </c:pt>
                <c:pt idx="1520">
                  <c:v>6.87</c:v>
                </c:pt>
                <c:pt idx="1521">
                  <c:v>6.92</c:v>
                </c:pt>
                <c:pt idx="1522">
                  <c:v>7.47</c:v>
                </c:pt>
                <c:pt idx="1523">
                  <c:v>7.55</c:v>
                </c:pt>
                <c:pt idx="1524">
                  <c:v>7.64</c:v>
                </c:pt>
                <c:pt idx="1525">
                  <c:v>7.78</c:v>
                </c:pt>
                <c:pt idx="1526">
                  <c:v>7.87</c:v>
                </c:pt>
                <c:pt idx="1527">
                  <c:v>7.82</c:v>
                </c:pt>
                <c:pt idx="1528">
                  <c:v>7.91</c:v>
                </c:pt>
                <c:pt idx="1529">
                  <c:v>8.48</c:v>
                </c:pt>
                <c:pt idx="1530">
                  <c:v>8.48</c:v>
                </c:pt>
                <c:pt idx="1531">
                  <c:v>8.66</c:v>
                </c:pt>
                <c:pt idx="1532">
                  <c:v>8.81</c:v>
                </c:pt>
                <c:pt idx="1533">
                  <c:v>8.83</c:v>
                </c:pt>
                <c:pt idx="1534">
                  <c:v>8.9600000000000009</c:v>
                </c:pt>
                <c:pt idx="1535">
                  <c:v>8.9700000000000006</c:v>
                </c:pt>
                <c:pt idx="1536">
                  <c:v>8.6999999999999993</c:v>
                </c:pt>
                <c:pt idx="1537">
                  <c:v>8.89</c:v>
                </c:pt>
                <c:pt idx="1538">
                  <c:v>8.35</c:v>
                </c:pt>
                <c:pt idx="1539">
                  <c:v>8.1300000000000008</c:v>
                </c:pt>
                <c:pt idx="1540">
                  <c:v>8.44</c:v>
                </c:pt>
                <c:pt idx="1541">
                  <c:v>8.2100000000000009</c:v>
                </c:pt>
                <c:pt idx="1542">
                  <c:v>8.4700000000000006</c:v>
                </c:pt>
                <c:pt idx="1543">
                  <c:v>9</c:v>
                </c:pt>
                <c:pt idx="1544">
                  <c:v>10.09</c:v>
                </c:pt>
                <c:pt idx="1545">
                  <c:v>11.34</c:v>
                </c:pt>
                <c:pt idx="1546">
                  <c:v>11.57</c:v>
                </c:pt>
                <c:pt idx="1547">
                  <c:v>11.93</c:v>
                </c:pt>
                <c:pt idx="1548">
                  <c:v>13.05</c:v>
                </c:pt>
                <c:pt idx="1549">
                  <c:v>12.68</c:v>
                </c:pt>
                <c:pt idx="1550">
                  <c:v>12.7</c:v>
                </c:pt>
                <c:pt idx="1551">
                  <c:v>12.65</c:v>
                </c:pt>
                <c:pt idx="1552">
                  <c:v>13.1</c:v>
                </c:pt>
                <c:pt idx="1553">
                  <c:v>13.6</c:v>
                </c:pt>
                <c:pt idx="1554">
                  <c:v>13.4</c:v>
                </c:pt>
                <c:pt idx="1555">
                  <c:v>13.68</c:v>
                </c:pt>
                <c:pt idx="1556">
                  <c:v>13.85</c:v>
                </c:pt>
                <c:pt idx="1557">
                  <c:v>15.01</c:v>
                </c:pt>
                <c:pt idx="1558">
                  <c:v>15.29</c:v>
                </c:pt>
                <c:pt idx="1559">
                  <c:v>15.05</c:v>
                </c:pt>
                <c:pt idx="1560">
                  <c:v>15.72</c:v>
                </c:pt>
                <c:pt idx="1561">
                  <c:v>15.93</c:v>
                </c:pt>
                <c:pt idx="1562">
                  <c:v>16.18</c:v>
                </c:pt>
                <c:pt idx="1563">
                  <c:v>15.41</c:v>
                </c:pt>
                <c:pt idx="1564">
                  <c:v>15.13</c:v>
                </c:pt>
                <c:pt idx="1565">
                  <c:v>15.45</c:v>
                </c:pt>
                <c:pt idx="1566">
                  <c:v>16.34</c:v>
                </c:pt>
                <c:pt idx="1567">
                  <c:v>17.02</c:v>
                </c:pt>
                <c:pt idx="1568">
                  <c:v>16.62</c:v>
                </c:pt>
                <c:pt idx="1569">
                  <c:v>16.55</c:v>
                </c:pt>
                <c:pt idx="1570">
                  <c:v>17.05</c:v>
                </c:pt>
                <c:pt idx="1571">
                  <c:v>17.43</c:v>
                </c:pt>
                <c:pt idx="1572">
                  <c:v>17.41</c:v>
                </c:pt>
                <c:pt idx="1573">
                  <c:v>17.5</c:v>
                </c:pt>
                <c:pt idx="1574">
                  <c:v>17.95</c:v>
                </c:pt>
                <c:pt idx="1575">
                  <c:v>19.11</c:v>
                </c:pt>
                <c:pt idx="1576">
                  <c:v>19.579999999999998</c:v>
                </c:pt>
                <c:pt idx="1577">
                  <c:v>19.38</c:v>
                </c:pt>
                <c:pt idx="1578">
                  <c:v>18.79</c:v>
                </c:pt>
                <c:pt idx="1579">
                  <c:v>18.93</c:v>
                </c:pt>
                <c:pt idx="1580">
                  <c:v>19.48</c:v>
                </c:pt>
                <c:pt idx="1581">
                  <c:v>19.43</c:v>
                </c:pt>
                <c:pt idx="1582">
                  <c:v>19.53</c:v>
                </c:pt>
                <c:pt idx="1583">
                  <c:v>19.48</c:v>
                </c:pt>
                <c:pt idx="1584">
                  <c:v>19.29</c:v>
                </c:pt>
                <c:pt idx="1585">
                  <c:v>19.46</c:v>
                </c:pt>
                <c:pt idx="1586">
                  <c:v>18.809999999999999</c:v>
                </c:pt>
                <c:pt idx="1587">
                  <c:v>18.3</c:v>
                </c:pt>
                <c:pt idx="1588">
                  <c:v>18.16</c:v>
                </c:pt>
                <c:pt idx="1589">
                  <c:v>18.100000000000001</c:v>
                </c:pt>
                <c:pt idx="1590">
                  <c:v>18.37</c:v>
                </c:pt>
                <c:pt idx="1591">
                  <c:v>20.11</c:v>
                </c:pt>
                <c:pt idx="1592">
                  <c:v>20.46</c:v>
                </c:pt>
                <c:pt idx="1593">
                  <c:v>21.92</c:v>
                </c:pt>
                <c:pt idx="1594">
                  <c:v>22.28</c:v>
                </c:pt>
                <c:pt idx="1595">
                  <c:v>22.66</c:v>
                </c:pt>
                <c:pt idx="1596">
                  <c:v>23.45</c:v>
                </c:pt>
                <c:pt idx="1597">
                  <c:v>22.64</c:v>
                </c:pt>
                <c:pt idx="1598">
                  <c:v>23.14</c:v>
                </c:pt>
                <c:pt idx="1599">
                  <c:v>23.8</c:v>
                </c:pt>
                <c:pt idx="1600">
                  <c:v>22.79</c:v>
                </c:pt>
                <c:pt idx="1601">
                  <c:v>22.62</c:v>
                </c:pt>
                <c:pt idx="1602">
                  <c:v>21.42</c:v>
                </c:pt>
                <c:pt idx="1603">
                  <c:v>21.61</c:v>
                </c:pt>
                <c:pt idx="1604">
                  <c:v>21.9</c:v>
                </c:pt>
                <c:pt idx="1605">
                  <c:v>20.52</c:v>
                </c:pt>
                <c:pt idx="1606">
                  <c:v>20.170000000000002</c:v>
                </c:pt>
                <c:pt idx="1607">
                  <c:v>20.29</c:v>
                </c:pt>
                <c:pt idx="1608">
                  <c:v>19.71</c:v>
                </c:pt>
                <c:pt idx="1609">
                  <c:v>19.68</c:v>
                </c:pt>
                <c:pt idx="1610">
                  <c:v>19.43</c:v>
                </c:pt>
                <c:pt idx="1611">
                  <c:v>19.03</c:v>
                </c:pt>
                <c:pt idx="1612">
                  <c:v>18.690000000000001</c:v>
                </c:pt>
                <c:pt idx="1613">
                  <c:v>19.48</c:v>
                </c:pt>
                <c:pt idx="1614">
                  <c:v>19.03</c:v>
                </c:pt>
                <c:pt idx="1615">
                  <c:v>19.05</c:v>
                </c:pt>
                <c:pt idx="1616">
                  <c:v>19.28</c:v>
                </c:pt>
                <c:pt idx="1617">
                  <c:v>18.8</c:v>
                </c:pt>
                <c:pt idx="1618">
                  <c:v>18.760000000000002</c:v>
                </c:pt>
                <c:pt idx="1619">
                  <c:v>19.34</c:v>
                </c:pt>
                <c:pt idx="1620">
                  <c:v>19.41</c:v>
                </c:pt>
                <c:pt idx="1621">
                  <c:v>20.309999999999999</c:v>
                </c:pt>
                <c:pt idx="1622">
                  <c:v>20.61</c:v>
                </c:pt>
                <c:pt idx="1623">
                  <c:v>20.95</c:v>
                </c:pt>
                <c:pt idx="1624">
                  <c:v>20.87</c:v>
                </c:pt>
                <c:pt idx="1625">
                  <c:v>21.05</c:v>
                </c:pt>
                <c:pt idx="1626">
                  <c:v>22.35</c:v>
                </c:pt>
                <c:pt idx="1627">
                  <c:v>21.76</c:v>
                </c:pt>
                <c:pt idx="1628">
                  <c:v>21.76</c:v>
                </c:pt>
                <c:pt idx="1629">
                  <c:v>22.3</c:v>
                </c:pt>
                <c:pt idx="1630">
                  <c:v>22.68</c:v>
                </c:pt>
                <c:pt idx="1631">
                  <c:v>23.02</c:v>
                </c:pt>
                <c:pt idx="1632">
                  <c:v>22.92</c:v>
                </c:pt>
                <c:pt idx="1633">
                  <c:v>23.2</c:v>
                </c:pt>
                <c:pt idx="1634">
                  <c:v>23.65</c:v>
                </c:pt>
                <c:pt idx="1635">
                  <c:v>23.44</c:v>
                </c:pt>
                <c:pt idx="1636">
                  <c:v>23.01</c:v>
                </c:pt>
                <c:pt idx="1637">
                  <c:v>22.53</c:v>
                </c:pt>
                <c:pt idx="1638">
                  <c:v>22.47</c:v>
                </c:pt>
                <c:pt idx="1639">
                  <c:v>22.84</c:v>
                </c:pt>
                <c:pt idx="1640">
                  <c:v>23</c:v>
                </c:pt>
                <c:pt idx="1641">
                  <c:v>23.25</c:v>
                </c:pt>
                <c:pt idx="1642">
                  <c:v>21.94</c:v>
                </c:pt>
                <c:pt idx="1643">
                  <c:v>21.86</c:v>
                </c:pt>
                <c:pt idx="1644">
                  <c:v>21.89</c:v>
                </c:pt>
                <c:pt idx="1645">
                  <c:v>22.65</c:v>
                </c:pt>
                <c:pt idx="1646">
                  <c:v>21.99</c:v>
                </c:pt>
                <c:pt idx="1647">
                  <c:v>22.25</c:v>
                </c:pt>
                <c:pt idx="1648">
                  <c:v>23.29</c:v>
                </c:pt>
                <c:pt idx="1649">
                  <c:v>23.64</c:v>
                </c:pt>
                <c:pt idx="1650">
                  <c:v>23.54</c:v>
                </c:pt>
                <c:pt idx="1651">
                  <c:v>24.53</c:v>
                </c:pt>
                <c:pt idx="1652">
                  <c:v>24.71</c:v>
                </c:pt>
                <c:pt idx="1653">
                  <c:v>25.44</c:v>
                </c:pt>
                <c:pt idx="1654">
                  <c:v>25.47</c:v>
                </c:pt>
                <c:pt idx="1655">
                  <c:v>25.37</c:v>
                </c:pt>
                <c:pt idx="1656">
                  <c:v>24.57</c:v>
                </c:pt>
                <c:pt idx="1657">
                  <c:v>23.73</c:v>
                </c:pt>
                <c:pt idx="1658">
                  <c:v>23.72</c:v>
                </c:pt>
                <c:pt idx="1659">
                  <c:v>23.68</c:v>
                </c:pt>
                <c:pt idx="1660">
                  <c:v>23.33</c:v>
                </c:pt>
                <c:pt idx="1661">
                  <c:v>22.75</c:v>
                </c:pt>
                <c:pt idx="1662">
                  <c:v>22.65</c:v>
                </c:pt>
                <c:pt idx="1663">
                  <c:v>22.66</c:v>
                </c:pt>
                <c:pt idx="1664">
                  <c:v>22.48</c:v>
                </c:pt>
                <c:pt idx="1665">
                  <c:v>22.41</c:v>
                </c:pt>
                <c:pt idx="1666">
                  <c:v>22.6</c:v>
                </c:pt>
                <c:pt idx="1667">
                  <c:v>22.46</c:v>
                </c:pt>
                <c:pt idx="1668">
                  <c:v>22.53</c:v>
                </c:pt>
                <c:pt idx="1669">
                  <c:v>21.76</c:v>
                </c:pt>
                <c:pt idx="1670">
                  <c:v>22.15</c:v>
                </c:pt>
                <c:pt idx="1671">
                  <c:v>21.76</c:v>
                </c:pt>
                <c:pt idx="1672">
                  <c:v>22.09</c:v>
                </c:pt>
                <c:pt idx="1673">
                  <c:v>22.55</c:v>
                </c:pt>
                <c:pt idx="1674">
                  <c:v>22.16</c:v>
                </c:pt>
                <c:pt idx="1675">
                  <c:v>22.49</c:v>
                </c:pt>
                <c:pt idx="1676">
                  <c:v>22.56</c:v>
                </c:pt>
                <c:pt idx="1677">
                  <c:v>22.25</c:v>
                </c:pt>
                <c:pt idx="1678">
                  <c:v>22.09</c:v>
                </c:pt>
                <c:pt idx="1679">
                  <c:v>22.34</c:v>
                </c:pt>
                <c:pt idx="1680">
                  <c:v>22.25</c:v>
                </c:pt>
                <c:pt idx="1681">
                  <c:v>22.22</c:v>
                </c:pt>
                <c:pt idx="1682">
                  <c:v>21.84</c:v>
                </c:pt>
                <c:pt idx="1683">
                  <c:v>21.74</c:v>
                </c:pt>
                <c:pt idx="1684">
                  <c:v>21.29</c:v>
                </c:pt>
                <c:pt idx="1685">
                  <c:v>22.94</c:v>
                </c:pt>
                <c:pt idx="1686">
                  <c:v>22.93</c:v>
                </c:pt>
                <c:pt idx="1687">
                  <c:v>22.44</c:v>
                </c:pt>
                <c:pt idx="1688">
                  <c:v>22.47</c:v>
                </c:pt>
                <c:pt idx="1689">
                  <c:v>21.58</c:v>
                </c:pt>
                <c:pt idx="1690">
                  <c:v>21.39</c:v>
                </c:pt>
                <c:pt idx="1691">
                  <c:v>21.89</c:v>
                </c:pt>
                <c:pt idx="1692">
                  <c:v>22.72</c:v>
                </c:pt>
                <c:pt idx="1693">
                  <c:v>22.28</c:v>
                </c:pt>
                <c:pt idx="1694">
                  <c:v>21.76</c:v>
                </c:pt>
                <c:pt idx="1695">
                  <c:v>21.45</c:v>
                </c:pt>
                <c:pt idx="1696">
                  <c:v>20.61</c:v>
                </c:pt>
                <c:pt idx="1697">
                  <c:v>20.6</c:v>
                </c:pt>
                <c:pt idx="1698">
                  <c:v>20.75</c:v>
                </c:pt>
                <c:pt idx="1699">
                  <c:v>21.08</c:v>
                </c:pt>
                <c:pt idx="1700">
                  <c:v>21.69</c:v>
                </c:pt>
                <c:pt idx="1701">
                  <c:v>21.32</c:v>
                </c:pt>
                <c:pt idx="1702">
                  <c:v>21.69</c:v>
                </c:pt>
                <c:pt idx="1703">
                  <c:v>21.96</c:v>
                </c:pt>
                <c:pt idx="1704">
                  <c:v>21.36</c:v>
                </c:pt>
                <c:pt idx="1705">
                  <c:v>22.38</c:v>
                </c:pt>
                <c:pt idx="1706">
                  <c:v>22.61</c:v>
                </c:pt>
                <c:pt idx="1707">
                  <c:v>21.92</c:v>
                </c:pt>
                <c:pt idx="1708">
                  <c:v>22.07</c:v>
                </c:pt>
                <c:pt idx="1709">
                  <c:v>21.9</c:v>
                </c:pt>
                <c:pt idx="1710">
                  <c:v>21.53</c:v>
                </c:pt>
                <c:pt idx="1711">
                  <c:v>21.56</c:v>
                </c:pt>
                <c:pt idx="1712">
                  <c:v>20.83</c:v>
                </c:pt>
                <c:pt idx="1713">
                  <c:v>21</c:v>
                </c:pt>
                <c:pt idx="1714">
                  <c:v>21.15</c:v>
                </c:pt>
                <c:pt idx="1715">
                  <c:v>21.25</c:v>
                </c:pt>
                <c:pt idx="1716">
                  <c:v>21.45</c:v>
                </c:pt>
                <c:pt idx="1717">
                  <c:v>20.22</c:v>
                </c:pt>
                <c:pt idx="1718">
                  <c:v>20.84</c:v>
                </c:pt>
                <c:pt idx="1719">
                  <c:v>21.46</c:v>
                </c:pt>
                <c:pt idx="1720">
                  <c:v>20.84</c:v>
                </c:pt>
                <c:pt idx="1721">
                  <c:v>20.39</c:v>
                </c:pt>
                <c:pt idx="1722">
                  <c:v>20.440000000000001</c:v>
                </c:pt>
                <c:pt idx="1723">
                  <c:v>20.14</c:v>
                </c:pt>
                <c:pt idx="1724">
                  <c:v>20.079999999999998</c:v>
                </c:pt>
                <c:pt idx="1725">
                  <c:v>19.21</c:v>
                </c:pt>
                <c:pt idx="1726">
                  <c:v>19.559999999999999</c:v>
                </c:pt>
                <c:pt idx="1727">
                  <c:v>19.100000000000001</c:v>
                </c:pt>
                <c:pt idx="1728">
                  <c:v>18.82</c:v>
                </c:pt>
                <c:pt idx="1729">
                  <c:v>19.25</c:v>
                </c:pt>
                <c:pt idx="1730">
                  <c:v>18.559999999999999</c:v>
                </c:pt>
                <c:pt idx="1731">
                  <c:v>18.87</c:v>
                </c:pt>
                <c:pt idx="1732">
                  <c:v>18.48</c:v>
                </c:pt>
                <c:pt idx="1733">
                  <c:v>18.809999999999999</c:v>
                </c:pt>
                <c:pt idx="1734">
                  <c:v>17.79</c:v>
                </c:pt>
                <c:pt idx="1735">
                  <c:v>17.149999999999999</c:v>
                </c:pt>
                <c:pt idx="1736">
                  <c:v>16.96</c:v>
                </c:pt>
                <c:pt idx="1737">
                  <c:v>17.02</c:v>
                </c:pt>
                <c:pt idx="1738">
                  <c:v>16.91</c:v>
                </c:pt>
                <c:pt idx="1739">
                  <c:v>17.010000000000002</c:v>
                </c:pt>
                <c:pt idx="1740">
                  <c:v>16.920000000000002</c:v>
                </c:pt>
                <c:pt idx="1741">
                  <c:v>16.32</c:v>
                </c:pt>
                <c:pt idx="1742">
                  <c:v>15.79</c:v>
                </c:pt>
                <c:pt idx="1743">
                  <c:v>15.59</c:v>
                </c:pt>
                <c:pt idx="1744">
                  <c:v>15.21</c:v>
                </c:pt>
                <c:pt idx="1745">
                  <c:v>15.58</c:v>
                </c:pt>
                <c:pt idx="1746">
                  <c:v>15.73</c:v>
                </c:pt>
                <c:pt idx="1747">
                  <c:v>15.15</c:v>
                </c:pt>
                <c:pt idx="1748">
                  <c:v>15.36</c:v>
                </c:pt>
                <c:pt idx="1749">
                  <c:v>15.43</c:v>
                </c:pt>
                <c:pt idx="1750">
                  <c:v>15.09</c:v>
                </c:pt>
                <c:pt idx="1751">
                  <c:v>15.51</c:v>
                </c:pt>
                <c:pt idx="1752">
                  <c:v>15.81</c:v>
                </c:pt>
                <c:pt idx="1753">
                  <c:v>16.82</c:v>
                </c:pt>
                <c:pt idx="1754">
                  <c:v>16.97</c:v>
                </c:pt>
                <c:pt idx="1755">
                  <c:v>16.97</c:v>
                </c:pt>
                <c:pt idx="1756">
                  <c:v>17.86</c:v>
                </c:pt>
                <c:pt idx="1757">
                  <c:v>17.79</c:v>
                </c:pt>
                <c:pt idx="1758">
                  <c:v>17.47</c:v>
                </c:pt>
                <c:pt idx="1759">
                  <c:v>16.489999999999998</c:v>
                </c:pt>
                <c:pt idx="1760">
                  <c:v>16.32</c:v>
                </c:pt>
                <c:pt idx="1761">
                  <c:v>15.79</c:v>
                </c:pt>
                <c:pt idx="1762">
                  <c:v>16.329999999999998</c:v>
                </c:pt>
                <c:pt idx="1763">
                  <c:v>15.9</c:v>
                </c:pt>
                <c:pt idx="1764">
                  <c:v>17.260000000000002</c:v>
                </c:pt>
                <c:pt idx="1765">
                  <c:v>17.309999999999999</c:v>
                </c:pt>
                <c:pt idx="1766">
                  <c:v>16.86</c:v>
                </c:pt>
                <c:pt idx="1767">
                  <c:v>16.28</c:v>
                </c:pt>
                <c:pt idx="1768">
                  <c:v>15.7</c:v>
                </c:pt>
                <c:pt idx="1769">
                  <c:v>12.41</c:v>
                </c:pt>
                <c:pt idx="1770">
                  <c:v>12.72</c:v>
                </c:pt>
                <c:pt idx="1771">
                  <c:v>12.26</c:v>
                </c:pt>
                <c:pt idx="1772">
                  <c:v>12.92</c:v>
                </c:pt>
                <c:pt idx="1773">
                  <c:v>13.78</c:v>
                </c:pt>
                <c:pt idx="1774">
                  <c:v>13.54</c:v>
                </c:pt>
                <c:pt idx="1775">
                  <c:v>14.03</c:v>
                </c:pt>
                <c:pt idx="1776">
                  <c:v>13.85</c:v>
                </c:pt>
                <c:pt idx="1777">
                  <c:v>13.85</c:v>
                </c:pt>
                <c:pt idx="1778">
                  <c:v>13.6</c:v>
                </c:pt>
                <c:pt idx="1779">
                  <c:v>13.05</c:v>
                </c:pt>
                <c:pt idx="1780">
                  <c:v>13.1</c:v>
                </c:pt>
                <c:pt idx="1781">
                  <c:v>12.87</c:v>
                </c:pt>
                <c:pt idx="1782">
                  <c:v>13.15</c:v>
                </c:pt>
                <c:pt idx="1783">
                  <c:v>13.14</c:v>
                </c:pt>
                <c:pt idx="1784">
                  <c:v>12.71</c:v>
                </c:pt>
                <c:pt idx="1785">
                  <c:v>12.79</c:v>
                </c:pt>
                <c:pt idx="1786">
                  <c:v>12.62</c:v>
                </c:pt>
                <c:pt idx="1787">
                  <c:v>12.31</c:v>
                </c:pt>
                <c:pt idx="1788">
                  <c:v>12.21</c:v>
                </c:pt>
                <c:pt idx="1789">
                  <c:v>12.26</c:v>
                </c:pt>
                <c:pt idx="1790">
                  <c:v>12.31</c:v>
                </c:pt>
                <c:pt idx="1791">
                  <c:v>11.81</c:v>
                </c:pt>
                <c:pt idx="1792">
                  <c:v>11.72</c:v>
                </c:pt>
                <c:pt idx="1793">
                  <c:v>12.47</c:v>
                </c:pt>
                <c:pt idx="1794">
                  <c:v>11.86</c:v>
                </c:pt>
                <c:pt idx="1795">
                  <c:v>12.11</c:v>
                </c:pt>
                <c:pt idx="1796">
                  <c:v>11.97</c:v>
                </c:pt>
                <c:pt idx="1797">
                  <c:v>12.51</c:v>
                </c:pt>
                <c:pt idx="1798">
                  <c:v>11.98</c:v>
                </c:pt>
                <c:pt idx="1799">
                  <c:v>12.31</c:v>
                </c:pt>
                <c:pt idx="1800">
                  <c:v>12.46</c:v>
                </c:pt>
                <c:pt idx="1801">
                  <c:v>12.51</c:v>
                </c:pt>
                <c:pt idx="1802">
                  <c:v>13.48</c:v>
                </c:pt>
                <c:pt idx="1803">
                  <c:v>15.65</c:v>
                </c:pt>
                <c:pt idx="1804">
                  <c:v>15.72</c:v>
                </c:pt>
                <c:pt idx="1805">
                  <c:v>15.08</c:v>
                </c:pt>
                <c:pt idx="1806">
                  <c:v>14.56</c:v>
                </c:pt>
                <c:pt idx="1807">
                  <c:v>15.02</c:v>
                </c:pt>
                <c:pt idx="1808">
                  <c:v>15.13</c:v>
                </c:pt>
                <c:pt idx="1809">
                  <c:v>14.43</c:v>
                </c:pt>
                <c:pt idx="1810">
                  <c:v>14.03</c:v>
                </c:pt>
                <c:pt idx="1811">
                  <c:v>14.36</c:v>
                </c:pt>
                <c:pt idx="1812">
                  <c:v>14.03</c:v>
                </c:pt>
                <c:pt idx="1813">
                  <c:v>13.89</c:v>
                </c:pt>
                <c:pt idx="1814">
                  <c:v>13.86</c:v>
                </c:pt>
                <c:pt idx="1815">
                  <c:v>13.67</c:v>
                </c:pt>
                <c:pt idx="1816">
                  <c:v>13.91</c:v>
                </c:pt>
                <c:pt idx="1817">
                  <c:v>13.45</c:v>
                </c:pt>
                <c:pt idx="1818">
                  <c:v>13.4</c:v>
                </c:pt>
                <c:pt idx="1819">
                  <c:v>13.75</c:v>
                </c:pt>
                <c:pt idx="1820">
                  <c:v>13.35</c:v>
                </c:pt>
                <c:pt idx="1821">
                  <c:v>13.43</c:v>
                </c:pt>
                <c:pt idx="1822">
                  <c:v>13.27</c:v>
                </c:pt>
                <c:pt idx="1823">
                  <c:v>13.67</c:v>
                </c:pt>
                <c:pt idx="1824">
                  <c:v>14.09</c:v>
                </c:pt>
                <c:pt idx="1825">
                  <c:v>14.27</c:v>
                </c:pt>
                <c:pt idx="1826">
                  <c:v>14.21</c:v>
                </c:pt>
                <c:pt idx="1827">
                  <c:v>13.99</c:v>
                </c:pt>
                <c:pt idx="1828">
                  <c:v>13.5</c:v>
                </c:pt>
                <c:pt idx="1829">
                  <c:v>13.58</c:v>
                </c:pt>
                <c:pt idx="1830">
                  <c:v>13.52</c:v>
                </c:pt>
                <c:pt idx="1831">
                  <c:v>13.51</c:v>
                </c:pt>
                <c:pt idx="1832">
                  <c:v>13.75</c:v>
                </c:pt>
                <c:pt idx="1833">
                  <c:v>13.56</c:v>
                </c:pt>
                <c:pt idx="1834">
                  <c:v>13.59</c:v>
                </c:pt>
                <c:pt idx="1835">
                  <c:v>14.04</c:v>
                </c:pt>
                <c:pt idx="1836">
                  <c:v>20.97</c:v>
                </c:pt>
                <c:pt idx="1837">
                  <c:v>18.649999999999999</c:v>
                </c:pt>
                <c:pt idx="1838">
                  <c:v>19.39</c:v>
                </c:pt>
                <c:pt idx="1839">
                  <c:v>19.54</c:v>
                </c:pt>
                <c:pt idx="1840">
                  <c:v>19.23</c:v>
                </c:pt>
                <c:pt idx="1841">
                  <c:v>18.72</c:v>
                </c:pt>
                <c:pt idx="1842">
                  <c:v>18.309999999999999</c:v>
                </c:pt>
                <c:pt idx="1843">
                  <c:v>17.43</c:v>
                </c:pt>
                <c:pt idx="1844">
                  <c:v>17.45</c:v>
                </c:pt>
                <c:pt idx="1845">
                  <c:v>17.809999999999999</c:v>
                </c:pt>
                <c:pt idx="1846">
                  <c:v>18.59</c:v>
                </c:pt>
                <c:pt idx="1847">
                  <c:v>18.86</c:v>
                </c:pt>
                <c:pt idx="1848">
                  <c:v>19.48</c:v>
                </c:pt>
                <c:pt idx="1849">
                  <c:v>20.86</c:v>
                </c:pt>
                <c:pt idx="1850">
                  <c:v>21.23</c:v>
                </c:pt>
                <c:pt idx="1851">
                  <c:v>20.79</c:v>
                </c:pt>
                <c:pt idx="1852">
                  <c:v>21.16</c:v>
                </c:pt>
                <c:pt idx="1853">
                  <c:v>21.3</c:v>
                </c:pt>
                <c:pt idx="1854">
                  <c:v>21.6</c:v>
                </c:pt>
                <c:pt idx="1855">
                  <c:v>21.31</c:v>
                </c:pt>
                <c:pt idx="1856">
                  <c:v>21.76</c:v>
                </c:pt>
                <c:pt idx="1857">
                  <c:v>21.01</c:v>
                </c:pt>
                <c:pt idx="1858">
                  <c:v>20.77</c:v>
                </c:pt>
                <c:pt idx="1859">
                  <c:v>20.239999999999998</c:v>
                </c:pt>
                <c:pt idx="1860">
                  <c:v>20.260000000000002</c:v>
                </c:pt>
                <c:pt idx="1861">
                  <c:v>19.68</c:v>
                </c:pt>
                <c:pt idx="1862">
                  <c:v>19.329999999999998</c:v>
                </c:pt>
                <c:pt idx="1863">
                  <c:v>19.54</c:v>
                </c:pt>
                <c:pt idx="1864">
                  <c:v>20.309999999999999</c:v>
                </c:pt>
                <c:pt idx="1865">
                  <c:v>21.56</c:v>
                </c:pt>
                <c:pt idx="1866">
                  <c:v>21.61</c:v>
                </c:pt>
                <c:pt idx="1867">
                  <c:v>21.23</c:v>
                </c:pt>
                <c:pt idx="1868">
                  <c:v>20.58</c:v>
                </c:pt>
                <c:pt idx="1869">
                  <c:v>20.49</c:v>
                </c:pt>
                <c:pt idx="1870">
                  <c:v>21.06</c:v>
                </c:pt>
                <c:pt idx="1871">
                  <c:v>20.8</c:v>
                </c:pt>
                <c:pt idx="1872">
                  <c:v>20.79</c:v>
                </c:pt>
                <c:pt idx="1873">
                  <c:v>20.62</c:v>
                </c:pt>
                <c:pt idx="1874">
                  <c:v>20.329999999999998</c:v>
                </c:pt>
                <c:pt idx="1875">
                  <c:v>20.59</c:v>
                </c:pt>
                <c:pt idx="1876">
                  <c:v>20.32</c:v>
                </c:pt>
                <c:pt idx="1877">
                  <c:v>21.42</c:v>
                </c:pt>
                <c:pt idx="1878">
                  <c:v>22.2</c:v>
                </c:pt>
                <c:pt idx="1879">
                  <c:v>22.34</c:v>
                </c:pt>
                <c:pt idx="1880">
                  <c:v>23.11</c:v>
                </c:pt>
                <c:pt idx="1881">
                  <c:v>23.21</c:v>
                </c:pt>
                <c:pt idx="1882">
                  <c:v>23.15</c:v>
                </c:pt>
                <c:pt idx="1883">
                  <c:v>22.34</c:v>
                </c:pt>
                <c:pt idx="1884">
                  <c:v>21.81</c:v>
                </c:pt>
                <c:pt idx="1885">
                  <c:v>20.52</c:v>
                </c:pt>
                <c:pt idx="1886">
                  <c:v>19.46</c:v>
                </c:pt>
                <c:pt idx="1887">
                  <c:v>20.49</c:v>
                </c:pt>
                <c:pt idx="1888">
                  <c:v>20.99</c:v>
                </c:pt>
                <c:pt idx="1889">
                  <c:v>21.26</c:v>
                </c:pt>
                <c:pt idx="1890">
                  <c:v>20.21</c:v>
                </c:pt>
                <c:pt idx="1891">
                  <c:v>19.78</c:v>
                </c:pt>
                <c:pt idx="1892">
                  <c:v>20.03</c:v>
                </c:pt>
                <c:pt idx="1893">
                  <c:v>19.260000000000002</c:v>
                </c:pt>
                <c:pt idx="1894">
                  <c:v>19.8</c:v>
                </c:pt>
                <c:pt idx="1895">
                  <c:v>19.96</c:v>
                </c:pt>
                <c:pt idx="1896">
                  <c:v>20.22</c:v>
                </c:pt>
                <c:pt idx="1897">
                  <c:v>20.47</c:v>
                </c:pt>
                <c:pt idx="1898">
                  <c:v>20.77</c:v>
                </c:pt>
                <c:pt idx="1899">
                  <c:v>20.49</c:v>
                </c:pt>
                <c:pt idx="1900">
                  <c:v>20.37</c:v>
                </c:pt>
                <c:pt idx="1901">
                  <c:v>20.03</c:v>
                </c:pt>
                <c:pt idx="1902">
                  <c:v>19.77</c:v>
                </c:pt>
                <c:pt idx="1903">
                  <c:v>18.52</c:v>
                </c:pt>
                <c:pt idx="1904">
                  <c:v>18.54</c:v>
                </c:pt>
                <c:pt idx="1905">
                  <c:v>18.850000000000001</c:v>
                </c:pt>
                <c:pt idx="1906">
                  <c:v>18.71</c:v>
                </c:pt>
                <c:pt idx="1907">
                  <c:v>18.89</c:v>
                </c:pt>
                <c:pt idx="1908">
                  <c:v>18.690000000000001</c:v>
                </c:pt>
                <c:pt idx="1909">
                  <c:v>18.37</c:v>
                </c:pt>
                <c:pt idx="1910">
                  <c:v>18.12</c:v>
                </c:pt>
                <c:pt idx="1911">
                  <c:v>18.39</c:v>
                </c:pt>
                <c:pt idx="1912">
                  <c:v>17.940000000000001</c:v>
                </c:pt>
                <c:pt idx="1913">
                  <c:v>17.260000000000002</c:v>
                </c:pt>
                <c:pt idx="1914">
                  <c:v>17.420000000000002</c:v>
                </c:pt>
                <c:pt idx="1915">
                  <c:v>17.52</c:v>
                </c:pt>
                <c:pt idx="1916">
                  <c:v>17.260000000000002</c:v>
                </c:pt>
                <c:pt idx="1917">
                  <c:v>16.96</c:v>
                </c:pt>
                <c:pt idx="1918">
                  <c:v>17.8</c:v>
                </c:pt>
                <c:pt idx="1919">
                  <c:v>18.57</c:v>
                </c:pt>
                <c:pt idx="1920">
                  <c:v>18.2</c:v>
                </c:pt>
                <c:pt idx="1921">
                  <c:v>18.18</c:v>
                </c:pt>
                <c:pt idx="1922">
                  <c:v>19.13</c:v>
                </c:pt>
                <c:pt idx="1923">
                  <c:v>18.579999999999998</c:v>
                </c:pt>
                <c:pt idx="1924">
                  <c:v>18.34</c:v>
                </c:pt>
                <c:pt idx="1925">
                  <c:v>18.23</c:v>
                </c:pt>
                <c:pt idx="1926">
                  <c:v>18.059999999999999</c:v>
                </c:pt>
                <c:pt idx="1927">
                  <c:v>18.18</c:v>
                </c:pt>
                <c:pt idx="1928">
                  <c:v>17.45</c:v>
                </c:pt>
                <c:pt idx="1929">
                  <c:v>16.75</c:v>
                </c:pt>
                <c:pt idx="1930">
                  <c:v>17.010000000000002</c:v>
                </c:pt>
                <c:pt idx="1931">
                  <c:v>16.62</c:v>
                </c:pt>
                <c:pt idx="1932">
                  <c:v>16.84</c:v>
                </c:pt>
                <c:pt idx="1933">
                  <c:v>17.03</c:v>
                </c:pt>
                <c:pt idx="1934">
                  <c:v>17.079999999999998</c:v>
                </c:pt>
                <c:pt idx="1935">
                  <c:v>16.96</c:v>
                </c:pt>
                <c:pt idx="1936">
                  <c:v>17.309999999999999</c:v>
                </c:pt>
                <c:pt idx="1937">
                  <c:v>18.559999999999999</c:v>
                </c:pt>
                <c:pt idx="1938">
                  <c:v>18.059999999999999</c:v>
                </c:pt>
                <c:pt idx="1939">
                  <c:v>19.329999999999998</c:v>
                </c:pt>
                <c:pt idx="1940">
                  <c:v>20.03</c:v>
                </c:pt>
                <c:pt idx="1941">
                  <c:v>20</c:v>
                </c:pt>
                <c:pt idx="1942">
                  <c:v>19.78</c:v>
                </c:pt>
                <c:pt idx="1943">
                  <c:v>20.11</c:v>
                </c:pt>
                <c:pt idx="1944">
                  <c:v>20.170000000000002</c:v>
                </c:pt>
                <c:pt idx="1945">
                  <c:v>19.57</c:v>
                </c:pt>
                <c:pt idx="1946">
                  <c:v>19.57</c:v>
                </c:pt>
                <c:pt idx="1947">
                  <c:v>20.66</c:v>
                </c:pt>
                <c:pt idx="1948">
                  <c:v>20.83</c:v>
                </c:pt>
                <c:pt idx="1949">
                  <c:v>21.4</c:v>
                </c:pt>
                <c:pt idx="1950">
                  <c:v>20.89</c:v>
                </c:pt>
                <c:pt idx="1951">
                  <c:v>21.29</c:v>
                </c:pt>
                <c:pt idx="1952">
                  <c:v>21.2</c:v>
                </c:pt>
                <c:pt idx="1953">
                  <c:v>21.21</c:v>
                </c:pt>
                <c:pt idx="1954">
                  <c:v>21.18</c:v>
                </c:pt>
                <c:pt idx="1955">
                  <c:v>22.63</c:v>
                </c:pt>
                <c:pt idx="1956">
                  <c:v>23.09</c:v>
                </c:pt>
                <c:pt idx="1957">
                  <c:v>23.63</c:v>
                </c:pt>
                <c:pt idx="1958">
                  <c:v>24.62</c:v>
                </c:pt>
                <c:pt idx="1959">
                  <c:v>24.19</c:v>
                </c:pt>
                <c:pt idx="1960">
                  <c:v>24.62</c:v>
                </c:pt>
                <c:pt idx="1961">
                  <c:v>24.5</c:v>
                </c:pt>
                <c:pt idx="1962">
                  <c:v>23.9</c:v>
                </c:pt>
                <c:pt idx="1963">
                  <c:v>24.44</c:v>
                </c:pt>
                <c:pt idx="1964">
                  <c:v>24.4</c:v>
                </c:pt>
                <c:pt idx="1965">
                  <c:v>24.13</c:v>
                </c:pt>
                <c:pt idx="1966">
                  <c:v>23.39</c:v>
                </c:pt>
                <c:pt idx="1967">
                  <c:v>22.97</c:v>
                </c:pt>
                <c:pt idx="1968">
                  <c:v>23.64</c:v>
                </c:pt>
                <c:pt idx="1969">
                  <c:v>24.6</c:v>
                </c:pt>
                <c:pt idx="1970">
                  <c:v>24.21</c:v>
                </c:pt>
                <c:pt idx="1971">
                  <c:v>22.55</c:v>
                </c:pt>
                <c:pt idx="1972">
                  <c:v>22.45</c:v>
                </c:pt>
                <c:pt idx="1973">
                  <c:v>22.06</c:v>
                </c:pt>
                <c:pt idx="1974">
                  <c:v>21.99</c:v>
                </c:pt>
                <c:pt idx="1975">
                  <c:v>21.9</c:v>
                </c:pt>
                <c:pt idx="1976">
                  <c:v>21.21</c:v>
                </c:pt>
                <c:pt idx="1977">
                  <c:v>21.12</c:v>
                </c:pt>
                <c:pt idx="1978">
                  <c:v>20.95</c:v>
                </c:pt>
                <c:pt idx="1979">
                  <c:v>22.5</c:v>
                </c:pt>
                <c:pt idx="1980">
                  <c:v>21.92</c:v>
                </c:pt>
                <c:pt idx="1981">
                  <c:v>20.88</c:v>
                </c:pt>
                <c:pt idx="1982">
                  <c:v>20.77</c:v>
                </c:pt>
                <c:pt idx="1983">
                  <c:v>20.7</c:v>
                </c:pt>
                <c:pt idx="1984">
                  <c:v>21.06</c:v>
                </c:pt>
                <c:pt idx="1985">
                  <c:v>21.38</c:v>
                </c:pt>
                <c:pt idx="1986">
                  <c:v>22.1</c:v>
                </c:pt>
                <c:pt idx="1987">
                  <c:v>20.079999999999998</c:v>
                </c:pt>
                <c:pt idx="1988">
                  <c:v>18.16</c:v>
                </c:pt>
                <c:pt idx="1989">
                  <c:v>18.809999999999999</c:v>
                </c:pt>
                <c:pt idx="1990">
                  <c:v>18.48</c:v>
                </c:pt>
                <c:pt idx="1991">
                  <c:v>19.07</c:v>
                </c:pt>
                <c:pt idx="1992">
                  <c:v>19.010000000000002</c:v>
                </c:pt>
                <c:pt idx="1993">
                  <c:v>18.32</c:v>
                </c:pt>
                <c:pt idx="1994">
                  <c:v>18.28</c:v>
                </c:pt>
                <c:pt idx="1995">
                  <c:v>18.54</c:v>
                </c:pt>
                <c:pt idx="1996">
                  <c:v>18.64</c:v>
                </c:pt>
                <c:pt idx="1997">
                  <c:v>17.87</c:v>
                </c:pt>
                <c:pt idx="1998">
                  <c:v>17.79</c:v>
                </c:pt>
                <c:pt idx="1999">
                  <c:v>17.55</c:v>
                </c:pt>
                <c:pt idx="2000">
                  <c:v>17.850000000000001</c:v>
                </c:pt>
                <c:pt idx="2001">
                  <c:v>18.27</c:v>
                </c:pt>
                <c:pt idx="2002">
                  <c:v>19.04</c:v>
                </c:pt>
                <c:pt idx="2003">
                  <c:v>18.86</c:v>
                </c:pt>
                <c:pt idx="2004">
                  <c:v>19.7</c:v>
                </c:pt>
                <c:pt idx="2005">
                  <c:v>19.38</c:v>
                </c:pt>
                <c:pt idx="2006">
                  <c:v>19.89</c:v>
                </c:pt>
                <c:pt idx="2007">
                  <c:v>18.07</c:v>
                </c:pt>
                <c:pt idx="2008">
                  <c:v>18.11</c:v>
                </c:pt>
                <c:pt idx="2009">
                  <c:v>18.440000000000001</c:v>
                </c:pt>
                <c:pt idx="2010">
                  <c:v>19.05</c:v>
                </c:pt>
                <c:pt idx="2011">
                  <c:v>18.690000000000001</c:v>
                </c:pt>
                <c:pt idx="2012">
                  <c:v>18.18</c:v>
                </c:pt>
                <c:pt idx="2013">
                  <c:v>18.600000000000001</c:v>
                </c:pt>
                <c:pt idx="2014">
                  <c:v>18.54</c:v>
                </c:pt>
                <c:pt idx="2015">
                  <c:v>18.78</c:v>
                </c:pt>
                <c:pt idx="2016">
                  <c:v>18.25</c:v>
                </c:pt>
                <c:pt idx="2017">
                  <c:v>17.510000000000002</c:v>
                </c:pt>
                <c:pt idx="2018">
                  <c:v>17.84</c:v>
                </c:pt>
                <c:pt idx="2019">
                  <c:v>15.79</c:v>
                </c:pt>
                <c:pt idx="2020">
                  <c:v>15.08</c:v>
                </c:pt>
                <c:pt idx="2021">
                  <c:v>14.89</c:v>
                </c:pt>
                <c:pt idx="2022">
                  <c:v>13.85</c:v>
                </c:pt>
                <c:pt idx="2023">
                  <c:v>14.14</c:v>
                </c:pt>
                <c:pt idx="2024">
                  <c:v>14.47</c:v>
                </c:pt>
                <c:pt idx="2025">
                  <c:v>14.98</c:v>
                </c:pt>
                <c:pt idx="2026">
                  <c:v>16.079999999999998</c:v>
                </c:pt>
                <c:pt idx="2027">
                  <c:v>14.82</c:v>
                </c:pt>
                <c:pt idx="2028">
                  <c:v>14.16</c:v>
                </c:pt>
                <c:pt idx="2029">
                  <c:v>13.26</c:v>
                </c:pt>
                <c:pt idx="2030">
                  <c:v>12.76</c:v>
                </c:pt>
                <c:pt idx="2031">
                  <c:v>13.33</c:v>
                </c:pt>
                <c:pt idx="2032">
                  <c:v>13.65</c:v>
                </c:pt>
                <c:pt idx="2033">
                  <c:v>14.1</c:v>
                </c:pt>
                <c:pt idx="2034">
                  <c:v>14.03</c:v>
                </c:pt>
                <c:pt idx="2035">
                  <c:v>12.86</c:v>
                </c:pt>
                <c:pt idx="2036">
                  <c:v>12.85</c:v>
                </c:pt>
                <c:pt idx="2037">
                  <c:v>13.25</c:v>
                </c:pt>
                <c:pt idx="2038">
                  <c:v>13.35</c:v>
                </c:pt>
                <c:pt idx="2039">
                  <c:v>12.24</c:v>
                </c:pt>
                <c:pt idx="2040">
                  <c:v>12.73</c:v>
                </c:pt>
                <c:pt idx="2041">
                  <c:v>12.7</c:v>
                </c:pt>
                <c:pt idx="2042">
                  <c:v>12.36</c:v>
                </c:pt>
                <c:pt idx="2043">
                  <c:v>11.86</c:v>
                </c:pt>
                <c:pt idx="2044">
                  <c:v>12.19</c:v>
                </c:pt>
                <c:pt idx="2045">
                  <c:v>12.06</c:v>
                </c:pt>
                <c:pt idx="2046">
                  <c:v>12.92</c:v>
                </c:pt>
                <c:pt idx="2047">
                  <c:v>13.25</c:v>
                </c:pt>
                <c:pt idx="2048">
                  <c:v>15.64</c:v>
                </c:pt>
                <c:pt idx="2049">
                  <c:v>14.29</c:v>
                </c:pt>
                <c:pt idx="2050">
                  <c:v>14.37</c:v>
                </c:pt>
                <c:pt idx="2051">
                  <c:v>13.97</c:v>
                </c:pt>
                <c:pt idx="2052">
                  <c:v>14.28</c:v>
                </c:pt>
                <c:pt idx="2053">
                  <c:v>14.44</c:v>
                </c:pt>
                <c:pt idx="2054">
                  <c:v>14.48</c:v>
                </c:pt>
                <c:pt idx="2055">
                  <c:v>14.7</c:v>
                </c:pt>
                <c:pt idx="2056">
                  <c:v>15.03</c:v>
                </c:pt>
                <c:pt idx="2057">
                  <c:v>15.84</c:v>
                </c:pt>
                <c:pt idx="2058">
                  <c:v>16.170000000000002</c:v>
                </c:pt>
                <c:pt idx="2059">
                  <c:v>17.079999999999998</c:v>
                </c:pt>
                <c:pt idx="2060">
                  <c:v>16.71</c:v>
                </c:pt>
                <c:pt idx="2061">
                  <c:v>16.96</c:v>
                </c:pt>
                <c:pt idx="2062">
                  <c:v>17.72</c:v>
                </c:pt>
                <c:pt idx="2063">
                  <c:v>16.66</c:v>
                </c:pt>
                <c:pt idx="2064">
                  <c:v>16.600000000000001</c:v>
                </c:pt>
                <c:pt idx="2065">
                  <c:v>16.510000000000002</c:v>
                </c:pt>
                <c:pt idx="2066">
                  <c:v>17.079999999999998</c:v>
                </c:pt>
                <c:pt idx="2067">
                  <c:v>17.260000000000002</c:v>
                </c:pt>
                <c:pt idx="2068">
                  <c:v>17.059999999999999</c:v>
                </c:pt>
                <c:pt idx="2069">
                  <c:v>17.649999999999999</c:v>
                </c:pt>
                <c:pt idx="2070">
                  <c:v>16.91</c:v>
                </c:pt>
                <c:pt idx="2071">
                  <c:v>16.14</c:v>
                </c:pt>
                <c:pt idx="2072">
                  <c:v>16.04</c:v>
                </c:pt>
                <c:pt idx="2073">
                  <c:v>15.82</c:v>
                </c:pt>
                <c:pt idx="2074">
                  <c:v>15.05</c:v>
                </c:pt>
                <c:pt idx="2075">
                  <c:v>14.95</c:v>
                </c:pt>
                <c:pt idx="2076">
                  <c:v>14.91</c:v>
                </c:pt>
                <c:pt idx="2077">
                  <c:v>15.11</c:v>
                </c:pt>
                <c:pt idx="2078">
                  <c:v>16.28</c:v>
                </c:pt>
                <c:pt idx="2079">
                  <c:v>16</c:v>
                </c:pt>
                <c:pt idx="2080">
                  <c:v>15.64</c:v>
                </c:pt>
                <c:pt idx="2081">
                  <c:v>14.62</c:v>
                </c:pt>
                <c:pt idx="2082">
                  <c:v>15.29</c:v>
                </c:pt>
                <c:pt idx="2083">
                  <c:v>14.79</c:v>
                </c:pt>
                <c:pt idx="2084">
                  <c:v>14.49</c:v>
                </c:pt>
                <c:pt idx="2085">
                  <c:v>15.44</c:v>
                </c:pt>
                <c:pt idx="2086">
                  <c:v>15.4</c:v>
                </c:pt>
                <c:pt idx="2087">
                  <c:v>16.760000000000002</c:v>
                </c:pt>
                <c:pt idx="2088">
                  <c:v>15.66</c:v>
                </c:pt>
                <c:pt idx="2089">
                  <c:v>15.64</c:v>
                </c:pt>
                <c:pt idx="2090">
                  <c:v>15.18</c:v>
                </c:pt>
                <c:pt idx="2091">
                  <c:v>14.77</c:v>
                </c:pt>
                <c:pt idx="2092">
                  <c:v>15.15</c:v>
                </c:pt>
                <c:pt idx="2093">
                  <c:v>15.87</c:v>
                </c:pt>
                <c:pt idx="2094">
                  <c:v>15.71</c:v>
                </c:pt>
                <c:pt idx="2095">
                  <c:v>14.65</c:v>
                </c:pt>
                <c:pt idx="2096">
                  <c:v>15.34</c:v>
                </c:pt>
                <c:pt idx="2097">
                  <c:v>15.07</c:v>
                </c:pt>
                <c:pt idx="2098">
                  <c:v>14.55</c:v>
                </c:pt>
                <c:pt idx="2099">
                  <c:v>15.14</c:v>
                </c:pt>
                <c:pt idx="2100">
                  <c:v>15.79</c:v>
                </c:pt>
                <c:pt idx="2101">
                  <c:v>15.05</c:v>
                </c:pt>
                <c:pt idx="2102">
                  <c:v>15.21</c:v>
                </c:pt>
                <c:pt idx="2103">
                  <c:v>15.67</c:v>
                </c:pt>
                <c:pt idx="2104">
                  <c:v>15.22</c:v>
                </c:pt>
                <c:pt idx="2105">
                  <c:v>15.06</c:v>
                </c:pt>
                <c:pt idx="2106">
                  <c:v>14.98</c:v>
                </c:pt>
                <c:pt idx="2107">
                  <c:v>15.59</c:v>
                </c:pt>
                <c:pt idx="2108">
                  <c:v>15.34</c:v>
                </c:pt>
                <c:pt idx="2109">
                  <c:v>14.69</c:v>
                </c:pt>
                <c:pt idx="2110">
                  <c:v>16.37</c:v>
                </c:pt>
                <c:pt idx="2111">
                  <c:v>17.43</c:v>
                </c:pt>
                <c:pt idx="2112">
                  <c:v>18.3</c:v>
                </c:pt>
                <c:pt idx="2113">
                  <c:v>18.54</c:v>
                </c:pt>
                <c:pt idx="2114">
                  <c:v>21.76</c:v>
                </c:pt>
                <c:pt idx="2115">
                  <c:v>22.56</c:v>
                </c:pt>
                <c:pt idx="2116">
                  <c:v>20.48</c:v>
                </c:pt>
                <c:pt idx="2117">
                  <c:v>19.5</c:v>
                </c:pt>
                <c:pt idx="2118">
                  <c:v>20.72</c:v>
                </c:pt>
                <c:pt idx="2119">
                  <c:v>21.78</c:v>
                </c:pt>
                <c:pt idx="2120">
                  <c:v>20.97</c:v>
                </c:pt>
                <c:pt idx="2121">
                  <c:v>20.420000000000002</c:v>
                </c:pt>
                <c:pt idx="2122">
                  <c:v>21.54</c:v>
                </c:pt>
                <c:pt idx="2123">
                  <c:v>22.48</c:v>
                </c:pt>
                <c:pt idx="2124">
                  <c:v>21.97</c:v>
                </c:pt>
                <c:pt idx="2125">
                  <c:v>20.99</c:v>
                </c:pt>
                <c:pt idx="2126">
                  <c:v>21.8</c:v>
                </c:pt>
                <c:pt idx="2127">
                  <c:v>23.06</c:v>
                </c:pt>
                <c:pt idx="2128">
                  <c:v>21.79</c:v>
                </c:pt>
                <c:pt idx="2129">
                  <c:v>23.04</c:v>
                </c:pt>
                <c:pt idx="2130">
                  <c:v>23.24</c:v>
                </c:pt>
                <c:pt idx="2131">
                  <c:v>23.73</c:v>
                </c:pt>
                <c:pt idx="2132">
                  <c:v>24.45</c:v>
                </c:pt>
                <c:pt idx="2133">
                  <c:v>23.78</c:v>
                </c:pt>
                <c:pt idx="2134">
                  <c:v>22.77</c:v>
                </c:pt>
                <c:pt idx="2135">
                  <c:v>22.23</c:v>
                </c:pt>
                <c:pt idx="2136">
                  <c:v>23.38</c:v>
                </c:pt>
                <c:pt idx="2137">
                  <c:v>23.38</c:v>
                </c:pt>
                <c:pt idx="2138">
                  <c:v>22.89</c:v>
                </c:pt>
                <c:pt idx="2139">
                  <c:v>22.76</c:v>
                </c:pt>
                <c:pt idx="2140">
                  <c:v>24.72</c:v>
                </c:pt>
                <c:pt idx="2141">
                  <c:v>24.23</c:v>
                </c:pt>
                <c:pt idx="2142">
                  <c:v>24.39</c:v>
                </c:pt>
                <c:pt idx="2143">
                  <c:v>24.41</c:v>
                </c:pt>
                <c:pt idx="2144">
                  <c:v>24.3</c:v>
                </c:pt>
                <c:pt idx="2145">
                  <c:v>24.45</c:v>
                </c:pt>
                <c:pt idx="2146">
                  <c:v>25.51</c:v>
                </c:pt>
                <c:pt idx="2147">
                  <c:v>25.45</c:v>
                </c:pt>
                <c:pt idx="2148">
                  <c:v>25.48</c:v>
                </c:pt>
                <c:pt idx="2149">
                  <c:v>24.16</c:v>
                </c:pt>
                <c:pt idx="2150">
                  <c:v>24.33</c:v>
                </c:pt>
                <c:pt idx="2151">
                  <c:v>24.09</c:v>
                </c:pt>
                <c:pt idx="2152">
                  <c:v>24.38</c:v>
                </c:pt>
                <c:pt idx="2153">
                  <c:v>24.46</c:v>
                </c:pt>
                <c:pt idx="2154">
                  <c:v>25.01</c:v>
                </c:pt>
                <c:pt idx="2155">
                  <c:v>24.53</c:v>
                </c:pt>
                <c:pt idx="2156">
                  <c:v>25.48</c:v>
                </c:pt>
                <c:pt idx="2157">
                  <c:v>24.99</c:v>
                </c:pt>
                <c:pt idx="2158">
                  <c:v>24.71</c:v>
                </c:pt>
                <c:pt idx="2159">
                  <c:v>24.14</c:v>
                </c:pt>
                <c:pt idx="2160">
                  <c:v>23.7</c:v>
                </c:pt>
                <c:pt idx="2161">
                  <c:v>24.55</c:v>
                </c:pt>
                <c:pt idx="2162">
                  <c:v>23.54</c:v>
                </c:pt>
                <c:pt idx="2163">
                  <c:v>22.84</c:v>
                </c:pt>
                <c:pt idx="2164">
                  <c:v>22.45</c:v>
                </c:pt>
                <c:pt idx="2165">
                  <c:v>22.17</c:v>
                </c:pt>
                <c:pt idx="2166">
                  <c:v>23.67</c:v>
                </c:pt>
                <c:pt idx="2167">
                  <c:v>23.96</c:v>
                </c:pt>
                <c:pt idx="2168">
                  <c:v>24.02</c:v>
                </c:pt>
                <c:pt idx="2169">
                  <c:v>30.66</c:v>
                </c:pt>
                <c:pt idx="2170">
                  <c:v>30.19</c:v>
                </c:pt>
                <c:pt idx="2171">
                  <c:v>28.68</c:v>
                </c:pt>
                <c:pt idx="2172">
                  <c:v>30.14</c:v>
                </c:pt>
                <c:pt idx="2173">
                  <c:v>30.26</c:v>
                </c:pt>
                <c:pt idx="2174">
                  <c:v>30.66</c:v>
                </c:pt>
                <c:pt idx="2175">
                  <c:v>30.62</c:v>
                </c:pt>
                <c:pt idx="2176">
                  <c:v>30.6</c:v>
                </c:pt>
                <c:pt idx="2177">
                  <c:v>29.75</c:v>
                </c:pt>
                <c:pt idx="2178">
                  <c:v>30.31</c:v>
                </c:pt>
                <c:pt idx="2179">
                  <c:v>30.61</c:v>
                </c:pt>
                <c:pt idx="2180">
                  <c:v>32</c:v>
                </c:pt>
                <c:pt idx="2181">
                  <c:v>32.130000000000003</c:v>
                </c:pt>
                <c:pt idx="2182">
                  <c:v>31.82</c:v>
                </c:pt>
                <c:pt idx="2183">
                  <c:v>32.64</c:v>
                </c:pt>
                <c:pt idx="2184">
                  <c:v>33.6</c:v>
                </c:pt>
                <c:pt idx="2185">
                  <c:v>33.94</c:v>
                </c:pt>
                <c:pt idx="2186">
                  <c:v>36.340000000000003</c:v>
                </c:pt>
                <c:pt idx="2187">
                  <c:v>36.89</c:v>
                </c:pt>
                <c:pt idx="2188">
                  <c:v>36.99</c:v>
                </c:pt>
                <c:pt idx="2189">
                  <c:v>37.18</c:v>
                </c:pt>
                <c:pt idx="2190">
                  <c:v>36.4</c:v>
                </c:pt>
                <c:pt idx="2191">
                  <c:v>36.46</c:v>
                </c:pt>
                <c:pt idx="2192">
                  <c:v>35.17</c:v>
                </c:pt>
                <c:pt idx="2193">
                  <c:v>34.81</c:v>
                </c:pt>
                <c:pt idx="2194">
                  <c:v>35.39</c:v>
                </c:pt>
                <c:pt idx="2195">
                  <c:v>35.409999999999997</c:v>
                </c:pt>
                <c:pt idx="2196">
                  <c:v>35.340000000000003</c:v>
                </c:pt>
                <c:pt idx="2197">
                  <c:v>36.4</c:v>
                </c:pt>
                <c:pt idx="2198">
                  <c:v>36.72</c:v>
                </c:pt>
                <c:pt idx="2199">
                  <c:v>35.909999999999997</c:v>
                </c:pt>
                <c:pt idx="2200">
                  <c:v>35.299999999999997</c:v>
                </c:pt>
                <c:pt idx="2201">
                  <c:v>34.630000000000003</c:v>
                </c:pt>
                <c:pt idx="2202">
                  <c:v>36.19</c:v>
                </c:pt>
                <c:pt idx="2203">
                  <c:v>37.47</c:v>
                </c:pt>
                <c:pt idx="2204">
                  <c:v>36.94</c:v>
                </c:pt>
                <c:pt idx="2205">
                  <c:v>36.799999999999997</c:v>
                </c:pt>
                <c:pt idx="2206">
                  <c:v>39.76</c:v>
                </c:pt>
                <c:pt idx="2207">
                  <c:v>36.57</c:v>
                </c:pt>
                <c:pt idx="2208">
                  <c:v>35.25</c:v>
                </c:pt>
                <c:pt idx="2209">
                  <c:v>34.85</c:v>
                </c:pt>
                <c:pt idx="2210">
                  <c:v>32.82</c:v>
                </c:pt>
                <c:pt idx="2211">
                  <c:v>34.03</c:v>
                </c:pt>
                <c:pt idx="2212">
                  <c:v>34.979999999999997</c:v>
                </c:pt>
                <c:pt idx="2213">
                  <c:v>34.5</c:v>
                </c:pt>
                <c:pt idx="2214">
                  <c:v>34.909999999999997</c:v>
                </c:pt>
                <c:pt idx="2215">
                  <c:v>34.700000000000003</c:v>
                </c:pt>
                <c:pt idx="2216">
                  <c:v>36.049999999999997</c:v>
                </c:pt>
                <c:pt idx="2217">
                  <c:v>36.119999999999997</c:v>
                </c:pt>
                <c:pt idx="2218">
                  <c:v>36.44</c:v>
                </c:pt>
                <c:pt idx="2219">
                  <c:v>35.549999999999997</c:v>
                </c:pt>
                <c:pt idx="2220">
                  <c:v>34.96</c:v>
                </c:pt>
                <c:pt idx="2221">
                  <c:v>33.36</c:v>
                </c:pt>
                <c:pt idx="2222">
                  <c:v>34.22</c:v>
                </c:pt>
                <c:pt idx="2223">
                  <c:v>35.71</c:v>
                </c:pt>
                <c:pt idx="2224">
                  <c:v>33.130000000000003</c:v>
                </c:pt>
                <c:pt idx="2225">
                  <c:v>35.49</c:v>
                </c:pt>
                <c:pt idx="2226">
                  <c:v>36.28</c:v>
                </c:pt>
                <c:pt idx="2227">
                  <c:v>36.840000000000003</c:v>
                </c:pt>
                <c:pt idx="2228">
                  <c:v>35.380000000000003</c:v>
                </c:pt>
                <c:pt idx="2229">
                  <c:v>35.07</c:v>
                </c:pt>
                <c:pt idx="2230">
                  <c:v>35.76</c:v>
                </c:pt>
                <c:pt idx="2231">
                  <c:v>35.35</c:v>
                </c:pt>
                <c:pt idx="2232">
                  <c:v>34.270000000000003</c:v>
                </c:pt>
                <c:pt idx="2233">
                  <c:v>32.9</c:v>
                </c:pt>
                <c:pt idx="2234">
                  <c:v>33.56</c:v>
                </c:pt>
                <c:pt idx="2235">
                  <c:v>32.67</c:v>
                </c:pt>
                <c:pt idx="2236">
                  <c:v>30.96</c:v>
                </c:pt>
                <c:pt idx="2237">
                  <c:v>31.45</c:v>
                </c:pt>
                <c:pt idx="2238">
                  <c:v>31.57</c:v>
                </c:pt>
                <c:pt idx="2239">
                  <c:v>31.06</c:v>
                </c:pt>
                <c:pt idx="2240">
                  <c:v>31.99</c:v>
                </c:pt>
                <c:pt idx="2241">
                  <c:v>32.24</c:v>
                </c:pt>
                <c:pt idx="2242">
                  <c:v>33.33</c:v>
                </c:pt>
                <c:pt idx="2243">
                  <c:v>31.99</c:v>
                </c:pt>
                <c:pt idx="2244">
                  <c:v>32.86</c:v>
                </c:pt>
                <c:pt idx="2245">
                  <c:v>32.880000000000003</c:v>
                </c:pt>
                <c:pt idx="2246">
                  <c:v>32.68</c:v>
                </c:pt>
                <c:pt idx="2247">
                  <c:v>32.340000000000003</c:v>
                </c:pt>
                <c:pt idx="2248">
                  <c:v>31.91</c:v>
                </c:pt>
                <c:pt idx="2249">
                  <c:v>31.84</c:v>
                </c:pt>
                <c:pt idx="2250">
                  <c:v>32.26</c:v>
                </c:pt>
                <c:pt idx="2251">
                  <c:v>32.15</c:v>
                </c:pt>
                <c:pt idx="2252">
                  <c:v>32.54</c:v>
                </c:pt>
                <c:pt idx="2253">
                  <c:v>32.19</c:v>
                </c:pt>
                <c:pt idx="2254">
                  <c:v>31.35</c:v>
                </c:pt>
                <c:pt idx="2255">
                  <c:v>29.77</c:v>
                </c:pt>
                <c:pt idx="2256">
                  <c:v>31.8</c:v>
                </c:pt>
                <c:pt idx="2257">
                  <c:v>31.64</c:v>
                </c:pt>
                <c:pt idx="2258">
                  <c:v>30.69</c:v>
                </c:pt>
                <c:pt idx="2259">
                  <c:v>30.27</c:v>
                </c:pt>
                <c:pt idx="2260">
                  <c:v>31.66</c:v>
                </c:pt>
                <c:pt idx="2261">
                  <c:v>33.229999999999997</c:v>
                </c:pt>
                <c:pt idx="2262">
                  <c:v>32.630000000000003</c:v>
                </c:pt>
                <c:pt idx="2263">
                  <c:v>32.39</c:v>
                </c:pt>
                <c:pt idx="2264">
                  <c:v>32.659999999999997</c:v>
                </c:pt>
                <c:pt idx="2265">
                  <c:v>33.020000000000003</c:v>
                </c:pt>
                <c:pt idx="2266">
                  <c:v>33.08</c:v>
                </c:pt>
                <c:pt idx="2267">
                  <c:v>33.270000000000003</c:v>
                </c:pt>
                <c:pt idx="2268">
                  <c:v>33.549999999999997</c:v>
                </c:pt>
                <c:pt idx="2269">
                  <c:v>34.03</c:v>
                </c:pt>
                <c:pt idx="2270">
                  <c:v>34.39</c:v>
                </c:pt>
                <c:pt idx="2271">
                  <c:v>34.81</c:v>
                </c:pt>
                <c:pt idx="2272">
                  <c:v>34.380000000000003</c:v>
                </c:pt>
                <c:pt idx="2273">
                  <c:v>35.65</c:v>
                </c:pt>
                <c:pt idx="2274">
                  <c:v>35.57</c:v>
                </c:pt>
                <c:pt idx="2275">
                  <c:v>35.03</c:v>
                </c:pt>
                <c:pt idx="2276">
                  <c:v>36.08</c:v>
                </c:pt>
                <c:pt idx="2277">
                  <c:v>35.659999999999997</c:v>
                </c:pt>
                <c:pt idx="2278">
                  <c:v>34.92</c:v>
                </c:pt>
                <c:pt idx="2279">
                  <c:v>34.909999999999997</c:v>
                </c:pt>
                <c:pt idx="2280">
                  <c:v>34.049999999999997</c:v>
                </c:pt>
                <c:pt idx="2281">
                  <c:v>34.07</c:v>
                </c:pt>
                <c:pt idx="2282">
                  <c:v>34.92</c:v>
                </c:pt>
                <c:pt idx="2283">
                  <c:v>34.35</c:v>
                </c:pt>
                <c:pt idx="2284">
                  <c:v>33.950000000000003</c:v>
                </c:pt>
                <c:pt idx="2285">
                  <c:v>32.659999999999997</c:v>
                </c:pt>
                <c:pt idx="2286">
                  <c:v>33.51</c:v>
                </c:pt>
                <c:pt idx="2287">
                  <c:v>33.72</c:v>
                </c:pt>
                <c:pt idx="2288">
                  <c:v>34.86</c:v>
                </c:pt>
                <c:pt idx="2289">
                  <c:v>35.07</c:v>
                </c:pt>
                <c:pt idx="2290">
                  <c:v>34.19</c:v>
                </c:pt>
                <c:pt idx="2291">
                  <c:v>34.81</c:v>
                </c:pt>
                <c:pt idx="2292">
                  <c:v>35.81</c:v>
                </c:pt>
                <c:pt idx="2293">
                  <c:v>35.75</c:v>
                </c:pt>
                <c:pt idx="2294">
                  <c:v>35.369999999999997</c:v>
                </c:pt>
                <c:pt idx="2295">
                  <c:v>35.9</c:v>
                </c:pt>
                <c:pt idx="2296">
                  <c:v>38.54</c:v>
                </c:pt>
                <c:pt idx="2297">
                  <c:v>38.96</c:v>
                </c:pt>
                <c:pt idx="2298">
                  <c:v>37.090000000000003</c:v>
                </c:pt>
                <c:pt idx="2299">
                  <c:v>38.369999999999997</c:v>
                </c:pt>
                <c:pt idx="2300">
                  <c:v>39.9</c:v>
                </c:pt>
                <c:pt idx="2301">
                  <c:v>40.14</c:v>
                </c:pt>
                <c:pt idx="2302">
                  <c:v>38.97</c:v>
                </c:pt>
                <c:pt idx="2303">
                  <c:v>38.200000000000003</c:v>
                </c:pt>
                <c:pt idx="2304">
                  <c:v>37.92</c:v>
                </c:pt>
                <c:pt idx="2305">
                  <c:v>38.049999999999997</c:v>
                </c:pt>
                <c:pt idx="2306">
                  <c:v>37.299999999999997</c:v>
                </c:pt>
                <c:pt idx="2307">
                  <c:v>38.07</c:v>
                </c:pt>
                <c:pt idx="2308">
                  <c:v>37.950000000000003</c:v>
                </c:pt>
                <c:pt idx="2309">
                  <c:v>38.520000000000003</c:v>
                </c:pt>
                <c:pt idx="2310">
                  <c:v>38.950000000000003</c:v>
                </c:pt>
                <c:pt idx="2311">
                  <c:v>41.64</c:v>
                </c:pt>
                <c:pt idx="2312">
                  <c:v>42.47</c:v>
                </c:pt>
                <c:pt idx="2313">
                  <c:v>41.97</c:v>
                </c:pt>
                <c:pt idx="2314">
                  <c:v>42.16</c:v>
                </c:pt>
                <c:pt idx="2315">
                  <c:v>41.29</c:v>
                </c:pt>
                <c:pt idx="2316">
                  <c:v>42.87</c:v>
                </c:pt>
                <c:pt idx="2317">
                  <c:v>43.79</c:v>
                </c:pt>
                <c:pt idx="2318">
                  <c:v>42.47</c:v>
                </c:pt>
                <c:pt idx="2319">
                  <c:v>43.09</c:v>
                </c:pt>
                <c:pt idx="2320">
                  <c:v>40.64</c:v>
                </c:pt>
                <c:pt idx="2321">
                  <c:v>39.9</c:v>
                </c:pt>
                <c:pt idx="2322">
                  <c:v>40.94</c:v>
                </c:pt>
                <c:pt idx="2323">
                  <c:v>40.200000000000003</c:v>
                </c:pt>
                <c:pt idx="2324">
                  <c:v>39.6</c:v>
                </c:pt>
                <c:pt idx="2325">
                  <c:v>44.5</c:v>
                </c:pt>
                <c:pt idx="2326">
                  <c:v>46.31</c:v>
                </c:pt>
                <c:pt idx="2327">
                  <c:v>44.7</c:v>
                </c:pt>
                <c:pt idx="2328">
                  <c:v>43.32</c:v>
                </c:pt>
                <c:pt idx="2329">
                  <c:v>42.22</c:v>
                </c:pt>
                <c:pt idx="2330">
                  <c:v>43.71</c:v>
                </c:pt>
                <c:pt idx="2331">
                  <c:v>44.97</c:v>
                </c:pt>
                <c:pt idx="2332">
                  <c:v>45.43</c:v>
                </c:pt>
                <c:pt idx="2333">
                  <c:v>45.6</c:v>
                </c:pt>
                <c:pt idx="2334">
                  <c:v>44.11</c:v>
                </c:pt>
                <c:pt idx="2335">
                  <c:v>45.19</c:v>
                </c:pt>
                <c:pt idx="2336">
                  <c:v>45.49</c:v>
                </c:pt>
                <c:pt idx="2337">
                  <c:v>44.5</c:v>
                </c:pt>
                <c:pt idx="2338">
                  <c:v>44.48</c:v>
                </c:pt>
                <c:pt idx="2339">
                  <c:v>44.1</c:v>
                </c:pt>
                <c:pt idx="2340">
                  <c:v>45.21</c:v>
                </c:pt>
                <c:pt idx="2341">
                  <c:v>44.32</c:v>
                </c:pt>
                <c:pt idx="2342">
                  <c:v>42.97</c:v>
                </c:pt>
                <c:pt idx="2343">
                  <c:v>43.39</c:v>
                </c:pt>
                <c:pt idx="2344">
                  <c:v>43.98</c:v>
                </c:pt>
                <c:pt idx="2345">
                  <c:v>43.12</c:v>
                </c:pt>
                <c:pt idx="2346">
                  <c:v>42.08</c:v>
                </c:pt>
                <c:pt idx="2347">
                  <c:v>39.65</c:v>
                </c:pt>
                <c:pt idx="2348">
                  <c:v>40.24</c:v>
                </c:pt>
                <c:pt idx="2349">
                  <c:v>39.1</c:v>
                </c:pt>
                <c:pt idx="2350">
                  <c:v>39.299999999999997</c:v>
                </c:pt>
                <c:pt idx="2351">
                  <c:v>39.46</c:v>
                </c:pt>
                <c:pt idx="2352">
                  <c:v>39.75</c:v>
                </c:pt>
                <c:pt idx="2353">
                  <c:v>39.71</c:v>
                </c:pt>
                <c:pt idx="2354">
                  <c:v>38.869999999999997</c:v>
                </c:pt>
                <c:pt idx="2355">
                  <c:v>37.130000000000003</c:v>
                </c:pt>
                <c:pt idx="2356">
                  <c:v>37.78</c:v>
                </c:pt>
                <c:pt idx="2357">
                  <c:v>38.42</c:v>
                </c:pt>
                <c:pt idx="2358">
                  <c:v>35.380000000000003</c:v>
                </c:pt>
                <c:pt idx="2359">
                  <c:v>35.58</c:v>
                </c:pt>
                <c:pt idx="2360">
                  <c:v>35.15</c:v>
                </c:pt>
                <c:pt idx="2361">
                  <c:v>34.909999999999997</c:v>
                </c:pt>
                <c:pt idx="2362">
                  <c:v>34.409999999999997</c:v>
                </c:pt>
                <c:pt idx="2363">
                  <c:v>33.96</c:v>
                </c:pt>
                <c:pt idx="2364">
                  <c:v>34.47</c:v>
                </c:pt>
                <c:pt idx="2365">
                  <c:v>35.97</c:v>
                </c:pt>
                <c:pt idx="2366">
                  <c:v>35.96</c:v>
                </c:pt>
                <c:pt idx="2367">
                  <c:v>37.770000000000003</c:v>
                </c:pt>
                <c:pt idx="2368">
                  <c:v>37.729999999999997</c:v>
                </c:pt>
                <c:pt idx="2369">
                  <c:v>37.130000000000003</c:v>
                </c:pt>
                <c:pt idx="2370">
                  <c:v>37.090000000000003</c:v>
                </c:pt>
                <c:pt idx="2371">
                  <c:v>36.93</c:v>
                </c:pt>
                <c:pt idx="2372">
                  <c:v>37.03</c:v>
                </c:pt>
                <c:pt idx="2373">
                  <c:v>37.880000000000003</c:v>
                </c:pt>
                <c:pt idx="2374">
                  <c:v>37.299999999999997</c:v>
                </c:pt>
                <c:pt idx="2375">
                  <c:v>38.479999999999997</c:v>
                </c:pt>
                <c:pt idx="2376">
                  <c:v>39.119999999999997</c:v>
                </c:pt>
                <c:pt idx="2377">
                  <c:v>39.29</c:v>
                </c:pt>
                <c:pt idx="2378">
                  <c:v>39.840000000000003</c:v>
                </c:pt>
                <c:pt idx="2379">
                  <c:v>39.549999999999997</c:v>
                </c:pt>
                <c:pt idx="2380">
                  <c:v>40.049999999999997</c:v>
                </c:pt>
                <c:pt idx="2381">
                  <c:v>39.76</c:v>
                </c:pt>
                <c:pt idx="2382">
                  <c:v>37.799999999999997</c:v>
                </c:pt>
                <c:pt idx="2383">
                  <c:v>38.42</c:v>
                </c:pt>
                <c:pt idx="2384">
                  <c:v>36.6</c:v>
                </c:pt>
                <c:pt idx="2385">
                  <c:v>35.950000000000003</c:v>
                </c:pt>
                <c:pt idx="2386">
                  <c:v>35.4</c:v>
                </c:pt>
                <c:pt idx="2387">
                  <c:v>35.32</c:v>
                </c:pt>
                <c:pt idx="2388">
                  <c:v>34.53</c:v>
                </c:pt>
                <c:pt idx="2389">
                  <c:v>35.020000000000003</c:v>
                </c:pt>
                <c:pt idx="2390">
                  <c:v>35.08</c:v>
                </c:pt>
                <c:pt idx="2391">
                  <c:v>34.520000000000003</c:v>
                </c:pt>
                <c:pt idx="2392">
                  <c:v>34.31</c:v>
                </c:pt>
                <c:pt idx="2393">
                  <c:v>34.26</c:v>
                </c:pt>
                <c:pt idx="2394">
                  <c:v>34.22</c:v>
                </c:pt>
                <c:pt idx="2395">
                  <c:v>34.46</c:v>
                </c:pt>
                <c:pt idx="2396">
                  <c:v>34.79</c:v>
                </c:pt>
                <c:pt idx="2397">
                  <c:v>35.07</c:v>
                </c:pt>
                <c:pt idx="2398">
                  <c:v>35.270000000000003</c:v>
                </c:pt>
                <c:pt idx="2399">
                  <c:v>35.270000000000003</c:v>
                </c:pt>
                <c:pt idx="2400">
                  <c:v>35.44</c:v>
                </c:pt>
                <c:pt idx="2401">
                  <c:v>35.39</c:v>
                </c:pt>
                <c:pt idx="2402">
                  <c:v>35.409999999999997</c:v>
                </c:pt>
                <c:pt idx="2403">
                  <c:v>35.68</c:v>
                </c:pt>
                <c:pt idx="2404">
                  <c:v>35.79</c:v>
                </c:pt>
                <c:pt idx="2405">
                  <c:v>35.58</c:v>
                </c:pt>
                <c:pt idx="2406">
                  <c:v>35.86</c:v>
                </c:pt>
                <c:pt idx="2407">
                  <c:v>35.549999999999997</c:v>
                </c:pt>
                <c:pt idx="2408">
                  <c:v>35.01</c:v>
                </c:pt>
                <c:pt idx="2409">
                  <c:v>35.49</c:v>
                </c:pt>
                <c:pt idx="2410">
                  <c:v>35.6</c:v>
                </c:pt>
                <c:pt idx="2411">
                  <c:v>38.090000000000003</c:v>
                </c:pt>
                <c:pt idx="2412">
                  <c:v>37.49</c:v>
                </c:pt>
                <c:pt idx="2413">
                  <c:v>37.340000000000003</c:v>
                </c:pt>
                <c:pt idx="2414">
                  <c:v>37.4</c:v>
                </c:pt>
                <c:pt idx="2415">
                  <c:v>37.770000000000003</c:v>
                </c:pt>
                <c:pt idx="2416">
                  <c:v>37.200000000000003</c:v>
                </c:pt>
                <c:pt idx="2417">
                  <c:v>37.380000000000003</c:v>
                </c:pt>
                <c:pt idx="2418">
                  <c:v>38.340000000000003</c:v>
                </c:pt>
                <c:pt idx="2419">
                  <c:v>38.89</c:v>
                </c:pt>
                <c:pt idx="2420">
                  <c:v>38.93</c:v>
                </c:pt>
                <c:pt idx="2421">
                  <c:v>39.67</c:v>
                </c:pt>
                <c:pt idx="2422">
                  <c:v>39.770000000000003</c:v>
                </c:pt>
                <c:pt idx="2423">
                  <c:v>39.08</c:v>
                </c:pt>
                <c:pt idx="2424">
                  <c:v>38.9</c:v>
                </c:pt>
                <c:pt idx="2425">
                  <c:v>39.770000000000003</c:v>
                </c:pt>
                <c:pt idx="2426">
                  <c:v>39.82</c:v>
                </c:pt>
                <c:pt idx="2427">
                  <c:v>39.92</c:v>
                </c:pt>
                <c:pt idx="2428">
                  <c:v>39.15</c:v>
                </c:pt>
                <c:pt idx="2429">
                  <c:v>41.33</c:v>
                </c:pt>
                <c:pt idx="2430">
                  <c:v>41.07</c:v>
                </c:pt>
                <c:pt idx="2431">
                  <c:v>40.31</c:v>
                </c:pt>
                <c:pt idx="2432">
                  <c:v>38.14</c:v>
                </c:pt>
                <c:pt idx="2433">
                  <c:v>39.869999999999997</c:v>
                </c:pt>
                <c:pt idx="2434">
                  <c:v>40.090000000000003</c:v>
                </c:pt>
                <c:pt idx="2435">
                  <c:v>39.25</c:v>
                </c:pt>
                <c:pt idx="2436">
                  <c:v>38.799999999999997</c:v>
                </c:pt>
                <c:pt idx="2437">
                  <c:v>38.450000000000003</c:v>
                </c:pt>
                <c:pt idx="2438">
                  <c:v>38.21</c:v>
                </c:pt>
                <c:pt idx="2439">
                  <c:v>37.590000000000003</c:v>
                </c:pt>
                <c:pt idx="2440">
                  <c:v>35.9</c:v>
                </c:pt>
                <c:pt idx="2441">
                  <c:v>35.29</c:v>
                </c:pt>
                <c:pt idx="2442">
                  <c:v>33.950000000000003</c:v>
                </c:pt>
                <c:pt idx="2443">
                  <c:v>34.44</c:v>
                </c:pt>
                <c:pt idx="2444">
                  <c:v>35.04</c:v>
                </c:pt>
                <c:pt idx="2445">
                  <c:v>34.880000000000003</c:v>
                </c:pt>
                <c:pt idx="2446">
                  <c:v>35.61</c:v>
                </c:pt>
                <c:pt idx="2447">
                  <c:v>35.76</c:v>
                </c:pt>
                <c:pt idx="2448">
                  <c:v>37.89</c:v>
                </c:pt>
                <c:pt idx="2449">
                  <c:v>38.78</c:v>
                </c:pt>
                <c:pt idx="2450">
                  <c:v>37.79</c:v>
                </c:pt>
                <c:pt idx="2451">
                  <c:v>37.26</c:v>
                </c:pt>
                <c:pt idx="2452">
                  <c:v>33.78</c:v>
                </c:pt>
                <c:pt idx="2453">
                  <c:v>33.14</c:v>
                </c:pt>
                <c:pt idx="2454">
                  <c:v>34.159999999999997</c:v>
                </c:pt>
                <c:pt idx="2455">
                  <c:v>35.049999999999997</c:v>
                </c:pt>
                <c:pt idx="2456">
                  <c:v>34.659999999999997</c:v>
                </c:pt>
                <c:pt idx="2457">
                  <c:v>35.79</c:v>
                </c:pt>
                <c:pt idx="2458">
                  <c:v>34.71</c:v>
                </c:pt>
                <c:pt idx="2459">
                  <c:v>32</c:v>
                </c:pt>
                <c:pt idx="2460">
                  <c:v>27.26</c:v>
                </c:pt>
                <c:pt idx="2461">
                  <c:v>31.34</c:v>
                </c:pt>
                <c:pt idx="2462">
                  <c:v>28.7</c:v>
                </c:pt>
                <c:pt idx="2463">
                  <c:v>23.47</c:v>
                </c:pt>
                <c:pt idx="2464">
                  <c:v>27.77</c:v>
                </c:pt>
                <c:pt idx="2465">
                  <c:v>23.26</c:v>
                </c:pt>
                <c:pt idx="2466">
                  <c:v>23.99</c:v>
                </c:pt>
                <c:pt idx="2467">
                  <c:v>19.309999999999999</c:v>
                </c:pt>
                <c:pt idx="2468">
                  <c:v>17.21</c:v>
                </c:pt>
                <c:pt idx="2469">
                  <c:v>16.63</c:v>
                </c:pt>
                <c:pt idx="2470">
                  <c:v>15.08</c:v>
                </c:pt>
                <c:pt idx="2471">
                  <c:v>17.16</c:v>
                </c:pt>
                <c:pt idx="2472">
                  <c:v>19.66</c:v>
                </c:pt>
                <c:pt idx="2473">
                  <c:v>21.12</c:v>
                </c:pt>
                <c:pt idx="2474">
                  <c:v>20.85</c:v>
                </c:pt>
                <c:pt idx="2475">
                  <c:v>23.06</c:v>
                </c:pt>
                <c:pt idx="2476">
                  <c:v>23.6</c:v>
                </c:pt>
                <c:pt idx="2477">
                  <c:v>21.92</c:v>
                </c:pt>
                <c:pt idx="2478">
                  <c:v>22.25</c:v>
                </c:pt>
                <c:pt idx="2479">
                  <c:v>21.44</c:v>
                </c:pt>
                <c:pt idx="2480">
                  <c:v>21.36</c:v>
                </c:pt>
                <c:pt idx="2481">
                  <c:v>22.05</c:v>
                </c:pt>
                <c:pt idx="2482">
                  <c:v>23.73</c:v>
                </c:pt>
                <c:pt idx="2483">
                  <c:v>24.99</c:v>
                </c:pt>
                <c:pt idx="2484">
                  <c:v>26.12</c:v>
                </c:pt>
                <c:pt idx="2485">
                  <c:v>27.21</c:v>
                </c:pt>
                <c:pt idx="2486">
                  <c:v>26.28</c:v>
                </c:pt>
                <c:pt idx="2487">
                  <c:v>25.58</c:v>
                </c:pt>
                <c:pt idx="2488">
                  <c:v>25.67</c:v>
                </c:pt>
                <c:pt idx="2489">
                  <c:v>25.43</c:v>
                </c:pt>
                <c:pt idx="2490">
                  <c:v>26.38</c:v>
                </c:pt>
                <c:pt idx="2491">
                  <c:v>24.78</c:v>
                </c:pt>
                <c:pt idx="2492">
                  <c:v>21.55</c:v>
                </c:pt>
                <c:pt idx="2493">
                  <c:v>22.05</c:v>
                </c:pt>
                <c:pt idx="2494">
                  <c:v>23.64</c:v>
                </c:pt>
                <c:pt idx="2495">
                  <c:v>24.62</c:v>
                </c:pt>
                <c:pt idx="2496">
                  <c:v>23.99</c:v>
                </c:pt>
                <c:pt idx="2497">
                  <c:v>22.68</c:v>
                </c:pt>
                <c:pt idx="2498">
                  <c:v>22.61</c:v>
                </c:pt>
                <c:pt idx="2499">
                  <c:v>22.26</c:v>
                </c:pt>
                <c:pt idx="2500">
                  <c:v>21.17</c:v>
                </c:pt>
                <c:pt idx="2501">
                  <c:v>21.98</c:v>
                </c:pt>
                <c:pt idx="2502">
                  <c:v>21.53</c:v>
                </c:pt>
                <c:pt idx="2503">
                  <c:v>20.43</c:v>
                </c:pt>
                <c:pt idx="2504">
                  <c:v>20.47</c:v>
                </c:pt>
                <c:pt idx="2505">
                  <c:v>22.48</c:v>
                </c:pt>
                <c:pt idx="2506">
                  <c:v>22.41</c:v>
                </c:pt>
                <c:pt idx="2507">
                  <c:v>24.13</c:v>
                </c:pt>
                <c:pt idx="2508">
                  <c:v>23.44</c:v>
                </c:pt>
                <c:pt idx="2509">
                  <c:v>23.23</c:v>
                </c:pt>
                <c:pt idx="2510">
                  <c:v>23.35</c:v>
                </c:pt>
                <c:pt idx="2511">
                  <c:v>25.14</c:v>
                </c:pt>
                <c:pt idx="2512">
                  <c:v>26.32</c:v>
                </c:pt>
                <c:pt idx="2513">
                  <c:v>26.95</c:v>
                </c:pt>
                <c:pt idx="2514">
                  <c:v>28.35</c:v>
                </c:pt>
                <c:pt idx="2515">
                  <c:v>28.12</c:v>
                </c:pt>
                <c:pt idx="2516">
                  <c:v>27.67</c:v>
                </c:pt>
                <c:pt idx="2517">
                  <c:v>29.02</c:v>
                </c:pt>
                <c:pt idx="2518">
                  <c:v>29.47</c:v>
                </c:pt>
                <c:pt idx="2519">
                  <c:v>29.23</c:v>
                </c:pt>
                <c:pt idx="2520">
                  <c:v>29.01</c:v>
                </c:pt>
                <c:pt idx="2521">
                  <c:v>29.29</c:v>
                </c:pt>
                <c:pt idx="2522">
                  <c:v>31.36</c:v>
                </c:pt>
                <c:pt idx="2523">
                  <c:v>31.53</c:v>
                </c:pt>
                <c:pt idx="2524">
                  <c:v>29.77</c:v>
                </c:pt>
                <c:pt idx="2525">
                  <c:v>29.62</c:v>
                </c:pt>
                <c:pt idx="2526">
                  <c:v>28.55</c:v>
                </c:pt>
                <c:pt idx="2527">
                  <c:v>28.51</c:v>
                </c:pt>
                <c:pt idx="2528">
                  <c:v>31.36</c:v>
                </c:pt>
                <c:pt idx="2529">
                  <c:v>30.56</c:v>
                </c:pt>
                <c:pt idx="2530">
                  <c:v>30.46</c:v>
                </c:pt>
                <c:pt idx="2531">
                  <c:v>30.37</c:v>
                </c:pt>
                <c:pt idx="2532">
                  <c:v>29.89</c:v>
                </c:pt>
                <c:pt idx="2533">
                  <c:v>29.12</c:v>
                </c:pt>
                <c:pt idx="2534">
                  <c:v>30.24</c:v>
                </c:pt>
                <c:pt idx="2535">
                  <c:v>29.96</c:v>
                </c:pt>
                <c:pt idx="2536">
                  <c:v>30.67</c:v>
                </c:pt>
                <c:pt idx="2537">
                  <c:v>30.67</c:v>
                </c:pt>
                <c:pt idx="2538">
                  <c:v>32.270000000000003</c:v>
                </c:pt>
                <c:pt idx="2539">
                  <c:v>31.72</c:v>
                </c:pt>
                <c:pt idx="2540">
                  <c:v>32.24</c:v>
                </c:pt>
                <c:pt idx="2541">
                  <c:v>32.46</c:v>
                </c:pt>
                <c:pt idx="2542">
                  <c:v>33.14</c:v>
                </c:pt>
                <c:pt idx="2543">
                  <c:v>33.49</c:v>
                </c:pt>
                <c:pt idx="2544">
                  <c:v>35.880000000000003</c:v>
                </c:pt>
                <c:pt idx="2545">
                  <c:v>34.729999999999997</c:v>
                </c:pt>
                <c:pt idx="2546">
                  <c:v>34.43</c:v>
                </c:pt>
                <c:pt idx="2547">
                  <c:v>35.57</c:v>
                </c:pt>
                <c:pt idx="2548">
                  <c:v>34.950000000000003</c:v>
                </c:pt>
                <c:pt idx="2549">
                  <c:v>39.97</c:v>
                </c:pt>
                <c:pt idx="2550">
                  <c:v>39.57</c:v>
                </c:pt>
                <c:pt idx="2551">
                  <c:v>38.35</c:v>
                </c:pt>
                <c:pt idx="2552">
                  <c:v>38.69</c:v>
                </c:pt>
                <c:pt idx="2553">
                  <c:v>38.049999999999997</c:v>
                </c:pt>
                <c:pt idx="2554">
                  <c:v>37.69</c:v>
                </c:pt>
                <c:pt idx="2555">
                  <c:v>38.880000000000003</c:v>
                </c:pt>
                <c:pt idx="2556">
                  <c:v>38.479999999999997</c:v>
                </c:pt>
                <c:pt idx="2557">
                  <c:v>39.33</c:v>
                </c:pt>
                <c:pt idx="2558">
                  <c:v>37.74</c:v>
                </c:pt>
                <c:pt idx="2559">
                  <c:v>36.549999999999997</c:v>
                </c:pt>
                <c:pt idx="2560">
                  <c:v>37.15</c:v>
                </c:pt>
                <c:pt idx="2561">
                  <c:v>36.6</c:v>
                </c:pt>
                <c:pt idx="2562">
                  <c:v>36.31</c:v>
                </c:pt>
                <c:pt idx="2563">
                  <c:v>37.630000000000003</c:v>
                </c:pt>
                <c:pt idx="2564">
                  <c:v>37.26</c:v>
                </c:pt>
                <c:pt idx="2565">
                  <c:v>36.85</c:v>
                </c:pt>
                <c:pt idx="2566">
                  <c:v>36.26</c:v>
                </c:pt>
                <c:pt idx="2567">
                  <c:v>35.49</c:v>
                </c:pt>
                <c:pt idx="2568">
                  <c:v>33.020000000000003</c:v>
                </c:pt>
                <c:pt idx="2569">
                  <c:v>33.72</c:v>
                </c:pt>
                <c:pt idx="2570">
                  <c:v>31.47</c:v>
                </c:pt>
                <c:pt idx="2571">
                  <c:v>32.229999999999997</c:v>
                </c:pt>
                <c:pt idx="2572">
                  <c:v>31.33</c:v>
                </c:pt>
                <c:pt idx="2573">
                  <c:v>31.48</c:v>
                </c:pt>
                <c:pt idx="2574">
                  <c:v>33.71</c:v>
                </c:pt>
                <c:pt idx="2575">
                  <c:v>36.99</c:v>
                </c:pt>
                <c:pt idx="2576">
                  <c:v>37.79</c:v>
                </c:pt>
                <c:pt idx="2577">
                  <c:v>36.01</c:v>
                </c:pt>
                <c:pt idx="2578">
                  <c:v>35.67</c:v>
                </c:pt>
                <c:pt idx="2579">
                  <c:v>37.090000000000003</c:v>
                </c:pt>
                <c:pt idx="2580">
                  <c:v>35.130000000000003</c:v>
                </c:pt>
                <c:pt idx="2581">
                  <c:v>36.11</c:v>
                </c:pt>
                <c:pt idx="2582">
                  <c:v>37.340000000000003</c:v>
                </c:pt>
                <c:pt idx="2583">
                  <c:v>36.22</c:v>
                </c:pt>
                <c:pt idx="2584">
                  <c:v>36.06</c:v>
                </c:pt>
                <c:pt idx="2585">
                  <c:v>35.979999999999997</c:v>
                </c:pt>
                <c:pt idx="2586">
                  <c:v>35.99</c:v>
                </c:pt>
                <c:pt idx="2587">
                  <c:v>34.72</c:v>
                </c:pt>
                <c:pt idx="2588">
                  <c:v>34.03</c:v>
                </c:pt>
                <c:pt idx="2589">
                  <c:v>34</c:v>
                </c:pt>
                <c:pt idx="2590">
                  <c:v>32.75</c:v>
                </c:pt>
                <c:pt idx="2591">
                  <c:v>33.020000000000003</c:v>
                </c:pt>
                <c:pt idx="2592">
                  <c:v>32.94</c:v>
                </c:pt>
                <c:pt idx="2593">
                  <c:v>32.04</c:v>
                </c:pt>
                <c:pt idx="2594">
                  <c:v>32.35</c:v>
                </c:pt>
                <c:pt idx="2595">
                  <c:v>32.1</c:v>
                </c:pt>
                <c:pt idx="2596">
                  <c:v>31.44</c:v>
                </c:pt>
                <c:pt idx="2597">
                  <c:v>31.67</c:v>
                </c:pt>
                <c:pt idx="2598">
                  <c:v>31.69</c:v>
                </c:pt>
                <c:pt idx="2599">
                  <c:v>30.19</c:v>
                </c:pt>
                <c:pt idx="2600">
                  <c:v>29.85</c:v>
                </c:pt>
                <c:pt idx="2601">
                  <c:v>30</c:v>
                </c:pt>
                <c:pt idx="2602">
                  <c:v>29.94</c:v>
                </c:pt>
                <c:pt idx="2603">
                  <c:v>29.35</c:v>
                </c:pt>
                <c:pt idx="2604">
                  <c:v>30.96</c:v>
                </c:pt>
                <c:pt idx="2605">
                  <c:v>30.93</c:v>
                </c:pt>
                <c:pt idx="2606">
                  <c:v>30.99</c:v>
                </c:pt>
                <c:pt idx="2607">
                  <c:v>30.54</c:v>
                </c:pt>
                <c:pt idx="2608">
                  <c:v>30.58</c:v>
                </c:pt>
                <c:pt idx="2609">
                  <c:v>30.92</c:v>
                </c:pt>
                <c:pt idx="2610">
                  <c:v>31.17</c:v>
                </c:pt>
                <c:pt idx="2611">
                  <c:v>31.57</c:v>
                </c:pt>
                <c:pt idx="2612">
                  <c:v>31.73</c:v>
                </c:pt>
                <c:pt idx="2613">
                  <c:v>31.69</c:v>
                </c:pt>
                <c:pt idx="2614">
                  <c:v>31.99</c:v>
                </c:pt>
                <c:pt idx="2615">
                  <c:v>32.36</c:v>
                </c:pt>
                <c:pt idx="2616">
                  <c:v>32.86</c:v>
                </c:pt>
                <c:pt idx="2617">
                  <c:v>33.020000000000003</c:v>
                </c:pt>
                <c:pt idx="2618">
                  <c:v>33.36</c:v>
                </c:pt>
                <c:pt idx="2619">
                  <c:v>32.450000000000003</c:v>
                </c:pt>
                <c:pt idx="2620">
                  <c:v>31.49</c:v>
                </c:pt>
                <c:pt idx="2621">
                  <c:v>31.43</c:v>
                </c:pt>
                <c:pt idx="2622">
                  <c:v>30.73</c:v>
                </c:pt>
                <c:pt idx="2623">
                  <c:v>31.41</c:v>
                </c:pt>
                <c:pt idx="2624">
                  <c:v>32.19</c:v>
                </c:pt>
                <c:pt idx="2625">
                  <c:v>33.42</c:v>
                </c:pt>
                <c:pt idx="2626">
                  <c:v>33.35</c:v>
                </c:pt>
                <c:pt idx="2627">
                  <c:v>33.47</c:v>
                </c:pt>
                <c:pt idx="2628">
                  <c:v>34.36</c:v>
                </c:pt>
                <c:pt idx="2629">
                  <c:v>33.97</c:v>
                </c:pt>
                <c:pt idx="2630">
                  <c:v>32.21</c:v>
                </c:pt>
                <c:pt idx="2631">
                  <c:v>32.04</c:v>
                </c:pt>
                <c:pt idx="2632">
                  <c:v>32.1</c:v>
                </c:pt>
                <c:pt idx="2633">
                  <c:v>32.18</c:v>
                </c:pt>
                <c:pt idx="2634">
                  <c:v>31.38</c:v>
                </c:pt>
                <c:pt idx="2635">
                  <c:v>31.05</c:v>
                </c:pt>
                <c:pt idx="2636">
                  <c:v>30.88</c:v>
                </c:pt>
                <c:pt idx="2637">
                  <c:v>30.65</c:v>
                </c:pt>
                <c:pt idx="2638">
                  <c:v>31.75</c:v>
                </c:pt>
                <c:pt idx="2639">
                  <c:v>31.36</c:v>
                </c:pt>
                <c:pt idx="2640">
                  <c:v>32.01</c:v>
                </c:pt>
                <c:pt idx="2641">
                  <c:v>31.83</c:v>
                </c:pt>
                <c:pt idx="2642">
                  <c:v>30.73</c:v>
                </c:pt>
                <c:pt idx="2643">
                  <c:v>31.47</c:v>
                </c:pt>
                <c:pt idx="2644">
                  <c:v>32.85</c:v>
                </c:pt>
                <c:pt idx="2645">
                  <c:v>32.76</c:v>
                </c:pt>
                <c:pt idx="2646">
                  <c:v>33.880000000000003</c:v>
                </c:pt>
                <c:pt idx="2647">
                  <c:v>33.270000000000003</c:v>
                </c:pt>
                <c:pt idx="2648">
                  <c:v>35.24</c:v>
                </c:pt>
                <c:pt idx="2649">
                  <c:v>35.590000000000003</c:v>
                </c:pt>
                <c:pt idx="2650">
                  <c:v>36.229999999999997</c:v>
                </c:pt>
                <c:pt idx="2651">
                  <c:v>38.28</c:v>
                </c:pt>
                <c:pt idx="2652">
                  <c:v>37.72</c:v>
                </c:pt>
                <c:pt idx="2653">
                  <c:v>38.29</c:v>
                </c:pt>
                <c:pt idx="2654">
                  <c:v>37</c:v>
                </c:pt>
                <c:pt idx="2655">
                  <c:v>36.450000000000003</c:v>
                </c:pt>
                <c:pt idx="2656">
                  <c:v>36.47</c:v>
                </c:pt>
                <c:pt idx="2657">
                  <c:v>35.6</c:v>
                </c:pt>
                <c:pt idx="2658">
                  <c:v>35.020000000000003</c:v>
                </c:pt>
                <c:pt idx="2659">
                  <c:v>35.65</c:v>
                </c:pt>
                <c:pt idx="2660">
                  <c:v>36.229999999999997</c:v>
                </c:pt>
                <c:pt idx="2661">
                  <c:v>36.19</c:v>
                </c:pt>
                <c:pt idx="2662">
                  <c:v>36.28</c:v>
                </c:pt>
                <c:pt idx="2663">
                  <c:v>35.25</c:v>
                </c:pt>
                <c:pt idx="2664">
                  <c:v>34.340000000000003</c:v>
                </c:pt>
                <c:pt idx="2665">
                  <c:v>33.78</c:v>
                </c:pt>
                <c:pt idx="2666">
                  <c:v>33.549999999999997</c:v>
                </c:pt>
                <c:pt idx="2667">
                  <c:v>34.61</c:v>
                </c:pt>
                <c:pt idx="2668">
                  <c:v>33.35</c:v>
                </c:pt>
                <c:pt idx="2669">
                  <c:v>34.04</c:v>
                </c:pt>
                <c:pt idx="2670">
                  <c:v>33.86</c:v>
                </c:pt>
                <c:pt idx="2671">
                  <c:v>35.11</c:v>
                </c:pt>
                <c:pt idx="2672">
                  <c:v>33.729999999999997</c:v>
                </c:pt>
                <c:pt idx="2673">
                  <c:v>33.5</c:v>
                </c:pt>
                <c:pt idx="2674">
                  <c:v>32.94</c:v>
                </c:pt>
                <c:pt idx="2675">
                  <c:v>32.65</c:v>
                </c:pt>
                <c:pt idx="2676">
                  <c:v>30.97</c:v>
                </c:pt>
                <c:pt idx="2677">
                  <c:v>29.92</c:v>
                </c:pt>
                <c:pt idx="2678">
                  <c:v>27.02</c:v>
                </c:pt>
                <c:pt idx="2679">
                  <c:v>27.82</c:v>
                </c:pt>
                <c:pt idx="2680">
                  <c:v>28.92</c:v>
                </c:pt>
                <c:pt idx="2681">
                  <c:v>28.38</c:v>
                </c:pt>
                <c:pt idx="2682">
                  <c:v>30.5</c:v>
                </c:pt>
                <c:pt idx="2683">
                  <c:v>31</c:v>
                </c:pt>
                <c:pt idx="2684">
                  <c:v>31.38</c:v>
                </c:pt>
                <c:pt idx="2685">
                  <c:v>29.53</c:v>
                </c:pt>
                <c:pt idx="2686">
                  <c:v>29.48</c:v>
                </c:pt>
                <c:pt idx="2687">
                  <c:v>29.37</c:v>
                </c:pt>
                <c:pt idx="2688">
                  <c:v>29.51</c:v>
                </c:pt>
                <c:pt idx="2689">
                  <c:v>28.96</c:v>
                </c:pt>
                <c:pt idx="2690">
                  <c:v>29.36</c:v>
                </c:pt>
                <c:pt idx="2691">
                  <c:v>29.72</c:v>
                </c:pt>
                <c:pt idx="2692">
                  <c:v>29.73</c:v>
                </c:pt>
                <c:pt idx="2693">
                  <c:v>29.18</c:v>
                </c:pt>
                <c:pt idx="2694">
                  <c:v>28.8</c:v>
                </c:pt>
                <c:pt idx="2695">
                  <c:v>28.6</c:v>
                </c:pt>
                <c:pt idx="2696">
                  <c:v>32.32</c:v>
                </c:pt>
                <c:pt idx="2697">
                  <c:v>33.44</c:v>
                </c:pt>
                <c:pt idx="2698">
                  <c:v>33.159999999999997</c:v>
                </c:pt>
                <c:pt idx="2699">
                  <c:v>32.06</c:v>
                </c:pt>
                <c:pt idx="2700">
                  <c:v>31.2</c:v>
                </c:pt>
                <c:pt idx="2701">
                  <c:v>31.58</c:v>
                </c:pt>
                <c:pt idx="2702">
                  <c:v>31.38</c:v>
                </c:pt>
                <c:pt idx="2703">
                  <c:v>31.63</c:v>
                </c:pt>
                <c:pt idx="2704">
                  <c:v>31.43</c:v>
                </c:pt>
                <c:pt idx="2705">
                  <c:v>31.49</c:v>
                </c:pt>
                <c:pt idx="2706">
                  <c:v>30.95</c:v>
                </c:pt>
                <c:pt idx="2707">
                  <c:v>31.35</c:v>
                </c:pt>
                <c:pt idx="2708">
                  <c:v>31.4</c:v>
                </c:pt>
                <c:pt idx="2709">
                  <c:v>31.46</c:v>
                </c:pt>
                <c:pt idx="2710">
                  <c:v>32.57</c:v>
                </c:pt>
                <c:pt idx="2711">
                  <c:v>32.67</c:v>
                </c:pt>
                <c:pt idx="2712">
                  <c:v>33.35</c:v>
                </c:pt>
                <c:pt idx="2713">
                  <c:v>33.44</c:v>
                </c:pt>
                <c:pt idx="2714">
                  <c:v>32.86</c:v>
                </c:pt>
                <c:pt idx="2715">
                  <c:v>32.130000000000003</c:v>
                </c:pt>
                <c:pt idx="2716">
                  <c:v>32.65</c:v>
                </c:pt>
                <c:pt idx="2717">
                  <c:v>31.94</c:v>
                </c:pt>
                <c:pt idx="2718">
                  <c:v>33.53</c:v>
                </c:pt>
                <c:pt idx="2719">
                  <c:v>33.409999999999997</c:v>
                </c:pt>
                <c:pt idx="2720">
                  <c:v>32.79</c:v>
                </c:pt>
                <c:pt idx="2721">
                  <c:v>32.799999999999997</c:v>
                </c:pt>
                <c:pt idx="2722">
                  <c:v>33.9</c:v>
                </c:pt>
                <c:pt idx="2723">
                  <c:v>33.25</c:v>
                </c:pt>
                <c:pt idx="2724">
                  <c:v>34.28</c:v>
                </c:pt>
                <c:pt idx="2725">
                  <c:v>34.630000000000003</c:v>
                </c:pt>
                <c:pt idx="2726">
                  <c:v>35.299999999999997</c:v>
                </c:pt>
                <c:pt idx="2727">
                  <c:v>35.61</c:v>
                </c:pt>
                <c:pt idx="2728">
                  <c:v>35.07</c:v>
                </c:pt>
                <c:pt idx="2729">
                  <c:v>34.369999999999997</c:v>
                </c:pt>
                <c:pt idx="2730">
                  <c:v>34.39</c:v>
                </c:pt>
                <c:pt idx="2731">
                  <c:v>34.01</c:v>
                </c:pt>
                <c:pt idx="2732">
                  <c:v>33.83</c:v>
                </c:pt>
                <c:pt idx="2733">
                  <c:v>35.17</c:v>
                </c:pt>
                <c:pt idx="2734">
                  <c:v>34.67</c:v>
                </c:pt>
                <c:pt idx="2735">
                  <c:v>34.86</c:v>
                </c:pt>
                <c:pt idx="2736">
                  <c:v>35.340000000000003</c:v>
                </c:pt>
                <c:pt idx="2737">
                  <c:v>36.33</c:v>
                </c:pt>
                <c:pt idx="2738">
                  <c:v>36.83</c:v>
                </c:pt>
                <c:pt idx="2739">
                  <c:v>35.78</c:v>
                </c:pt>
                <c:pt idx="2740">
                  <c:v>36.369999999999997</c:v>
                </c:pt>
                <c:pt idx="2741">
                  <c:v>35.840000000000003</c:v>
                </c:pt>
                <c:pt idx="2742">
                  <c:v>36.4</c:v>
                </c:pt>
                <c:pt idx="2743">
                  <c:v>36.409999999999997</c:v>
                </c:pt>
                <c:pt idx="2744">
                  <c:v>34.86</c:v>
                </c:pt>
                <c:pt idx="2745">
                  <c:v>34.97</c:v>
                </c:pt>
                <c:pt idx="2746">
                  <c:v>36.33</c:v>
                </c:pt>
                <c:pt idx="2747">
                  <c:v>37.4</c:v>
                </c:pt>
                <c:pt idx="2748">
                  <c:v>36.74</c:v>
                </c:pt>
                <c:pt idx="2749">
                  <c:v>39.15</c:v>
                </c:pt>
                <c:pt idx="2750">
                  <c:v>37.119999999999997</c:v>
                </c:pt>
                <c:pt idx="2751">
                  <c:v>39.68</c:v>
                </c:pt>
                <c:pt idx="2752">
                  <c:v>39.409999999999997</c:v>
                </c:pt>
                <c:pt idx="2753">
                  <c:v>39.18</c:v>
                </c:pt>
                <c:pt idx="2754">
                  <c:v>40.36</c:v>
                </c:pt>
                <c:pt idx="2755">
                  <c:v>41.95</c:v>
                </c:pt>
                <c:pt idx="2756">
                  <c:v>41.25</c:v>
                </c:pt>
                <c:pt idx="2757">
                  <c:v>41.3</c:v>
                </c:pt>
                <c:pt idx="2758">
                  <c:v>41.82</c:v>
                </c:pt>
                <c:pt idx="2759">
                  <c:v>42.69</c:v>
                </c:pt>
                <c:pt idx="2760">
                  <c:v>42.75</c:v>
                </c:pt>
                <c:pt idx="2761">
                  <c:v>42.55</c:v>
                </c:pt>
                <c:pt idx="2762">
                  <c:v>42.67</c:v>
                </c:pt>
                <c:pt idx="2763">
                  <c:v>43.37</c:v>
                </c:pt>
                <c:pt idx="2764">
                  <c:v>44.35</c:v>
                </c:pt>
                <c:pt idx="2765">
                  <c:v>44.52</c:v>
                </c:pt>
                <c:pt idx="2766">
                  <c:v>45.12</c:v>
                </c:pt>
                <c:pt idx="2767">
                  <c:v>45.88</c:v>
                </c:pt>
                <c:pt idx="2768">
                  <c:v>44.75</c:v>
                </c:pt>
                <c:pt idx="2769">
                  <c:v>44.74</c:v>
                </c:pt>
                <c:pt idx="2770">
                  <c:v>44.84</c:v>
                </c:pt>
                <c:pt idx="2771">
                  <c:v>44.91</c:v>
                </c:pt>
                <c:pt idx="2772">
                  <c:v>44.84</c:v>
                </c:pt>
                <c:pt idx="2773">
                  <c:v>44.15</c:v>
                </c:pt>
                <c:pt idx="2774">
                  <c:v>44.5</c:v>
                </c:pt>
                <c:pt idx="2775">
                  <c:v>43.14</c:v>
                </c:pt>
                <c:pt idx="2776">
                  <c:v>45.73</c:v>
                </c:pt>
                <c:pt idx="2777">
                  <c:v>47.06</c:v>
                </c:pt>
                <c:pt idx="2778">
                  <c:v>46.58</c:v>
                </c:pt>
                <c:pt idx="2779">
                  <c:v>46</c:v>
                </c:pt>
                <c:pt idx="2780">
                  <c:v>45.4</c:v>
                </c:pt>
                <c:pt idx="2781">
                  <c:v>43.85</c:v>
                </c:pt>
                <c:pt idx="2782">
                  <c:v>44.04</c:v>
                </c:pt>
                <c:pt idx="2783">
                  <c:v>43.35</c:v>
                </c:pt>
                <c:pt idx="2784">
                  <c:v>42.71</c:v>
                </c:pt>
                <c:pt idx="2785">
                  <c:v>42.96</c:v>
                </c:pt>
                <c:pt idx="2786">
                  <c:v>43.09</c:v>
                </c:pt>
                <c:pt idx="2787">
                  <c:v>42.47</c:v>
                </c:pt>
                <c:pt idx="2788">
                  <c:v>42.18</c:v>
                </c:pt>
                <c:pt idx="2789">
                  <c:v>42.55</c:v>
                </c:pt>
                <c:pt idx="2790">
                  <c:v>42.24</c:v>
                </c:pt>
                <c:pt idx="2791">
                  <c:v>43.15</c:v>
                </c:pt>
                <c:pt idx="2792">
                  <c:v>42.89</c:v>
                </c:pt>
                <c:pt idx="2793">
                  <c:v>43.73</c:v>
                </c:pt>
                <c:pt idx="2794">
                  <c:v>43.5</c:v>
                </c:pt>
                <c:pt idx="2795">
                  <c:v>43.73</c:v>
                </c:pt>
                <c:pt idx="2796">
                  <c:v>43.03</c:v>
                </c:pt>
                <c:pt idx="2797">
                  <c:v>42.96</c:v>
                </c:pt>
                <c:pt idx="2798">
                  <c:v>42.72</c:v>
                </c:pt>
                <c:pt idx="2799">
                  <c:v>42.8</c:v>
                </c:pt>
                <c:pt idx="2800">
                  <c:v>41.87</c:v>
                </c:pt>
                <c:pt idx="2801">
                  <c:v>41.85</c:v>
                </c:pt>
                <c:pt idx="2802">
                  <c:v>42.04</c:v>
                </c:pt>
                <c:pt idx="2803">
                  <c:v>42.24</c:v>
                </c:pt>
                <c:pt idx="2804">
                  <c:v>41.84</c:v>
                </c:pt>
                <c:pt idx="2805">
                  <c:v>39.82</c:v>
                </c:pt>
                <c:pt idx="2806">
                  <c:v>39.880000000000003</c:v>
                </c:pt>
                <c:pt idx="2807">
                  <c:v>40.1</c:v>
                </c:pt>
                <c:pt idx="2808">
                  <c:v>40.03</c:v>
                </c:pt>
                <c:pt idx="2809">
                  <c:v>39.21</c:v>
                </c:pt>
                <c:pt idx="2810">
                  <c:v>40.81</c:v>
                </c:pt>
                <c:pt idx="2811">
                  <c:v>40.04</c:v>
                </c:pt>
                <c:pt idx="2812">
                  <c:v>39.479999999999997</c:v>
                </c:pt>
                <c:pt idx="2813">
                  <c:v>39.409999999999997</c:v>
                </c:pt>
                <c:pt idx="2814">
                  <c:v>38.79</c:v>
                </c:pt>
                <c:pt idx="2815">
                  <c:v>38.6</c:v>
                </c:pt>
                <c:pt idx="2816">
                  <c:v>37.36</c:v>
                </c:pt>
                <c:pt idx="2817">
                  <c:v>37.46</c:v>
                </c:pt>
                <c:pt idx="2818">
                  <c:v>36.81</c:v>
                </c:pt>
                <c:pt idx="2819">
                  <c:v>37.5</c:v>
                </c:pt>
                <c:pt idx="2820">
                  <c:v>37.72</c:v>
                </c:pt>
                <c:pt idx="2821">
                  <c:v>37.19</c:v>
                </c:pt>
                <c:pt idx="2822">
                  <c:v>38.64</c:v>
                </c:pt>
                <c:pt idx="2823">
                  <c:v>38.630000000000003</c:v>
                </c:pt>
                <c:pt idx="2824">
                  <c:v>38.4</c:v>
                </c:pt>
                <c:pt idx="2825">
                  <c:v>38.409999999999997</c:v>
                </c:pt>
                <c:pt idx="2826">
                  <c:v>37.54</c:v>
                </c:pt>
                <c:pt idx="2827">
                  <c:v>37.229999999999997</c:v>
                </c:pt>
                <c:pt idx="2828">
                  <c:v>38.270000000000003</c:v>
                </c:pt>
                <c:pt idx="2829">
                  <c:v>36.36</c:v>
                </c:pt>
                <c:pt idx="2830">
                  <c:v>36.799999999999997</c:v>
                </c:pt>
                <c:pt idx="2831">
                  <c:v>37.4</c:v>
                </c:pt>
                <c:pt idx="2832">
                  <c:v>33.92</c:v>
                </c:pt>
                <c:pt idx="2833">
                  <c:v>35.979999999999997</c:v>
                </c:pt>
                <c:pt idx="2834">
                  <c:v>35.99</c:v>
                </c:pt>
                <c:pt idx="2835">
                  <c:v>37.14</c:v>
                </c:pt>
                <c:pt idx="2836">
                  <c:v>37.79</c:v>
                </c:pt>
                <c:pt idx="2837">
                  <c:v>37.6</c:v>
                </c:pt>
                <c:pt idx="2838">
                  <c:v>37.29</c:v>
                </c:pt>
                <c:pt idx="2839">
                  <c:v>37.450000000000003</c:v>
                </c:pt>
                <c:pt idx="2840">
                  <c:v>36.630000000000003</c:v>
                </c:pt>
                <c:pt idx="2841">
                  <c:v>37.5</c:v>
                </c:pt>
                <c:pt idx="2842">
                  <c:v>37.54</c:v>
                </c:pt>
                <c:pt idx="2843">
                  <c:v>38.58</c:v>
                </c:pt>
                <c:pt idx="2844">
                  <c:v>38.89</c:v>
                </c:pt>
                <c:pt idx="2845">
                  <c:v>38.950000000000003</c:v>
                </c:pt>
                <c:pt idx="2846">
                  <c:v>38.43</c:v>
                </c:pt>
                <c:pt idx="2847">
                  <c:v>38.01</c:v>
                </c:pt>
                <c:pt idx="2848">
                  <c:v>38.1</c:v>
                </c:pt>
                <c:pt idx="2849">
                  <c:v>38.56</c:v>
                </c:pt>
                <c:pt idx="2850">
                  <c:v>36.57</c:v>
                </c:pt>
                <c:pt idx="2851">
                  <c:v>36.21</c:v>
                </c:pt>
                <c:pt idx="2852">
                  <c:v>36</c:v>
                </c:pt>
                <c:pt idx="2853">
                  <c:v>36.61</c:v>
                </c:pt>
                <c:pt idx="2854">
                  <c:v>37.67</c:v>
                </c:pt>
                <c:pt idx="2855">
                  <c:v>38.67</c:v>
                </c:pt>
                <c:pt idx="2856">
                  <c:v>38.74</c:v>
                </c:pt>
                <c:pt idx="2857">
                  <c:v>39.5</c:v>
                </c:pt>
                <c:pt idx="2858">
                  <c:v>38.840000000000003</c:v>
                </c:pt>
                <c:pt idx="2859">
                  <c:v>40.18</c:v>
                </c:pt>
                <c:pt idx="2860">
                  <c:v>38.729999999999997</c:v>
                </c:pt>
                <c:pt idx="2861">
                  <c:v>37.57</c:v>
                </c:pt>
                <c:pt idx="2862">
                  <c:v>35.85</c:v>
                </c:pt>
                <c:pt idx="2863">
                  <c:v>35.090000000000003</c:v>
                </c:pt>
                <c:pt idx="2864">
                  <c:v>36.25</c:v>
                </c:pt>
                <c:pt idx="2865">
                  <c:v>35.79</c:v>
                </c:pt>
                <c:pt idx="2866">
                  <c:v>35.979999999999997</c:v>
                </c:pt>
                <c:pt idx="2867">
                  <c:v>35.56</c:v>
                </c:pt>
                <c:pt idx="2868">
                  <c:v>33.47</c:v>
                </c:pt>
                <c:pt idx="2869">
                  <c:v>34.68</c:v>
                </c:pt>
                <c:pt idx="2870">
                  <c:v>34.840000000000003</c:v>
                </c:pt>
                <c:pt idx="2871">
                  <c:v>32.82</c:v>
                </c:pt>
                <c:pt idx="2872">
                  <c:v>33.799999999999997</c:v>
                </c:pt>
                <c:pt idx="2873">
                  <c:v>33.71</c:v>
                </c:pt>
                <c:pt idx="2874">
                  <c:v>34.57</c:v>
                </c:pt>
                <c:pt idx="2875">
                  <c:v>35.22</c:v>
                </c:pt>
                <c:pt idx="2876">
                  <c:v>35.54</c:v>
                </c:pt>
                <c:pt idx="2877">
                  <c:v>35.24</c:v>
                </c:pt>
                <c:pt idx="2878">
                  <c:v>34.18</c:v>
                </c:pt>
                <c:pt idx="2879">
                  <c:v>31.92</c:v>
                </c:pt>
                <c:pt idx="2880">
                  <c:v>32.18</c:v>
                </c:pt>
                <c:pt idx="2881">
                  <c:v>32.69</c:v>
                </c:pt>
                <c:pt idx="2882">
                  <c:v>31.73</c:v>
                </c:pt>
                <c:pt idx="2883">
                  <c:v>32.549999999999997</c:v>
                </c:pt>
                <c:pt idx="2884">
                  <c:v>32.450000000000003</c:v>
                </c:pt>
                <c:pt idx="2885">
                  <c:v>33.25</c:v>
                </c:pt>
                <c:pt idx="2886">
                  <c:v>32.28</c:v>
                </c:pt>
                <c:pt idx="2887">
                  <c:v>32.57</c:v>
                </c:pt>
                <c:pt idx="2888">
                  <c:v>32.28</c:v>
                </c:pt>
                <c:pt idx="2889">
                  <c:v>32.4</c:v>
                </c:pt>
                <c:pt idx="2890">
                  <c:v>34.130000000000003</c:v>
                </c:pt>
                <c:pt idx="2891">
                  <c:v>35.01</c:v>
                </c:pt>
                <c:pt idx="2892">
                  <c:v>35.299999999999997</c:v>
                </c:pt>
                <c:pt idx="2893">
                  <c:v>34.76</c:v>
                </c:pt>
                <c:pt idx="2894">
                  <c:v>35.06</c:v>
                </c:pt>
                <c:pt idx="2895">
                  <c:v>33.93</c:v>
                </c:pt>
                <c:pt idx="2896">
                  <c:v>35.020000000000003</c:v>
                </c:pt>
                <c:pt idx="2897">
                  <c:v>35.619999999999997</c:v>
                </c:pt>
                <c:pt idx="2898">
                  <c:v>34.15</c:v>
                </c:pt>
                <c:pt idx="2899">
                  <c:v>34.01</c:v>
                </c:pt>
                <c:pt idx="2900">
                  <c:v>32.799999999999997</c:v>
                </c:pt>
                <c:pt idx="2901">
                  <c:v>33.46</c:v>
                </c:pt>
                <c:pt idx="2902">
                  <c:v>32.43</c:v>
                </c:pt>
                <c:pt idx="2903">
                  <c:v>32.590000000000003</c:v>
                </c:pt>
                <c:pt idx="2904">
                  <c:v>33.32</c:v>
                </c:pt>
                <c:pt idx="2905">
                  <c:v>32.89</c:v>
                </c:pt>
                <c:pt idx="2906">
                  <c:v>32.869999999999997</c:v>
                </c:pt>
                <c:pt idx="2907">
                  <c:v>33.04</c:v>
                </c:pt>
                <c:pt idx="2908">
                  <c:v>32.65</c:v>
                </c:pt>
                <c:pt idx="2909">
                  <c:v>33.049999999999997</c:v>
                </c:pt>
                <c:pt idx="2910">
                  <c:v>32.28</c:v>
                </c:pt>
                <c:pt idx="2911">
                  <c:v>31.59</c:v>
                </c:pt>
                <c:pt idx="2912">
                  <c:v>31.46</c:v>
                </c:pt>
                <c:pt idx="2913">
                  <c:v>31.41</c:v>
                </c:pt>
                <c:pt idx="2914">
                  <c:v>30.04</c:v>
                </c:pt>
                <c:pt idx="2915">
                  <c:v>29.16</c:v>
                </c:pt>
                <c:pt idx="2916">
                  <c:v>29.52</c:v>
                </c:pt>
                <c:pt idx="2917">
                  <c:v>31.07</c:v>
                </c:pt>
                <c:pt idx="2918">
                  <c:v>31.08</c:v>
                </c:pt>
                <c:pt idx="2919">
                  <c:v>31.27</c:v>
                </c:pt>
                <c:pt idx="2920">
                  <c:v>31.35</c:v>
                </c:pt>
                <c:pt idx="2921">
                  <c:v>31.36</c:v>
                </c:pt>
                <c:pt idx="2922">
                  <c:v>32.69</c:v>
                </c:pt>
                <c:pt idx="2923">
                  <c:v>33.090000000000003</c:v>
                </c:pt>
                <c:pt idx="2924">
                  <c:v>33.630000000000003</c:v>
                </c:pt>
                <c:pt idx="2925">
                  <c:v>32.950000000000003</c:v>
                </c:pt>
                <c:pt idx="2926">
                  <c:v>33.67</c:v>
                </c:pt>
                <c:pt idx="2927">
                  <c:v>34.72</c:v>
                </c:pt>
                <c:pt idx="2928">
                  <c:v>34.53</c:v>
                </c:pt>
                <c:pt idx="2929">
                  <c:v>35.049999999999997</c:v>
                </c:pt>
                <c:pt idx="2930">
                  <c:v>34.909999999999997</c:v>
                </c:pt>
                <c:pt idx="2931">
                  <c:v>34.25</c:v>
                </c:pt>
                <c:pt idx="2932">
                  <c:v>33.520000000000003</c:v>
                </c:pt>
                <c:pt idx="2933">
                  <c:v>33.97</c:v>
                </c:pt>
                <c:pt idx="2934">
                  <c:v>33.33</c:v>
                </c:pt>
                <c:pt idx="2935">
                  <c:v>33.1</c:v>
                </c:pt>
                <c:pt idx="2936">
                  <c:v>32.799999999999997</c:v>
                </c:pt>
                <c:pt idx="2937">
                  <c:v>33.630000000000003</c:v>
                </c:pt>
                <c:pt idx="2938">
                  <c:v>33.630000000000003</c:v>
                </c:pt>
                <c:pt idx="2939">
                  <c:v>32.97</c:v>
                </c:pt>
                <c:pt idx="2940">
                  <c:v>33.06</c:v>
                </c:pt>
                <c:pt idx="2941">
                  <c:v>35.119999999999997</c:v>
                </c:pt>
                <c:pt idx="2942">
                  <c:v>34.79</c:v>
                </c:pt>
                <c:pt idx="2943">
                  <c:v>34.799999999999997</c:v>
                </c:pt>
                <c:pt idx="2944">
                  <c:v>34.28</c:v>
                </c:pt>
                <c:pt idx="2945">
                  <c:v>33.5</c:v>
                </c:pt>
                <c:pt idx="2946">
                  <c:v>33.75</c:v>
                </c:pt>
                <c:pt idx="2947">
                  <c:v>34.47</c:v>
                </c:pt>
                <c:pt idx="2948">
                  <c:v>33.44</c:v>
                </c:pt>
                <c:pt idx="2949">
                  <c:v>34.4</c:v>
                </c:pt>
                <c:pt idx="2950">
                  <c:v>34.130000000000003</c:v>
                </c:pt>
                <c:pt idx="2951">
                  <c:v>34.71</c:v>
                </c:pt>
                <c:pt idx="2952">
                  <c:v>34.32</c:v>
                </c:pt>
                <c:pt idx="2953">
                  <c:v>32.53</c:v>
                </c:pt>
                <c:pt idx="2954">
                  <c:v>32.950000000000003</c:v>
                </c:pt>
                <c:pt idx="2955">
                  <c:v>34.57</c:v>
                </c:pt>
                <c:pt idx="2956">
                  <c:v>34.31</c:v>
                </c:pt>
                <c:pt idx="2957">
                  <c:v>33.67</c:v>
                </c:pt>
                <c:pt idx="2958">
                  <c:v>33.33</c:v>
                </c:pt>
                <c:pt idx="2959">
                  <c:v>33.39</c:v>
                </c:pt>
                <c:pt idx="2960">
                  <c:v>33.1</c:v>
                </c:pt>
                <c:pt idx="2961">
                  <c:v>33.74</c:v>
                </c:pt>
                <c:pt idx="2962">
                  <c:v>34.69</c:v>
                </c:pt>
                <c:pt idx="2963">
                  <c:v>34.28</c:v>
                </c:pt>
                <c:pt idx="2964">
                  <c:v>35.47</c:v>
                </c:pt>
                <c:pt idx="2965">
                  <c:v>35.44</c:v>
                </c:pt>
                <c:pt idx="2966">
                  <c:v>35.79</c:v>
                </c:pt>
                <c:pt idx="2967">
                  <c:v>36.14</c:v>
                </c:pt>
                <c:pt idx="2968">
                  <c:v>36.19</c:v>
                </c:pt>
                <c:pt idx="2969">
                  <c:v>36.64</c:v>
                </c:pt>
                <c:pt idx="2970">
                  <c:v>36.549999999999997</c:v>
                </c:pt>
                <c:pt idx="2971">
                  <c:v>37.57</c:v>
                </c:pt>
                <c:pt idx="2972">
                  <c:v>38.880000000000003</c:v>
                </c:pt>
                <c:pt idx="2973">
                  <c:v>39.18</c:v>
                </c:pt>
                <c:pt idx="2974">
                  <c:v>37.659999999999997</c:v>
                </c:pt>
                <c:pt idx="2975">
                  <c:v>39.08</c:v>
                </c:pt>
                <c:pt idx="2976">
                  <c:v>40.299999999999997</c:v>
                </c:pt>
                <c:pt idx="2977">
                  <c:v>42.44</c:v>
                </c:pt>
                <c:pt idx="2978">
                  <c:v>41.28</c:v>
                </c:pt>
                <c:pt idx="2979">
                  <c:v>41.8</c:v>
                </c:pt>
                <c:pt idx="2980">
                  <c:v>42.94</c:v>
                </c:pt>
                <c:pt idx="2981">
                  <c:v>42.94</c:v>
                </c:pt>
                <c:pt idx="2982">
                  <c:v>42.02</c:v>
                </c:pt>
                <c:pt idx="2983">
                  <c:v>40.17</c:v>
                </c:pt>
                <c:pt idx="2984">
                  <c:v>41.75</c:v>
                </c:pt>
                <c:pt idx="2985">
                  <c:v>39.68</c:v>
                </c:pt>
                <c:pt idx="2986">
                  <c:v>39.119999999999997</c:v>
                </c:pt>
                <c:pt idx="2987">
                  <c:v>39.75</c:v>
                </c:pt>
                <c:pt idx="2988">
                  <c:v>40.229999999999997</c:v>
                </c:pt>
                <c:pt idx="2989">
                  <c:v>40.049999999999997</c:v>
                </c:pt>
                <c:pt idx="2990">
                  <c:v>38.65</c:v>
                </c:pt>
                <c:pt idx="2991">
                  <c:v>38.43</c:v>
                </c:pt>
                <c:pt idx="2992">
                  <c:v>39.33</c:v>
                </c:pt>
                <c:pt idx="2993">
                  <c:v>38.69</c:v>
                </c:pt>
                <c:pt idx="2994">
                  <c:v>38.26</c:v>
                </c:pt>
                <c:pt idx="2995">
                  <c:v>38.53</c:v>
                </c:pt>
                <c:pt idx="2996">
                  <c:v>39.450000000000003</c:v>
                </c:pt>
                <c:pt idx="2997">
                  <c:v>39.33</c:v>
                </c:pt>
                <c:pt idx="2998">
                  <c:v>39.729999999999997</c:v>
                </c:pt>
                <c:pt idx="2999">
                  <c:v>40.86</c:v>
                </c:pt>
                <c:pt idx="3000">
                  <c:v>41.47</c:v>
                </c:pt>
                <c:pt idx="3001">
                  <c:v>43.06</c:v>
                </c:pt>
                <c:pt idx="3002">
                  <c:v>42.13</c:v>
                </c:pt>
                <c:pt idx="3003">
                  <c:v>43.41</c:v>
                </c:pt>
                <c:pt idx="3004">
                  <c:v>43.5</c:v>
                </c:pt>
                <c:pt idx="3005">
                  <c:v>43.35</c:v>
                </c:pt>
                <c:pt idx="3006">
                  <c:v>44.21</c:v>
                </c:pt>
                <c:pt idx="3007">
                  <c:v>44.44</c:v>
                </c:pt>
                <c:pt idx="3008">
                  <c:v>43.53</c:v>
                </c:pt>
                <c:pt idx="3009">
                  <c:v>43</c:v>
                </c:pt>
                <c:pt idx="3010">
                  <c:v>42</c:v>
                </c:pt>
                <c:pt idx="3011">
                  <c:v>42.14</c:v>
                </c:pt>
                <c:pt idx="3012">
                  <c:v>43</c:v>
                </c:pt>
                <c:pt idx="3013">
                  <c:v>43.33</c:v>
                </c:pt>
                <c:pt idx="3014">
                  <c:v>41.96</c:v>
                </c:pt>
                <c:pt idx="3015">
                  <c:v>41.9</c:v>
                </c:pt>
                <c:pt idx="3016">
                  <c:v>41.8</c:v>
                </c:pt>
                <c:pt idx="3017">
                  <c:v>42.14</c:v>
                </c:pt>
                <c:pt idx="3018">
                  <c:v>43.04</c:v>
                </c:pt>
                <c:pt idx="3019">
                  <c:v>41</c:v>
                </c:pt>
                <c:pt idx="3020">
                  <c:v>40.1</c:v>
                </c:pt>
                <c:pt idx="3021">
                  <c:v>41.45</c:v>
                </c:pt>
                <c:pt idx="3022">
                  <c:v>42.6</c:v>
                </c:pt>
                <c:pt idx="3023">
                  <c:v>42.89</c:v>
                </c:pt>
                <c:pt idx="3024">
                  <c:v>43.65</c:v>
                </c:pt>
                <c:pt idx="3025">
                  <c:v>44</c:v>
                </c:pt>
                <c:pt idx="3026">
                  <c:v>44.48</c:v>
                </c:pt>
                <c:pt idx="3027">
                  <c:v>43.83</c:v>
                </c:pt>
                <c:pt idx="3028">
                  <c:v>44.25</c:v>
                </c:pt>
                <c:pt idx="3029">
                  <c:v>45.3</c:v>
                </c:pt>
                <c:pt idx="3030">
                  <c:v>45.56</c:v>
                </c:pt>
                <c:pt idx="3031">
                  <c:v>45.72</c:v>
                </c:pt>
                <c:pt idx="3032">
                  <c:v>46.2</c:v>
                </c:pt>
                <c:pt idx="3033">
                  <c:v>45.85</c:v>
                </c:pt>
                <c:pt idx="3034">
                  <c:v>45.24</c:v>
                </c:pt>
                <c:pt idx="3035">
                  <c:v>44.71</c:v>
                </c:pt>
                <c:pt idx="3036">
                  <c:v>44.18</c:v>
                </c:pt>
                <c:pt idx="3037">
                  <c:v>44.71</c:v>
                </c:pt>
                <c:pt idx="3038">
                  <c:v>43.95</c:v>
                </c:pt>
                <c:pt idx="3039">
                  <c:v>42.25</c:v>
                </c:pt>
                <c:pt idx="3040">
                  <c:v>42.89</c:v>
                </c:pt>
                <c:pt idx="3041">
                  <c:v>43.19</c:v>
                </c:pt>
                <c:pt idx="3042">
                  <c:v>43.6</c:v>
                </c:pt>
                <c:pt idx="3043">
                  <c:v>44.05</c:v>
                </c:pt>
                <c:pt idx="3044">
                  <c:v>43.89</c:v>
                </c:pt>
                <c:pt idx="3045">
                  <c:v>44.22</c:v>
                </c:pt>
                <c:pt idx="3046">
                  <c:v>44.37</c:v>
                </c:pt>
                <c:pt idx="3047">
                  <c:v>44.56</c:v>
                </c:pt>
                <c:pt idx="3048">
                  <c:v>44.63</c:v>
                </c:pt>
                <c:pt idx="3049">
                  <c:v>44.85</c:v>
                </c:pt>
                <c:pt idx="3050">
                  <c:v>44.65</c:v>
                </c:pt>
                <c:pt idx="3051">
                  <c:v>45.37</c:v>
                </c:pt>
                <c:pt idx="3052">
                  <c:v>45.45</c:v>
                </c:pt>
                <c:pt idx="3053">
                  <c:v>45.81</c:v>
                </c:pt>
                <c:pt idx="3054">
                  <c:v>46.5</c:v>
                </c:pt>
                <c:pt idx="3055">
                  <c:v>46.86</c:v>
                </c:pt>
                <c:pt idx="3056">
                  <c:v>47.01</c:v>
                </c:pt>
                <c:pt idx="3057">
                  <c:v>48.32</c:v>
                </c:pt>
                <c:pt idx="3058">
                  <c:v>48.13</c:v>
                </c:pt>
                <c:pt idx="3059">
                  <c:v>48.29</c:v>
                </c:pt>
                <c:pt idx="3060">
                  <c:v>48.33</c:v>
                </c:pt>
                <c:pt idx="3061">
                  <c:v>47.98</c:v>
                </c:pt>
                <c:pt idx="3062">
                  <c:v>46.96</c:v>
                </c:pt>
                <c:pt idx="3063">
                  <c:v>46.9</c:v>
                </c:pt>
                <c:pt idx="3064">
                  <c:v>48.68</c:v>
                </c:pt>
                <c:pt idx="3065">
                  <c:v>48.44</c:v>
                </c:pt>
                <c:pt idx="3066">
                  <c:v>49.6</c:v>
                </c:pt>
                <c:pt idx="3067">
                  <c:v>49.42</c:v>
                </c:pt>
                <c:pt idx="3068">
                  <c:v>48.17</c:v>
                </c:pt>
                <c:pt idx="3069">
                  <c:v>47.58</c:v>
                </c:pt>
                <c:pt idx="3070">
                  <c:v>47.61</c:v>
                </c:pt>
                <c:pt idx="3071">
                  <c:v>47.48</c:v>
                </c:pt>
                <c:pt idx="3072">
                  <c:v>46.79</c:v>
                </c:pt>
                <c:pt idx="3073">
                  <c:v>46.35</c:v>
                </c:pt>
                <c:pt idx="3074">
                  <c:v>46.66</c:v>
                </c:pt>
                <c:pt idx="3075">
                  <c:v>46.04</c:v>
                </c:pt>
                <c:pt idx="3076">
                  <c:v>46.11</c:v>
                </c:pt>
                <c:pt idx="3077">
                  <c:v>46.81</c:v>
                </c:pt>
                <c:pt idx="3078">
                  <c:v>46.51</c:v>
                </c:pt>
                <c:pt idx="3079">
                  <c:v>46.45</c:v>
                </c:pt>
                <c:pt idx="3080">
                  <c:v>45.16</c:v>
                </c:pt>
                <c:pt idx="3081">
                  <c:v>45.22</c:v>
                </c:pt>
                <c:pt idx="3082">
                  <c:v>45.34</c:v>
                </c:pt>
                <c:pt idx="3083">
                  <c:v>46.11</c:v>
                </c:pt>
                <c:pt idx="3084">
                  <c:v>45.46</c:v>
                </c:pt>
                <c:pt idx="3085">
                  <c:v>45.37</c:v>
                </c:pt>
                <c:pt idx="3086">
                  <c:v>44.69</c:v>
                </c:pt>
                <c:pt idx="3087">
                  <c:v>43.88</c:v>
                </c:pt>
                <c:pt idx="3088">
                  <c:v>44.16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3E-46BE-83C1-AEB0DC735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270352"/>
        <c:axId val="685267072"/>
      </c:lineChart>
      <c:dateAx>
        <c:axId val="685270352"/>
        <c:scaling>
          <c:orientation val="minMax"/>
        </c:scaling>
        <c:delete val="0"/>
        <c:axPos val="b"/>
        <c:numFmt formatCode="m/d/yyyy\ 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267072"/>
        <c:crosses val="autoZero"/>
        <c:auto val="1"/>
        <c:lblOffset val="100"/>
        <c:baseTimeUnit val="days"/>
      </c:dateAx>
      <c:valAx>
        <c:axId val="6852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2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Preços Acoes'!$A$3068:$A$3090</c:f>
              <c:numCache>
                <c:formatCode>m/d/yyyy\ h:mm:ss</c:formatCode>
                <c:ptCount val="23"/>
                <c:pt idx="0">
                  <c:v>44789.705555555498</c:v>
                </c:pt>
                <c:pt idx="1">
                  <c:v>44790.705555555498</c:v>
                </c:pt>
                <c:pt idx="2">
                  <c:v>44791.705555555498</c:v>
                </c:pt>
                <c:pt idx="3">
                  <c:v>44792.705555555498</c:v>
                </c:pt>
                <c:pt idx="4">
                  <c:v>44795.705555555498</c:v>
                </c:pt>
                <c:pt idx="5">
                  <c:v>44796.705555555498</c:v>
                </c:pt>
                <c:pt idx="6">
                  <c:v>44797.705555555498</c:v>
                </c:pt>
                <c:pt idx="7">
                  <c:v>44798.705555555498</c:v>
                </c:pt>
                <c:pt idx="8">
                  <c:v>44799.705555555498</c:v>
                </c:pt>
                <c:pt idx="9">
                  <c:v>44802.705555555498</c:v>
                </c:pt>
                <c:pt idx="10">
                  <c:v>44803.705555555498</c:v>
                </c:pt>
                <c:pt idx="11">
                  <c:v>44804.705555555498</c:v>
                </c:pt>
                <c:pt idx="12">
                  <c:v>44805.705555555498</c:v>
                </c:pt>
                <c:pt idx="13">
                  <c:v>44806.705555555498</c:v>
                </c:pt>
                <c:pt idx="14">
                  <c:v>44809.705555555498</c:v>
                </c:pt>
                <c:pt idx="15">
                  <c:v>44810.705555555498</c:v>
                </c:pt>
                <c:pt idx="16">
                  <c:v>44812.705555555498</c:v>
                </c:pt>
                <c:pt idx="17">
                  <c:v>44813.705555555498</c:v>
                </c:pt>
                <c:pt idx="18">
                  <c:v>44816.705555555498</c:v>
                </c:pt>
                <c:pt idx="19">
                  <c:v>44817.705555555498</c:v>
                </c:pt>
                <c:pt idx="20">
                  <c:v>44818.705555555498</c:v>
                </c:pt>
                <c:pt idx="21">
                  <c:v>44819.705555555498</c:v>
                </c:pt>
                <c:pt idx="22">
                  <c:v>44820.705555555498</c:v>
                </c:pt>
              </c:numCache>
            </c:numRef>
          </c:cat>
          <c:val>
            <c:numRef>
              <c:f>'Dados Preços Acoes'!$B$3068:$B$3090</c:f>
              <c:numCache>
                <c:formatCode>General</c:formatCode>
                <c:ptCount val="23"/>
                <c:pt idx="0">
                  <c:v>48.44</c:v>
                </c:pt>
                <c:pt idx="1">
                  <c:v>49.6</c:v>
                </c:pt>
                <c:pt idx="2">
                  <c:v>49.42</c:v>
                </c:pt>
                <c:pt idx="3">
                  <c:v>48.17</c:v>
                </c:pt>
                <c:pt idx="4">
                  <c:v>47.58</c:v>
                </c:pt>
                <c:pt idx="5">
                  <c:v>47.61</c:v>
                </c:pt>
                <c:pt idx="6">
                  <c:v>47.48</c:v>
                </c:pt>
                <c:pt idx="7">
                  <c:v>46.79</c:v>
                </c:pt>
                <c:pt idx="8">
                  <c:v>46.35</c:v>
                </c:pt>
                <c:pt idx="9">
                  <c:v>46.66</c:v>
                </c:pt>
                <c:pt idx="10">
                  <c:v>46.04</c:v>
                </c:pt>
                <c:pt idx="11">
                  <c:v>46.11</c:v>
                </c:pt>
                <c:pt idx="12">
                  <c:v>46.81</c:v>
                </c:pt>
                <c:pt idx="13">
                  <c:v>46.51</c:v>
                </c:pt>
                <c:pt idx="14">
                  <c:v>46.45</c:v>
                </c:pt>
                <c:pt idx="15">
                  <c:v>45.16</c:v>
                </c:pt>
                <c:pt idx="16">
                  <c:v>45.22</c:v>
                </c:pt>
                <c:pt idx="17">
                  <c:v>45.34</c:v>
                </c:pt>
                <c:pt idx="18">
                  <c:v>46.11</c:v>
                </c:pt>
                <c:pt idx="19">
                  <c:v>45.46</c:v>
                </c:pt>
                <c:pt idx="20">
                  <c:v>45.37</c:v>
                </c:pt>
                <c:pt idx="21">
                  <c:v>44.69</c:v>
                </c:pt>
                <c:pt idx="22">
                  <c:v>43.88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71-487F-A756-2D5699337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277240"/>
        <c:axId val="685277568"/>
      </c:lineChart>
      <c:dateAx>
        <c:axId val="685277240"/>
        <c:scaling>
          <c:orientation val="minMax"/>
        </c:scaling>
        <c:delete val="0"/>
        <c:axPos val="b"/>
        <c:numFmt formatCode="m/d/yyyy\ 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277568"/>
        <c:crosses val="autoZero"/>
        <c:auto val="1"/>
        <c:lblOffset val="100"/>
        <c:baseTimeUnit val="days"/>
      </c:dateAx>
      <c:valAx>
        <c:axId val="6852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27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Preços Acoes'!$A$2913:$A$3090</c:f>
              <c:numCache>
                <c:formatCode>m/d/yyyy\ h:mm:ss</c:formatCode>
                <c:ptCount val="178"/>
                <c:pt idx="0">
                  <c:v>44564.705555555498</c:v>
                </c:pt>
                <c:pt idx="1">
                  <c:v>44565.705555555498</c:v>
                </c:pt>
                <c:pt idx="2">
                  <c:v>44566.705555555498</c:v>
                </c:pt>
                <c:pt idx="3">
                  <c:v>44567.705555555498</c:v>
                </c:pt>
                <c:pt idx="4">
                  <c:v>44568.705555555498</c:v>
                </c:pt>
                <c:pt idx="5">
                  <c:v>44571.705555555498</c:v>
                </c:pt>
                <c:pt idx="6">
                  <c:v>44572.705555555498</c:v>
                </c:pt>
                <c:pt idx="7">
                  <c:v>44573.705555555498</c:v>
                </c:pt>
                <c:pt idx="8">
                  <c:v>44574.705555555498</c:v>
                </c:pt>
                <c:pt idx="9">
                  <c:v>44575.705555555498</c:v>
                </c:pt>
                <c:pt idx="10">
                  <c:v>44578.705555555498</c:v>
                </c:pt>
                <c:pt idx="11">
                  <c:v>44579.705555555498</c:v>
                </c:pt>
                <c:pt idx="12">
                  <c:v>44580.705555555498</c:v>
                </c:pt>
                <c:pt idx="13">
                  <c:v>44581.705555555498</c:v>
                </c:pt>
                <c:pt idx="14">
                  <c:v>44582.705555555498</c:v>
                </c:pt>
                <c:pt idx="15">
                  <c:v>44585.705555555498</c:v>
                </c:pt>
                <c:pt idx="16">
                  <c:v>44586.705555555498</c:v>
                </c:pt>
                <c:pt idx="17">
                  <c:v>44587.705555555498</c:v>
                </c:pt>
                <c:pt idx="18">
                  <c:v>44588.705555555498</c:v>
                </c:pt>
                <c:pt idx="19">
                  <c:v>44589.705555555498</c:v>
                </c:pt>
                <c:pt idx="20">
                  <c:v>44592.705555555498</c:v>
                </c:pt>
                <c:pt idx="21">
                  <c:v>44593.705555555498</c:v>
                </c:pt>
                <c:pt idx="22">
                  <c:v>44594.705555555498</c:v>
                </c:pt>
                <c:pt idx="23">
                  <c:v>44595.705555555498</c:v>
                </c:pt>
                <c:pt idx="24">
                  <c:v>44596.705555555498</c:v>
                </c:pt>
                <c:pt idx="25">
                  <c:v>44599.705555555498</c:v>
                </c:pt>
                <c:pt idx="26">
                  <c:v>44600.705555555498</c:v>
                </c:pt>
                <c:pt idx="27">
                  <c:v>44601.705555555498</c:v>
                </c:pt>
                <c:pt idx="28">
                  <c:v>44602.705555555498</c:v>
                </c:pt>
                <c:pt idx="29">
                  <c:v>44603.705555555498</c:v>
                </c:pt>
                <c:pt idx="30">
                  <c:v>44606.705555555498</c:v>
                </c:pt>
                <c:pt idx="31">
                  <c:v>44607.705555555498</c:v>
                </c:pt>
                <c:pt idx="32">
                  <c:v>44608.705555555498</c:v>
                </c:pt>
                <c:pt idx="33">
                  <c:v>44609.705555555498</c:v>
                </c:pt>
                <c:pt idx="34">
                  <c:v>44610.705555555498</c:v>
                </c:pt>
                <c:pt idx="35">
                  <c:v>44613.705555555498</c:v>
                </c:pt>
                <c:pt idx="36">
                  <c:v>44614.705555555498</c:v>
                </c:pt>
                <c:pt idx="37">
                  <c:v>44615.705555555498</c:v>
                </c:pt>
                <c:pt idx="38">
                  <c:v>44616.705555555498</c:v>
                </c:pt>
                <c:pt idx="39">
                  <c:v>44617.705555555498</c:v>
                </c:pt>
                <c:pt idx="40">
                  <c:v>44622.705555555498</c:v>
                </c:pt>
                <c:pt idx="41">
                  <c:v>44623.705555555498</c:v>
                </c:pt>
                <c:pt idx="42">
                  <c:v>44624.705555555498</c:v>
                </c:pt>
                <c:pt idx="43">
                  <c:v>44627.705555555498</c:v>
                </c:pt>
                <c:pt idx="44">
                  <c:v>44628.705555555498</c:v>
                </c:pt>
                <c:pt idx="45">
                  <c:v>44629.705555555498</c:v>
                </c:pt>
                <c:pt idx="46">
                  <c:v>44630.705555555498</c:v>
                </c:pt>
                <c:pt idx="47">
                  <c:v>44631.705555555498</c:v>
                </c:pt>
                <c:pt idx="48">
                  <c:v>44634.705555555498</c:v>
                </c:pt>
                <c:pt idx="49">
                  <c:v>44635.705555555498</c:v>
                </c:pt>
                <c:pt idx="50">
                  <c:v>44636.705555555498</c:v>
                </c:pt>
                <c:pt idx="51">
                  <c:v>44637.705555555498</c:v>
                </c:pt>
                <c:pt idx="52">
                  <c:v>44638.705555555498</c:v>
                </c:pt>
                <c:pt idx="53">
                  <c:v>44641.705555555498</c:v>
                </c:pt>
                <c:pt idx="54">
                  <c:v>44642.705555555498</c:v>
                </c:pt>
                <c:pt idx="55">
                  <c:v>44643.705555555498</c:v>
                </c:pt>
                <c:pt idx="56">
                  <c:v>44644.705555555498</c:v>
                </c:pt>
                <c:pt idx="57">
                  <c:v>44645.705555555498</c:v>
                </c:pt>
                <c:pt idx="58">
                  <c:v>44648.705555555498</c:v>
                </c:pt>
                <c:pt idx="59">
                  <c:v>44649.705555555498</c:v>
                </c:pt>
                <c:pt idx="60">
                  <c:v>44650.705555555498</c:v>
                </c:pt>
                <c:pt idx="61">
                  <c:v>44651.705555555498</c:v>
                </c:pt>
                <c:pt idx="62">
                  <c:v>44652.705555555498</c:v>
                </c:pt>
                <c:pt idx="63">
                  <c:v>44655.705555555498</c:v>
                </c:pt>
                <c:pt idx="64">
                  <c:v>44656.705555555498</c:v>
                </c:pt>
                <c:pt idx="65">
                  <c:v>44657.705555555498</c:v>
                </c:pt>
                <c:pt idx="66">
                  <c:v>44658.705555555498</c:v>
                </c:pt>
                <c:pt idx="67">
                  <c:v>44659.705555555498</c:v>
                </c:pt>
                <c:pt idx="68">
                  <c:v>44662.705555555498</c:v>
                </c:pt>
                <c:pt idx="69">
                  <c:v>44663.705555555498</c:v>
                </c:pt>
                <c:pt idx="70">
                  <c:v>44664.705555555498</c:v>
                </c:pt>
                <c:pt idx="71">
                  <c:v>44665.705555555498</c:v>
                </c:pt>
                <c:pt idx="72">
                  <c:v>44669.705555555498</c:v>
                </c:pt>
                <c:pt idx="73">
                  <c:v>44670.705555555498</c:v>
                </c:pt>
                <c:pt idx="74">
                  <c:v>44671.705555555498</c:v>
                </c:pt>
                <c:pt idx="75">
                  <c:v>44673.705555555498</c:v>
                </c:pt>
                <c:pt idx="76">
                  <c:v>44677.705555555498</c:v>
                </c:pt>
                <c:pt idx="77">
                  <c:v>44678.705555555498</c:v>
                </c:pt>
                <c:pt idx="78">
                  <c:v>44679.705555555498</c:v>
                </c:pt>
                <c:pt idx="79">
                  <c:v>44680.705555555498</c:v>
                </c:pt>
                <c:pt idx="80">
                  <c:v>44683.705555555498</c:v>
                </c:pt>
                <c:pt idx="81">
                  <c:v>44684.705555555498</c:v>
                </c:pt>
                <c:pt idx="82">
                  <c:v>44685.705555555498</c:v>
                </c:pt>
                <c:pt idx="83">
                  <c:v>44686.705555555498</c:v>
                </c:pt>
                <c:pt idx="84">
                  <c:v>44687.705555555498</c:v>
                </c:pt>
                <c:pt idx="85">
                  <c:v>44690.705555555498</c:v>
                </c:pt>
                <c:pt idx="86">
                  <c:v>44691.705555555498</c:v>
                </c:pt>
                <c:pt idx="87">
                  <c:v>44692.705555555498</c:v>
                </c:pt>
                <c:pt idx="88">
                  <c:v>44693.705555555498</c:v>
                </c:pt>
                <c:pt idx="89">
                  <c:v>44694.705555555498</c:v>
                </c:pt>
                <c:pt idx="90">
                  <c:v>44697.705555555498</c:v>
                </c:pt>
                <c:pt idx="91">
                  <c:v>44698.705555555498</c:v>
                </c:pt>
                <c:pt idx="92">
                  <c:v>44699.705555555498</c:v>
                </c:pt>
                <c:pt idx="93">
                  <c:v>44700.705555555498</c:v>
                </c:pt>
                <c:pt idx="94">
                  <c:v>44701.705555555498</c:v>
                </c:pt>
                <c:pt idx="95">
                  <c:v>44704.705555555498</c:v>
                </c:pt>
                <c:pt idx="96">
                  <c:v>44705.705555555498</c:v>
                </c:pt>
                <c:pt idx="97">
                  <c:v>44706.705555555498</c:v>
                </c:pt>
                <c:pt idx="98">
                  <c:v>44707.705555555498</c:v>
                </c:pt>
                <c:pt idx="99">
                  <c:v>44708.705555555498</c:v>
                </c:pt>
                <c:pt idx="100">
                  <c:v>44711.705555555498</c:v>
                </c:pt>
                <c:pt idx="101">
                  <c:v>44712.705555555498</c:v>
                </c:pt>
                <c:pt idx="102">
                  <c:v>44713.705555555498</c:v>
                </c:pt>
                <c:pt idx="103">
                  <c:v>44714.705555555498</c:v>
                </c:pt>
                <c:pt idx="104">
                  <c:v>44715.705555555498</c:v>
                </c:pt>
                <c:pt idx="105">
                  <c:v>44718.705555555498</c:v>
                </c:pt>
                <c:pt idx="106">
                  <c:v>44719.705555555498</c:v>
                </c:pt>
                <c:pt idx="107">
                  <c:v>44720.705555555498</c:v>
                </c:pt>
                <c:pt idx="108">
                  <c:v>44721.705555555498</c:v>
                </c:pt>
                <c:pt idx="109">
                  <c:v>44722.705555555498</c:v>
                </c:pt>
                <c:pt idx="110">
                  <c:v>44725.705555555498</c:v>
                </c:pt>
                <c:pt idx="111">
                  <c:v>44726.705555555498</c:v>
                </c:pt>
                <c:pt idx="112">
                  <c:v>44727.705555555498</c:v>
                </c:pt>
                <c:pt idx="113">
                  <c:v>44729.705555555498</c:v>
                </c:pt>
                <c:pt idx="114">
                  <c:v>44732.705555555498</c:v>
                </c:pt>
                <c:pt idx="115">
                  <c:v>44733.705555555498</c:v>
                </c:pt>
                <c:pt idx="116">
                  <c:v>44734.705555555498</c:v>
                </c:pt>
                <c:pt idx="117">
                  <c:v>44735.705555555498</c:v>
                </c:pt>
                <c:pt idx="118">
                  <c:v>44736.705555555498</c:v>
                </c:pt>
                <c:pt idx="119">
                  <c:v>44739.705555555498</c:v>
                </c:pt>
                <c:pt idx="120">
                  <c:v>44740.705555555498</c:v>
                </c:pt>
                <c:pt idx="121">
                  <c:v>44741.705555555498</c:v>
                </c:pt>
                <c:pt idx="122">
                  <c:v>44742.705555555498</c:v>
                </c:pt>
                <c:pt idx="123">
                  <c:v>44743.705555555498</c:v>
                </c:pt>
                <c:pt idx="124">
                  <c:v>44746.705555555498</c:v>
                </c:pt>
                <c:pt idx="125">
                  <c:v>44747.705555555498</c:v>
                </c:pt>
                <c:pt idx="126">
                  <c:v>44748.705555555498</c:v>
                </c:pt>
                <c:pt idx="127">
                  <c:v>44749.705555555498</c:v>
                </c:pt>
                <c:pt idx="128">
                  <c:v>44750.705555555498</c:v>
                </c:pt>
                <c:pt idx="129">
                  <c:v>44753.705555555498</c:v>
                </c:pt>
                <c:pt idx="130">
                  <c:v>44754.705555555498</c:v>
                </c:pt>
                <c:pt idx="131">
                  <c:v>44755.705555555498</c:v>
                </c:pt>
                <c:pt idx="132">
                  <c:v>44756.705555555498</c:v>
                </c:pt>
                <c:pt idx="133">
                  <c:v>44757.705555555498</c:v>
                </c:pt>
                <c:pt idx="134">
                  <c:v>44760.705555555498</c:v>
                </c:pt>
                <c:pt idx="135">
                  <c:v>44761.705555555498</c:v>
                </c:pt>
                <c:pt idx="136">
                  <c:v>44762.705555555498</c:v>
                </c:pt>
                <c:pt idx="137">
                  <c:v>44763.705555555498</c:v>
                </c:pt>
                <c:pt idx="138">
                  <c:v>44764.705555555498</c:v>
                </c:pt>
                <c:pt idx="139">
                  <c:v>44767.705555555498</c:v>
                </c:pt>
                <c:pt idx="140">
                  <c:v>44768.705555555498</c:v>
                </c:pt>
                <c:pt idx="141">
                  <c:v>44769.705555555498</c:v>
                </c:pt>
                <c:pt idx="142">
                  <c:v>44770.705555555498</c:v>
                </c:pt>
                <c:pt idx="143">
                  <c:v>44771.705555555498</c:v>
                </c:pt>
                <c:pt idx="144">
                  <c:v>44774.705555555498</c:v>
                </c:pt>
                <c:pt idx="145">
                  <c:v>44775.705555555498</c:v>
                </c:pt>
                <c:pt idx="146">
                  <c:v>44776.705555555498</c:v>
                </c:pt>
                <c:pt idx="147">
                  <c:v>44777.705555555498</c:v>
                </c:pt>
                <c:pt idx="148">
                  <c:v>44778.705555555498</c:v>
                </c:pt>
                <c:pt idx="149">
                  <c:v>44781.705555555498</c:v>
                </c:pt>
                <c:pt idx="150">
                  <c:v>44782.705555555498</c:v>
                </c:pt>
                <c:pt idx="151">
                  <c:v>44783.705555555498</c:v>
                </c:pt>
                <c:pt idx="152">
                  <c:v>44784.705555555498</c:v>
                </c:pt>
                <c:pt idx="153">
                  <c:v>44785.705555555498</c:v>
                </c:pt>
                <c:pt idx="154">
                  <c:v>44788.705555555498</c:v>
                </c:pt>
                <c:pt idx="155">
                  <c:v>44789.705555555498</c:v>
                </c:pt>
                <c:pt idx="156">
                  <c:v>44790.705555555498</c:v>
                </c:pt>
                <c:pt idx="157">
                  <c:v>44791.705555555498</c:v>
                </c:pt>
                <c:pt idx="158">
                  <c:v>44792.705555555498</c:v>
                </c:pt>
                <c:pt idx="159">
                  <c:v>44795.705555555498</c:v>
                </c:pt>
                <c:pt idx="160">
                  <c:v>44796.705555555498</c:v>
                </c:pt>
                <c:pt idx="161">
                  <c:v>44797.705555555498</c:v>
                </c:pt>
                <c:pt idx="162">
                  <c:v>44798.705555555498</c:v>
                </c:pt>
                <c:pt idx="163">
                  <c:v>44799.705555555498</c:v>
                </c:pt>
                <c:pt idx="164">
                  <c:v>44802.705555555498</c:v>
                </c:pt>
                <c:pt idx="165">
                  <c:v>44803.705555555498</c:v>
                </c:pt>
                <c:pt idx="166">
                  <c:v>44804.705555555498</c:v>
                </c:pt>
                <c:pt idx="167">
                  <c:v>44805.705555555498</c:v>
                </c:pt>
                <c:pt idx="168">
                  <c:v>44806.705555555498</c:v>
                </c:pt>
                <c:pt idx="169">
                  <c:v>44809.705555555498</c:v>
                </c:pt>
                <c:pt idx="170">
                  <c:v>44810.705555555498</c:v>
                </c:pt>
                <c:pt idx="171">
                  <c:v>44812.705555555498</c:v>
                </c:pt>
                <c:pt idx="172">
                  <c:v>44813.705555555498</c:v>
                </c:pt>
                <c:pt idx="173">
                  <c:v>44816.705555555498</c:v>
                </c:pt>
                <c:pt idx="174">
                  <c:v>44817.705555555498</c:v>
                </c:pt>
                <c:pt idx="175">
                  <c:v>44818.705555555498</c:v>
                </c:pt>
                <c:pt idx="176">
                  <c:v>44819.705555555498</c:v>
                </c:pt>
                <c:pt idx="177">
                  <c:v>44820.705555555498</c:v>
                </c:pt>
              </c:numCache>
            </c:numRef>
          </c:cat>
          <c:val>
            <c:numRef>
              <c:f>'Dados Preços Acoes'!$B$2913:$B$3090</c:f>
              <c:numCache>
                <c:formatCode>General</c:formatCode>
                <c:ptCount val="178"/>
                <c:pt idx="0">
                  <c:v>32.28</c:v>
                </c:pt>
                <c:pt idx="1">
                  <c:v>31.59</c:v>
                </c:pt>
                <c:pt idx="2">
                  <c:v>31.46</c:v>
                </c:pt>
                <c:pt idx="3">
                  <c:v>31.41</c:v>
                </c:pt>
                <c:pt idx="4">
                  <c:v>30.04</c:v>
                </c:pt>
                <c:pt idx="5">
                  <c:v>29.16</c:v>
                </c:pt>
                <c:pt idx="6">
                  <c:v>29.52</c:v>
                </c:pt>
                <c:pt idx="7">
                  <c:v>31.07</c:v>
                </c:pt>
                <c:pt idx="8">
                  <c:v>31.08</c:v>
                </c:pt>
                <c:pt idx="9">
                  <c:v>31.27</c:v>
                </c:pt>
                <c:pt idx="10">
                  <c:v>31.35</c:v>
                </c:pt>
                <c:pt idx="11">
                  <c:v>31.36</c:v>
                </c:pt>
                <c:pt idx="12">
                  <c:v>32.69</c:v>
                </c:pt>
                <c:pt idx="13">
                  <c:v>33.090000000000003</c:v>
                </c:pt>
                <c:pt idx="14">
                  <c:v>33.630000000000003</c:v>
                </c:pt>
                <c:pt idx="15">
                  <c:v>32.950000000000003</c:v>
                </c:pt>
                <c:pt idx="16">
                  <c:v>33.67</c:v>
                </c:pt>
                <c:pt idx="17">
                  <c:v>34.72</c:v>
                </c:pt>
                <c:pt idx="18">
                  <c:v>34.53</c:v>
                </c:pt>
                <c:pt idx="19">
                  <c:v>35.049999999999997</c:v>
                </c:pt>
                <c:pt idx="20">
                  <c:v>34.909999999999997</c:v>
                </c:pt>
                <c:pt idx="21">
                  <c:v>34.25</c:v>
                </c:pt>
                <c:pt idx="22">
                  <c:v>33.520000000000003</c:v>
                </c:pt>
                <c:pt idx="23">
                  <c:v>33.97</c:v>
                </c:pt>
                <c:pt idx="24">
                  <c:v>33.33</c:v>
                </c:pt>
                <c:pt idx="25">
                  <c:v>33.1</c:v>
                </c:pt>
                <c:pt idx="26">
                  <c:v>32.799999999999997</c:v>
                </c:pt>
                <c:pt idx="27">
                  <c:v>33.630000000000003</c:v>
                </c:pt>
                <c:pt idx="28">
                  <c:v>33.630000000000003</c:v>
                </c:pt>
                <c:pt idx="29">
                  <c:v>32.97</c:v>
                </c:pt>
                <c:pt idx="30">
                  <c:v>33.06</c:v>
                </c:pt>
                <c:pt idx="31">
                  <c:v>35.119999999999997</c:v>
                </c:pt>
                <c:pt idx="32">
                  <c:v>34.79</c:v>
                </c:pt>
                <c:pt idx="33">
                  <c:v>34.799999999999997</c:v>
                </c:pt>
                <c:pt idx="34">
                  <c:v>34.28</c:v>
                </c:pt>
                <c:pt idx="35">
                  <c:v>33.5</c:v>
                </c:pt>
                <c:pt idx="36">
                  <c:v>33.75</c:v>
                </c:pt>
                <c:pt idx="37">
                  <c:v>34.47</c:v>
                </c:pt>
                <c:pt idx="38">
                  <c:v>33.44</c:v>
                </c:pt>
                <c:pt idx="39">
                  <c:v>34.4</c:v>
                </c:pt>
                <c:pt idx="40">
                  <c:v>34.130000000000003</c:v>
                </c:pt>
                <c:pt idx="41">
                  <c:v>34.71</c:v>
                </c:pt>
                <c:pt idx="42">
                  <c:v>34.32</c:v>
                </c:pt>
                <c:pt idx="43">
                  <c:v>32.53</c:v>
                </c:pt>
                <c:pt idx="44">
                  <c:v>32.950000000000003</c:v>
                </c:pt>
                <c:pt idx="45">
                  <c:v>34.57</c:v>
                </c:pt>
                <c:pt idx="46">
                  <c:v>34.31</c:v>
                </c:pt>
                <c:pt idx="47">
                  <c:v>33.67</c:v>
                </c:pt>
                <c:pt idx="48">
                  <c:v>33.33</c:v>
                </c:pt>
                <c:pt idx="49">
                  <c:v>33.39</c:v>
                </c:pt>
                <c:pt idx="50">
                  <c:v>33.1</c:v>
                </c:pt>
                <c:pt idx="51">
                  <c:v>33.74</c:v>
                </c:pt>
                <c:pt idx="52">
                  <c:v>34.69</c:v>
                </c:pt>
                <c:pt idx="53">
                  <c:v>34.28</c:v>
                </c:pt>
                <c:pt idx="54">
                  <c:v>35.47</c:v>
                </c:pt>
                <c:pt idx="55">
                  <c:v>35.44</c:v>
                </c:pt>
                <c:pt idx="56">
                  <c:v>35.79</c:v>
                </c:pt>
                <c:pt idx="57">
                  <c:v>36.14</c:v>
                </c:pt>
                <c:pt idx="58">
                  <c:v>36.19</c:v>
                </c:pt>
                <c:pt idx="59">
                  <c:v>36.64</c:v>
                </c:pt>
                <c:pt idx="60">
                  <c:v>36.549999999999997</c:v>
                </c:pt>
                <c:pt idx="61">
                  <c:v>37.57</c:v>
                </c:pt>
                <c:pt idx="62">
                  <c:v>38.880000000000003</c:v>
                </c:pt>
                <c:pt idx="63">
                  <c:v>39.18</c:v>
                </c:pt>
                <c:pt idx="64">
                  <c:v>37.659999999999997</c:v>
                </c:pt>
                <c:pt idx="65">
                  <c:v>39.08</c:v>
                </c:pt>
                <c:pt idx="66">
                  <c:v>40.299999999999997</c:v>
                </c:pt>
                <c:pt idx="67">
                  <c:v>42.44</c:v>
                </c:pt>
                <c:pt idx="68">
                  <c:v>41.28</c:v>
                </c:pt>
                <c:pt idx="69">
                  <c:v>41.8</c:v>
                </c:pt>
                <c:pt idx="70">
                  <c:v>42.94</c:v>
                </c:pt>
                <c:pt idx="71">
                  <c:v>42.94</c:v>
                </c:pt>
                <c:pt idx="72">
                  <c:v>42.02</c:v>
                </c:pt>
                <c:pt idx="73">
                  <c:v>40.17</c:v>
                </c:pt>
                <c:pt idx="74">
                  <c:v>41.75</c:v>
                </c:pt>
                <c:pt idx="75">
                  <c:v>39.68</c:v>
                </c:pt>
                <c:pt idx="76">
                  <c:v>39.119999999999997</c:v>
                </c:pt>
                <c:pt idx="77">
                  <c:v>39.75</c:v>
                </c:pt>
                <c:pt idx="78">
                  <c:v>40.229999999999997</c:v>
                </c:pt>
                <c:pt idx="79">
                  <c:v>40.049999999999997</c:v>
                </c:pt>
                <c:pt idx="80">
                  <c:v>38.65</c:v>
                </c:pt>
                <c:pt idx="81">
                  <c:v>38.43</c:v>
                </c:pt>
                <c:pt idx="82">
                  <c:v>39.33</c:v>
                </c:pt>
                <c:pt idx="83">
                  <c:v>38.69</c:v>
                </c:pt>
                <c:pt idx="84">
                  <c:v>38.26</c:v>
                </c:pt>
                <c:pt idx="85">
                  <c:v>38.53</c:v>
                </c:pt>
                <c:pt idx="86">
                  <c:v>39.450000000000003</c:v>
                </c:pt>
                <c:pt idx="87">
                  <c:v>39.33</c:v>
                </c:pt>
                <c:pt idx="88">
                  <c:v>39.729999999999997</c:v>
                </c:pt>
                <c:pt idx="89">
                  <c:v>40.86</c:v>
                </c:pt>
                <c:pt idx="90">
                  <c:v>41.47</c:v>
                </c:pt>
                <c:pt idx="91">
                  <c:v>43.06</c:v>
                </c:pt>
                <c:pt idx="92">
                  <c:v>42.13</c:v>
                </c:pt>
                <c:pt idx="93">
                  <c:v>43.41</c:v>
                </c:pt>
                <c:pt idx="94">
                  <c:v>43.5</c:v>
                </c:pt>
                <c:pt idx="95">
                  <c:v>43.35</c:v>
                </c:pt>
                <c:pt idx="96">
                  <c:v>44.21</c:v>
                </c:pt>
                <c:pt idx="97">
                  <c:v>44.44</c:v>
                </c:pt>
                <c:pt idx="98">
                  <c:v>43.53</c:v>
                </c:pt>
                <c:pt idx="99">
                  <c:v>43</c:v>
                </c:pt>
                <c:pt idx="100">
                  <c:v>42</c:v>
                </c:pt>
                <c:pt idx="101">
                  <c:v>42.14</c:v>
                </c:pt>
                <c:pt idx="102">
                  <c:v>43</c:v>
                </c:pt>
                <c:pt idx="103">
                  <c:v>43.33</c:v>
                </c:pt>
                <c:pt idx="104">
                  <c:v>41.96</c:v>
                </c:pt>
                <c:pt idx="105">
                  <c:v>41.9</c:v>
                </c:pt>
                <c:pt idx="106">
                  <c:v>41.8</c:v>
                </c:pt>
                <c:pt idx="107">
                  <c:v>42.14</c:v>
                </c:pt>
                <c:pt idx="108">
                  <c:v>43.04</c:v>
                </c:pt>
                <c:pt idx="109">
                  <c:v>41</c:v>
                </c:pt>
                <c:pt idx="110">
                  <c:v>40.1</c:v>
                </c:pt>
                <c:pt idx="111">
                  <c:v>41.45</c:v>
                </c:pt>
                <c:pt idx="112">
                  <c:v>42.6</c:v>
                </c:pt>
                <c:pt idx="113">
                  <c:v>42.89</c:v>
                </c:pt>
                <c:pt idx="114">
                  <c:v>43.65</c:v>
                </c:pt>
                <c:pt idx="115">
                  <c:v>44</c:v>
                </c:pt>
                <c:pt idx="116">
                  <c:v>44.48</c:v>
                </c:pt>
                <c:pt idx="117">
                  <c:v>43.83</c:v>
                </c:pt>
                <c:pt idx="118">
                  <c:v>44.25</c:v>
                </c:pt>
                <c:pt idx="119">
                  <c:v>45.3</c:v>
                </c:pt>
                <c:pt idx="120">
                  <c:v>45.56</c:v>
                </c:pt>
                <c:pt idx="121">
                  <c:v>45.72</c:v>
                </c:pt>
                <c:pt idx="122">
                  <c:v>46.2</c:v>
                </c:pt>
                <c:pt idx="123">
                  <c:v>45.85</c:v>
                </c:pt>
                <c:pt idx="124">
                  <c:v>45.24</c:v>
                </c:pt>
                <c:pt idx="125">
                  <c:v>44.71</c:v>
                </c:pt>
                <c:pt idx="126">
                  <c:v>44.18</c:v>
                </c:pt>
                <c:pt idx="127">
                  <c:v>44.71</c:v>
                </c:pt>
                <c:pt idx="128">
                  <c:v>43.95</c:v>
                </c:pt>
                <c:pt idx="129">
                  <c:v>42.25</c:v>
                </c:pt>
                <c:pt idx="130">
                  <c:v>42.89</c:v>
                </c:pt>
                <c:pt idx="131">
                  <c:v>43.19</c:v>
                </c:pt>
                <c:pt idx="132">
                  <c:v>43.6</c:v>
                </c:pt>
                <c:pt idx="133">
                  <c:v>44.05</c:v>
                </c:pt>
                <c:pt idx="134">
                  <c:v>43.89</c:v>
                </c:pt>
                <c:pt idx="135">
                  <c:v>44.22</c:v>
                </c:pt>
                <c:pt idx="136">
                  <c:v>44.37</c:v>
                </c:pt>
                <c:pt idx="137">
                  <c:v>44.56</c:v>
                </c:pt>
                <c:pt idx="138">
                  <c:v>44.63</c:v>
                </c:pt>
                <c:pt idx="139">
                  <c:v>44.85</c:v>
                </c:pt>
                <c:pt idx="140">
                  <c:v>44.65</c:v>
                </c:pt>
                <c:pt idx="141">
                  <c:v>45.37</c:v>
                </c:pt>
                <c:pt idx="142">
                  <c:v>45.45</c:v>
                </c:pt>
                <c:pt idx="143">
                  <c:v>45.81</c:v>
                </c:pt>
                <c:pt idx="144">
                  <c:v>46.5</c:v>
                </c:pt>
                <c:pt idx="145">
                  <c:v>46.86</c:v>
                </c:pt>
                <c:pt idx="146">
                  <c:v>47.01</c:v>
                </c:pt>
                <c:pt idx="147">
                  <c:v>48.32</c:v>
                </c:pt>
                <c:pt idx="148">
                  <c:v>48.13</c:v>
                </c:pt>
                <c:pt idx="149">
                  <c:v>48.29</c:v>
                </c:pt>
                <c:pt idx="150">
                  <c:v>48.33</c:v>
                </c:pt>
                <c:pt idx="151">
                  <c:v>47.98</c:v>
                </c:pt>
                <c:pt idx="152">
                  <c:v>46.96</c:v>
                </c:pt>
                <c:pt idx="153">
                  <c:v>46.9</c:v>
                </c:pt>
                <c:pt idx="154">
                  <c:v>48.68</c:v>
                </c:pt>
                <c:pt idx="155">
                  <c:v>48.44</c:v>
                </c:pt>
                <c:pt idx="156">
                  <c:v>49.6</c:v>
                </c:pt>
                <c:pt idx="157">
                  <c:v>49.42</c:v>
                </c:pt>
                <c:pt idx="158">
                  <c:v>48.17</c:v>
                </c:pt>
                <c:pt idx="159">
                  <c:v>47.58</c:v>
                </c:pt>
                <c:pt idx="160">
                  <c:v>47.61</c:v>
                </c:pt>
                <c:pt idx="161">
                  <c:v>47.48</c:v>
                </c:pt>
                <c:pt idx="162">
                  <c:v>46.79</c:v>
                </c:pt>
                <c:pt idx="163">
                  <c:v>46.35</c:v>
                </c:pt>
                <c:pt idx="164">
                  <c:v>46.66</c:v>
                </c:pt>
                <c:pt idx="165">
                  <c:v>46.04</c:v>
                </c:pt>
                <c:pt idx="166">
                  <c:v>46.11</c:v>
                </c:pt>
                <c:pt idx="167">
                  <c:v>46.81</c:v>
                </c:pt>
                <c:pt idx="168">
                  <c:v>46.51</c:v>
                </c:pt>
                <c:pt idx="169">
                  <c:v>46.45</c:v>
                </c:pt>
                <c:pt idx="170">
                  <c:v>45.16</c:v>
                </c:pt>
                <c:pt idx="171">
                  <c:v>45.22</c:v>
                </c:pt>
                <c:pt idx="172">
                  <c:v>45.34</c:v>
                </c:pt>
                <c:pt idx="173">
                  <c:v>46.11</c:v>
                </c:pt>
                <c:pt idx="174">
                  <c:v>45.46</c:v>
                </c:pt>
                <c:pt idx="175">
                  <c:v>45.37</c:v>
                </c:pt>
                <c:pt idx="176">
                  <c:v>44.69</c:v>
                </c:pt>
                <c:pt idx="177">
                  <c:v>43.88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C-45D8-A848-BC4653041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5617304"/>
        <c:axId val="755618616"/>
      </c:lineChart>
      <c:dateAx>
        <c:axId val="755617304"/>
        <c:scaling>
          <c:orientation val="minMax"/>
        </c:scaling>
        <c:delete val="0"/>
        <c:axPos val="b"/>
        <c:numFmt formatCode="m/d/yyyy\ 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18616"/>
        <c:crosses val="autoZero"/>
        <c:auto val="1"/>
        <c:lblOffset val="100"/>
        <c:baseTimeUnit val="days"/>
      </c:dateAx>
      <c:valAx>
        <c:axId val="75561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17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Linear ex 1'!$F$6</c:f>
              <c:strCache>
                <c:ptCount val="1"/>
                <c:pt idx="0">
                  <c:v>Leitura do Turbidímetro</c:v>
                </c:pt>
              </c:strCache>
            </c:strRef>
          </c:tx>
          <c:spPr>
            <a:ln w="28575">
              <a:noFill/>
            </a:ln>
          </c:spPr>
          <c:xVal>
            <c:numRef>
              <c:f>'Regressão Linear ex 1'!$E$7:$E$11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'Regressão Linear ex 1'!$F$7:$F$11</c:f>
              <c:numCache>
                <c:formatCode>General</c:formatCode>
                <c:ptCount val="5"/>
                <c:pt idx="0">
                  <c:v>0.06</c:v>
                </c:pt>
                <c:pt idx="1">
                  <c:v>1.48</c:v>
                </c:pt>
                <c:pt idx="2">
                  <c:v>2.2799999999999998</c:v>
                </c:pt>
                <c:pt idx="3">
                  <c:v>3.98</c:v>
                </c:pt>
                <c:pt idx="4">
                  <c:v>4.6100000000000003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9-497C-AA60-FE10D5661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379072"/>
        <c:axId val="229380864"/>
      </c:scatterChart>
      <c:valAx>
        <c:axId val="22937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9380864"/>
        <c:crosses val="autoZero"/>
        <c:crossBetween val="midCat"/>
      </c:valAx>
      <c:valAx>
        <c:axId val="229380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9379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Leitura do Turbidímetro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'Regressão Linear ex 1'!$E$7:$E$11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'Regressão Linear ex 1'!$F$7:$F$11</c:f>
              <c:numCache>
                <c:formatCode>General</c:formatCode>
                <c:ptCount val="5"/>
                <c:pt idx="0">
                  <c:v>0.06</c:v>
                </c:pt>
                <c:pt idx="1">
                  <c:v>1.48</c:v>
                </c:pt>
                <c:pt idx="2">
                  <c:v>2.2799999999999998</c:v>
                </c:pt>
                <c:pt idx="3">
                  <c:v>3.98</c:v>
                </c:pt>
                <c:pt idx="4">
                  <c:v>4.6100000000000003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C1-49E4-A40B-C792DEBBD26D}"/>
            </c:ext>
          </c:extLst>
        </c:ser>
        <c:ser>
          <c:idx val="1"/>
          <c:order val="1"/>
          <c:tx>
            <c:v>Previsto(a) Leitura do Turbidímetro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'Regressão Linear ex 1'!$E$7:$E$11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'Regressão Linear ex 1'!$J$52:$J$56</c:f>
              <c:numCache>
                <c:formatCode>General</c:formatCode>
                <c:ptCount val="5"/>
                <c:pt idx="0">
                  <c:v>0.16200000000000037</c:v>
                </c:pt>
                <c:pt idx="1">
                  <c:v>1.3220000000000003</c:v>
                </c:pt>
                <c:pt idx="2">
                  <c:v>2.4820000000000002</c:v>
                </c:pt>
                <c:pt idx="3">
                  <c:v>3.6419999999999999</c:v>
                </c:pt>
                <c:pt idx="4">
                  <c:v>4.8019999999999996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1-49E4-A40B-C792DEBBD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428224"/>
        <c:axId val="229438592"/>
      </c:scatterChart>
      <c:valAx>
        <c:axId val="22942822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pt-B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438592"/>
        <c:crosses val="autoZero"/>
        <c:crossBetween val="midCat"/>
      </c:valAx>
      <c:valAx>
        <c:axId val="22943859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Leitura do Turbidímetro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428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Linear ex 1'!$F$6</c:f>
              <c:strCache>
                <c:ptCount val="1"/>
                <c:pt idx="0">
                  <c:v>Leitura do Turbidímetro</c:v>
                </c:pt>
              </c:strCache>
            </c:strRef>
          </c:tx>
          <c:spPr>
            <a:ln w="28575">
              <a:noFill/>
            </a:ln>
          </c:spPr>
          <c:xVal>
            <c:numRef>
              <c:f>'Regressão Linear ex 1'!$E$7:$E$11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'Regressão Linear ex 1'!$F$7:$F$11</c:f>
              <c:numCache>
                <c:formatCode>General</c:formatCode>
                <c:ptCount val="5"/>
                <c:pt idx="0">
                  <c:v>0.06</c:v>
                </c:pt>
                <c:pt idx="1">
                  <c:v>1.48</c:v>
                </c:pt>
                <c:pt idx="2">
                  <c:v>2.2799999999999998</c:v>
                </c:pt>
                <c:pt idx="3">
                  <c:v>3.98</c:v>
                </c:pt>
                <c:pt idx="4">
                  <c:v>4.6100000000000003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C-4D6D-9D7D-0D19F9DDC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256832"/>
        <c:axId val="233255296"/>
      </c:scatterChart>
      <c:valAx>
        <c:axId val="23325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3255296"/>
        <c:crosses val="autoZero"/>
        <c:crossBetween val="midCat"/>
      </c:valAx>
      <c:valAx>
        <c:axId val="23325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32568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Cx Plotagem de ajuste de linha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Leitura do Turbidímetro</c:v>
          </c:tx>
          <c:spPr>
            <a:ln w="28575">
              <a:noFill/>
            </a:ln>
          </c:spPr>
          <c:xVal>
            <c:numRef>
              <c:f>'Regressão Linear ex 1'!$E$7:$E$11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'Regressão Linear ex 1'!$F$7:$F$11</c:f>
              <c:numCache>
                <c:formatCode>General</c:formatCode>
                <c:ptCount val="5"/>
                <c:pt idx="0">
                  <c:v>0.06</c:v>
                </c:pt>
                <c:pt idx="1">
                  <c:v>1.48</c:v>
                </c:pt>
                <c:pt idx="2">
                  <c:v>2.2799999999999998</c:v>
                </c:pt>
                <c:pt idx="3">
                  <c:v>3.98</c:v>
                </c:pt>
                <c:pt idx="4">
                  <c:v>4.6100000000000003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11-44DB-B31E-705B7BC0B1D7}"/>
            </c:ext>
          </c:extLst>
        </c:ser>
        <c:ser>
          <c:idx val="1"/>
          <c:order val="1"/>
          <c:tx>
            <c:v>Previsto(a) Leitura do Turbidímetro</c:v>
          </c:tx>
          <c:spPr>
            <a:ln w="28575">
              <a:noFill/>
            </a:ln>
          </c:spPr>
          <c:xVal>
            <c:numRef>
              <c:f>'Regressão Linear ex 1'!$E$7:$E$11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'Regressão Linear ex 1'!$AC$50:$AC$54</c:f>
              <c:numCache>
                <c:formatCode>General</c:formatCode>
                <c:ptCount val="5"/>
                <c:pt idx="0">
                  <c:v>0.16200000000000037</c:v>
                </c:pt>
                <c:pt idx="1">
                  <c:v>1.3220000000000003</c:v>
                </c:pt>
                <c:pt idx="2">
                  <c:v>2.4820000000000002</c:v>
                </c:pt>
                <c:pt idx="3">
                  <c:v>3.6419999999999999</c:v>
                </c:pt>
                <c:pt idx="4">
                  <c:v>4.8019999999999996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11-44DB-B31E-705B7BC0B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79648"/>
        <c:axId val="229308672"/>
      </c:scatterChart>
      <c:valAx>
        <c:axId val="231979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308672"/>
        <c:crosses val="autoZero"/>
        <c:crossBetween val="midCat"/>
      </c:valAx>
      <c:valAx>
        <c:axId val="229308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Leitura do Turbidímetro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979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 = vendas semanais (milhar $)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Linear ex 2'!$F$6</c:f>
              <c:strCache>
                <c:ptCount val="1"/>
                <c:pt idx="0">
                  <c:v>y = vendas semanais (1000 $)</c:v>
                </c:pt>
              </c:strCache>
            </c:strRef>
          </c:tx>
          <c:spPr>
            <a:ln w="28575">
              <a:noFill/>
            </a:ln>
          </c:spPr>
          <c:xVal>
            <c:numRef>
              <c:f>'Regressão Linear ex 2'!$E$7:$E$26</c:f>
              <c:numCache>
                <c:formatCode>General</c:formatCode>
                <c:ptCount val="20"/>
                <c:pt idx="0">
                  <c:v>907</c:v>
                </c:pt>
                <c:pt idx="1">
                  <c:v>926</c:v>
                </c:pt>
                <c:pt idx="2">
                  <c:v>506</c:v>
                </c:pt>
                <c:pt idx="3">
                  <c:v>741</c:v>
                </c:pt>
                <c:pt idx="4">
                  <c:v>789</c:v>
                </c:pt>
                <c:pt idx="5">
                  <c:v>889</c:v>
                </c:pt>
                <c:pt idx="6">
                  <c:v>874</c:v>
                </c:pt>
                <c:pt idx="7">
                  <c:v>510</c:v>
                </c:pt>
                <c:pt idx="8">
                  <c:v>529</c:v>
                </c:pt>
                <c:pt idx="9">
                  <c:v>420</c:v>
                </c:pt>
                <c:pt idx="10">
                  <c:v>679</c:v>
                </c:pt>
                <c:pt idx="11">
                  <c:v>872</c:v>
                </c:pt>
                <c:pt idx="12">
                  <c:v>924</c:v>
                </c:pt>
                <c:pt idx="13">
                  <c:v>607</c:v>
                </c:pt>
                <c:pt idx="14">
                  <c:v>452</c:v>
                </c:pt>
                <c:pt idx="15">
                  <c:v>729</c:v>
                </c:pt>
                <c:pt idx="16">
                  <c:v>794</c:v>
                </c:pt>
                <c:pt idx="17">
                  <c:v>844</c:v>
                </c:pt>
                <c:pt idx="18">
                  <c:v>1010</c:v>
                </c:pt>
                <c:pt idx="19">
                  <c:v>621</c:v>
                </c:pt>
              </c:numCache>
            </c:numRef>
          </c:xVal>
          <c:yVal>
            <c:numRef>
              <c:f>'Regressão Linear ex 2'!$F$7:$F$26</c:f>
              <c:numCache>
                <c:formatCode>General</c:formatCode>
                <c:ptCount val="20"/>
                <c:pt idx="0">
                  <c:v>11.2</c:v>
                </c:pt>
                <c:pt idx="1">
                  <c:v>11.05</c:v>
                </c:pt>
                <c:pt idx="2">
                  <c:v>6.84</c:v>
                </c:pt>
                <c:pt idx="3">
                  <c:v>9.2100000000000009</c:v>
                </c:pt>
                <c:pt idx="4">
                  <c:v>9.42</c:v>
                </c:pt>
                <c:pt idx="5">
                  <c:v>10.08</c:v>
                </c:pt>
                <c:pt idx="6">
                  <c:v>9.4499999999999993</c:v>
                </c:pt>
                <c:pt idx="7">
                  <c:v>6.73</c:v>
                </c:pt>
                <c:pt idx="8">
                  <c:v>7.24</c:v>
                </c:pt>
                <c:pt idx="9">
                  <c:v>6.12</c:v>
                </c:pt>
                <c:pt idx="10">
                  <c:v>7.63</c:v>
                </c:pt>
                <c:pt idx="11">
                  <c:v>9.43</c:v>
                </c:pt>
                <c:pt idx="12">
                  <c:v>9.4600000000000009</c:v>
                </c:pt>
                <c:pt idx="13">
                  <c:v>7.64</c:v>
                </c:pt>
                <c:pt idx="14">
                  <c:v>6.92</c:v>
                </c:pt>
                <c:pt idx="15">
                  <c:v>8.9499999999999993</c:v>
                </c:pt>
                <c:pt idx="16">
                  <c:v>9.33</c:v>
                </c:pt>
                <c:pt idx="17">
                  <c:v>10.23</c:v>
                </c:pt>
                <c:pt idx="18">
                  <c:v>11.77</c:v>
                </c:pt>
                <c:pt idx="19">
                  <c:v>7.41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B3-4AE8-833F-70F601C0A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519360"/>
        <c:axId val="229521280"/>
      </c:scatterChart>
      <c:valAx>
        <c:axId val="229519360"/>
        <c:scaling>
          <c:orientation val="minMax"/>
          <c:min val="3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 número de 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29521280"/>
        <c:crosses val="autoZero"/>
        <c:crossBetween val="midCat"/>
      </c:valAx>
      <c:valAx>
        <c:axId val="229521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 vendas semanais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29519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 = vendas semanais (milhar $)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Linear ex 2'!$F$6</c:f>
              <c:strCache>
                <c:ptCount val="1"/>
                <c:pt idx="0">
                  <c:v>y = vendas semanais (1000 $)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48220922677063027"/>
                  <c:y val="-4.8814523184601923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</a:t>
                    </a:r>
                    <a:r>
                      <a:rPr lang="en-US" sz="1100" baseline="0"/>
                      <a:t>= 0,0087x + 2,423
R² = 0,9119</a:t>
                    </a:r>
                    <a:endParaRPr lang="en-US" sz="1100"/>
                  </a:p>
                </c:rich>
              </c:tx>
              <c:numFmt formatCode="General" sourceLinked="0"/>
            </c:trendlineLbl>
          </c:trendline>
          <c:xVal>
            <c:numRef>
              <c:f>'Regressão Linear ex 2'!$E$7:$E$26</c:f>
              <c:numCache>
                <c:formatCode>General</c:formatCode>
                <c:ptCount val="20"/>
                <c:pt idx="0">
                  <c:v>907</c:v>
                </c:pt>
                <c:pt idx="1">
                  <c:v>926</c:v>
                </c:pt>
                <c:pt idx="2">
                  <c:v>506</c:v>
                </c:pt>
                <c:pt idx="3">
                  <c:v>741</c:v>
                </c:pt>
                <c:pt idx="4">
                  <c:v>789</c:v>
                </c:pt>
                <c:pt idx="5">
                  <c:v>889</c:v>
                </c:pt>
                <c:pt idx="6">
                  <c:v>874</c:v>
                </c:pt>
                <c:pt idx="7">
                  <c:v>510</c:v>
                </c:pt>
                <c:pt idx="8">
                  <c:v>529</c:v>
                </c:pt>
                <c:pt idx="9">
                  <c:v>420</c:v>
                </c:pt>
                <c:pt idx="10">
                  <c:v>679</c:v>
                </c:pt>
                <c:pt idx="11">
                  <c:v>872</c:v>
                </c:pt>
                <c:pt idx="12">
                  <c:v>924</c:v>
                </c:pt>
                <c:pt idx="13">
                  <c:v>607</c:v>
                </c:pt>
                <c:pt idx="14">
                  <c:v>452</c:v>
                </c:pt>
                <c:pt idx="15">
                  <c:v>729</c:v>
                </c:pt>
                <c:pt idx="16">
                  <c:v>794</c:v>
                </c:pt>
                <c:pt idx="17">
                  <c:v>844</c:v>
                </c:pt>
                <c:pt idx="18">
                  <c:v>1010</c:v>
                </c:pt>
                <c:pt idx="19">
                  <c:v>621</c:v>
                </c:pt>
              </c:numCache>
            </c:numRef>
          </c:xVal>
          <c:yVal>
            <c:numRef>
              <c:f>'Regressão Linear ex 2'!$F$7:$F$26</c:f>
              <c:numCache>
                <c:formatCode>General</c:formatCode>
                <c:ptCount val="20"/>
                <c:pt idx="0">
                  <c:v>11.2</c:v>
                </c:pt>
                <c:pt idx="1">
                  <c:v>11.05</c:v>
                </c:pt>
                <c:pt idx="2">
                  <c:v>6.84</c:v>
                </c:pt>
                <c:pt idx="3">
                  <c:v>9.2100000000000009</c:v>
                </c:pt>
                <c:pt idx="4">
                  <c:v>9.42</c:v>
                </c:pt>
                <c:pt idx="5">
                  <c:v>10.08</c:v>
                </c:pt>
                <c:pt idx="6">
                  <c:v>9.4499999999999993</c:v>
                </c:pt>
                <c:pt idx="7">
                  <c:v>6.73</c:v>
                </c:pt>
                <c:pt idx="8">
                  <c:v>7.24</c:v>
                </c:pt>
                <c:pt idx="9">
                  <c:v>6.12</c:v>
                </c:pt>
                <c:pt idx="10">
                  <c:v>7.63</c:v>
                </c:pt>
                <c:pt idx="11">
                  <c:v>9.43</c:v>
                </c:pt>
                <c:pt idx="12">
                  <c:v>9.4600000000000009</c:v>
                </c:pt>
                <c:pt idx="13">
                  <c:v>7.64</c:v>
                </c:pt>
                <c:pt idx="14">
                  <c:v>6.92</c:v>
                </c:pt>
                <c:pt idx="15">
                  <c:v>8.9499999999999993</c:v>
                </c:pt>
                <c:pt idx="16">
                  <c:v>9.33</c:v>
                </c:pt>
                <c:pt idx="17">
                  <c:v>10.23</c:v>
                </c:pt>
                <c:pt idx="18">
                  <c:v>11.77</c:v>
                </c:pt>
                <c:pt idx="19">
                  <c:v>7.41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6B-4011-AE84-F4C9005DB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09792"/>
        <c:axId val="229544704"/>
      </c:scatterChart>
      <c:valAx>
        <c:axId val="213809792"/>
        <c:scaling>
          <c:orientation val="minMax"/>
          <c:min val="3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 número de 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29544704"/>
        <c:crosses val="autoZero"/>
        <c:crossBetween val="midCat"/>
      </c:valAx>
      <c:valAx>
        <c:axId val="229544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 vendas semanais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809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x =número de clientes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'Regressão Linear ex 2'!$E$7:$E$26</c:f>
              <c:numCache>
                <c:formatCode>General</c:formatCode>
                <c:ptCount val="20"/>
                <c:pt idx="0">
                  <c:v>907</c:v>
                </c:pt>
                <c:pt idx="1">
                  <c:v>926</c:v>
                </c:pt>
                <c:pt idx="2">
                  <c:v>506</c:v>
                </c:pt>
                <c:pt idx="3">
                  <c:v>741</c:v>
                </c:pt>
                <c:pt idx="4">
                  <c:v>789</c:v>
                </c:pt>
                <c:pt idx="5">
                  <c:v>889</c:v>
                </c:pt>
                <c:pt idx="6">
                  <c:v>874</c:v>
                </c:pt>
                <c:pt idx="7">
                  <c:v>510</c:v>
                </c:pt>
                <c:pt idx="8">
                  <c:v>529</c:v>
                </c:pt>
                <c:pt idx="9">
                  <c:v>420</c:v>
                </c:pt>
                <c:pt idx="10">
                  <c:v>679</c:v>
                </c:pt>
                <c:pt idx="11">
                  <c:v>872</c:v>
                </c:pt>
                <c:pt idx="12">
                  <c:v>924</c:v>
                </c:pt>
                <c:pt idx="13">
                  <c:v>607</c:v>
                </c:pt>
                <c:pt idx="14">
                  <c:v>452</c:v>
                </c:pt>
                <c:pt idx="15">
                  <c:v>729</c:v>
                </c:pt>
                <c:pt idx="16">
                  <c:v>794</c:v>
                </c:pt>
                <c:pt idx="17">
                  <c:v>844</c:v>
                </c:pt>
                <c:pt idx="18">
                  <c:v>1010</c:v>
                </c:pt>
                <c:pt idx="19">
                  <c:v>621</c:v>
                </c:pt>
              </c:numCache>
            </c:numRef>
          </c:xVal>
          <c:yVal>
            <c:numRef>
              <c:f>'Regressão Linear ex 2'!$K$52:$K$71</c:f>
              <c:numCache>
                <c:formatCode>General</c:formatCode>
                <c:ptCount val="20"/>
                <c:pt idx="0">
                  <c:v>0.85944588254637111</c:v>
                </c:pt>
                <c:pt idx="1">
                  <c:v>0.54358845728837224</c:v>
                </c:pt>
                <c:pt idx="2">
                  <c:v>-8.9510692725447427E-5</c:v>
                </c:pt>
                <c:pt idx="3">
                  <c:v>0.31851601901098547</c:v>
                </c:pt>
                <c:pt idx="4">
                  <c:v>0.1095077867802523</c:v>
                </c:pt>
                <c:pt idx="5">
                  <c:v>-0.10342603036710507</c:v>
                </c:pt>
                <c:pt idx="6">
                  <c:v>-0.60248595779500214</c:v>
                </c:pt>
                <c:pt idx="7">
                  <c:v>-0.14500686337861879</c:v>
                </c:pt>
                <c:pt idx="8">
                  <c:v>0.19913571136338248</c:v>
                </c:pt>
                <c:pt idx="9">
                  <c:v>3.06335720540023E-2</c:v>
                </c:pt>
                <c:pt idx="10">
                  <c:v>-0.72026501435765322</c:v>
                </c:pt>
                <c:pt idx="11">
                  <c:v>-0.60502728145205431</c:v>
                </c:pt>
                <c:pt idx="12">
                  <c:v>-1.0289528663686802</c:v>
                </c:pt>
                <c:pt idx="13">
                  <c:v>-8.175266601155684E-2</c:v>
                </c:pt>
                <c:pt idx="14">
                  <c:v>0.55129475056684818</c:v>
                </c:pt>
                <c:pt idx="15">
                  <c:v>0.16326807706866653</c:v>
                </c:pt>
                <c:pt idx="16">
                  <c:v>-2.4138904077114276E-2</c:v>
                </c:pt>
                <c:pt idx="17">
                  <c:v>0.43939418734920643</c:v>
                </c:pt>
                <c:pt idx="18">
                  <c:v>0.530324050884591</c:v>
                </c:pt>
                <c:pt idx="19">
                  <c:v>-0.4339634004121864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D3-4980-8554-FB0388349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729024"/>
        <c:axId val="229730944"/>
      </c:scatterChart>
      <c:valAx>
        <c:axId val="22972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 =número de clientes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730944"/>
        <c:crosses val="autoZero"/>
        <c:crossBetween val="midCat"/>
      </c:valAx>
      <c:valAx>
        <c:axId val="229730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729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Plotagem de probabilidade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'Regressão Linear ex 2'!$M$52:$M$71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'Regressão Linear ex 2'!$N$52:$N$71</c:f>
              <c:numCache>
                <c:formatCode>General</c:formatCode>
                <c:ptCount val="20"/>
                <c:pt idx="0">
                  <c:v>6.12</c:v>
                </c:pt>
                <c:pt idx="1">
                  <c:v>6.73</c:v>
                </c:pt>
                <c:pt idx="2">
                  <c:v>6.84</c:v>
                </c:pt>
                <c:pt idx="3">
                  <c:v>6.92</c:v>
                </c:pt>
                <c:pt idx="4">
                  <c:v>7.24</c:v>
                </c:pt>
                <c:pt idx="5">
                  <c:v>7.41</c:v>
                </c:pt>
                <c:pt idx="6">
                  <c:v>7.63</c:v>
                </c:pt>
                <c:pt idx="7">
                  <c:v>7.64</c:v>
                </c:pt>
                <c:pt idx="8">
                  <c:v>8.9499999999999993</c:v>
                </c:pt>
                <c:pt idx="9">
                  <c:v>9.2100000000000009</c:v>
                </c:pt>
                <c:pt idx="10">
                  <c:v>9.33</c:v>
                </c:pt>
                <c:pt idx="11">
                  <c:v>9.42</c:v>
                </c:pt>
                <c:pt idx="12">
                  <c:v>9.43</c:v>
                </c:pt>
                <c:pt idx="13">
                  <c:v>9.4499999999999993</c:v>
                </c:pt>
                <c:pt idx="14">
                  <c:v>9.4600000000000009</c:v>
                </c:pt>
                <c:pt idx="15">
                  <c:v>10.08</c:v>
                </c:pt>
                <c:pt idx="16">
                  <c:v>10.23</c:v>
                </c:pt>
                <c:pt idx="17">
                  <c:v>11.05</c:v>
                </c:pt>
                <c:pt idx="18">
                  <c:v>11.2</c:v>
                </c:pt>
                <c:pt idx="19">
                  <c:v>11.77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E-4100-AFDF-D817ABE5F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644928"/>
        <c:axId val="229667584"/>
      </c:scatterChart>
      <c:valAx>
        <c:axId val="229644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Percentil da amostra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667584"/>
        <c:crosses val="autoZero"/>
        <c:crossBetween val="midCat"/>
      </c:valAx>
      <c:valAx>
        <c:axId val="229667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 = vendas semanais (1000 $)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644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image" Target="../media/image5.png"/><Relationship Id="rId7" Type="http://schemas.openxmlformats.org/officeDocument/2006/relationships/chart" Target="../charts/chart6.xml"/><Relationship Id="rId2" Type="http://schemas.openxmlformats.org/officeDocument/2006/relationships/chart" Target="../charts/chart4.xml"/><Relationship Id="rId1" Type="http://schemas.openxmlformats.org/officeDocument/2006/relationships/image" Target="../media/image4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283029</xdr:colOff>
      <xdr:row>27</xdr:row>
      <xdr:rowOff>157844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</xdr:row>
      <xdr:rowOff>0</xdr:rowOff>
    </xdr:from>
    <xdr:to>
      <xdr:col>19</xdr:col>
      <xdr:colOff>0</xdr:colOff>
      <xdr:row>20</xdr:row>
      <xdr:rowOff>152400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6</xdr:row>
      <xdr:rowOff>0</xdr:rowOff>
    </xdr:from>
    <xdr:to>
      <xdr:col>27</xdr:col>
      <xdr:colOff>0</xdr:colOff>
      <xdr:row>20</xdr:row>
      <xdr:rowOff>152400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567971</xdr:colOff>
      <xdr:row>5</xdr:row>
      <xdr:rowOff>107888</xdr:rowOff>
    </xdr:from>
    <xdr:to>
      <xdr:col>26</xdr:col>
      <xdr:colOff>520142</xdr:colOff>
      <xdr:row>29</xdr:row>
      <xdr:rowOff>175380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08249" y="1025110"/>
          <a:ext cx="6626726" cy="4470159"/>
        </a:xfrm>
        <a:prstGeom prst="rect">
          <a:avLst/>
        </a:prstGeom>
      </xdr:spPr>
    </xdr:pic>
    <xdr:clientData/>
  </xdr:twoCellAnchor>
  <xdr:twoCellAnchor editAs="oneCell">
    <xdr:from>
      <xdr:col>27</xdr:col>
      <xdr:colOff>308429</xdr:colOff>
      <xdr:row>5</xdr:row>
      <xdr:rowOff>163286</xdr:rowOff>
    </xdr:from>
    <xdr:to>
      <xdr:col>38</xdr:col>
      <xdr:colOff>99787</xdr:colOff>
      <xdr:row>29</xdr:row>
      <xdr:rowOff>127000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15929" y="1070429"/>
          <a:ext cx="6477001" cy="43180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63501</xdr:colOff>
      <xdr:row>34</xdr:row>
      <xdr:rowOff>174625</xdr:rowOff>
    </xdr:from>
    <xdr:to>
      <xdr:col>7</xdr:col>
      <xdr:colOff>1621919</xdr:colOff>
      <xdr:row>40</xdr:row>
      <xdr:rowOff>126999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57876" y="6381750"/>
          <a:ext cx="1558418" cy="10477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207819</xdr:colOff>
      <xdr:row>2</xdr:row>
      <xdr:rowOff>92364</xdr:rowOff>
    </xdr:from>
    <xdr:to>
      <xdr:col>4</xdr:col>
      <xdr:colOff>663865</xdr:colOff>
      <xdr:row>3</xdr:row>
      <xdr:rowOff>138546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819" y="461819"/>
          <a:ext cx="456046" cy="230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135659</xdr:colOff>
      <xdr:row>5</xdr:row>
      <xdr:rowOff>16740</xdr:rowOff>
    </xdr:from>
    <xdr:to>
      <xdr:col>12</xdr:col>
      <xdr:colOff>77932</xdr:colOff>
      <xdr:row>19</xdr:row>
      <xdr:rowOff>173758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634039</xdr:colOff>
      <xdr:row>24</xdr:row>
      <xdr:rowOff>4264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1500" y="4254500"/>
          <a:ext cx="634039" cy="18899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22129</xdr:colOff>
      <xdr:row>23</xdr:row>
      <xdr:rowOff>4265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0000" y="4069773"/>
          <a:ext cx="634039" cy="18899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10</xdr:col>
      <xdr:colOff>1091045</xdr:colOff>
      <xdr:row>67</xdr:row>
      <xdr:rowOff>11545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1101893</xdr:colOff>
      <xdr:row>79</xdr:row>
      <xdr:rowOff>30458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1500" y="12803909"/>
          <a:ext cx="3682303" cy="18777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1101893</xdr:colOff>
      <xdr:row>90</xdr:row>
      <xdr:rowOff>30458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1500" y="14835909"/>
          <a:ext cx="3682303" cy="1877731"/>
        </a:xfrm>
        <a:prstGeom prst="rect">
          <a:avLst/>
        </a:prstGeom>
      </xdr:spPr>
    </xdr:pic>
    <xdr:clientData/>
  </xdr:twoCellAnchor>
  <xdr:twoCellAnchor>
    <xdr:from>
      <xdr:col>13</xdr:col>
      <xdr:colOff>360795</xdr:colOff>
      <xdr:row>4</xdr:row>
      <xdr:rowOff>22513</xdr:rowOff>
    </xdr:from>
    <xdr:to>
      <xdr:col>21</xdr:col>
      <xdr:colOff>37522</xdr:colOff>
      <xdr:row>17</xdr:row>
      <xdr:rowOff>179531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63500</xdr:colOff>
      <xdr:row>10</xdr:row>
      <xdr:rowOff>11545</xdr:rowOff>
    </xdr:from>
    <xdr:to>
      <xdr:col>39</xdr:col>
      <xdr:colOff>392545</xdr:colOff>
      <xdr:row>27</xdr:row>
      <xdr:rowOff>84858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5</xdr:row>
      <xdr:rowOff>53975</xdr:rowOff>
    </xdr:from>
    <xdr:to>
      <xdr:col>13</xdr:col>
      <xdr:colOff>101600</xdr:colOff>
      <xdr:row>20</xdr:row>
      <xdr:rowOff>34925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72</xdr:row>
      <xdr:rowOff>0</xdr:rowOff>
    </xdr:from>
    <xdr:to>
      <xdr:col>12</xdr:col>
      <xdr:colOff>263525</xdr:colOff>
      <xdr:row>86</xdr:row>
      <xdr:rowOff>165100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89</xdr:row>
      <xdr:rowOff>0</xdr:rowOff>
    </xdr:from>
    <xdr:to>
      <xdr:col>10</xdr:col>
      <xdr:colOff>1079500</xdr:colOff>
      <xdr:row>99</xdr:row>
      <xdr:rowOff>19050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100</xdr:row>
      <xdr:rowOff>0</xdr:rowOff>
    </xdr:from>
    <xdr:to>
      <xdr:col>10</xdr:col>
      <xdr:colOff>1371600</xdr:colOff>
      <xdr:row>111</xdr:row>
      <xdr:rowOff>101600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M1" workbookViewId="0">
      <selection activeCell="K9" sqref="K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149"/>
  <sheetViews>
    <sheetView tabSelected="1" workbookViewId="0">
      <selection activeCell="F12" sqref="F12"/>
    </sheetView>
  </sheetViews>
  <sheetFormatPr defaultRowHeight="14.4" x14ac:dyDescent="0.3"/>
  <cols>
    <col min="1" max="1" width="18.33203125" style="113" bestFit="1" customWidth="1"/>
    <col min="2" max="2" width="10.5546875" style="113" bestFit="1" customWidth="1"/>
    <col min="3" max="3" width="18.33203125" style="113" customWidth="1"/>
    <col min="4" max="4" width="10.5546875" style="113" bestFit="1" customWidth="1"/>
    <col min="5" max="5" width="18.33203125" style="113" bestFit="1" customWidth="1"/>
    <col min="6" max="6" width="10.5546875" style="113" bestFit="1" customWidth="1"/>
    <col min="7" max="7" width="18.33203125" style="113" bestFit="1" customWidth="1"/>
    <col min="8" max="8" width="10.5546875" style="113" bestFit="1" customWidth="1"/>
    <col min="9" max="9" width="18.33203125" style="113" bestFit="1" customWidth="1"/>
    <col min="10" max="10" width="10.5546875" style="113" bestFit="1" customWidth="1"/>
    <col min="11" max="11" width="18.33203125" style="113" bestFit="1" customWidth="1"/>
    <col min="12" max="12" width="10.5546875" style="113" bestFit="1" customWidth="1"/>
    <col min="13" max="13" width="18.33203125" style="113" bestFit="1" customWidth="1"/>
    <col min="14" max="14" width="10.5546875" style="113" bestFit="1" customWidth="1"/>
    <col min="15" max="15" width="18.33203125" style="113" bestFit="1" customWidth="1"/>
    <col min="16" max="16" width="10.5546875" style="113" bestFit="1" customWidth="1"/>
    <col min="17" max="17" width="18.33203125" style="113" bestFit="1" customWidth="1"/>
    <col min="18" max="18" width="10.5546875" style="113" bestFit="1" customWidth="1"/>
    <col min="19" max="19" width="18.33203125" style="113" bestFit="1" customWidth="1"/>
    <col min="20" max="20" width="10.5546875" style="113" bestFit="1" customWidth="1"/>
  </cols>
  <sheetData>
    <row r="1" spans="1:20" x14ac:dyDescent="0.3">
      <c r="A1" s="109" t="s">
        <v>206</v>
      </c>
      <c r="B1" s="110">
        <f ca="1">TODAY()</f>
        <v>44877</v>
      </c>
      <c r="C1" s="109" t="s">
        <v>207</v>
      </c>
      <c r="D1" s="110">
        <f ca="1">TODAY()</f>
        <v>44877</v>
      </c>
      <c r="E1" s="109" t="s">
        <v>208</v>
      </c>
      <c r="F1" s="110">
        <f ca="1">TODAY()</f>
        <v>44877</v>
      </c>
      <c r="G1" s="109" t="s">
        <v>209</v>
      </c>
      <c r="H1" s="110">
        <f ca="1">TODAY()</f>
        <v>44877</v>
      </c>
      <c r="I1" s="109" t="s">
        <v>210</v>
      </c>
      <c r="J1" s="110">
        <f ca="1">TODAY()</f>
        <v>44877</v>
      </c>
      <c r="K1" s="109" t="s">
        <v>211</v>
      </c>
      <c r="L1" s="110">
        <f ca="1">TODAY()</f>
        <v>44877</v>
      </c>
      <c r="M1" s="109" t="s">
        <v>212</v>
      </c>
      <c r="N1" s="110">
        <f ca="1">TODAY()</f>
        <v>44877</v>
      </c>
      <c r="O1" s="109" t="s">
        <v>213</v>
      </c>
      <c r="P1" s="110">
        <f ca="1">TODAY()</f>
        <v>44877</v>
      </c>
      <c r="Q1" s="109" t="s">
        <v>214</v>
      </c>
      <c r="R1" s="110">
        <f ca="1">TODAY()</f>
        <v>44877</v>
      </c>
      <c r="S1" s="109" t="s">
        <v>215</v>
      </c>
      <c r="T1" s="110">
        <f ca="1">TODAY()</f>
        <v>44877</v>
      </c>
    </row>
    <row r="2" spans="1:20" x14ac:dyDescent="0.3">
      <c r="A2" s="111" t="str">
        <f ca="1">IFERROR(__xludf.DUMMYFUNCTION("GOOGLEFINANCE(""bvmf:ELET3"",""price"",""01/01/2010"",B1,""daily"")"),"Date")</f>
        <v>Date</v>
      </c>
      <c r="B2" s="111" t="str">
        <f ca="1">IFERROR(__xludf.DUMMYFUNCTION("""COMPUTED_VALUE"""),"Close")</f>
        <v>Close</v>
      </c>
      <c r="C2" s="111" t="str">
        <f ca="1">IFERROR(__xludf.DUMMYFUNCTION("GOOGLEFINANCE(""bvmf:ITUB4"",""price"",""01/01/2010"",D1,""daily"")"),"Date")</f>
        <v>Date</v>
      </c>
      <c r="D2" s="111" t="str">
        <f ca="1">IFERROR(__xludf.DUMMYFUNCTION("""COMPUTED_VALUE"""),"Close")</f>
        <v>Close</v>
      </c>
      <c r="E2" s="111" t="str">
        <f ca="1">IFERROR(__xludf.DUMMYFUNCTION("GOOGLEFINANCE(""ITSA4"",""price"",""01/01/2010"",F1,""daily"")"),"Date")</f>
        <v>Date</v>
      </c>
      <c r="F2" s="111" t="str">
        <f ca="1">IFERROR(__xludf.DUMMYFUNCTION("""COMPUTED_VALUE"""),"Close")</f>
        <v>Close</v>
      </c>
      <c r="G2" s="111" t="str">
        <f ca="1">IFERROR(__xludf.DUMMYFUNCTION("GOOGLEFINANCE(""PETR4"",""price"",""01/01/2010"",H1,""daily"")"),"Date")</f>
        <v>Date</v>
      </c>
      <c r="H2" s="111" t="str">
        <f ca="1">IFERROR(__xludf.DUMMYFUNCTION("""COMPUTED_VALUE"""),"Close")</f>
        <v>Close</v>
      </c>
      <c r="I2" s="111" t="str">
        <f ca="1">IFERROR(__xludf.DUMMYFUNCTION("GOOGLEFINANCE(""NUBR33"",""price"",""01/01/2021"",J1,""daily"")"),"Date")</f>
        <v>Date</v>
      </c>
      <c r="J2" s="111" t="str">
        <f ca="1">IFERROR(__xludf.DUMMYFUNCTION("""COMPUTED_VALUE"""),"Close")</f>
        <v>Close</v>
      </c>
      <c r="K2" s="111" t="str">
        <f ca="1">IFERROR(__xludf.DUMMYFUNCTION("GOOGLEFINANCE(""MGLU3"",""price"",""01/01/2010"",L1,""daily"")"),"Date")</f>
        <v>Date</v>
      </c>
      <c r="L2" s="111" t="str">
        <f ca="1">IFERROR(__xludf.DUMMYFUNCTION("""COMPUTED_VALUE"""),"Close")</f>
        <v>Close</v>
      </c>
      <c r="M2" s="111" t="str">
        <f ca="1">IFERROR(__xludf.DUMMYFUNCTION("GOOGLEFINANCE(""BBDC4"",""price"",""01/01/2010"",N1,""daily"")"),"Date")</f>
        <v>Date</v>
      </c>
      <c r="N2" s="111" t="str">
        <f ca="1">IFERROR(__xludf.DUMMYFUNCTION("""COMPUTED_VALUE"""),"Close")</f>
        <v>Close</v>
      </c>
      <c r="O2" s="111" t="str">
        <f ca="1">IFERROR(__xludf.DUMMYFUNCTION("GOOGLEFINANCE(""VALE3"",""price"",""01/01/2010"",P1,""daily"")"),"Date")</f>
        <v>Date</v>
      </c>
      <c r="P2" s="111" t="str">
        <f ca="1">IFERROR(__xludf.DUMMYFUNCTION("""COMPUTED_VALUE"""),"Close")</f>
        <v>Close</v>
      </c>
      <c r="Q2" s="111" t="str">
        <f ca="1">IFERROR(__xludf.DUMMYFUNCTION("GOOGLEFINANCE(""BBAS3"",""price"",""01/01/2010"",R1,""daily"")"),"Date")</f>
        <v>Date</v>
      </c>
      <c r="R2" s="111" t="str">
        <f ca="1">IFERROR(__xludf.DUMMYFUNCTION("""COMPUTED_VALUE"""),"Close")</f>
        <v>Close</v>
      </c>
      <c r="S2" s="111" t="str">
        <f ca="1">IFERROR(__xludf.DUMMYFUNCTION("GOOGLEFINANCE(""LREN3"",""price"",""01/01/2010"",T1,""daily"")"),"Date")</f>
        <v>Date</v>
      </c>
      <c r="T2" s="111" t="str">
        <f ca="1">IFERROR(__xludf.DUMMYFUNCTION("""COMPUTED_VALUE"""),"Close")</f>
        <v>Close</v>
      </c>
    </row>
    <row r="3" spans="1:20" x14ac:dyDescent="0.3">
      <c r="A3" s="112">
        <f ca="1">IFERROR(__xludf.DUMMYFUNCTION("""COMPUTED_VALUE"""),40182.7055555555)</f>
        <v>40182.705555555498</v>
      </c>
      <c r="B3" s="111">
        <f ca="1">IFERROR(__xludf.DUMMYFUNCTION("""COMPUTED_VALUE"""),37.37)</f>
        <v>37.369999999999997</v>
      </c>
      <c r="C3" s="112">
        <f ca="1">IFERROR(__xludf.DUMMYFUNCTION("""COMPUTED_VALUE"""),40182.7055555555)</f>
        <v>40182.705555555498</v>
      </c>
      <c r="D3" s="111">
        <f ca="1">IFERROR(__xludf.DUMMYFUNCTION("""COMPUTED_VALUE"""),20.1)</f>
        <v>20.100000000000001</v>
      </c>
      <c r="E3" s="112">
        <f ca="1">IFERROR(__xludf.DUMMYFUNCTION("""COMPUTED_VALUE"""),40182.7055555555)</f>
        <v>40182.705555555498</v>
      </c>
      <c r="F3" s="111">
        <f ca="1">IFERROR(__xludf.DUMMYFUNCTION("""COMPUTED_VALUE"""),8.05)</f>
        <v>8.0500000000000007</v>
      </c>
      <c r="G3" s="112">
        <f ca="1">IFERROR(__xludf.DUMMYFUNCTION("""COMPUTED_VALUE"""),40182.7055555555)</f>
        <v>40182.705555555498</v>
      </c>
      <c r="H3" s="111">
        <f ca="1">IFERROR(__xludf.DUMMYFUNCTION("""COMPUTED_VALUE"""),37.32)</f>
        <v>37.32</v>
      </c>
      <c r="I3" s="112">
        <f ca="1">IFERROR(__xludf.DUMMYFUNCTION("""COMPUTED_VALUE"""),44539.7055555555)</f>
        <v>44539.705555555498</v>
      </c>
      <c r="J3" s="111">
        <f ca="1">IFERROR(__xludf.DUMMYFUNCTION("""COMPUTED_VALUE"""),10.04)</f>
        <v>10.039999999999999</v>
      </c>
      <c r="K3" s="112">
        <f ca="1">IFERROR(__xludf.DUMMYFUNCTION("""COMPUTED_VALUE"""),40665.7055555555)</f>
        <v>40665.705555555498</v>
      </c>
      <c r="L3" s="111">
        <f ca="1">IFERROR(__xludf.DUMMYFUNCTION("""COMPUTED_VALUE"""),0.51)</f>
        <v>0.51</v>
      </c>
      <c r="M3" s="112">
        <f ca="1">IFERROR(__xludf.DUMMYFUNCTION("""COMPUTED_VALUE"""),40182.7055555555)</f>
        <v>40182.705555555498</v>
      </c>
      <c r="N3" s="111">
        <f ca="1">IFERROR(__xludf.DUMMYFUNCTION("""COMPUTED_VALUE"""),12.16)</f>
        <v>12.16</v>
      </c>
      <c r="O3" s="112">
        <f ca="1">IFERROR(__xludf.DUMMYFUNCTION("""COMPUTED_VALUE"""),40182.7055555555)</f>
        <v>40182.705555555498</v>
      </c>
      <c r="P3" s="111">
        <f ca="1">IFERROR(__xludf.DUMMYFUNCTION("""COMPUTED_VALUE"""),51.49)</f>
        <v>51.49</v>
      </c>
      <c r="Q3" s="112">
        <f ca="1">IFERROR(__xludf.DUMMYFUNCTION("""COMPUTED_VALUE"""),40182.7055555555)</f>
        <v>40182.705555555498</v>
      </c>
      <c r="R3" s="111">
        <f ca="1">IFERROR(__xludf.DUMMYFUNCTION("""COMPUTED_VALUE"""),29.9)</f>
        <v>29.9</v>
      </c>
      <c r="S3" s="112">
        <f ca="1">IFERROR(__xludf.DUMMYFUNCTION("""COMPUTED_VALUE"""),40182.7055555555)</f>
        <v>40182.705555555498</v>
      </c>
      <c r="T3" s="111">
        <f ca="1">IFERROR(__xludf.DUMMYFUNCTION("""COMPUTED_VALUE"""),6.05)</f>
        <v>6.05</v>
      </c>
    </row>
    <row r="4" spans="1:20" x14ac:dyDescent="0.3">
      <c r="A4" s="112">
        <f ca="1">IFERROR(__xludf.DUMMYFUNCTION("""COMPUTED_VALUE"""),40183.7055555555)</f>
        <v>40183.705555555498</v>
      </c>
      <c r="B4" s="111">
        <f ca="1">IFERROR(__xludf.DUMMYFUNCTION("""COMPUTED_VALUE"""),37.07)</f>
        <v>37.07</v>
      </c>
      <c r="C4" s="112">
        <f ca="1">IFERROR(__xludf.DUMMYFUNCTION("""COMPUTED_VALUE"""),40183.7055555555)</f>
        <v>40183.705555555498</v>
      </c>
      <c r="D4" s="111">
        <f ca="1">IFERROR(__xludf.DUMMYFUNCTION("""COMPUTED_VALUE"""),20.23)</f>
        <v>20.23</v>
      </c>
      <c r="E4" s="112">
        <f ca="1">IFERROR(__xludf.DUMMYFUNCTION("""COMPUTED_VALUE"""),40183.7055555555)</f>
        <v>40183.705555555498</v>
      </c>
      <c r="F4" s="111">
        <f ca="1">IFERROR(__xludf.DUMMYFUNCTION("""COMPUTED_VALUE"""),8.02)</f>
        <v>8.02</v>
      </c>
      <c r="G4" s="112">
        <f ca="1">IFERROR(__xludf.DUMMYFUNCTION("""COMPUTED_VALUE"""),40183.7055555555)</f>
        <v>40183.705555555498</v>
      </c>
      <c r="H4" s="111">
        <f ca="1">IFERROR(__xludf.DUMMYFUNCTION("""COMPUTED_VALUE"""),37)</f>
        <v>37</v>
      </c>
      <c r="I4" s="112">
        <f ca="1">IFERROR(__xludf.DUMMYFUNCTION("""COMPUTED_VALUE"""),44540.7055555555)</f>
        <v>44540.705555555498</v>
      </c>
      <c r="J4" s="111">
        <f ca="1">IFERROR(__xludf.DUMMYFUNCTION("""COMPUTED_VALUE"""),11.5)</f>
        <v>11.5</v>
      </c>
      <c r="K4" s="112">
        <f ca="1">IFERROR(__xludf.DUMMYFUNCTION("""COMPUTED_VALUE"""),40666.7055555555)</f>
        <v>40666.705555555498</v>
      </c>
      <c r="L4" s="111">
        <f ca="1">IFERROR(__xludf.DUMMYFUNCTION("""COMPUTED_VALUE"""),0.51)</f>
        <v>0.51</v>
      </c>
      <c r="M4" s="112">
        <f ca="1">IFERROR(__xludf.DUMMYFUNCTION("""COMPUTED_VALUE"""),40183.7055555555)</f>
        <v>40183.705555555498</v>
      </c>
      <c r="N4" s="111">
        <f ca="1">IFERROR(__xludf.DUMMYFUNCTION("""COMPUTED_VALUE"""),12.1)</f>
        <v>12.1</v>
      </c>
      <c r="O4" s="112">
        <f ca="1">IFERROR(__xludf.DUMMYFUNCTION("""COMPUTED_VALUE"""),40183.7055555555)</f>
        <v>40183.705555555498</v>
      </c>
      <c r="P4" s="111">
        <f ca="1">IFERROR(__xludf.DUMMYFUNCTION("""COMPUTED_VALUE"""),51.97)</f>
        <v>51.97</v>
      </c>
      <c r="Q4" s="112">
        <f ca="1">IFERROR(__xludf.DUMMYFUNCTION("""COMPUTED_VALUE"""),40183.7055555555)</f>
        <v>40183.705555555498</v>
      </c>
      <c r="R4" s="111">
        <f ca="1">IFERROR(__xludf.DUMMYFUNCTION("""COMPUTED_VALUE"""),29.6)</f>
        <v>29.6</v>
      </c>
      <c r="S4" s="112">
        <f ca="1">IFERROR(__xludf.DUMMYFUNCTION("""COMPUTED_VALUE"""),40183.7055555555)</f>
        <v>40183.705555555498</v>
      </c>
      <c r="T4" s="111">
        <f ca="1">IFERROR(__xludf.DUMMYFUNCTION("""COMPUTED_VALUE"""),5.83)</f>
        <v>5.83</v>
      </c>
    </row>
    <row r="5" spans="1:20" x14ac:dyDescent="0.3">
      <c r="A5" s="112">
        <f ca="1">IFERROR(__xludf.DUMMYFUNCTION("""COMPUTED_VALUE"""),40184.7055555555)</f>
        <v>40184.705555555498</v>
      </c>
      <c r="B5" s="111">
        <f ca="1">IFERROR(__xludf.DUMMYFUNCTION("""COMPUTED_VALUE"""),36.59)</f>
        <v>36.590000000000003</v>
      </c>
      <c r="C5" s="112">
        <f ca="1">IFERROR(__xludf.DUMMYFUNCTION("""COMPUTED_VALUE"""),40184.7055555555)</f>
        <v>40184.705555555498</v>
      </c>
      <c r="D5" s="111">
        <f ca="1">IFERROR(__xludf.DUMMYFUNCTION("""COMPUTED_VALUE"""),20.05)</f>
        <v>20.05</v>
      </c>
      <c r="E5" s="112">
        <f ca="1">IFERROR(__xludf.DUMMYFUNCTION("""COMPUTED_VALUE"""),40184.7055555555)</f>
        <v>40184.705555555498</v>
      </c>
      <c r="F5" s="111">
        <f ca="1">IFERROR(__xludf.DUMMYFUNCTION("""COMPUTED_VALUE"""),7.92)</f>
        <v>7.92</v>
      </c>
      <c r="G5" s="112">
        <f ca="1">IFERROR(__xludf.DUMMYFUNCTION("""COMPUTED_VALUE"""),40184.7055555555)</f>
        <v>40184.705555555498</v>
      </c>
      <c r="H5" s="111">
        <f ca="1">IFERROR(__xludf.DUMMYFUNCTION("""COMPUTED_VALUE"""),37.5)</f>
        <v>37.5</v>
      </c>
      <c r="I5" s="112">
        <f ca="1">IFERROR(__xludf.DUMMYFUNCTION("""COMPUTED_VALUE"""),44543.75)</f>
        <v>44543.75</v>
      </c>
      <c r="J5" s="111">
        <f ca="1">IFERROR(__xludf.DUMMYFUNCTION("""COMPUTED_VALUE"""),10.65)</f>
        <v>10.65</v>
      </c>
      <c r="K5" s="112">
        <f ca="1">IFERROR(__xludf.DUMMYFUNCTION("""COMPUTED_VALUE"""),40667.7055555555)</f>
        <v>40667.705555555498</v>
      </c>
      <c r="L5" s="111">
        <f ca="1">IFERROR(__xludf.DUMMYFUNCTION("""COMPUTED_VALUE"""),0.52)</f>
        <v>0.52</v>
      </c>
      <c r="M5" s="112">
        <f ca="1">IFERROR(__xludf.DUMMYFUNCTION("""COMPUTED_VALUE"""),40184.7055555555)</f>
        <v>40184.705555555498</v>
      </c>
      <c r="N5" s="111">
        <f ca="1">IFERROR(__xludf.DUMMYFUNCTION("""COMPUTED_VALUE"""),12)</f>
        <v>12</v>
      </c>
      <c r="O5" s="112">
        <f ca="1">IFERROR(__xludf.DUMMYFUNCTION("""COMPUTED_VALUE"""),40184.7055555555)</f>
        <v>40184.705555555498</v>
      </c>
      <c r="P5" s="111">
        <f ca="1">IFERROR(__xludf.DUMMYFUNCTION("""COMPUTED_VALUE"""),53.07)</f>
        <v>53.07</v>
      </c>
      <c r="Q5" s="112">
        <f ca="1">IFERROR(__xludf.DUMMYFUNCTION("""COMPUTED_VALUE"""),40184.7055555555)</f>
        <v>40184.705555555498</v>
      </c>
      <c r="R5" s="111">
        <f ca="1">IFERROR(__xludf.DUMMYFUNCTION("""COMPUTED_VALUE"""),29.64)</f>
        <v>29.64</v>
      </c>
      <c r="S5" s="112">
        <f ca="1">IFERROR(__xludf.DUMMYFUNCTION("""COMPUTED_VALUE"""),40184.7055555555)</f>
        <v>40184.705555555498</v>
      </c>
      <c r="T5" s="111">
        <f ca="1">IFERROR(__xludf.DUMMYFUNCTION("""COMPUTED_VALUE"""),5.72)</f>
        <v>5.72</v>
      </c>
    </row>
    <row r="6" spans="1:20" x14ac:dyDescent="0.3">
      <c r="A6" s="112">
        <f ca="1">IFERROR(__xludf.DUMMYFUNCTION("""COMPUTED_VALUE"""),40185.7055555555)</f>
        <v>40185.705555555498</v>
      </c>
      <c r="B6" s="111">
        <f ca="1">IFERROR(__xludf.DUMMYFUNCTION("""COMPUTED_VALUE"""),37.44)</f>
        <v>37.44</v>
      </c>
      <c r="C6" s="112">
        <f ca="1">IFERROR(__xludf.DUMMYFUNCTION("""COMPUTED_VALUE"""),40185.7055555555)</f>
        <v>40185.705555555498</v>
      </c>
      <c r="D6" s="111">
        <f ca="1">IFERROR(__xludf.DUMMYFUNCTION("""COMPUTED_VALUE"""),19.84)</f>
        <v>19.84</v>
      </c>
      <c r="E6" s="112">
        <f ca="1">IFERROR(__xludf.DUMMYFUNCTION("""COMPUTED_VALUE"""),40185.7055555555)</f>
        <v>40185.705555555498</v>
      </c>
      <c r="F6" s="111">
        <f ca="1">IFERROR(__xludf.DUMMYFUNCTION("""COMPUTED_VALUE"""),7.88)</f>
        <v>7.88</v>
      </c>
      <c r="G6" s="112">
        <f ca="1">IFERROR(__xludf.DUMMYFUNCTION("""COMPUTED_VALUE"""),40185.7055555555)</f>
        <v>40185.705555555498</v>
      </c>
      <c r="H6" s="111">
        <f ca="1">IFERROR(__xludf.DUMMYFUNCTION("""COMPUTED_VALUE"""),37.15)</f>
        <v>37.15</v>
      </c>
      <c r="I6" s="112">
        <f ca="1">IFERROR(__xludf.DUMMYFUNCTION("""COMPUTED_VALUE"""),44544.75)</f>
        <v>44544.75</v>
      </c>
      <c r="J6" s="111">
        <f ca="1">IFERROR(__xludf.DUMMYFUNCTION("""COMPUTED_VALUE"""),9.25)</f>
        <v>9.25</v>
      </c>
      <c r="K6" s="112">
        <f ca="1">IFERROR(__xludf.DUMMYFUNCTION("""COMPUTED_VALUE"""),40668.7055555555)</f>
        <v>40668.705555555498</v>
      </c>
      <c r="L6" s="111">
        <f ca="1">IFERROR(__xludf.DUMMYFUNCTION("""COMPUTED_VALUE"""),0.51)</f>
        <v>0.51</v>
      </c>
      <c r="M6" s="112">
        <f ca="1">IFERROR(__xludf.DUMMYFUNCTION("""COMPUTED_VALUE"""),40185.7055555555)</f>
        <v>40185.705555555498</v>
      </c>
      <c r="N6" s="111">
        <f ca="1">IFERROR(__xludf.DUMMYFUNCTION("""COMPUTED_VALUE"""),11.97)</f>
        <v>11.97</v>
      </c>
      <c r="O6" s="112">
        <f ca="1">IFERROR(__xludf.DUMMYFUNCTION("""COMPUTED_VALUE"""),40185.7055555555)</f>
        <v>40185.705555555498</v>
      </c>
      <c r="P6" s="111">
        <f ca="1">IFERROR(__xludf.DUMMYFUNCTION("""COMPUTED_VALUE"""),53.29)</f>
        <v>53.29</v>
      </c>
      <c r="Q6" s="112">
        <f ca="1">IFERROR(__xludf.DUMMYFUNCTION("""COMPUTED_VALUE"""),40185.7055555555)</f>
        <v>40185.705555555498</v>
      </c>
      <c r="R6" s="111">
        <f ca="1">IFERROR(__xludf.DUMMYFUNCTION("""COMPUTED_VALUE"""),29.65)</f>
        <v>29.65</v>
      </c>
      <c r="S6" s="112">
        <f ca="1">IFERROR(__xludf.DUMMYFUNCTION("""COMPUTED_VALUE"""),40185.7055555555)</f>
        <v>40185.705555555498</v>
      </c>
      <c r="T6" s="111">
        <f ca="1">IFERROR(__xludf.DUMMYFUNCTION("""COMPUTED_VALUE"""),5.66)</f>
        <v>5.66</v>
      </c>
    </row>
    <row r="7" spans="1:20" x14ac:dyDescent="0.3">
      <c r="A7" s="112">
        <f ca="1">IFERROR(__xludf.DUMMYFUNCTION("""COMPUTED_VALUE"""),40186.7055555555)</f>
        <v>40186.705555555498</v>
      </c>
      <c r="B7" s="111">
        <f ca="1">IFERROR(__xludf.DUMMYFUNCTION("""COMPUTED_VALUE"""),38.07)</f>
        <v>38.07</v>
      </c>
      <c r="C7" s="112">
        <f ca="1">IFERROR(__xludf.DUMMYFUNCTION("""COMPUTED_VALUE"""),40186.7055555555)</f>
        <v>40186.705555555498</v>
      </c>
      <c r="D7" s="111">
        <f ca="1">IFERROR(__xludf.DUMMYFUNCTION("""COMPUTED_VALUE"""),19.54)</f>
        <v>19.54</v>
      </c>
      <c r="E7" s="112">
        <f ca="1">IFERROR(__xludf.DUMMYFUNCTION("""COMPUTED_VALUE"""),40186.7055555555)</f>
        <v>40186.705555555498</v>
      </c>
      <c r="F7" s="111">
        <f ca="1">IFERROR(__xludf.DUMMYFUNCTION("""COMPUTED_VALUE"""),7.82)</f>
        <v>7.82</v>
      </c>
      <c r="G7" s="112">
        <f ca="1">IFERROR(__xludf.DUMMYFUNCTION("""COMPUTED_VALUE"""),40186.7055555555)</f>
        <v>40186.705555555498</v>
      </c>
      <c r="H7" s="111">
        <f ca="1">IFERROR(__xludf.DUMMYFUNCTION("""COMPUTED_VALUE"""),36.95)</f>
        <v>36.950000000000003</v>
      </c>
      <c r="I7" s="112">
        <f ca="1">IFERROR(__xludf.DUMMYFUNCTION("""COMPUTED_VALUE"""),44545.75)</f>
        <v>44545.75</v>
      </c>
      <c r="J7" s="111">
        <f ca="1">IFERROR(__xludf.DUMMYFUNCTION("""COMPUTED_VALUE"""),9.54)</f>
        <v>9.5399999999999991</v>
      </c>
      <c r="K7" s="112">
        <f ca="1">IFERROR(__xludf.DUMMYFUNCTION("""COMPUTED_VALUE"""),40669.7055555555)</f>
        <v>40669.705555555498</v>
      </c>
      <c r="L7" s="111">
        <f ca="1">IFERROR(__xludf.DUMMYFUNCTION("""COMPUTED_VALUE"""),0.51)</f>
        <v>0.51</v>
      </c>
      <c r="M7" s="112">
        <f ca="1">IFERROR(__xludf.DUMMYFUNCTION("""COMPUTED_VALUE"""),40186.7055555555)</f>
        <v>40186.705555555498</v>
      </c>
      <c r="N7" s="111">
        <f ca="1">IFERROR(__xludf.DUMMYFUNCTION("""COMPUTED_VALUE"""),11.95)</f>
        <v>11.95</v>
      </c>
      <c r="O7" s="112">
        <f ca="1">IFERROR(__xludf.DUMMYFUNCTION("""COMPUTED_VALUE"""),40186.7055555555)</f>
        <v>40186.705555555498</v>
      </c>
      <c r="P7" s="111">
        <f ca="1">IFERROR(__xludf.DUMMYFUNCTION("""COMPUTED_VALUE"""),53.81)</f>
        <v>53.81</v>
      </c>
      <c r="Q7" s="112">
        <f ca="1">IFERROR(__xludf.DUMMYFUNCTION("""COMPUTED_VALUE"""),40186.7055555555)</f>
        <v>40186.705555555498</v>
      </c>
      <c r="R7" s="111">
        <f ca="1">IFERROR(__xludf.DUMMYFUNCTION("""COMPUTED_VALUE"""),29.82)</f>
        <v>29.82</v>
      </c>
      <c r="S7" s="112">
        <f ca="1">IFERROR(__xludf.DUMMYFUNCTION("""COMPUTED_VALUE"""),40186.7055555555)</f>
        <v>40186.705555555498</v>
      </c>
      <c r="T7" s="111">
        <f ca="1">IFERROR(__xludf.DUMMYFUNCTION("""COMPUTED_VALUE"""),5.69)</f>
        <v>5.69</v>
      </c>
    </row>
    <row r="8" spans="1:20" x14ac:dyDescent="0.3">
      <c r="A8" s="112">
        <f ca="1">IFERROR(__xludf.DUMMYFUNCTION("""COMPUTED_VALUE"""),40189.7055555555)</f>
        <v>40189.705555555498</v>
      </c>
      <c r="B8" s="111">
        <f ca="1">IFERROR(__xludf.DUMMYFUNCTION("""COMPUTED_VALUE"""),37.48)</f>
        <v>37.479999999999997</v>
      </c>
      <c r="C8" s="112">
        <f ca="1">IFERROR(__xludf.DUMMYFUNCTION("""COMPUTED_VALUE"""),40189.7055555555)</f>
        <v>40189.705555555498</v>
      </c>
      <c r="D8" s="111">
        <f ca="1">IFERROR(__xludf.DUMMYFUNCTION("""COMPUTED_VALUE"""),19.37)</f>
        <v>19.37</v>
      </c>
      <c r="E8" s="112">
        <f ca="1">IFERROR(__xludf.DUMMYFUNCTION("""COMPUTED_VALUE"""),40189.7055555555)</f>
        <v>40189.705555555498</v>
      </c>
      <c r="F8" s="111">
        <f ca="1">IFERROR(__xludf.DUMMYFUNCTION("""COMPUTED_VALUE"""),7.79)</f>
        <v>7.79</v>
      </c>
      <c r="G8" s="112">
        <f ca="1">IFERROR(__xludf.DUMMYFUNCTION("""COMPUTED_VALUE"""),40189.7055555555)</f>
        <v>40189.705555555498</v>
      </c>
      <c r="H8" s="111">
        <f ca="1">IFERROR(__xludf.DUMMYFUNCTION("""COMPUTED_VALUE"""),36.83)</f>
        <v>36.83</v>
      </c>
      <c r="I8" s="112">
        <f ca="1">IFERROR(__xludf.DUMMYFUNCTION("""COMPUTED_VALUE"""),44546.75)</f>
        <v>44546.75</v>
      </c>
      <c r="J8" s="111">
        <f ca="1">IFERROR(__xludf.DUMMYFUNCTION("""COMPUTED_VALUE"""),9.49)</f>
        <v>9.49</v>
      </c>
      <c r="K8" s="112">
        <f ca="1">IFERROR(__xludf.DUMMYFUNCTION("""COMPUTED_VALUE"""),40673.7055555555)</f>
        <v>40673.705555555498</v>
      </c>
      <c r="L8" s="111">
        <f ca="1">IFERROR(__xludf.DUMMYFUNCTION("""COMPUTED_VALUE"""),0.5)</f>
        <v>0.5</v>
      </c>
      <c r="M8" s="112">
        <f ca="1">IFERROR(__xludf.DUMMYFUNCTION("""COMPUTED_VALUE"""),40189.7055555555)</f>
        <v>40189.705555555498</v>
      </c>
      <c r="N8" s="111">
        <f ca="1">IFERROR(__xludf.DUMMYFUNCTION("""COMPUTED_VALUE"""),11.96)</f>
        <v>11.96</v>
      </c>
      <c r="O8" s="112">
        <f ca="1">IFERROR(__xludf.DUMMYFUNCTION("""COMPUTED_VALUE"""),40189.7055555555)</f>
        <v>40189.705555555498</v>
      </c>
      <c r="P8" s="111">
        <f ca="1">IFERROR(__xludf.DUMMYFUNCTION("""COMPUTED_VALUE"""),53.65)</f>
        <v>53.65</v>
      </c>
      <c r="Q8" s="112">
        <f ca="1">IFERROR(__xludf.DUMMYFUNCTION("""COMPUTED_VALUE"""),40189.7055555555)</f>
        <v>40189.705555555498</v>
      </c>
      <c r="R8" s="111">
        <f ca="1">IFERROR(__xludf.DUMMYFUNCTION("""COMPUTED_VALUE"""),30.05)</f>
        <v>30.05</v>
      </c>
      <c r="S8" s="112">
        <f ca="1">IFERROR(__xludf.DUMMYFUNCTION("""COMPUTED_VALUE"""),40189.7055555555)</f>
        <v>40189.705555555498</v>
      </c>
      <c r="T8" s="111">
        <f ca="1">IFERROR(__xludf.DUMMYFUNCTION("""COMPUTED_VALUE"""),5.8)</f>
        <v>5.8</v>
      </c>
    </row>
    <row r="9" spans="1:20" x14ac:dyDescent="0.3">
      <c r="A9" s="112">
        <f ca="1">IFERROR(__xludf.DUMMYFUNCTION("""COMPUTED_VALUE"""),40190.7055555555)</f>
        <v>40190.705555555498</v>
      </c>
      <c r="B9" s="111">
        <f ca="1">IFERROR(__xludf.DUMMYFUNCTION("""COMPUTED_VALUE"""),37.13)</f>
        <v>37.130000000000003</v>
      </c>
      <c r="C9" s="112">
        <f ca="1">IFERROR(__xludf.DUMMYFUNCTION("""COMPUTED_VALUE"""),40190.7055555555)</f>
        <v>40190.705555555498</v>
      </c>
      <c r="D9" s="111">
        <f ca="1">IFERROR(__xludf.DUMMYFUNCTION("""COMPUTED_VALUE"""),19.19)</f>
        <v>19.190000000000001</v>
      </c>
      <c r="E9" s="112">
        <f ca="1">IFERROR(__xludf.DUMMYFUNCTION("""COMPUTED_VALUE"""),40190.7055555555)</f>
        <v>40190.705555555498</v>
      </c>
      <c r="F9" s="111">
        <f ca="1">IFERROR(__xludf.DUMMYFUNCTION("""COMPUTED_VALUE"""),7.79)</f>
        <v>7.79</v>
      </c>
      <c r="G9" s="112">
        <f ca="1">IFERROR(__xludf.DUMMYFUNCTION("""COMPUTED_VALUE"""),40190.7055555555)</f>
        <v>40190.705555555498</v>
      </c>
      <c r="H9" s="111">
        <f ca="1">IFERROR(__xludf.DUMMYFUNCTION("""COMPUTED_VALUE"""),36.36)</f>
        <v>36.36</v>
      </c>
      <c r="I9" s="112">
        <f ca="1">IFERROR(__xludf.DUMMYFUNCTION("""COMPUTED_VALUE"""),44547.75)</f>
        <v>44547.75</v>
      </c>
      <c r="J9" s="111">
        <f ca="1">IFERROR(__xludf.DUMMYFUNCTION("""COMPUTED_VALUE"""),8.95)</f>
        <v>8.9499999999999993</v>
      </c>
      <c r="K9" s="112">
        <f ca="1">IFERROR(__xludf.DUMMYFUNCTION("""COMPUTED_VALUE"""),40674.7055555555)</f>
        <v>40674.705555555498</v>
      </c>
      <c r="L9" s="111">
        <f ca="1">IFERROR(__xludf.DUMMYFUNCTION("""COMPUTED_VALUE"""),0.51)</f>
        <v>0.51</v>
      </c>
      <c r="M9" s="112">
        <f ca="1">IFERROR(__xludf.DUMMYFUNCTION("""COMPUTED_VALUE"""),40190.7055555555)</f>
        <v>40190.705555555498</v>
      </c>
      <c r="N9" s="111">
        <f ca="1">IFERROR(__xludf.DUMMYFUNCTION("""COMPUTED_VALUE"""),12)</f>
        <v>12</v>
      </c>
      <c r="O9" s="112">
        <f ca="1">IFERROR(__xludf.DUMMYFUNCTION("""COMPUTED_VALUE"""),40190.7055555555)</f>
        <v>40190.705555555498</v>
      </c>
      <c r="P9" s="111">
        <f ca="1">IFERROR(__xludf.DUMMYFUNCTION("""COMPUTED_VALUE"""),53.5)</f>
        <v>53.5</v>
      </c>
      <c r="Q9" s="112">
        <f ca="1">IFERROR(__xludf.DUMMYFUNCTION("""COMPUTED_VALUE"""),40190.7055555555)</f>
        <v>40190.705555555498</v>
      </c>
      <c r="R9" s="111">
        <f ca="1">IFERROR(__xludf.DUMMYFUNCTION("""COMPUTED_VALUE"""),29.8)</f>
        <v>29.8</v>
      </c>
      <c r="S9" s="112">
        <f ca="1">IFERROR(__xludf.DUMMYFUNCTION("""COMPUTED_VALUE"""),40190.7055555555)</f>
        <v>40190.705555555498</v>
      </c>
      <c r="T9" s="111">
        <f ca="1">IFERROR(__xludf.DUMMYFUNCTION("""COMPUTED_VALUE"""),5.94)</f>
        <v>5.94</v>
      </c>
    </row>
    <row r="10" spans="1:20" x14ac:dyDescent="0.3">
      <c r="A10" s="112">
        <f ca="1">IFERROR(__xludf.DUMMYFUNCTION("""COMPUTED_VALUE"""),40191.7055555555)</f>
        <v>40191.705555555498</v>
      </c>
      <c r="B10" s="111">
        <f ca="1">IFERROR(__xludf.DUMMYFUNCTION("""COMPUTED_VALUE"""),37.49)</f>
        <v>37.49</v>
      </c>
      <c r="C10" s="112">
        <f ca="1">IFERROR(__xludf.DUMMYFUNCTION("""COMPUTED_VALUE"""),40191.7055555555)</f>
        <v>40191.705555555498</v>
      </c>
      <c r="D10" s="111">
        <f ca="1">IFERROR(__xludf.DUMMYFUNCTION("""COMPUTED_VALUE"""),19.25)</f>
        <v>19.25</v>
      </c>
      <c r="E10" s="112">
        <f ca="1">IFERROR(__xludf.DUMMYFUNCTION("""COMPUTED_VALUE"""),40191.7055555555)</f>
        <v>40191.705555555498</v>
      </c>
      <c r="F10" s="111">
        <f ca="1">IFERROR(__xludf.DUMMYFUNCTION("""COMPUTED_VALUE"""),7.77)</f>
        <v>7.77</v>
      </c>
      <c r="G10" s="112">
        <f ca="1">IFERROR(__xludf.DUMMYFUNCTION("""COMPUTED_VALUE"""),40191.7055555555)</f>
        <v>40191.705555555498</v>
      </c>
      <c r="H10" s="111">
        <f ca="1">IFERROR(__xludf.DUMMYFUNCTION("""COMPUTED_VALUE"""),36.3)</f>
        <v>36.299999999999997</v>
      </c>
      <c r="I10" s="112">
        <f ca="1">IFERROR(__xludf.DUMMYFUNCTION("""COMPUTED_VALUE"""),44550.75)</f>
        <v>44550.75</v>
      </c>
      <c r="J10" s="111">
        <f ca="1">IFERROR(__xludf.DUMMYFUNCTION("""COMPUTED_VALUE"""),8.5)</f>
        <v>8.5</v>
      </c>
      <c r="K10" s="112">
        <f ca="1">IFERROR(__xludf.DUMMYFUNCTION("""COMPUTED_VALUE"""),40675.7055555555)</f>
        <v>40675.705555555498</v>
      </c>
      <c r="L10" s="111">
        <f ca="1">IFERROR(__xludf.DUMMYFUNCTION("""COMPUTED_VALUE"""),0.51)</f>
        <v>0.51</v>
      </c>
      <c r="M10" s="112">
        <f ca="1">IFERROR(__xludf.DUMMYFUNCTION("""COMPUTED_VALUE"""),40191.7055555555)</f>
        <v>40191.705555555498</v>
      </c>
      <c r="N10" s="111">
        <f ca="1">IFERROR(__xludf.DUMMYFUNCTION("""COMPUTED_VALUE"""),12.06)</f>
        <v>12.06</v>
      </c>
      <c r="O10" s="112">
        <f ca="1">IFERROR(__xludf.DUMMYFUNCTION("""COMPUTED_VALUE"""),40191.7055555555)</f>
        <v>40191.705555555498</v>
      </c>
      <c r="P10" s="111">
        <f ca="1">IFERROR(__xludf.DUMMYFUNCTION("""COMPUTED_VALUE"""),54.16)</f>
        <v>54.16</v>
      </c>
      <c r="Q10" s="112">
        <f ca="1">IFERROR(__xludf.DUMMYFUNCTION("""COMPUTED_VALUE"""),40191.7055555555)</f>
        <v>40191.705555555498</v>
      </c>
      <c r="R10" s="111">
        <f ca="1">IFERROR(__xludf.DUMMYFUNCTION("""COMPUTED_VALUE"""),30.18)</f>
        <v>30.18</v>
      </c>
      <c r="S10" s="112">
        <f ca="1">IFERROR(__xludf.DUMMYFUNCTION("""COMPUTED_VALUE"""),40191.7055555555)</f>
        <v>40191.705555555498</v>
      </c>
      <c r="T10" s="111">
        <f ca="1">IFERROR(__xludf.DUMMYFUNCTION("""COMPUTED_VALUE"""),6)</f>
        <v>6</v>
      </c>
    </row>
    <row r="11" spans="1:20" x14ac:dyDescent="0.3">
      <c r="A11" s="112">
        <f ca="1">IFERROR(__xludf.DUMMYFUNCTION("""COMPUTED_VALUE"""),40192.7055555555)</f>
        <v>40192.705555555498</v>
      </c>
      <c r="B11" s="111">
        <f ca="1">IFERROR(__xludf.DUMMYFUNCTION("""COMPUTED_VALUE"""),36.89)</f>
        <v>36.89</v>
      </c>
      <c r="C11" s="112">
        <f ca="1">IFERROR(__xludf.DUMMYFUNCTION("""COMPUTED_VALUE"""),40192.7055555555)</f>
        <v>40192.705555555498</v>
      </c>
      <c r="D11" s="111">
        <f ca="1">IFERROR(__xludf.DUMMYFUNCTION("""COMPUTED_VALUE"""),18.99)</f>
        <v>18.989999999999998</v>
      </c>
      <c r="E11" s="112">
        <f ca="1">IFERROR(__xludf.DUMMYFUNCTION("""COMPUTED_VALUE"""),40192.7055555555)</f>
        <v>40192.705555555498</v>
      </c>
      <c r="F11" s="111">
        <f ca="1">IFERROR(__xludf.DUMMYFUNCTION("""COMPUTED_VALUE"""),7.66)</f>
        <v>7.66</v>
      </c>
      <c r="G11" s="112">
        <f ca="1">IFERROR(__xludf.DUMMYFUNCTION("""COMPUTED_VALUE"""),40192.7055555555)</f>
        <v>40192.705555555498</v>
      </c>
      <c r="H11" s="111">
        <f ca="1">IFERROR(__xludf.DUMMYFUNCTION("""COMPUTED_VALUE"""),35.67)</f>
        <v>35.67</v>
      </c>
      <c r="I11" s="112">
        <f ca="1">IFERROR(__xludf.DUMMYFUNCTION("""COMPUTED_VALUE"""),44551.75)</f>
        <v>44551.75</v>
      </c>
      <c r="J11" s="111">
        <f ca="1">IFERROR(__xludf.DUMMYFUNCTION("""COMPUTED_VALUE"""),8.7)</f>
        <v>8.6999999999999993</v>
      </c>
      <c r="K11" s="112">
        <f ca="1">IFERROR(__xludf.DUMMYFUNCTION("""COMPUTED_VALUE"""),40676.7055555555)</f>
        <v>40676.705555555498</v>
      </c>
      <c r="L11" s="111">
        <f ca="1">IFERROR(__xludf.DUMMYFUNCTION("""COMPUTED_VALUE"""),0.51)</f>
        <v>0.51</v>
      </c>
      <c r="M11" s="112">
        <f ca="1">IFERROR(__xludf.DUMMYFUNCTION("""COMPUTED_VALUE"""),40192.7055555555)</f>
        <v>40192.705555555498</v>
      </c>
      <c r="N11" s="111">
        <f ca="1">IFERROR(__xludf.DUMMYFUNCTION("""COMPUTED_VALUE"""),11.81)</f>
        <v>11.81</v>
      </c>
      <c r="O11" s="112">
        <f ca="1">IFERROR(__xludf.DUMMYFUNCTION("""COMPUTED_VALUE"""),40192.7055555555)</f>
        <v>40192.705555555498</v>
      </c>
      <c r="P11" s="111">
        <f ca="1">IFERROR(__xludf.DUMMYFUNCTION("""COMPUTED_VALUE"""),54.15)</f>
        <v>54.15</v>
      </c>
      <c r="Q11" s="112">
        <f ca="1">IFERROR(__xludf.DUMMYFUNCTION("""COMPUTED_VALUE"""),40192.7055555555)</f>
        <v>40192.705555555498</v>
      </c>
      <c r="R11" s="111">
        <f ca="1">IFERROR(__xludf.DUMMYFUNCTION("""COMPUTED_VALUE"""),29.75)</f>
        <v>29.75</v>
      </c>
      <c r="S11" s="112">
        <f ca="1">IFERROR(__xludf.DUMMYFUNCTION("""COMPUTED_VALUE"""),40192.7055555555)</f>
        <v>40192.705555555498</v>
      </c>
      <c r="T11" s="111">
        <f ca="1">IFERROR(__xludf.DUMMYFUNCTION("""COMPUTED_VALUE"""),5.87)</f>
        <v>5.87</v>
      </c>
    </row>
    <row r="12" spans="1:20" x14ac:dyDescent="0.3">
      <c r="A12" s="112">
        <f ca="1">IFERROR(__xludf.DUMMYFUNCTION("""COMPUTED_VALUE"""),40193.7055555555)</f>
        <v>40193.705555555498</v>
      </c>
      <c r="B12" s="111">
        <f ca="1">IFERROR(__xludf.DUMMYFUNCTION("""COMPUTED_VALUE"""),35.59)</f>
        <v>35.590000000000003</v>
      </c>
      <c r="C12" s="112">
        <f ca="1">IFERROR(__xludf.DUMMYFUNCTION("""COMPUTED_VALUE"""),40193.7055555555)</f>
        <v>40193.705555555498</v>
      </c>
      <c r="D12" s="111">
        <f ca="1">IFERROR(__xludf.DUMMYFUNCTION("""COMPUTED_VALUE"""),18.67)</f>
        <v>18.670000000000002</v>
      </c>
      <c r="E12" s="112">
        <f ca="1">IFERROR(__xludf.DUMMYFUNCTION("""COMPUTED_VALUE"""),40193.7055555555)</f>
        <v>40193.705555555498</v>
      </c>
      <c r="F12" s="111">
        <f ca="1">IFERROR(__xludf.DUMMYFUNCTION("""COMPUTED_VALUE"""),7.47)</f>
        <v>7.47</v>
      </c>
      <c r="G12" s="112">
        <f ca="1">IFERROR(__xludf.DUMMYFUNCTION("""COMPUTED_VALUE"""),40193.7055555555)</f>
        <v>40193.705555555498</v>
      </c>
      <c r="H12" s="111">
        <f ca="1">IFERROR(__xludf.DUMMYFUNCTION("""COMPUTED_VALUE"""),35.75)</f>
        <v>35.75</v>
      </c>
      <c r="I12" s="112">
        <f ca="1">IFERROR(__xludf.DUMMYFUNCTION("""COMPUTED_VALUE"""),44552.75)</f>
        <v>44552.75</v>
      </c>
      <c r="J12" s="111">
        <f ca="1">IFERROR(__xludf.DUMMYFUNCTION("""COMPUTED_VALUE"""),8.54)</f>
        <v>8.5399999999999991</v>
      </c>
      <c r="K12" s="112">
        <f ca="1">IFERROR(__xludf.DUMMYFUNCTION("""COMPUTED_VALUE"""),40680.7055555555)</f>
        <v>40680.705555555498</v>
      </c>
      <c r="L12" s="111">
        <f ca="1">IFERROR(__xludf.DUMMYFUNCTION("""COMPUTED_VALUE"""),0.5)</f>
        <v>0.5</v>
      </c>
      <c r="M12" s="112">
        <f ca="1">IFERROR(__xludf.DUMMYFUNCTION("""COMPUTED_VALUE"""),40193.7055555555)</f>
        <v>40193.705555555498</v>
      </c>
      <c r="N12" s="111">
        <f ca="1">IFERROR(__xludf.DUMMYFUNCTION("""COMPUTED_VALUE"""),11.64)</f>
        <v>11.64</v>
      </c>
      <c r="O12" s="112">
        <f ca="1">IFERROR(__xludf.DUMMYFUNCTION("""COMPUTED_VALUE"""),40193.7055555555)</f>
        <v>40193.705555555498</v>
      </c>
      <c r="P12" s="111">
        <f ca="1">IFERROR(__xludf.DUMMYFUNCTION("""COMPUTED_VALUE"""),53.45)</f>
        <v>53.45</v>
      </c>
      <c r="Q12" s="112">
        <f ca="1">IFERROR(__xludf.DUMMYFUNCTION("""COMPUTED_VALUE"""),40193.7055555555)</f>
        <v>40193.705555555498</v>
      </c>
      <c r="R12" s="111">
        <f ca="1">IFERROR(__xludf.DUMMYFUNCTION("""COMPUTED_VALUE"""),29.25)</f>
        <v>29.25</v>
      </c>
      <c r="S12" s="112">
        <f ca="1">IFERROR(__xludf.DUMMYFUNCTION("""COMPUTED_VALUE"""),40193.7055555555)</f>
        <v>40193.705555555498</v>
      </c>
      <c r="T12" s="111">
        <f ca="1">IFERROR(__xludf.DUMMYFUNCTION("""COMPUTED_VALUE"""),5.66)</f>
        <v>5.66</v>
      </c>
    </row>
    <row r="13" spans="1:20" x14ac:dyDescent="0.3">
      <c r="A13" s="112">
        <f ca="1">IFERROR(__xludf.DUMMYFUNCTION("""COMPUTED_VALUE"""),40196.7055555555)</f>
        <v>40196.705555555498</v>
      </c>
      <c r="B13" s="111">
        <f ca="1">IFERROR(__xludf.DUMMYFUNCTION("""COMPUTED_VALUE"""),35.6)</f>
        <v>35.6</v>
      </c>
      <c r="C13" s="112">
        <f ca="1">IFERROR(__xludf.DUMMYFUNCTION("""COMPUTED_VALUE"""),40196.7055555555)</f>
        <v>40196.705555555498</v>
      </c>
      <c r="D13" s="111">
        <f ca="1">IFERROR(__xludf.DUMMYFUNCTION("""COMPUTED_VALUE"""),18.83)</f>
        <v>18.829999999999998</v>
      </c>
      <c r="E13" s="112">
        <f ca="1">IFERROR(__xludf.DUMMYFUNCTION("""COMPUTED_VALUE"""),40196.7055555555)</f>
        <v>40196.705555555498</v>
      </c>
      <c r="F13" s="111">
        <f ca="1">IFERROR(__xludf.DUMMYFUNCTION("""COMPUTED_VALUE"""),7.54)</f>
        <v>7.54</v>
      </c>
      <c r="G13" s="112">
        <f ca="1">IFERROR(__xludf.DUMMYFUNCTION("""COMPUTED_VALUE"""),40196.7055555555)</f>
        <v>40196.705555555498</v>
      </c>
      <c r="H13" s="111">
        <f ca="1">IFERROR(__xludf.DUMMYFUNCTION("""COMPUTED_VALUE"""),36.55)</f>
        <v>36.549999999999997</v>
      </c>
      <c r="I13" s="112">
        <f ca="1">IFERROR(__xludf.DUMMYFUNCTION("""COMPUTED_VALUE"""),44553.75)</f>
        <v>44553.75</v>
      </c>
      <c r="J13" s="111">
        <f ca="1">IFERROR(__xludf.DUMMYFUNCTION("""COMPUTED_VALUE"""),9.2)</f>
        <v>9.1999999999999993</v>
      </c>
      <c r="K13" s="112">
        <f ca="1">IFERROR(__xludf.DUMMYFUNCTION("""COMPUTED_VALUE"""),40681.7055555555)</f>
        <v>40681.705555555498</v>
      </c>
      <c r="L13" s="111">
        <f ca="1">IFERROR(__xludf.DUMMYFUNCTION("""COMPUTED_VALUE"""),0.49)</f>
        <v>0.49</v>
      </c>
      <c r="M13" s="112">
        <f ca="1">IFERROR(__xludf.DUMMYFUNCTION("""COMPUTED_VALUE"""),40196.7055555555)</f>
        <v>40196.705555555498</v>
      </c>
      <c r="N13" s="111">
        <f ca="1">IFERROR(__xludf.DUMMYFUNCTION("""COMPUTED_VALUE"""),11.75)</f>
        <v>11.75</v>
      </c>
      <c r="O13" s="112">
        <f ca="1">IFERROR(__xludf.DUMMYFUNCTION("""COMPUTED_VALUE"""),40196.7055555555)</f>
        <v>40196.705555555498</v>
      </c>
      <c r="P13" s="111">
        <f ca="1">IFERROR(__xludf.DUMMYFUNCTION("""COMPUTED_VALUE"""),54.2)</f>
        <v>54.2</v>
      </c>
      <c r="Q13" s="112">
        <f ca="1">IFERROR(__xludf.DUMMYFUNCTION("""COMPUTED_VALUE"""),40196.7055555555)</f>
        <v>40196.705555555498</v>
      </c>
      <c r="R13" s="111">
        <f ca="1">IFERROR(__xludf.DUMMYFUNCTION("""COMPUTED_VALUE"""),29.26)</f>
        <v>29.26</v>
      </c>
      <c r="S13" s="112">
        <f ca="1">IFERROR(__xludf.DUMMYFUNCTION("""COMPUTED_VALUE"""),40196.7055555555)</f>
        <v>40196.705555555498</v>
      </c>
      <c r="T13" s="111">
        <f ca="1">IFERROR(__xludf.DUMMYFUNCTION("""COMPUTED_VALUE"""),5.72)</f>
        <v>5.72</v>
      </c>
    </row>
    <row r="14" spans="1:20" x14ac:dyDescent="0.3">
      <c r="A14" s="112">
        <f ca="1">IFERROR(__xludf.DUMMYFUNCTION("""COMPUTED_VALUE"""),40197.7055555555)</f>
        <v>40197.705555555498</v>
      </c>
      <c r="B14" s="111">
        <f ca="1">IFERROR(__xludf.DUMMYFUNCTION("""COMPUTED_VALUE"""),36.79)</f>
        <v>36.79</v>
      </c>
      <c r="C14" s="112">
        <f ca="1">IFERROR(__xludf.DUMMYFUNCTION("""COMPUTED_VALUE"""),40197.7055555555)</f>
        <v>40197.705555555498</v>
      </c>
      <c r="D14" s="111">
        <f ca="1">IFERROR(__xludf.DUMMYFUNCTION("""COMPUTED_VALUE"""),18.78)</f>
        <v>18.78</v>
      </c>
      <c r="E14" s="112">
        <f ca="1">IFERROR(__xludf.DUMMYFUNCTION("""COMPUTED_VALUE"""),40197.7055555555)</f>
        <v>40197.705555555498</v>
      </c>
      <c r="F14" s="111">
        <f ca="1">IFERROR(__xludf.DUMMYFUNCTION("""COMPUTED_VALUE"""),7.6)</f>
        <v>7.6</v>
      </c>
      <c r="G14" s="112">
        <f ca="1">IFERROR(__xludf.DUMMYFUNCTION("""COMPUTED_VALUE"""),40197.7055555555)</f>
        <v>40197.705555555498</v>
      </c>
      <c r="H14" s="111">
        <f ca="1">IFERROR(__xludf.DUMMYFUNCTION("""COMPUTED_VALUE"""),36.38)</f>
        <v>36.380000000000003</v>
      </c>
      <c r="I14" s="112">
        <f ca="1">IFERROR(__xludf.DUMMYFUNCTION("""COMPUTED_VALUE"""),44557.75)</f>
        <v>44557.75</v>
      </c>
      <c r="J14" s="111">
        <f ca="1">IFERROR(__xludf.DUMMYFUNCTION("""COMPUTED_VALUE"""),9.09)</f>
        <v>9.09</v>
      </c>
      <c r="K14" s="112">
        <f ca="1">IFERROR(__xludf.DUMMYFUNCTION("""COMPUTED_VALUE"""),40682.7055555555)</f>
        <v>40682.705555555498</v>
      </c>
      <c r="L14" s="111">
        <f ca="1">IFERROR(__xludf.DUMMYFUNCTION("""COMPUTED_VALUE"""),0.49)</f>
        <v>0.49</v>
      </c>
      <c r="M14" s="112">
        <f ca="1">IFERROR(__xludf.DUMMYFUNCTION("""COMPUTED_VALUE"""),40197.7055555555)</f>
        <v>40197.705555555498</v>
      </c>
      <c r="N14" s="111">
        <f ca="1">IFERROR(__xludf.DUMMYFUNCTION("""COMPUTED_VALUE"""),11.85)</f>
        <v>11.85</v>
      </c>
      <c r="O14" s="112">
        <f ca="1">IFERROR(__xludf.DUMMYFUNCTION("""COMPUTED_VALUE"""),40197.7055555555)</f>
        <v>40197.705555555498</v>
      </c>
      <c r="P14" s="111">
        <f ca="1">IFERROR(__xludf.DUMMYFUNCTION("""COMPUTED_VALUE"""),54.95)</f>
        <v>54.95</v>
      </c>
      <c r="Q14" s="112">
        <f ca="1">IFERROR(__xludf.DUMMYFUNCTION("""COMPUTED_VALUE"""),40197.7055555555)</f>
        <v>40197.705555555498</v>
      </c>
      <c r="R14" s="111">
        <f ca="1">IFERROR(__xludf.DUMMYFUNCTION("""COMPUTED_VALUE"""),29.75)</f>
        <v>29.75</v>
      </c>
      <c r="S14" s="112">
        <f ca="1">IFERROR(__xludf.DUMMYFUNCTION("""COMPUTED_VALUE"""),40197.7055555555)</f>
        <v>40197.705555555498</v>
      </c>
      <c r="T14" s="111">
        <f ca="1">IFERROR(__xludf.DUMMYFUNCTION("""COMPUTED_VALUE"""),5.79)</f>
        <v>5.79</v>
      </c>
    </row>
    <row r="15" spans="1:20" x14ac:dyDescent="0.3">
      <c r="A15" s="112">
        <f ca="1">IFERROR(__xludf.DUMMYFUNCTION("""COMPUTED_VALUE"""),40198.7055555555)</f>
        <v>40198.705555555498</v>
      </c>
      <c r="B15" s="111">
        <f ca="1">IFERROR(__xludf.DUMMYFUNCTION("""COMPUTED_VALUE"""),36.29)</f>
        <v>36.29</v>
      </c>
      <c r="C15" s="112">
        <f ca="1">IFERROR(__xludf.DUMMYFUNCTION("""COMPUTED_VALUE"""),40198.7055555555)</f>
        <v>40198.705555555498</v>
      </c>
      <c r="D15" s="111">
        <f ca="1">IFERROR(__xludf.DUMMYFUNCTION("""COMPUTED_VALUE"""),18.29)</f>
        <v>18.29</v>
      </c>
      <c r="E15" s="112">
        <f ca="1">IFERROR(__xludf.DUMMYFUNCTION("""COMPUTED_VALUE"""),40198.7055555555)</f>
        <v>40198.705555555498</v>
      </c>
      <c r="F15" s="111">
        <f ca="1">IFERROR(__xludf.DUMMYFUNCTION("""COMPUTED_VALUE"""),7.36)</f>
        <v>7.36</v>
      </c>
      <c r="G15" s="112">
        <f ca="1">IFERROR(__xludf.DUMMYFUNCTION("""COMPUTED_VALUE"""),40198.7055555555)</f>
        <v>40198.705555555498</v>
      </c>
      <c r="H15" s="111">
        <f ca="1">IFERROR(__xludf.DUMMYFUNCTION("""COMPUTED_VALUE"""),35.45)</f>
        <v>35.450000000000003</v>
      </c>
      <c r="I15" s="112">
        <f ca="1">IFERROR(__xludf.DUMMYFUNCTION("""COMPUTED_VALUE"""),44558.75)</f>
        <v>44558.75</v>
      </c>
      <c r="J15" s="111">
        <f ca="1">IFERROR(__xludf.DUMMYFUNCTION("""COMPUTED_VALUE"""),8.79)</f>
        <v>8.7899999999999991</v>
      </c>
      <c r="K15" s="112">
        <f ca="1">IFERROR(__xludf.DUMMYFUNCTION("""COMPUTED_VALUE"""),40683.7055555555)</f>
        <v>40683.705555555498</v>
      </c>
      <c r="L15" s="111">
        <f ca="1">IFERROR(__xludf.DUMMYFUNCTION("""COMPUTED_VALUE"""),0.5)</f>
        <v>0.5</v>
      </c>
      <c r="M15" s="112">
        <f ca="1">IFERROR(__xludf.DUMMYFUNCTION("""COMPUTED_VALUE"""),40198.7055555555)</f>
        <v>40198.705555555498</v>
      </c>
      <c r="N15" s="111">
        <f ca="1">IFERROR(__xludf.DUMMYFUNCTION("""COMPUTED_VALUE"""),11.57)</f>
        <v>11.57</v>
      </c>
      <c r="O15" s="112">
        <f ca="1">IFERROR(__xludf.DUMMYFUNCTION("""COMPUTED_VALUE"""),40198.7055555555)</f>
        <v>40198.705555555498</v>
      </c>
      <c r="P15" s="111">
        <f ca="1">IFERROR(__xludf.DUMMYFUNCTION("""COMPUTED_VALUE"""),53.45)</f>
        <v>53.45</v>
      </c>
      <c r="Q15" s="112">
        <f ca="1">IFERROR(__xludf.DUMMYFUNCTION("""COMPUTED_VALUE"""),40198.7055555555)</f>
        <v>40198.705555555498</v>
      </c>
      <c r="R15" s="111">
        <f ca="1">IFERROR(__xludf.DUMMYFUNCTION("""COMPUTED_VALUE"""),28.86)</f>
        <v>28.86</v>
      </c>
      <c r="S15" s="112">
        <f ca="1">IFERROR(__xludf.DUMMYFUNCTION("""COMPUTED_VALUE"""),40198.7055555555)</f>
        <v>40198.705555555498</v>
      </c>
      <c r="T15" s="111">
        <f ca="1">IFERROR(__xludf.DUMMYFUNCTION("""COMPUTED_VALUE"""),5.56)</f>
        <v>5.56</v>
      </c>
    </row>
    <row r="16" spans="1:20" x14ac:dyDescent="0.3">
      <c r="A16" s="112">
        <f ca="1">IFERROR(__xludf.DUMMYFUNCTION("""COMPUTED_VALUE"""),40199.7055555555)</f>
        <v>40199.705555555498</v>
      </c>
      <c r="B16" s="111">
        <f ca="1">IFERROR(__xludf.DUMMYFUNCTION("""COMPUTED_VALUE"""),37.78)</f>
        <v>37.78</v>
      </c>
      <c r="C16" s="112">
        <f ca="1">IFERROR(__xludf.DUMMYFUNCTION("""COMPUTED_VALUE"""),40199.7055555555)</f>
        <v>40199.705555555498</v>
      </c>
      <c r="D16" s="111">
        <f ca="1">IFERROR(__xludf.DUMMYFUNCTION("""COMPUTED_VALUE"""),17.95)</f>
        <v>17.95</v>
      </c>
      <c r="E16" s="112">
        <f ca="1">IFERROR(__xludf.DUMMYFUNCTION("""COMPUTED_VALUE"""),40199.7055555555)</f>
        <v>40199.705555555498</v>
      </c>
      <c r="F16" s="111">
        <f ca="1">IFERROR(__xludf.DUMMYFUNCTION("""COMPUTED_VALUE"""),7.27)</f>
        <v>7.27</v>
      </c>
      <c r="G16" s="112">
        <f ca="1">IFERROR(__xludf.DUMMYFUNCTION("""COMPUTED_VALUE"""),40199.7055555555)</f>
        <v>40199.705555555498</v>
      </c>
      <c r="H16" s="111">
        <f ca="1">IFERROR(__xludf.DUMMYFUNCTION("""COMPUTED_VALUE"""),34.33)</f>
        <v>34.33</v>
      </c>
      <c r="I16" s="112">
        <f ca="1">IFERROR(__xludf.DUMMYFUNCTION("""COMPUTED_VALUE"""),44559.75)</f>
        <v>44559.75</v>
      </c>
      <c r="J16" s="111">
        <f ca="1">IFERROR(__xludf.DUMMYFUNCTION("""COMPUTED_VALUE"""),8.83)</f>
        <v>8.83</v>
      </c>
      <c r="K16" s="112">
        <f ca="1">IFERROR(__xludf.DUMMYFUNCTION("""COMPUTED_VALUE"""),40686.7055555555)</f>
        <v>40686.705555555498</v>
      </c>
      <c r="L16" s="111">
        <f ca="1">IFERROR(__xludf.DUMMYFUNCTION("""COMPUTED_VALUE"""),0.5)</f>
        <v>0.5</v>
      </c>
      <c r="M16" s="112">
        <f ca="1">IFERROR(__xludf.DUMMYFUNCTION("""COMPUTED_VALUE"""),40199.7055555555)</f>
        <v>40199.705555555498</v>
      </c>
      <c r="N16" s="111">
        <f ca="1">IFERROR(__xludf.DUMMYFUNCTION("""COMPUTED_VALUE"""),11.28)</f>
        <v>11.28</v>
      </c>
      <c r="O16" s="112">
        <f ca="1">IFERROR(__xludf.DUMMYFUNCTION("""COMPUTED_VALUE"""),40199.7055555555)</f>
        <v>40199.705555555498</v>
      </c>
      <c r="P16" s="111">
        <f ca="1">IFERROR(__xludf.DUMMYFUNCTION("""COMPUTED_VALUE"""),51.6)</f>
        <v>51.6</v>
      </c>
      <c r="Q16" s="112">
        <f ca="1">IFERROR(__xludf.DUMMYFUNCTION("""COMPUTED_VALUE"""),40199.7055555555)</f>
        <v>40199.705555555498</v>
      </c>
      <c r="R16" s="111">
        <f ca="1">IFERROR(__xludf.DUMMYFUNCTION("""COMPUTED_VALUE"""),28.39)</f>
        <v>28.39</v>
      </c>
      <c r="S16" s="112">
        <f ca="1">IFERROR(__xludf.DUMMYFUNCTION("""COMPUTED_VALUE"""),40199.7055555555)</f>
        <v>40199.705555555498</v>
      </c>
      <c r="T16" s="111">
        <f ca="1">IFERROR(__xludf.DUMMYFUNCTION("""COMPUTED_VALUE"""),5.44)</f>
        <v>5.44</v>
      </c>
    </row>
    <row r="17" spans="1:20" x14ac:dyDescent="0.3">
      <c r="A17" s="112">
        <f ca="1">IFERROR(__xludf.DUMMYFUNCTION("""COMPUTED_VALUE"""),40200.7055555555)</f>
        <v>40200.705555555498</v>
      </c>
      <c r="B17" s="111">
        <f ca="1">IFERROR(__xludf.DUMMYFUNCTION("""COMPUTED_VALUE"""),41.54)</f>
        <v>41.54</v>
      </c>
      <c r="C17" s="112">
        <f ca="1">IFERROR(__xludf.DUMMYFUNCTION("""COMPUTED_VALUE"""),40200.7055555555)</f>
        <v>40200.705555555498</v>
      </c>
      <c r="D17" s="111">
        <f ca="1">IFERROR(__xludf.DUMMYFUNCTION("""COMPUTED_VALUE"""),18.16)</f>
        <v>18.16</v>
      </c>
      <c r="E17" s="112">
        <f ca="1">IFERROR(__xludf.DUMMYFUNCTION("""COMPUTED_VALUE"""),40200.7055555555)</f>
        <v>40200.705555555498</v>
      </c>
      <c r="F17" s="111">
        <f ca="1">IFERROR(__xludf.DUMMYFUNCTION("""COMPUTED_VALUE"""),7.36)</f>
        <v>7.36</v>
      </c>
      <c r="G17" s="112">
        <f ca="1">IFERROR(__xludf.DUMMYFUNCTION("""COMPUTED_VALUE"""),40200.7055555555)</f>
        <v>40200.705555555498</v>
      </c>
      <c r="H17" s="111">
        <f ca="1">IFERROR(__xludf.DUMMYFUNCTION("""COMPUTED_VALUE"""),34.75)</f>
        <v>34.75</v>
      </c>
      <c r="I17" s="112">
        <f ca="1">IFERROR(__xludf.DUMMYFUNCTION("""COMPUTED_VALUE"""),44560.75)</f>
        <v>44560.75</v>
      </c>
      <c r="J17" s="111">
        <f ca="1">IFERROR(__xludf.DUMMYFUNCTION("""COMPUTED_VALUE"""),8.76)</f>
        <v>8.76</v>
      </c>
      <c r="K17" s="112">
        <f ca="1">IFERROR(__xludf.DUMMYFUNCTION("""COMPUTED_VALUE"""),40687.7055555555)</f>
        <v>40687.705555555498</v>
      </c>
      <c r="L17" s="111">
        <f ca="1">IFERROR(__xludf.DUMMYFUNCTION("""COMPUTED_VALUE"""),0.49)</f>
        <v>0.49</v>
      </c>
      <c r="M17" s="112">
        <f ca="1">IFERROR(__xludf.DUMMYFUNCTION("""COMPUTED_VALUE"""),40200.7055555555)</f>
        <v>40200.705555555498</v>
      </c>
      <c r="N17" s="111">
        <f ca="1">IFERROR(__xludf.DUMMYFUNCTION("""COMPUTED_VALUE"""),11.28)</f>
        <v>11.28</v>
      </c>
      <c r="O17" s="112">
        <f ca="1">IFERROR(__xludf.DUMMYFUNCTION("""COMPUTED_VALUE"""),40200.7055555555)</f>
        <v>40200.705555555498</v>
      </c>
      <c r="P17" s="111">
        <f ca="1">IFERROR(__xludf.DUMMYFUNCTION("""COMPUTED_VALUE"""),50.51)</f>
        <v>50.51</v>
      </c>
      <c r="Q17" s="112">
        <f ca="1">IFERROR(__xludf.DUMMYFUNCTION("""COMPUTED_VALUE"""),40200.7055555555)</f>
        <v>40200.705555555498</v>
      </c>
      <c r="R17" s="111">
        <f ca="1">IFERROR(__xludf.DUMMYFUNCTION("""COMPUTED_VALUE"""),28.54)</f>
        <v>28.54</v>
      </c>
      <c r="S17" s="112">
        <f ca="1">IFERROR(__xludf.DUMMYFUNCTION("""COMPUTED_VALUE"""),40200.7055555555)</f>
        <v>40200.705555555498</v>
      </c>
      <c r="T17" s="111">
        <f ca="1">IFERROR(__xludf.DUMMYFUNCTION("""COMPUTED_VALUE"""),5.36)</f>
        <v>5.36</v>
      </c>
    </row>
    <row r="18" spans="1:20" x14ac:dyDescent="0.3">
      <c r="A18" s="112">
        <f ca="1">IFERROR(__xludf.DUMMYFUNCTION("""COMPUTED_VALUE"""),40204.7055555555)</f>
        <v>40204.705555555498</v>
      </c>
      <c r="B18" s="111">
        <f ca="1">IFERROR(__xludf.DUMMYFUNCTION("""COMPUTED_VALUE"""),39.96)</f>
        <v>39.96</v>
      </c>
      <c r="C18" s="112">
        <f ca="1">IFERROR(__xludf.DUMMYFUNCTION("""COMPUTED_VALUE"""),40204.7055555555)</f>
        <v>40204.705555555498</v>
      </c>
      <c r="D18" s="111">
        <f ca="1">IFERROR(__xludf.DUMMYFUNCTION("""COMPUTED_VALUE"""),18.2)</f>
        <v>18.2</v>
      </c>
      <c r="E18" s="112">
        <f ca="1">IFERROR(__xludf.DUMMYFUNCTION("""COMPUTED_VALUE"""),40204.7055555555)</f>
        <v>40204.705555555498</v>
      </c>
      <c r="F18" s="111">
        <f ca="1">IFERROR(__xludf.DUMMYFUNCTION("""COMPUTED_VALUE"""),7.35)</f>
        <v>7.35</v>
      </c>
      <c r="G18" s="112">
        <f ca="1">IFERROR(__xludf.DUMMYFUNCTION("""COMPUTED_VALUE"""),40204.7055555555)</f>
        <v>40204.705555555498</v>
      </c>
      <c r="H18" s="111">
        <f ca="1">IFERROR(__xludf.DUMMYFUNCTION("""COMPUTED_VALUE"""),33.9)</f>
        <v>33.9</v>
      </c>
      <c r="I18" s="112">
        <f ca="1">IFERROR(__xludf.DUMMYFUNCTION("""COMPUTED_VALUE"""),44564.7055555555)</f>
        <v>44564.705555555498</v>
      </c>
      <c r="J18" s="111">
        <f ca="1">IFERROR(__xludf.DUMMYFUNCTION("""COMPUTED_VALUE"""),9.3)</f>
        <v>9.3000000000000007</v>
      </c>
      <c r="K18" s="112">
        <f ca="1">IFERROR(__xludf.DUMMYFUNCTION("""COMPUTED_VALUE"""),40688.7055555555)</f>
        <v>40688.705555555498</v>
      </c>
      <c r="L18" s="111">
        <f ca="1">IFERROR(__xludf.DUMMYFUNCTION("""COMPUTED_VALUE"""),0.48)</f>
        <v>0.48</v>
      </c>
      <c r="M18" s="112">
        <f ca="1">IFERROR(__xludf.DUMMYFUNCTION("""COMPUTED_VALUE"""),40204.7055555555)</f>
        <v>40204.705555555498</v>
      </c>
      <c r="N18" s="111">
        <f ca="1">IFERROR(__xludf.DUMMYFUNCTION("""COMPUTED_VALUE"""),11.34)</f>
        <v>11.34</v>
      </c>
      <c r="O18" s="112">
        <f ca="1">IFERROR(__xludf.DUMMYFUNCTION("""COMPUTED_VALUE"""),40204.7055555555)</f>
        <v>40204.705555555498</v>
      </c>
      <c r="P18" s="111">
        <f ca="1">IFERROR(__xludf.DUMMYFUNCTION("""COMPUTED_VALUE"""),49.49)</f>
        <v>49.49</v>
      </c>
      <c r="Q18" s="112">
        <f ca="1">IFERROR(__xludf.DUMMYFUNCTION("""COMPUTED_VALUE"""),40204.7055555555)</f>
        <v>40204.705555555498</v>
      </c>
      <c r="R18" s="111">
        <f ca="1">IFERROR(__xludf.DUMMYFUNCTION("""COMPUTED_VALUE"""),27.77)</f>
        <v>27.77</v>
      </c>
      <c r="S18" s="112">
        <f ca="1">IFERROR(__xludf.DUMMYFUNCTION("""COMPUTED_VALUE"""),40204.7055555555)</f>
        <v>40204.705555555498</v>
      </c>
      <c r="T18" s="111">
        <f ca="1">IFERROR(__xludf.DUMMYFUNCTION("""COMPUTED_VALUE"""),5.32)</f>
        <v>5.32</v>
      </c>
    </row>
    <row r="19" spans="1:20" x14ac:dyDescent="0.3">
      <c r="A19" s="112">
        <f ca="1">IFERROR(__xludf.DUMMYFUNCTION("""COMPUTED_VALUE"""),40205.7055555555)</f>
        <v>40205.705555555498</v>
      </c>
      <c r="B19" s="111">
        <f ca="1">IFERROR(__xludf.DUMMYFUNCTION("""COMPUTED_VALUE"""),38.87)</f>
        <v>38.869999999999997</v>
      </c>
      <c r="C19" s="112">
        <f ca="1">IFERROR(__xludf.DUMMYFUNCTION("""COMPUTED_VALUE"""),40205.7055555555)</f>
        <v>40205.705555555498</v>
      </c>
      <c r="D19" s="111">
        <f ca="1">IFERROR(__xludf.DUMMYFUNCTION("""COMPUTED_VALUE"""),17.94)</f>
        <v>17.940000000000001</v>
      </c>
      <c r="E19" s="112">
        <f ca="1">IFERROR(__xludf.DUMMYFUNCTION("""COMPUTED_VALUE"""),40205.7055555555)</f>
        <v>40205.705555555498</v>
      </c>
      <c r="F19" s="111">
        <f ca="1">IFERROR(__xludf.DUMMYFUNCTION("""COMPUTED_VALUE"""),7.19)</f>
        <v>7.19</v>
      </c>
      <c r="G19" s="112">
        <f ca="1">IFERROR(__xludf.DUMMYFUNCTION("""COMPUTED_VALUE"""),40205.7055555555)</f>
        <v>40205.705555555498</v>
      </c>
      <c r="H19" s="111">
        <f ca="1">IFERROR(__xludf.DUMMYFUNCTION("""COMPUTED_VALUE"""),34.11)</f>
        <v>34.11</v>
      </c>
      <c r="I19" s="112">
        <f ca="1">IFERROR(__xludf.DUMMYFUNCTION("""COMPUTED_VALUE"""),44565.7055555555)</f>
        <v>44565.705555555498</v>
      </c>
      <c r="J19" s="111">
        <f ca="1">IFERROR(__xludf.DUMMYFUNCTION("""COMPUTED_VALUE"""),9.18)</f>
        <v>9.18</v>
      </c>
      <c r="K19" s="112">
        <f ca="1">IFERROR(__xludf.DUMMYFUNCTION("""COMPUTED_VALUE"""),40689.7055555555)</f>
        <v>40689.705555555498</v>
      </c>
      <c r="L19" s="111">
        <f ca="1">IFERROR(__xludf.DUMMYFUNCTION("""COMPUTED_VALUE"""),0.49)</f>
        <v>0.49</v>
      </c>
      <c r="M19" s="112">
        <f ca="1">IFERROR(__xludf.DUMMYFUNCTION("""COMPUTED_VALUE"""),40205.7055555555)</f>
        <v>40205.705555555498</v>
      </c>
      <c r="N19" s="111">
        <f ca="1">IFERROR(__xludf.DUMMYFUNCTION("""COMPUTED_VALUE"""),11.08)</f>
        <v>11.08</v>
      </c>
      <c r="O19" s="112">
        <f ca="1">IFERROR(__xludf.DUMMYFUNCTION("""COMPUTED_VALUE"""),40205.7055555555)</f>
        <v>40205.705555555498</v>
      </c>
      <c r="P19" s="111">
        <f ca="1">IFERROR(__xludf.DUMMYFUNCTION("""COMPUTED_VALUE"""),48.81)</f>
        <v>48.81</v>
      </c>
      <c r="Q19" s="112">
        <f ca="1">IFERROR(__xludf.DUMMYFUNCTION("""COMPUTED_VALUE"""),40205.7055555555)</f>
        <v>40205.705555555498</v>
      </c>
      <c r="R19" s="111">
        <f ca="1">IFERROR(__xludf.DUMMYFUNCTION("""COMPUTED_VALUE"""),27.55)</f>
        <v>27.55</v>
      </c>
      <c r="S19" s="112">
        <f ca="1">IFERROR(__xludf.DUMMYFUNCTION("""COMPUTED_VALUE"""),40205.7055555555)</f>
        <v>40205.705555555498</v>
      </c>
      <c r="T19" s="111">
        <f ca="1">IFERROR(__xludf.DUMMYFUNCTION("""COMPUTED_VALUE"""),5.31)</f>
        <v>5.31</v>
      </c>
    </row>
    <row r="20" spans="1:20" x14ac:dyDescent="0.3">
      <c r="A20" s="112">
        <f ca="1">IFERROR(__xludf.DUMMYFUNCTION("""COMPUTED_VALUE"""),40206.7055555555)</f>
        <v>40206.705555555498</v>
      </c>
      <c r="B20" s="111">
        <f ca="1">IFERROR(__xludf.DUMMYFUNCTION("""COMPUTED_VALUE"""),38.17)</f>
        <v>38.17</v>
      </c>
      <c r="C20" s="112">
        <f ca="1">IFERROR(__xludf.DUMMYFUNCTION("""COMPUTED_VALUE"""),40206.7055555555)</f>
        <v>40206.705555555498</v>
      </c>
      <c r="D20" s="111">
        <f ca="1">IFERROR(__xludf.DUMMYFUNCTION("""COMPUTED_VALUE"""),18.48)</f>
        <v>18.48</v>
      </c>
      <c r="E20" s="112">
        <f ca="1">IFERROR(__xludf.DUMMYFUNCTION("""COMPUTED_VALUE"""),40206.7055555555)</f>
        <v>40206.705555555498</v>
      </c>
      <c r="F20" s="111">
        <f ca="1">IFERROR(__xludf.DUMMYFUNCTION("""COMPUTED_VALUE"""),7.36)</f>
        <v>7.36</v>
      </c>
      <c r="G20" s="112">
        <f ca="1">IFERROR(__xludf.DUMMYFUNCTION("""COMPUTED_VALUE"""),40206.7055555555)</f>
        <v>40206.705555555498</v>
      </c>
      <c r="H20" s="111">
        <f ca="1">IFERROR(__xludf.DUMMYFUNCTION("""COMPUTED_VALUE"""),34.61)</f>
        <v>34.61</v>
      </c>
      <c r="I20" s="112">
        <f ca="1">IFERROR(__xludf.DUMMYFUNCTION("""COMPUTED_VALUE"""),44566.7055555555)</f>
        <v>44566.705555555498</v>
      </c>
      <c r="J20" s="111">
        <f ca="1">IFERROR(__xludf.DUMMYFUNCTION("""COMPUTED_VALUE"""),8.55)</f>
        <v>8.5500000000000007</v>
      </c>
      <c r="K20" s="112">
        <f ca="1">IFERROR(__xludf.DUMMYFUNCTION("""COMPUTED_VALUE"""),40690.7055555555)</f>
        <v>40690.705555555498</v>
      </c>
      <c r="L20" s="111">
        <f ca="1">IFERROR(__xludf.DUMMYFUNCTION("""COMPUTED_VALUE"""),0.49)</f>
        <v>0.49</v>
      </c>
      <c r="M20" s="112">
        <f ca="1">IFERROR(__xludf.DUMMYFUNCTION("""COMPUTED_VALUE"""),40206.7055555555)</f>
        <v>40206.705555555498</v>
      </c>
      <c r="N20" s="111">
        <f ca="1">IFERROR(__xludf.DUMMYFUNCTION("""COMPUTED_VALUE"""),11.27)</f>
        <v>11.27</v>
      </c>
      <c r="O20" s="112">
        <f ca="1">IFERROR(__xludf.DUMMYFUNCTION("""COMPUTED_VALUE"""),40206.7055555555)</f>
        <v>40206.705555555498</v>
      </c>
      <c r="P20" s="111">
        <f ca="1">IFERROR(__xludf.DUMMYFUNCTION("""COMPUTED_VALUE"""),48.78)</f>
        <v>48.78</v>
      </c>
      <c r="Q20" s="112">
        <f ca="1">IFERROR(__xludf.DUMMYFUNCTION("""COMPUTED_VALUE"""),40206.7055555555)</f>
        <v>40206.705555555498</v>
      </c>
      <c r="R20" s="111">
        <f ca="1">IFERROR(__xludf.DUMMYFUNCTION("""COMPUTED_VALUE"""),27.6)</f>
        <v>27.6</v>
      </c>
      <c r="S20" s="112">
        <f ca="1">IFERROR(__xludf.DUMMYFUNCTION("""COMPUTED_VALUE"""),40206.7055555555)</f>
        <v>40206.705555555498</v>
      </c>
      <c r="T20" s="111">
        <f ca="1">IFERROR(__xludf.DUMMYFUNCTION("""COMPUTED_VALUE"""),5.32)</f>
        <v>5.32</v>
      </c>
    </row>
    <row r="21" spans="1:20" x14ac:dyDescent="0.3">
      <c r="A21" s="112">
        <f ca="1">IFERROR(__xludf.DUMMYFUNCTION("""COMPUTED_VALUE"""),40207.7055555555)</f>
        <v>40207.705555555498</v>
      </c>
      <c r="B21" s="111">
        <f ca="1">IFERROR(__xludf.DUMMYFUNCTION("""COMPUTED_VALUE"""),39.6)</f>
        <v>39.6</v>
      </c>
      <c r="C21" s="112">
        <f ca="1">IFERROR(__xludf.DUMMYFUNCTION("""COMPUTED_VALUE"""),40207.7055555555)</f>
        <v>40207.705555555498</v>
      </c>
      <c r="D21" s="111">
        <f ca="1">IFERROR(__xludf.DUMMYFUNCTION("""COMPUTED_VALUE"""),18.1)</f>
        <v>18.100000000000001</v>
      </c>
      <c r="E21" s="112">
        <f ca="1">IFERROR(__xludf.DUMMYFUNCTION("""COMPUTED_VALUE"""),40207.7055555555)</f>
        <v>40207.705555555498</v>
      </c>
      <c r="F21" s="111">
        <f ca="1">IFERROR(__xludf.DUMMYFUNCTION("""COMPUTED_VALUE"""),7.3)</f>
        <v>7.3</v>
      </c>
      <c r="G21" s="112">
        <f ca="1">IFERROR(__xludf.DUMMYFUNCTION("""COMPUTED_VALUE"""),40207.7055555555)</f>
        <v>40207.705555555498</v>
      </c>
      <c r="H21" s="111">
        <f ca="1">IFERROR(__xludf.DUMMYFUNCTION("""COMPUTED_VALUE"""),34.17)</f>
        <v>34.17</v>
      </c>
      <c r="I21" s="112">
        <f ca="1">IFERROR(__xludf.DUMMYFUNCTION("""COMPUTED_VALUE"""),44567.7055555555)</f>
        <v>44567.705555555498</v>
      </c>
      <c r="J21" s="111">
        <f ca="1">IFERROR(__xludf.DUMMYFUNCTION("""COMPUTED_VALUE"""),8.99)</f>
        <v>8.99</v>
      </c>
      <c r="K21" s="112">
        <f ca="1">IFERROR(__xludf.DUMMYFUNCTION("""COMPUTED_VALUE"""),40693.7055555555)</f>
        <v>40693.705555555498</v>
      </c>
      <c r="L21" s="111">
        <f ca="1">IFERROR(__xludf.DUMMYFUNCTION("""COMPUTED_VALUE"""),0.5)</f>
        <v>0.5</v>
      </c>
      <c r="M21" s="112">
        <f ca="1">IFERROR(__xludf.DUMMYFUNCTION("""COMPUTED_VALUE"""),40207.7055555555)</f>
        <v>40207.705555555498</v>
      </c>
      <c r="N21" s="111">
        <f ca="1">IFERROR(__xludf.DUMMYFUNCTION("""COMPUTED_VALUE"""),11.12)</f>
        <v>11.12</v>
      </c>
      <c r="O21" s="112">
        <f ca="1">IFERROR(__xludf.DUMMYFUNCTION("""COMPUTED_VALUE"""),40207.7055555555)</f>
        <v>40207.705555555498</v>
      </c>
      <c r="P21" s="111">
        <f ca="1">IFERROR(__xludf.DUMMYFUNCTION("""COMPUTED_VALUE"""),48.91)</f>
        <v>48.91</v>
      </c>
      <c r="Q21" s="112">
        <f ca="1">IFERROR(__xludf.DUMMYFUNCTION("""COMPUTED_VALUE"""),40207.7055555555)</f>
        <v>40207.705555555498</v>
      </c>
      <c r="R21" s="111">
        <f ca="1">IFERROR(__xludf.DUMMYFUNCTION("""COMPUTED_VALUE"""),28.1)</f>
        <v>28.1</v>
      </c>
      <c r="S21" s="112">
        <f ca="1">IFERROR(__xludf.DUMMYFUNCTION("""COMPUTED_VALUE"""),40207.7055555555)</f>
        <v>40207.705555555498</v>
      </c>
      <c r="T21" s="111">
        <f ca="1">IFERROR(__xludf.DUMMYFUNCTION("""COMPUTED_VALUE"""),5.41)</f>
        <v>5.41</v>
      </c>
    </row>
    <row r="22" spans="1:20" x14ac:dyDescent="0.3">
      <c r="A22" s="112">
        <f ca="1">IFERROR(__xludf.DUMMYFUNCTION("""COMPUTED_VALUE"""),40210.7055555555)</f>
        <v>40210.705555555498</v>
      </c>
      <c r="B22" s="111">
        <f ca="1">IFERROR(__xludf.DUMMYFUNCTION("""COMPUTED_VALUE"""),28.37)</f>
        <v>28.37</v>
      </c>
      <c r="C22" s="112">
        <f ca="1">IFERROR(__xludf.DUMMYFUNCTION("""COMPUTED_VALUE"""),40210.7055555555)</f>
        <v>40210.705555555498</v>
      </c>
      <c r="D22" s="111">
        <f ca="1">IFERROR(__xludf.DUMMYFUNCTION("""COMPUTED_VALUE"""),18.44)</f>
        <v>18.440000000000001</v>
      </c>
      <c r="E22" s="112">
        <f ca="1">IFERROR(__xludf.DUMMYFUNCTION("""COMPUTED_VALUE"""),40210.7055555555)</f>
        <v>40210.705555555498</v>
      </c>
      <c r="F22" s="111">
        <f ca="1">IFERROR(__xludf.DUMMYFUNCTION("""COMPUTED_VALUE"""),7.41)</f>
        <v>7.41</v>
      </c>
      <c r="G22" s="112">
        <f ca="1">IFERROR(__xludf.DUMMYFUNCTION("""COMPUTED_VALUE"""),40210.7055555555)</f>
        <v>40210.705555555498</v>
      </c>
      <c r="H22" s="111">
        <f ca="1">IFERROR(__xludf.DUMMYFUNCTION("""COMPUTED_VALUE"""),34.3)</f>
        <v>34.299999999999997</v>
      </c>
      <c r="I22" s="112">
        <f ca="1">IFERROR(__xludf.DUMMYFUNCTION("""COMPUTED_VALUE"""),44568.7055555555)</f>
        <v>44568.705555555498</v>
      </c>
      <c r="J22" s="111">
        <f ca="1">IFERROR(__xludf.DUMMYFUNCTION("""COMPUTED_VALUE"""),8.66)</f>
        <v>8.66</v>
      </c>
      <c r="K22" s="112">
        <f ca="1">IFERROR(__xludf.DUMMYFUNCTION("""COMPUTED_VALUE"""),40694.7055555555)</f>
        <v>40694.705555555498</v>
      </c>
      <c r="L22" s="111">
        <f ca="1">IFERROR(__xludf.DUMMYFUNCTION("""COMPUTED_VALUE"""),0.5)</f>
        <v>0.5</v>
      </c>
      <c r="M22" s="112">
        <f ca="1">IFERROR(__xludf.DUMMYFUNCTION("""COMPUTED_VALUE"""),40210.7055555555)</f>
        <v>40210.705555555498</v>
      </c>
      <c r="N22" s="111">
        <f ca="1">IFERROR(__xludf.DUMMYFUNCTION("""COMPUTED_VALUE"""),11.31)</f>
        <v>11.31</v>
      </c>
      <c r="O22" s="112">
        <f ca="1">IFERROR(__xludf.DUMMYFUNCTION("""COMPUTED_VALUE"""),40210.7055555555)</f>
        <v>40210.705555555498</v>
      </c>
      <c r="P22" s="111">
        <f ca="1">IFERROR(__xludf.DUMMYFUNCTION("""COMPUTED_VALUE"""),50.39)</f>
        <v>50.39</v>
      </c>
      <c r="Q22" s="112">
        <f ca="1">IFERROR(__xludf.DUMMYFUNCTION("""COMPUTED_VALUE"""),40210.7055555555)</f>
        <v>40210.705555555498</v>
      </c>
      <c r="R22" s="111">
        <f ca="1">IFERROR(__xludf.DUMMYFUNCTION("""COMPUTED_VALUE"""),30)</f>
        <v>30</v>
      </c>
      <c r="S22" s="112">
        <f ca="1">IFERROR(__xludf.DUMMYFUNCTION("""COMPUTED_VALUE"""),40210.7055555555)</f>
        <v>40210.705555555498</v>
      </c>
      <c r="T22" s="111">
        <f ca="1">IFERROR(__xludf.DUMMYFUNCTION("""COMPUTED_VALUE"""),5.47)</f>
        <v>5.47</v>
      </c>
    </row>
    <row r="23" spans="1:20" x14ac:dyDescent="0.3">
      <c r="A23" s="112">
        <f ca="1">IFERROR(__xludf.DUMMYFUNCTION("""COMPUTED_VALUE"""),40211.7055555555)</f>
        <v>40211.705555555498</v>
      </c>
      <c r="B23" s="111">
        <f ca="1">IFERROR(__xludf.DUMMYFUNCTION("""COMPUTED_VALUE"""),28.18)</f>
        <v>28.18</v>
      </c>
      <c r="C23" s="112">
        <f ca="1">IFERROR(__xludf.DUMMYFUNCTION("""COMPUTED_VALUE"""),40211.7055555555)</f>
        <v>40211.705555555498</v>
      </c>
      <c r="D23" s="111">
        <f ca="1">IFERROR(__xludf.DUMMYFUNCTION("""COMPUTED_VALUE"""),18.68)</f>
        <v>18.68</v>
      </c>
      <c r="E23" s="112">
        <f ca="1">IFERROR(__xludf.DUMMYFUNCTION("""COMPUTED_VALUE"""),40211.7055555555)</f>
        <v>40211.705555555498</v>
      </c>
      <c r="F23" s="111">
        <f ca="1">IFERROR(__xludf.DUMMYFUNCTION("""COMPUTED_VALUE"""),7.52)</f>
        <v>7.52</v>
      </c>
      <c r="G23" s="112">
        <f ca="1">IFERROR(__xludf.DUMMYFUNCTION("""COMPUTED_VALUE"""),40211.7055555555)</f>
        <v>40211.705555555498</v>
      </c>
      <c r="H23" s="111">
        <f ca="1">IFERROR(__xludf.DUMMYFUNCTION("""COMPUTED_VALUE"""),34.1)</f>
        <v>34.1</v>
      </c>
      <c r="I23" s="112">
        <f ca="1">IFERROR(__xludf.DUMMYFUNCTION("""COMPUTED_VALUE"""),44571.7055555555)</f>
        <v>44571.705555555498</v>
      </c>
      <c r="J23" s="111">
        <f ca="1">IFERROR(__xludf.DUMMYFUNCTION("""COMPUTED_VALUE"""),8.45)</f>
        <v>8.4499999999999993</v>
      </c>
      <c r="K23" s="112">
        <f ca="1">IFERROR(__xludf.DUMMYFUNCTION("""COMPUTED_VALUE"""),40695.7055555555)</f>
        <v>40695.705555555498</v>
      </c>
      <c r="L23" s="111">
        <f ca="1">IFERROR(__xludf.DUMMYFUNCTION("""COMPUTED_VALUE"""),0.51)</f>
        <v>0.51</v>
      </c>
      <c r="M23" s="112">
        <f ca="1">IFERROR(__xludf.DUMMYFUNCTION("""COMPUTED_VALUE"""),40211.7055555555)</f>
        <v>40211.705555555498</v>
      </c>
      <c r="N23" s="111">
        <f ca="1">IFERROR(__xludf.DUMMYFUNCTION("""COMPUTED_VALUE"""),11.48)</f>
        <v>11.48</v>
      </c>
      <c r="O23" s="112">
        <f ca="1">IFERROR(__xludf.DUMMYFUNCTION("""COMPUTED_VALUE"""),40211.7055555555)</f>
        <v>40211.705555555498</v>
      </c>
      <c r="P23" s="111">
        <f ca="1">IFERROR(__xludf.DUMMYFUNCTION("""COMPUTED_VALUE"""),50.39)</f>
        <v>50.39</v>
      </c>
      <c r="Q23" s="112">
        <f ca="1">IFERROR(__xludf.DUMMYFUNCTION("""COMPUTED_VALUE"""),40211.7055555555)</f>
        <v>40211.705555555498</v>
      </c>
      <c r="R23" s="111">
        <f ca="1">IFERROR(__xludf.DUMMYFUNCTION("""COMPUTED_VALUE"""),30.6)</f>
        <v>30.6</v>
      </c>
      <c r="S23" s="112">
        <f ca="1">IFERROR(__xludf.DUMMYFUNCTION("""COMPUTED_VALUE"""),40211.7055555555)</f>
        <v>40211.705555555498</v>
      </c>
      <c r="T23" s="111">
        <f ca="1">IFERROR(__xludf.DUMMYFUNCTION("""COMPUTED_VALUE"""),5.51)</f>
        <v>5.51</v>
      </c>
    </row>
    <row r="24" spans="1:20" x14ac:dyDescent="0.3">
      <c r="A24" s="112">
        <f ca="1">IFERROR(__xludf.DUMMYFUNCTION("""COMPUTED_VALUE"""),40212.7055555555)</f>
        <v>40212.705555555498</v>
      </c>
      <c r="B24" s="111">
        <f ca="1">IFERROR(__xludf.DUMMYFUNCTION("""COMPUTED_VALUE"""),26.9)</f>
        <v>26.9</v>
      </c>
      <c r="C24" s="112">
        <f ca="1">IFERROR(__xludf.DUMMYFUNCTION("""COMPUTED_VALUE"""),40212.7055555555)</f>
        <v>40212.705555555498</v>
      </c>
      <c r="D24" s="111">
        <f ca="1">IFERROR(__xludf.DUMMYFUNCTION("""COMPUTED_VALUE"""),18.6)</f>
        <v>18.600000000000001</v>
      </c>
      <c r="E24" s="112">
        <f ca="1">IFERROR(__xludf.DUMMYFUNCTION("""COMPUTED_VALUE"""),40212.7055555555)</f>
        <v>40212.705555555498</v>
      </c>
      <c r="F24" s="111">
        <f ca="1">IFERROR(__xludf.DUMMYFUNCTION("""COMPUTED_VALUE"""),7.51)</f>
        <v>7.51</v>
      </c>
      <c r="G24" s="112">
        <f ca="1">IFERROR(__xludf.DUMMYFUNCTION("""COMPUTED_VALUE"""),40212.7055555555)</f>
        <v>40212.705555555498</v>
      </c>
      <c r="H24" s="111">
        <f ca="1">IFERROR(__xludf.DUMMYFUNCTION("""COMPUTED_VALUE"""),34.04)</f>
        <v>34.04</v>
      </c>
      <c r="I24" s="112">
        <f ca="1">IFERROR(__xludf.DUMMYFUNCTION("""COMPUTED_VALUE"""),44572.7055555555)</f>
        <v>44572.705555555498</v>
      </c>
      <c r="J24" s="111">
        <f ca="1">IFERROR(__xludf.DUMMYFUNCTION("""COMPUTED_VALUE"""),8.6)</f>
        <v>8.6</v>
      </c>
      <c r="K24" s="112">
        <f ca="1">IFERROR(__xludf.DUMMYFUNCTION("""COMPUTED_VALUE"""),40696.7055555555)</f>
        <v>40696.705555555498</v>
      </c>
      <c r="L24" s="111">
        <f ca="1">IFERROR(__xludf.DUMMYFUNCTION("""COMPUTED_VALUE"""),0.51)</f>
        <v>0.51</v>
      </c>
      <c r="M24" s="112">
        <f ca="1">IFERROR(__xludf.DUMMYFUNCTION("""COMPUTED_VALUE"""),40212.7055555555)</f>
        <v>40212.705555555498</v>
      </c>
      <c r="N24" s="111">
        <f ca="1">IFERROR(__xludf.DUMMYFUNCTION("""COMPUTED_VALUE"""),11.41)</f>
        <v>11.41</v>
      </c>
      <c r="O24" s="112">
        <f ca="1">IFERROR(__xludf.DUMMYFUNCTION("""COMPUTED_VALUE"""),40212.7055555555)</f>
        <v>40212.705555555498</v>
      </c>
      <c r="P24" s="111">
        <f ca="1">IFERROR(__xludf.DUMMYFUNCTION("""COMPUTED_VALUE"""),50.28)</f>
        <v>50.28</v>
      </c>
      <c r="Q24" s="112">
        <f ca="1">IFERROR(__xludf.DUMMYFUNCTION("""COMPUTED_VALUE"""),40212.7055555555)</f>
        <v>40212.705555555498</v>
      </c>
      <c r="R24" s="111">
        <f ca="1">IFERROR(__xludf.DUMMYFUNCTION("""COMPUTED_VALUE"""),29.85)</f>
        <v>29.85</v>
      </c>
      <c r="S24" s="112">
        <f ca="1">IFERROR(__xludf.DUMMYFUNCTION("""COMPUTED_VALUE"""),40212.7055555555)</f>
        <v>40212.705555555498</v>
      </c>
      <c r="T24" s="111">
        <f ca="1">IFERROR(__xludf.DUMMYFUNCTION("""COMPUTED_VALUE"""),5.83)</f>
        <v>5.83</v>
      </c>
    </row>
    <row r="25" spans="1:20" x14ac:dyDescent="0.3">
      <c r="A25" s="112">
        <f ca="1">IFERROR(__xludf.DUMMYFUNCTION("""COMPUTED_VALUE"""),40213.7055555555)</f>
        <v>40213.705555555498</v>
      </c>
      <c r="B25" s="111">
        <f ca="1">IFERROR(__xludf.DUMMYFUNCTION("""COMPUTED_VALUE"""),24.88)</f>
        <v>24.88</v>
      </c>
      <c r="C25" s="112">
        <f ca="1">IFERROR(__xludf.DUMMYFUNCTION("""COMPUTED_VALUE"""),40213.7055555555)</f>
        <v>40213.705555555498</v>
      </c>
      <c r="D25" s="111">
        <f ca="1">IFERROR(__xludf.DUMMYFUNCTION("""COMPUTED_VALUE"""),17.89)</f>
        <v>17.89</v>
      </c>
      <c r="E25" s="112">
        <f ca="1">IFERROR(__xludf.DUMMYFUNCTION("""COMPUTED_VALUE"""),40213.7055555555)</f>
        <v>40213.705555555498</v>
      </c>
      <c r="F25" s="111">
        <f ca="1">IFERROR(__xludf.DUMMYFUNCTION("""COMPUTED_VALUE"""),7.19)</f>
        <v>7.19</v>
      </c>
      <c r="G25" s="112">
        <f ca="1">IFERROR(__xludf.DUMMYFUNCTION("""COMPUTED_VALUE"""),40213.7055555555)</f>
        <v>40213.705555555498</v>
      </c>
      <c r="H25" s="111">
        <f ca="1">IFERROR(__xludf.DUMMYFUNCTION("""COMPUTED_VALUE"""),32.3)</f>
        <v>32.299999999999997</v>
      </c>
      <c r="I25" s="112">
        <f ca="1">IFERROR(__xludf.DUMMYFUNCTION("""COMPUTED_VALUE"""),44573.7055555555)</f>
        <v>44573.705555555498</v>
      </c>
      <c r="J25" s="111">
        <f ca="1">IFERROR(__xludf.DUMMYFUNCTION("""COMPUTED_VALUE"""),8.29)</f>
        <v>8.2899999999999991</v>
      </c>
      <c r="K25" s="112">
        <f ca="1">IFERROR(__xludf.DUMMYFUNCTION("""COMPUTED_VALUE"""),40697.7055555555)</f>
        <v>40697.705555555498</v>
      </c>
      <c r="L25" s="111">
        <f ca="1">IFERROR(__xludf.DUMMYFUNCTION("""COMPUTED_VALUE"""),0.52)</f>
        <v>0.52</v>
      </c>
      <c r="M25" s="112">
        <f ca="1">IFERROR(__xludf.DUMMYFUNCTION("""COMPUTED_VALUE"""),40213.7055555555)</f>
        <v>40213.705555555498</v>
      </c>
      <c r="N25" s="111">
        <f ca="1">IFERROR(__xludf.DUMMYFUNCTION("""COMPUTED_VALUE"""),11.07)</f>
        <v>11.07</v>
      </c>
      <c r="O25" s="112">
        <f ca="1">IFERROR(__xludf.DUMMYFUNCTION("""COMPUTED_VALUE"""),40213.7055555555)</f>
        <v>40213.705555555498</v>
      </c>
      <c r="P25" s="111">
        <f ca="1">IFERROR(__xludf.DUMMYFUNCTION("""COMPUTED_VALUE"""),47.56)</f>
        <v>47.56</v>
      </c>
      <c r="Q25" s="112">
        <f ca="1">IFERROR(__xludf.DUMMYFUNCTION("""COMPUTED_VALUE"""),40213.7055555555)</f>
        <v>40213.705555555498</v>
      </c>
      <c r="R25" s="111">
        <f ca="1">IFERROR(__xludf.DUMMYFUNCTION("""COMPUTED_VALUE"""),29.3)</f>
        <v>29.3</v>
      </c>
      <c r="S25" s="112">
        <f ca="1">IFERROR(__xludf.DUMMYFUNCTION("""COMPUTED_VALUE"""),40213.7055555555)</f>
        <v>40213.705555555498</v>
      </c>
      <c r="T25" s="111">
        <f ca="1">IFERROR(__xludf.DUMMYFUNCTION("""COMPUTED_VALUE"""),5.57)</f>
        <v>5.57</v>
      </c>
    </row>
    <row r="26" spans="1:20" x14ac:dyDescent="0.3">
      <c r="A26" s="112">
        <f ca="1">IFERROR(__xludf.DUMMYFUNCTION("""COMPUTED_VALUE"""),40214.7055555555)</f>
        <v>40214.705555555498</v>
      </c>
      <c r="B26" s="111">
        <f ca="1">IFERROR(__xludf.DUMMYFUNCTION("""COMPUTED_VALUE"""),23.83)</f>
        <v>23.83</v>
      </c>
      <c r="C26" s="112">
        <f ca="1">IFERROR(__xludf.DUMMYFUNCTION("""COMPUTED_VALUE"""),40214.7055555555)</f>
        <v>40214.705555555498</v>
      </c>
      <c r="D26" s="111">
        <f ca="1">IFERROR(__xludf.DUMMYFUNCTION("""COMPUTED_VALUE"""),17.43)</f>
        <v>17.43</v>
      </c>
      <c r="E26" s="112">
        <f ca="1">IFERROR(__xludf.DUMMYFUNCTION("""COMPUTED_VALUE"""),40214.7055555555)</f>
        <v>40214.705555555498</v>
      </c>
      <c r="F26" s="111">
        <f ca="1">IFERROR(__xludf.DUMMYFUNCTION("""COMPUTED_VALUE"""),7.02)</f>
        <v>7.02</v>
      </c>
      <c r="G26" s="112">
        <f ca="1">IFERROR(__xludf.DUMMYFUNCTION("""COMPUTED_VALUE"""),40214.7055555555)</f>
        <v>40214.705555555498</v>
      </c>
      <c r="H26" s="111">
        <f ca="1">IFERROR(__xludf.DUMMYFUNCTION("""COMPUTED_VALUE"""),31.52)</f>
        <v>31.52</v>
      </c>
      <c r="I26" s="112">
        <f ca="1">IFERROR(__xludf.DUMMYFUNCTION("""COMPUTED_VALUE"""),44574.7055555555)</f>
        <v>44574.705555555498</v>
      </c>
      <c r="J26" s="111">
        <f ca="1">IFERROR(__xludf.DUMMYFUNCTION("""COMPUTED_VALUE"""),8.03)</f>
        <v>8.0299999999999994</v>
      </c>
      <c r="K26" s="112">
        <f ca="1">IFERROR(__xludf.DUMMYFUNCTION("""COMPUTED_VALUE"""),40700.7055555555)</f>
        <v>40700.705555555498</v>
      </c>
      <c r="L26" s="111">
        <f ca="1">IFERROR(__xludf.DUMMYFUNCTION("""COMPUTED_VALUE"""),0.52)</f>
        <v>0.52</v>
      </c>
      <c r="M26" s="112">
        <f ca="1">IFERROR(__xludf.DUMMYFUNCTION("""COMPUTED_VALUE"""),40214.7055555555)</f>
        <v>40214.705555555498</v>
      </c>
      <c r="N26" s="111">
        <f ca="1">IFERROR(__xludf.DUMMYFUNCTION("""COMPUTED_VALUE"""),10.66)</f>
        <v>10.66</v>
      </c>
      <c r="O26" s="112">
        <f ca="1">IFERROR(__xludf.DUMMYFUNCTION("""COMPUTED_VALUE"""),40214.7055555555)</f>
        <v>40214.705555555498</v>
      </c>
      <c r="P26" s="111">
        <f ca="1">IFERROR(__xludf.DUMMYFUNCTION("""COMPUTED_VALUE"""),47.16)</f>
        <v>47.16</v>
      </c>
      <c r="Q26" s="112">
        <f ca="1">IFERROR(__xludf.DUMMYFUNCTION("""COMPUTED_VALUE"""),40214.7055555555)</f>
        <v>40214.705555555498</v>
      </c>
      <c r="R26" s="111">
        <f ca="1">IFERROR(__xludf.DUMMYFUNCTION("""COMPUTED_VALUE"""),27.9)</f>
        <v>27.9</v>
      </c>
      <c r="S26" s="112">
        <f ca="1">IFERROR(__xludf.DUMMYFUNCTION("""COMPUTED_VALUE"""),40214.7055555555)</f>
        <v>40214.705555555498</v>
      </c>
      <c r="T26" s="111">
        <f ca="1">IFERROR(__xludf.DUMMYFUNCTION("""COMPUTED_VALUE"""),5.56)</f>
        <v>5.56</v>
      </c>
    </row>
    <row r="27" spans="1:20" x14ac:dyDescent="0.3">
      <c r="A27" s="112">
        <f ca="1">IFERROR(__xludf.DUMMYFUNCTION("""COMPUTED_VALUE"""),40217.7055555555)</f>
        <v>40217.705555555498</v>
      </c>
      <c r="B27" s="111">
        <f ca="1">IFERROR(__xludf.DUMMYFUNCTION("""COMPUTED_VALUE"""),23.74)</f>
        <v>23.74</v>
      </c>
      <c r="C27" s="112">
        <f ca="1">IFERROR(__xludf.DUMMYFUNCTION("""COMPUTED_VALUE"""),40217.7055555555)</f>
        <v>40217.705555555498</v>
      </c>
      <c r="D27" s="111">
        <f ca="1">IFERROR(__xludf.DUMMYFUNCTION("""COMPUTED_VALUE"""),17.38)</f>
        <v>17.38</v>
      </c>
      <c r="E27" s="112">
        <f ca="1">IFERROR(__xludf.DUMMYFUNCTION("""COMPUTED_VALUE"""),40217.7055555555)</f>
        <v>40217.705555555498</v>
      </c>
      <c r="F27" s="111">
        <f ca="1">IFERROR(__xludf.DUMMYFUNCTION("""COMPUTED_VALUE"""),6.99)</f>
        <v>6.99</v>
      </c>
      <c r="G27" s="112">
        <f ca="1">IFERROR(__xludf.DUMMYFUNCTION("""COMPUTED_VALUE"""),40217.7055555555)</f>
        <v>40217.705555555498</v>
      </c>
      <c r="H27" s="111">
        <f ca="1">IFERROR(__xludf.DUMMYFUNCTION("""COMPUTED_VALUE"""),31.74)</f>
        <v>31.74</v>
      </c>
      <c r="I27" s="112">
        <f ca="1">IFERROR(__xludf.DUMMYFUNCTION("""COMPUTED_VALUE"""),44575.7055555555)</f>
        <v>44575.705555555498</v>
      </c>
      <c r="J27" s="111">
        <f ca="1">IFERROR(__xludf.DUMMYFUNCTION("""COMPUTED_VALUE"""),7.56)</f>
        <v>7.56</v>
      </c>
      <c r="K27" s="112">
        <f ca="1">IFERROR(__xludf.DUMMYFUNCTION("""COMPUTED_VALUE"""),40702.7055555555)</f>
        <v>40702.705555555498</v>
      </c>
      <c r="L27" s="111">
        <f ca="1">IFERROR(__xludf.DUMMYFUNCTION("""COMPUTED_VALUE"""),0.52)</f>
        <v>0.52</v>
      </c>
      <c r="M27" s="112">
        <f ca="1">IFERROR(__xludf.DUMMYFUNCTION("""COMPUTED_VALUE"""),40217.7055555555)</f>
        <v>40217.705555555498</v>
      </c>
      <c r="N27" s="111">
        <f ca="1">IFERROR(__xludf.DUMMYFUNCTION("""COMPUTED_VALUE"""),10.65)</f>
        <v>10.65</v>
      </c>
      <c r="O27" s="112">
        <f ca="1">IFERROR(__xludf.DUMMYFUNCTION("""COMPUTED_VALUE"""),40217.7055555555)</f>
        <v>40217.705555555498</v>
      </c>
      <c r="P27" s="111">
        <f ca="1">IFERROR(__xludf.DUMMYFUNCTION("""COMPUTED_VALUE"""),47.5)</f>
        <v>47.5</v>
      </c>
      <c r="Q27" s="112">
        <f ca="1">IFERROR(__xludf.DUMMYFUNCTION("""COMPUTED_VALUE"""),40217.7055555555)</f>
        <v>40217.705555555498</v>
      </c>
      <c r="R27" s="111">
        <f ca="1">IFERROR(__xludf.DUMMYFUNCTION("""COMPUTED_VALUE"""),28.25)</f>
        <v>28.25</v>
      </c>
      <c r="S27" s="112">
        <f ca="1">IFERROR(__xludf.DUMMYFUNCTION("""COMPUTED_VALUE"""),40217.7055555555)</f>
        <v>40217.705555555498</v>
      </c>
      <c r="T27" s="111">
        <f ca="1">IFERROR(__xludf.DUMMYFUNCTION("""COMPUTED_VALUE"""),5.52)</f>
        <v>5.52</v>
      </c>
    </row>
    <row r="28" spans="1:20" x14ac:dyDescent="0.3">
      <c r="A28" s="112">
        <f ca="1">IFERROR(__xludf.DUMMYFUNCTION("""COMPUTED_VALUE"""),40218.7055555555)</f>
        <v>40218.705555555498</v>
      </c>
      <c r="B28" s="111">
        <f ca="1">IFERROR(__xludf.DUMMYFUNCTION("""COMPUTED_VALUE"""),24.13)</f>
        <v>24.13</v>
      </c>
      <c r="C28" s="112">
        <f ca="1">IFERROR(__xludf.DUMMYFUNCTION("""COMPUTED_VALUE"""),40218.7055555555)</f>
        <v>40218.705555555498</v>
      </c>
      <c r="D28" s="111">
        <f ca="1">IFERROR(__xludf.DUMMYFUNCTION("""COMPUTED_VALUE"""),18.16)</f>
        <v>18.16</v>
      </c>
      <c r="E28" s="112">
        <f ca="1">IFERROR(__xludf.DUMMYFUNCTION("""COMPUTED_VALUE"""),40218.7055555555)</f>
        <v>40218.705555555498</v>
      </c>
      <c r="F28" s="111">
        <f ca="1">IFERROR(__xludf.DUMMYFUNCTION("""COMPUTED_VALUE"""),7.35)</f>
        <v>7.35</v>
      </c>
      <c r="G28" s="112">
        <f ca="1">IFERROR(__xludf.DUMMYFUNCTION("""COMPUTED_VALUE"""),40218.7055555555)</f>
        <v>40218.705555555498</v>
      </c>
      <c r="H28" s="111">
        <f ca="1">IFERROR(__xludf.DUMMYFUNCTION("""COMPUTED_VALUE"""),32.24)</f>
        <v>32.24</v>
      </c>
      <c r="I28" s="112">
        <f ca="1">IFERROR(__xludf.DUMMYFUNCTION("""COMPUTED_VALUE"""),44578.7055555555)</f>
        <v>44578.705555555498</v>
      </c>
      <c r="J28" s="111">
        <f ca="1">IFERROR(__xludf.DUMMYFUNCTION("""COMPUTED_VALUE"""),7.52)</f>
        <v>7.52</v>
      </c>
      <c r="K28" s="112">
        <f ca="1">IFERROR(__xludf.DUMMYFUNCTION("""COMPUTED_VALUE"""),40703.7055555555)</f>
        <v>40703.705555555498</v>
      </c>
      <c r="L28" s="111">
        <f ca="1">IFERROR(__xludf.DUMMYFUNCTION("""COMPUTED_VALUE"""),0.53)</f>
        <v>0.53</v>
      </c>
      <c r="M28" s="112">
        <f ca="1">IFERROR(__xludf.DUMMYFUNCTION("""COMPUTED_VALUE"""),40218.7055555555)</f>
        <v>40218.705555555498</v>
      </c>
      <c r="N28" s="111">
        <f ca="1">IFERROR(__xludf.DUMMYFUNCTION("""COMPUTED_VALUE"""),11.01)</f>
        <v>11.01</v>
      </c>
      <c r="O28" s="112">
        <f ca="1">IFERROR(__xludf.DUMMYFUNCTION("""COMPUTED_VALUE"""),40218.7055555555)</f>
        <v>40218.705555555498</v>
      </c>
      <c r="P28" s="111">
        <f ca="1">IFERROR(__xludf.DUMMYFUNCTION("""COMPUTED_VALUE"""),48.5)</f>
        <v>48.5</v>
      </c>
      <c r="Q28" s="112">
        <f ca="1">IFERROR(__xludf.DUMMYFUNCTION("""COMPUTED_VALUE"""),40218.7055555555)</f>
        <v>40218.705555555498</v>
      </c>
      <c r="R28" s="111">
        <f ca="1">IFERROR(__xludf.DUMMYFUNCTION("""COMPUTED_VALUE"""),29.66)</f>
        <v>29.66</v>
      </c>
      <c r="S28" s="112">
        <f ca="1">IFERROR(__xludf.DUMMYFUNCTION("""COMPUTED_VALUE"""),40218.7055555555)</f>
        <v>40218.705555555498</v>
      </c>
      <c r="T28" s="111">
        <f ca="1">IFERROR(__xludf.DUMMYFUNCTION("""COMPUTED_VALUE"""),5.51)</f>
        <v>5.51</v>
      </c>
    </row>
    <row r="29" spans="1:20" x14ac:dyDescent="0.3">
      <c r="A29" s="112">
        <f ca="1">IFERROR(__xludf.DUMMYFUNCTION("""COMPUTED_VALUE"""),40219.7055555555)</f>
        <v>40219.705555555498</v>
      </c>
      <c r="B29" s="111">
        <f ca="1">IFERROR(__xludf.DUMMYFUNCTION("""COMPUTED_VALUE"""),24.33)</f>
        <v>24.33</v>
      </c>
      <c r="C29" s="112">
        <f ca="1">IFERROR(__xludf.DUMMYFUNCTION("""COMPUTED_VALUE"""),40219.7055555555)</f>
        <v>40219.705555555498</v>
      </c>
      <c r="D29" s="111">
        <f ca="1">IFERROR(__xludf.DUMMYFUNCTION("""COMPUTED_VALUE"""),18.26)</f>
        <v>18.260000000000002</v>
      </c>
      <c r="E29" s="112">
        <f ca="1">IFERROR(__xludf.DUMMYFUNCTION("""COMPUTED_VALUE"""),40219.7055555555)</f>
        <v>40219.705555555498</v>
      </c>
      <c r="F29" s="111">
        <f ca="1">IFERROR(__xludf.DUMMYFUNCTION("""COMPUTED_VALUE"""),7.34)</f>
        <v>7.34</v>
      </c>
      <c r="G29" s="112">
        <f ca="1">IFERROR(__xludf.DUMMYFUNCTION("""COMPUTED_VALUE"""),40219.7055555555)</f>
        <v>40219.705555555498</v>
      </c>
      <c r="H29" s="111">
        <f ca="1">IFERROR(__xludf.DUMMYFUNCTION("""COMPUTED_VALUE"""),32.64)</f>
        <v>32.64</v>
      </c>
      <c r="I29" s="112">
        <f ca="1">IFERROR(__xludf.DUMMYFUNCTION("""COMPUTED_VALUE"""),44579.7055555555)</f>
        <v>44579.705555555498</v>
      </c>
      <c r="J29" s="111">
        <f ca="1">IFERROR(__xludf.DUMMYFUNCTION("""COMPUTED_VALUE"""),7.17)</f>
        <v>7.17</v>
      </c>
      <c r="K29" s="112">
        <f ca="1">IFERROR(__xludf.DUMMYFUNCTION("""COMPUTED_VALUE"""),40704.7055555555)</f>
        <v>40704.705555555498</v>
      </c>
      <c r="L29" s="111">
        <f ca="1">IFERROR(__xludf.DUMMYFUNCTION("""COMPUTED_VALUE"""),0.54)</f>
        <v>0.54</v>
      </c>
      <c r="M29" s="112">
        <f ca="1">IFERROR(__xludf.DUMMYFUNCTION("""COMPUTED_VALUE"""),40219.7055555555)</f>
        <v>40219.705555555498</v>
      </c>
      <c r="N29" s="111">
        <f ca="1">IFERROR(__xludf.DUMMYFUNCTION("""COMPUTED_VALUE"""),11.15)</f>
        <v>11.15</v>
      </c>
      <c r="O29" s="112">
        <f ca="1">IFERROR(__xludf.DUMMYFUNCTION("""COMPUTED_VALUE"""),40219.7055555555)</f>
        <v>40219.705555555498</v>
      </c>
      <c r="P29" s="111">
        <f ca="1">IFERROR(__xludf.DUMMYFUNCTION("""COMPUTED_VALUE"""),48.55)</f>
        <v>48.55</v>
      </c>
      <c r="Q29" s="112">
        <f ca="1">IFERROR(__xludf.DUMMYFUNCTION("""COMPUTED_VALUE"""),40219.7055555555)</f>
        <v>40219.705555555498</v>
      </c>
      <c r="R29" s="111">
        <f ca="1">IFERROR(__xludf.DUMMYFUNCTION("""COMPUTED_VALUE"""),30.4)</f>
        <v>30.4</v>
      </c>
      <c r="S29" s="112">
        <f ca="1">IFERROR(__xludf.DUMMYFUNCTION("""COMPUTED_VALUE"""),40219.7055555555)</f>
        <v>40219.705555555498</v>
      </c>
      <c r="T29" s="111">
        <f ca="1">IFERROR(__xludf.DUMMYFUNCTION("""COMPUTED_VALUE"""),5.63)</f>
        <v>5.63</v>
      </c>
    </row>
    <row r="30" spans="1:20" x14ac:dyDescent="0.3">
      <c r="A30" s="112">
        <f ca="1">IFERROR(__xludf.DUMMYFUNCTION("""COMPUTED_VALUE"""),40220.7055555555)</f>
        <v>40220.705555555498</v>
      </c>
      <c r="B30" s="111">
        <f ca="1">IFERROR(__xludf.DUMMYFUNCTION("""COMPUTED_VALUE"""),24.48)</f>
        <v>24.48</v>
      </c>
      <c r="C30" s="112">
        <f ca="1">IFERROR(__xludf.DUMMYFUNCTION("""COMPUTED_VALUE"""),40220.7055555555)</f>
        <v>40220.705555555498</v>
      </c>
      <c r="D30" s="111">
        <f ca="1">IFERROR(__xludf.DUMMYFUNCTION("""COMPUTED_VALUE"""),18.58)</f>
        <v>18.579999999999998</v>
      </c>
      <c r="E30" s="112">
        <f ca="1">IFERROR(__xludf.DUMMYFUNCTION("""COMPUTED_VALUE"""),40220.7055555555)</f>
        <v>40220.705555555498</v>
      </c>
      <c r="F30" s="111">
        <f ca="1">IFERROR(__xludf.DUMMYFUNCTION("""COMPUTED_VALUE"""),7.42)</f>
        <v>7.42</v>
      </c>
      <c r="G30" s="112">
        <f ca="1">IFERROR(__xludf.DUMMYFUNCTION("""COMPUTED_VALUE"""),40220.7055555555)</f>
        <v>40220.705555555498</v>
      </c>
      <c r="H30" s="111">
        <f ca="1">IFERROR(__xludf.DUMMYFUNCTION("""COMPUTED_VALUE"""),33.36)</f>
        <v>33.36</v>
      </c>
      <c r="I30" s="112">
        <f ca="1">IFERROR(__xludf.DUMMYFUNCTION("""COMPUTED_VALUE"""),44580.7055555555)</f>
        <v>44580.705555555498</v>
      </c>
      <c r="J30" s="111">
        <f ca="1">IFERROR(__xludf.DUMMYFUNCTION("""COMPUTED_VALUE"""),7.08)</f>
        <v>7.08</v>
      </c>
      <c r="K30" s="112">
        <f ca="1">IFERROR(__xludf.DUMMYFUNCTION("""COMPUTED_VALUE"""),40707.7055555555)</f>
        <v>40707.705555555498</v>
      </c>
      <c r="L30" s="111">
        <f ca="1">IFERROR(__xludf.DUMMYFUNCTION("""COMPUTED_VALUE"""),0.54)</f>
        <v>0.54</v>
      </c>
      <c r="M30" s="112">
        <f ca="1">IFERROR(__xludf.DUMMYFUNCTION("""COMPUTED_VALUE"""),40220.7055555555)</f>
        <v>40220.705555555498</v>
      </c>
      <c r="N30" s="111">
        <f ca="1">IFERROR(__xludf.DUMMYFUNCTION("""COMPUTED_VALUE"""),11.22)</f>
        <v>11.22</v>
      </c>
      <c r="O30" s="112">
        <f ca="1">IFERROR(__xludf.DUMMYFUNCTION("""COMPUTED_VALUE"""),40220.7055555555)</f>
        <v>40220.705555555498</v>
      </c>
      <c r="P30" s="111">
        <f ca="1">IFERROR(__xludf.DUMMYFUNCTION("""COMPUTED_VALUE"""),49.69)</f>
        <v>49.69</v>
      </c>
      <c r="Q30" s="112">
        <f ca="1">IFERROR(__xludf.DUMMYFUNCTION("""COMPUTED_VALUE"""),40220.7055555555)</f>
        <v>40220.705555555498</v>
      </c>
      <c r="R30" s="111">
        <f ca="1">IFERROR(__xludf.DUMMYFUNCTION("""COMPUTED_VALUE"""),31.02)</f>
        <v>31.02</v>
      </c>
      <c r="S30" s="112">
        <f ca="1">IFERROR(__xludf.DUMMYFUNCTION("""COMPUTED_VALUE"""),40220.7055555555)</f>
        <v>40220.705555555498</v>
      </c>
      <c r="T30" s="111">
        <f ca="1">IFERROR(__xludf.DUMMYFUNCTION("""COMPUTED_VALUE"""),5.66)</f>
        <v>5.66</v>
      </c>
    </row>
    <row r="31" spans="1:20" x14ac:dyDescent="0.3">
      <c r="A31" s="112">
        <f ca="1">IFERROR(__xludf.DUMMYFUNCTION("""COMPUTED_VALUE"""),40221.7055555555)</f>
        <v>40221.705555555498</v>
      </c>
      <c r="B31" s="111">
        <f ca="1">IFERROR(__xludf.DUMMYFUNCTION("""COMPUTED_VALUE"""),24.06)</f>
        <v>24.06</v>
      </c>
      <c r="C31" s="112">
        <f ca="1">IFERROR(__xludf.DUMMYFUNCTION("""COMPUTED_VALUE"""),40221.7055555555)</f>
        <v>40221.705555555498</v>
      </c>
      <c r="D31" s="111">
        <f ca="1">IFERROR(__xludf.DUMMYFUNCTION("""COMPUTED_VALUE"""),18.57)</f>
        <v>18.57</v>
      </c>
      <c r="E31" s="112">
        <f ca="1">IFERROR(__xludf.DUMMYFUNCTION("""COMPUTED_VALUE"""),40221.7055555555)</f>
        <v>40221.705555555498</v>
      </c>
      <c r="F31" s="111">
        <f ca="1">IFERROR(__xludf.DUMMYFUNCTION("""COMPUTED_VALUE"""),7.46)</f>
        <v>7.46</v>
      </c>
      <c r="G31" s="112">
        <f ca="1">IFERROR(__xludf.DUMMYFUNCTION("""COMPUTED_VALUE"""),40221.7055555555)</f>
        <v>40221.705555555498</v>
      </c>
      <c r="H31" s="111">
        <f ca="1">IFERROR(__xludf.DUMMYFUNCTION("""COMPUTED_VALUE"""),33.8)</f>
        <v>33.799999999999997</v>
      </c>
      <c r="I31" s="112">
        <f ca="1">IFERROR(__xludf.DUMMYFUNCTION("""COMPUTED_VALUE"""),44581.7055555555)</f>
        <v>44581.705555555498</v>
      </c>
      <c r="J31" s="111">
        <f ca="1">IFERROR(__xludf.DUMMYFUNCTION("""COMPUTED_VALUE"""),7.22)</f>
        <v>7.22</v>
      </c>
      <c r="K31" s="112">
        <f ca="1">IFERROR(__xludf.DUMMYFUNCTION("""COMPUTED_VALUE"""),40708.7055555555)</f>
        <v>40708.705555555498</v>
      </c>
      <c r="L31" s="111">
        <f ca="1">IFERROR(__xludf.DUMMYFUNCTION("""COMPUTED_VALUE"""),0.54)</f>
        <v>0.54</v>
      </c>
      <c r="M31" s="112">
        <f ca="1">IFERROR(__xludf.DUMMYFUNCTION("""COMPUTED_VALUE"""),40221.7055555555)</f>
        <v>40221.705555555498</v>
      </c>
      <c r="N31" s="111">
        <f ca="1">IFERROR(__xludf.DUMMYFUNCTION("""COMPUTED_VALUE"""),11.22)</f>
        <v>11.22</v>
      </c>
      <c r="O31" s="112">
        <f ca="1">IFERROR(__xludf.DUMMYFUNCTION("""COMPUTED_VALUE"""),40221.7055555555)</f>
        <v>40221.705555555498</v>
      </c>
      <c r="P31" s="111">
        <f ca="1">IFERROR(__xludf.DUMMYFUNCTION("""COMPUTED_VALUE"""),49.35)</f>
        <v>49.35</v>
      </c>
      <c r="Q31" s="112">
        <f ca="1">IFERROR(__xludf.DUMMYFUNCTION("""COMPUTED_VALUE"""),40221.7055555555)</f>
        <v>40221.705555555498</v>
      </c>
      <c r="R31" s="111">
        <f ca="1">IFERROR(__xludf.DUMMYFUNCTION("""COMPUTED_VALUE"""),30.5)</f>
        <v>30.5</v>
      </c>
      <c r="S31" s="112">
        <f ca="1">IFERROR(__xludf.DUMMYFUNCTION("""COMPUTED_VALUE"""),40221.7055555555)</f>
        <v>40221.705555555498</v>
      </c>
      <c r="T31" s="111">
        <f ca="1">IFERROR(__xludf.DUMMYFUNCTION("""COMPUTED_VALUE"""),5.47)</f>
        <v>5.47</v>
      </c>
    </row>
    <row r="32" spans="1:20" x14ac:dyDescent="0.3">
      <c r="A32" s="112">
        <f ca="1">IFERROR(__xludf.DUMMYFUNCTION("""COMPUTED_VALUE"""),40226.7055555555)</f>
        <v>40226.705555555498</v>
      </c>
      <c r="B32" s="111">
        <f ca="1">IFERROR(__xludf.DUMMYFUNCTION("""COMPUTED_VALUE"""),24.45)</f>
        <v>24.45</v>
      </c>
      <c r="C32" s="112">
        <f ca="1">IFERROR(__xludf.DUMMYFUNCTION("""COMPUTED_VALUE"""),40226.7055555555)</f>
        <v>40226.705555555498</v>
      </c>
      <c r="D32" s="111">
        <f ca="1">IFERROR(__xludf.DUMMYFUNCTION("""COMPUTED_VALUE"""),18.97)</f>
        <v>18.97</v>
      </c>
      <c r="E32" s="112">
        <f ca="1">IFERROR(__xludf.DUMMYFUNCTION("""COMPUTED_VALUE"""),40226.7055555555)</f>
        <v>40226.705555555498</v>
      </c>
      <c r="F32" s="111">
        <f ca="1">IFERROR(__xludf.DUMMYFUNCTION("""COMPUTED_VALUE"""),7.58)</f>
        <v>7.58</v>
      </c>
      <c r="G32" s="112">
        <f ca="1">IFERROR(__xludf.DUMMYFUNCTION("""COMPUTED_VALUE"""),40226.7055555555)</f>
        <v>40226.705555555498</v>
      </c>
      <c r="H32" s="111">
        <f ca="1">IFERROR(__xludf.DUMMYFUNCTION("""COMPUTED_VALUE"""),34.25)</f>
        <v>34.25</v>
      </c>
      <c r="I32" s="112">
        <f ca="1">IFERROR(__xludf.DUMMYFUNCTION("""COMPUTED_VALUE"""),44582.7055555555)</f>
        <v>44582.705555555498</v>
      </c>
      <c r="J32" s="111">
        <f ca="1">IFERROR(__xludf.DUMMYFUNCTION("""COMPUTED_VALUE"""),6.9)</f>
        <v>6.9</v>
      </c>
      <c r="K32" s="112">
        <f ca="1">IFERROR(__xludf.DUMMYFUNCTION("""COMPUTED_VALUE"""),40709.7055555555)</f>
        <v>40709.705555555498</v>
      </c>
      <c r="L32" s="111">
        <f ca="1">IFERROR(__xludf.DUMMYFUNCTION("""COMPUTED_VALUE"""),0.53)</f>
        <v>0.53</v>
      </c>
      <c r="M32" s="112">
        <f ca="1">IFERROR(__xludf.DUMMYFUNCTION("""COMPUTED_VALUE"""),40226.7055555555)</f>
        <v>40226.705555555498</v>
      </c>
      <c r="N32" s="111">
        <f ca="1">IFERROR(__xludf.DUMMYFUNCTION("""COMPUTED_VALUE"""),11.54)</f>
        <v>11.54</v>
      </c>
      <c r="O32" s="112">
        <f ca="1">IFERROR(__xludf.DUMMYFUNCTION("""COMPUTED_VALUE"""),40226.7055555555)</f>
        <v>40226.705555555498</v>
      </c>
      <c r="P32" s="111">
        <f ca="1">IFERROR(__xludf.DUMMYFUNCTION("""COMPUTED_VALUE"""),51.3)</f>
        <v>51.3</v>
      </c>
      <c r="Q32" s="112">
        <f ca="1">IFERROR(__xludf.DUMMYFUNCTION("""COMPUTED_VALUE"""),40226.7055555555)</f>
        <v>40226.705555555498</v>
      </c>
      <c r="R32" s="111">
        <f ca="1">IFERROR(__xludf.DUMMYFUNCTION("""COMPUTED_VALUE"""),30.38)</f>
        <v>30.38</v>
      </c>
      <c r="S32" s="112">
        <f ca="1">IFERROR(__xludf.DUMMYFUNCTION("""COMPUTED_VALUE"""),40226.7055555555)</f>
        <v>40226.705555555498</v>
      </c>
      <c r="T32" s="111">
        <f ca="1">IFERROR(__xludf.DUMMYFUNCTION("""COMPUTED_VALUE"""),5.56)</f>
        <v>5.56</v>
      </c>
    </row>
    <row r="33" spans="1:20" x14ac:dyDescent="0.3">
      <c r="A33" s="112">
        <f ca="1">IFERROR(__xludf.DUMMYFUNCTION("""COMPUTED_VALUE"""),40227.7055555555)</f>
        <v>40227.705555555498</v>
      </c>
      <c r="B33" s="111">
        <f ca="1">IFERROR(__xludf.DUMMYFUNCTION("""COMPUTED_VALUE"""),24.72)</f>
        <v>24.72</v>
      </c>
      <c r="C33" s="112">
        <f ca="1">IFERROR(__xludf.DUMMYFUNCTION("""COMPUTED_VALUE"""),40227.7055555555)</f>
        <v>40227.705555555498</v>
      </c>
      <c r="D33" s="111">
        <f ca="1">IFERROR(__xludf.DUMMYFUNCTION("""COMPUTED_VALUE"""),19.03)</f>
        <v>19.03</v>
      </c>
      <c r="E33" s="112">
        <f ca="1">IFERROR(__xludf.DUMMYFUNCTION("""COMPUTED_VALUE"""),40227.7055555555)</f>
        <v>40227.705555555498</v>
      </c>
      <c r="F33" s="111">
        <f ca="1">IFERROR(__xludf.DUMMYFUNCTION("""COMPUTED_VALUE"""),7.64)</f>
        <v>7.64</v>
      </c>
      <c r="G33" s="112">
        <f ca="1">IFERROR(__xludf.DUMMYFUNCTION("""COMPUTED_VALUE"""),40227.7055555555)</f>
        <v>40227.705555555498</v>
      </c>
      <c r="H33" s="111">
        <f ca="1">IFERROR(__xludf.DUMMYFUNCTION("""COMPUTED_VALUE"""),34.69)</f>
        <v>34.69</v>
      </c>
      <c r="I33" s="112">
        <f ca="1">IFERROR(__xludf.DUMMYFUNCTION("""COMPUTED_VALUE"""),44585.7055555555)</f>
        <v>44585.705555555498</v>
      </c>
      <c r="J33" s="111">
        <f ca="1">IFERROR(__xludf.DUMMYFUNCTION("""COMPUTED_VALUE"""),6.66)</f>
        <v>6.66</v>
      </c>
      <c r="K33" s="112">
        <f ca="1">IFERROR(__xludf.DUMMYFUNCTION("""COMPUTED_VALUE"""),40710.7055555555)</f>
        <v>40710.705555555498</v>
      </c>
      <c r="L33" s="111">
        <f ca="1">IFERROR(__xludf.DUMMYFUNCTION("""COMPUTED_VALUE"""),0.53)</f>
        <v>0.53</v>
      </c>
      <c r="M33" s="112">
        <f ca="1">IFERROR(__xludf.DUMMYFUNCTION("""COMPUTED_VALUE"""),40227.7055555555)</f>
        <v>40227.705555555498</v>
      </c>
      <c r="N33" s="111">
        <f ca="1">IFERROR(__xludf.DUMMYFUNCTION("""COMPUTED_VALUE"""),11.46)</f>
        <v>11.46</v>
      </c>
      <c r="O33" s="112">
        <f ca="1">IFERROR(__xludf.DUMMYFUNCTION("""COMPUTED_VALUE"""),40227.7055555555)</f>
        <v>40227.705555555498</v>
      </c>
      <c r="P33" s="111">
        <f ca="1">IFERROR(__xludf.DUMMYFUNCTION("""COMPUTED_VALUE"""),52.17)</f>
        <v>52.17</v>
      </c>
      <c r="Q33" s="112">
        <f ca="1">IFERROR(__xludf.DUMMYFUNCTION("""COMPUTED_VALUE"""),40227.7055555555)</f>
        <v>40227.705555555498</v>
      </c>
      <c r="R33" s="111">
        <f ca="1">IFERROR(__xludf.DUMMYFUNCTION("""COMPUTED_VALUE"""),30.65)</f>
        <v>30.65</v>
      </c>
      <c r="S33" s="112">
        <f ca="1">IFERROR(__xludf.DUMMYFUNCTION("""COMPUTED_VALUE"""),40227.7055555555)</f>
        <v>40227.705555555498</v>
      </c>
      <c r="T33" s="111">
        <f ca="1">IFERROR(__xludf.DUMMYFUNCTION("""COMPUTED_VALUE"""),5.56)</f>
        <v>5.56</v>
      </c>
    </row>
    <row r="34" spans="1:20" x14ac:dyDescent="0.3">
      <c r="A34" s="112">
        <f ca="1">IFERROR(__xludf.DUMMYFUNCTION("""COMPUTED_VALUE"""),40228.7055555555)</f>
        <v>40228.705555555498</v>
      </c>
      <c r="B34" s="111">
        <f ca="1">IFERROR(__xludf.DUMMYFUNCTION("""COMPUTED_VALUE"""),24.19)</f>
        <v>24.19</v>
      </c>
      <c r="C34" s="112">
        <f ca="1">IFERROR(__xludf.DUMMYFUNCTION("""COMPUTED_VALUE"""),40228.7055555555)</f>
        <v>40228.705555555498</v>
      </c>
      <c r="D34" s="111">
        <f ca="1">IFERROR(__xludf.DUMMYFUNCTION("""COMPUTED_VALUE"""),18.73)</f>
        <v>18.73</v>
      </c>
      <c r="E34" s="112">
        <f ca="1">IFERROR(__xludf.DUMMYFUNCTION("""COMPUTED_VALUE"""),40228.7055555555)</f>
        <v>40228.705555555498</v>
      </c>
      <c r="F34" s="111">
        <f ca="1">IFERROR(__xludf.DUMMYFUNCTION("""COMPUTED_VALUE"""),7.56)</f>
        <v>7.56</v>
      </c>
      <c r="G34" s="112">
        <f ca="1">IFERROR(__xludf.DUMMYFUNCTION("""COMPUTED_VALUE"""),40228.7055555555)</f>
        <v>40228.705555555498</v>
      </c>
      <c r="H34" s="111">
        <f ca="1">IFERROR(__xludf.DUMMYFUNCTION("""COMPUTED_VALUE"""),34.35)</f>
        <v>34.35</v>
      </c>
      <c r="I34" s="112">
        <f ca="1">IFERROR(__xludf.DUMMYFUNCTION("""COMPUTED_VALUE"""),44586.7055555555)</f>
        <v>44586.705555555498</v>
      </c>
      <c r="J34" s="111">
        <f ca="1">IFERROR(__xludf.DUMMYFUNCTION("""COMPUTED_VALUE"""),6.65)</f>
        <v>6.65</v>
      </c>
      <c r="K34" s="112">
        <f ca="1">IFERROR(__xludf.DUMMYFUNCTION("""COMPUTED_VALUE"""),40711.7055555555)</f>
        <v>40711.705555555498</v>
      </c>
      <c r="L34" s="111">
        <f ca="1">IFERROR(__xludf.DUMMYFUNCTION("""COMPUTED_VALUE"""),0.52)</f>
        <v>0.52</v>
      </c>
      <c r="M34" s="112">
        <f ca="1">IFERROR(__xludf.DUMMYFUNCTION("""COMPUTED_VALUE"""),40228.7055555555)</f>
        <v>40228.705555555498</v>
      </c>
      <c r="N34" s="111">
        <f ca="1">IFERROR(__xludf.DUMMYFUNCTION("""COMPUTED_VALUE"""),11.35)</f>
        <v>11.35</v>
      </c>
      <c r="O34" s="112">
        <f ca="1">IFERROR(__xludf.DUMMYFUNCTION("""COMPUTED_VALUE"""),40228.7055555555)</f>
        <v>40228.705555555498</v>
      </c>
      <c r="P34" s="111">
        <f ca="1">IFERROR(__xludf.DUMMYFUNCTION("""COMPUTED_VALUE"""),52)</f>
        <v>52</v>
      </c>
      <c r="Q34" s="112">
        <f ca="1">IFERROR(__xludf.DUMMYFUNCTION("""COMPUTED_VALUE"""),40228.7055555555)</f>
        <v>40228.705555555498</v>
      </c>
      <c r="R34" s="111">
        <f ca="1">IFERROR(__xludf.DUMMYFUNCTION("""COMPUTED_VALUE"""),30.71)</f>
        <v>30.71</v>
      </c>
      <c r="S34" s="112">
        <f ca="1">IFERROR(__xludf.DUMMYFUNCTION("""COMPUTED_VALUE"""),40228.7055555555)</f>
        <v>40228.705555555498</v>
      </c>
      <c r="T34" s="111">
        <f ca="1">IFERROR(__xludf.DUMMYFUNCTION("""COMPUTED_VALUE"""),5.54)</f>
        <v>5.54</v>
      </c>
    </row>
    <row r="35" spans="1:20" x14ac:dyDescent="0.3">
      <c r="A35" s="112">
        <f ca="1">IFERROR(__xludf.DUMMYFUNCTION("""COMPUTED_VALUE"""),40231.7055555555)</f>
        <v>40231.705555555498</v>
      </c>
      <c r="B35" s="111">
        <f ca="1">IFERROR(__xludf.DUMMYFUNCTION("""COMPUTED_VALUE"""),23.64)</f>
        <v>23.64</v>
      </c>
      <c r="C35" s="112">
        <f ca="1">IFERROR(__xludf.DUMMYFUNCTION("""COMPUTED_VALUE"""),40231.7055555555)</f>
        <v>40231.705555555498</v>
      </c>
      <c r="D35" s="111">
        <f ca="1">IFERROR(__xludf.DUMMYFUNCTION("""COMPUTED_VALUE"""),18.34)</f>
        <v>18.34</v>
      </c>
      <c r="E35" s="112">
        <f ca="1">IFERROR(__xludf.DUMMYFUNCTION("""COMPUTED_VALUE"""),40231.7055555555)</f>
        <v>40231.705555555498</v>
      </c>
      <c r="F35" s="111">
        <f ca="1">IFERROR(__xludf.DUMMYFUNCTION("""COMPUTED_VALUE"""),7.42)</f>
        <v>7.42</v>
      </c>
      <c r="G35" s="112">
        <f ca="1">IFERROR(__xludf.DUMMYFUNCTION("""COMPUTED_VALUE"""),40231.7055555555)</f>
        <v>40231.705555555498</v>
      </c>
      <c r="H35" s="111">
        <f ca="1">IFERROR(__xludf.DUMMYFUNCTION("""COMPUTED_VALUE"""),34.65)</f>
        <v>34.65</v>
      </c>
      <c r="I35" s="112">
        <f ca="1">IFERROR(__xludf.DUMMYFUNCTION("""COMPUTED_VALUE"""),44587.7055555555)</f>
        <v>44587.705555555498</v>
      </c>
      <c r="J35" s="111">
        <f ca="1">IFERROR(__xludf.DUMMYFUNCTION("""COMPUTED_VALUE"""),6.43)</f>
        <v>6.43</v>
      </c>
      <c r="K35" s="112">
        <f ca="1">IFERROR(__xludf.DUMMYFUNCTION("""COMPUTED_VALUE"""),40714.7055555555)</f>
        <v>40714.705555555498</v>
      </c>
      <c r="L35" s="111">
        <f ca="1">IFERROR(__xludf.DUMMYFUNCTION("""COMPUTED_VALUE"""),0.51)</f>
        <v>0.51</v>
      </c>
      <c r="M35" s="112">
        <f ca="1">IFERROR(__xludf.DUMMYFUNCTION("""COMPUTED_VALUE"""),40231.7055555555)</f>
        <v>40231.705555555498</v>
      </c>
      <c r="N35" s="111">
        <f ca="1">IFERROR(__xludf.DUMMYFUNCTION("""COMPUTED_VALUE"""),11.24)</f>
        <v>11.24</v>
      </c>
      <c r="O35" s="112">
        <f ca="1">IFERROR(__xludf.DUMMYFUNCTION("""COMPUTED_VALUE"""),40231.7055555555)</f>
        <v>40231.705555555498</v>
      </c>
      <c r="P35" s="111">
        <f ca="1">IFERROR(__xludf.DUMMYFUNCTION("""COMPUTED_VALUE"""),51)</f>
        <v>51</v>
      </c>
      <c r="Q35" s="112">
        <f ca="1">IFERROR(__xludf.DUMMYFUNCTION("""COMPUTED_VALUE"""),40231.7055555555)</f>
        <v>40231.705555555498</v>
      </c>
      <c r="R35" s="111">
        <f ca="1">IFERROR(__xludf.DUMMYFUNCTION("""COMPUTED_VALUE"""),30.6)</f>
        <v>30.6</v>
      </c>
      <c r="S35" s="112">
        <f ca="1">IFERROR(__xludf.DUMMYFUNCTION("""COMPUTED_VALUE"""),40231.7055555555)</f>
        <v>40231.705555555498</v>
      </c>
      <c r="T35" s="111">
        <f ca="1">IFERROR(__xludf.DUMMYFUNCTION("""COMPUTED_VALUE"""),5.64)</f>
        <v>5.64</v>
      </c>
    </row>
    <row r="36" spans="1:20" x14ac:dyDescent="0.3">
      <c r="A36" s="112">
        <f ca="1">IFERROR(__xludf.DUMMYFUNCTION("""COMPUTED_VALUE"""),40232.7055555555)</f>
        <v>40232.705555555498</v>
      </c>
      <c r="B36" s="111">
        <f ca="1">IFERROR(__xludf.DUMMYFUNCTION("""COMPUTED_VALUE"""),23.15)</f>
        <v>23.15</v>
      </c>
      <c r="C36" s="112">
        <f ca="1">IFERROR(__xludf.DUMMYFUNCTION("""COMPUTED_VALUE"""),40232.7055555555)</f>
        <v>40232.705555555498</v>
      </c>
      <c r="D36" s="111">
        <f ca="1">IFERROR(__xludf.DUMMYFUNCTION("""COMPUTED_VALUE"""),18.04)</f>
        <v>18.04</v>
      </c>
      <c r="E36" s="112">
        <f ca="1">IFERROR(__xludf.DUMMYFUNCTION("""COMPUTED_VALUE"""),40232.7055555555)</f>
        <v>40232.705555555498</v>
      </c>
      <c r="F36" s="111">
        <f ca="1">IFERROR(__xludf.DUMMYFUNCTION("""COMPUTED_VALUE"""),7.32)</f>
        <v>7.32</v>
      </c>
      <c r="G36" s="112">
        <f ca="1">IFERROR(__xludf.DUMMYFUNCTION("""COMPUTED_VALUE"""),40232.7055555555)</f>
        <v>40232.705555555498</v>
      </c>
      <c r="H36" s="111">
        <f ca="1">IFERROR(__xludf.DUMMYFUNCTION("""COMPUTED_VALUE"""),34.19)</f>
        <v>34.19</v>
      </c>
      <c r="I36" s="112">
        <f ca="1">IFERROR(__xludf.DUMMYFUNCTION("""COMPUTED_VALUE"""),44588.7055555555)</f>
        <v>44588.705555555498</v>
      </c>
      <c r="J36" s="111">
        <f ca="1">IFERROR(__xludf.DUMMYFUNCTION("""COMPUTED_VALUE"""),6.31)</f>
        <v>6.31</v>
      </c>
      <c r="K36" s="112">
        <f ca="1">IFERROR(__xludf.DUMMYFUNCTION("""COMPUTED_VALUE"""),40715.7055555555)</f>
        <v>40715.705555555498</v>
      </c>
      <c r="L36" s="111">
        <f ca="1">IFERROR(__xludf.DUMMYFUNCTION("""COMPUTED_VALUE"""),0.52)</f>
        <v>0.52</v>
      </c>
      <c r="M36" s="112">
        <f ca="1">IFERROR(__xludf.DUMMYFUNCTION("""COMPUTED_VALUE"""),40232.7055555555)</f>
        <v>40232.705555555498</v>
      </c>
      <c r="N36" s="111">
        <f ca="1">IFERROR(__xludf.DUMMYFUNCTION("""COMPUTED_VALUE"""),11)</f>
        <v>11</v>
      </c>
      <c r="O36" s="112">
        <f ca="1">IFERROR(__xludf.DUMMYFUNCTION("""COMPUTED_VALUE"""),40232.7055555555)</f>
        <v>40232.705555555498</v>
      </c>
      <c r="P36" s="111">
        <f ca="1">IFERROR(__xludf.DUMMYFUNCTION("""COMPUTED_VALUE"""),50.22)</f>
        <v>50.22</v>
      </c>
      <c r="Q36" s="112">
        <f ca="1">IFERROR(__xludf.DUMMYFUNCTION("""COMPUTED_VALUE"""),40232.7055555555)</f>
        <v>40232.705555555498</v>
      </c>
      <c r="R36" s="111">
        <f ca="1">IFERROR(__xludf.DUMMYFUNCTION("""COMPUTED_VALUE"""),30.18)</f>
        <v>30.18</v>
      </c>
      <c r="S36" s="112">
        <f ca="1">IFERROR(__xludf.DUMMYFUNCTION("""COMPUTED_VALUE"""),40232.7055555555)</f>
        <v>40232.705555555498</v>
      </c>
      <c r="T36" s="111">
        <f ca="1">IFERROR(__xludf.DUMMYFUNCTION("""COMPUTED_VALUE"""),5.91)</f>
        <v>5.91</v>
      </c>
    </row>
    <row r="37" spans="1:20" x14ac:dyDescent="0.3">
      <c r="A37" s="112">
        <f ca="1">IFERROR(__xludf.DUMMYFUNCTION("""COMPUTED_VALUE"""),40233.7055555555)</f>
        <v>40233.705555555498</v>
      </c>
      <c r="B37" s="111">
        <f ca="1">IFERROR(__xludf.DUMMYFUNCTION("""COMPUTED_VALUE"""),22.99)</f>
        <v>22.99</v>
      </c>
      <c r="C37" s="112">
        <f ca="1">IFERROR(__xludf.DUMMYFUNCTION("""COMPUTED_VALUE"""),40233.7055555555)</f>
        <v>40233.705555555498</v>
      </c>
      <c r="D37" s="111">
        <f ca="1">IFERROR(__xludf.DUMMYFUNCTION("""COMPUTED_VALUE"""),17.84)</f>
        <v>17.84</v>
      </c>
      <c r="E37" s="112">
        <f ca="1">IFERROR(__xludf.DUMMYFUNCTION("""COMPUTED_VALUE"""),40233.7055555555)</f>
        <v>40233.705555555498</v>
      </c>
      <c r="F37" s="111">
        <f ca="1">IFERROR(__xludf.DUMMYFUNCTION("""COMPUTED_VALUE"""),7.29)</f>
        <v>7.29</v>
      </c>
      <c r="G37" s="112">
        <f ca="1">IFERROR(__xludf.DUMMYFUNCTION("""COMPUTED_VALUE"""),40233.7055555555)</f>
        <v>40233.705555555498</v>
      </c>
      <c r="H37" s="111">
        <f ca="1">IFERROR(__xludf.DUMMYFUNCTION("""COMPUTED_VALUE"""),33.94)</f>
        <v>33.94</v>
      </c>
      <c r="I37" s="112">
        <f ca="1">IFERROR(__xludf.DUMMYFUNCTION("""COMPUTED_VALUE"""),44589.7055555555)</f>
        <v>44589.705555555498</v>
      </c>
      <c r="J37" s="111">
        <f ca="1">IFERROR(__xludf.DUMMYFUNCTION("""COMPUTED_VALUE"""),6.05)</f>
        <v>6.05</v>
      </c>
      <c r="K37" s="112">
        <f ca="1">IFERROR(__xludf.DUMMYFUNCTION("""COMPUTED_VALUE"""),40716.7055555555)</f>
        <v>40716.705555555498</v>
      </c>
      <c r="L37" s="111">
        <f ca="1">IFERROR(__xludf.DUMMYFUNCTION("""COMPUTED_VALUE"""),0.51)</f>
        <v>0.51</v>
      </c>
      <c r="M37" s="112">
        <f ca="1">IFERROR(__xludf.DUMMYFUNCTION("""COMPUTED_VALUE"""),40233.7055555555)</f>
        <v>40233.705555555498</v>
      </c>
      <c r="N37" s="111">
        <f ca="1">IFERROR(__xludf.DUMMYFUNCTION("""COMPUTED_VALUE"""),10.96)</f>
        <v>10.96</v>
      </c>
      <c r="O37" s="112">
        <f ca="1">IFERROR(__xludf.DUMMYFUNCTION("""COMPUTED_VALUE"""),40233.7055555555)</f>
        <v>40233.705555555498</v>
      </c>
      <c r="P37" s="111">
        <f ca="1">IFERROR(__xludf.DUMMYFUNCTION("""COMPUTED_VALUE"""),50.4)</f>
        <v>50.4</v>
      </c>
      <c r="Q37" s="112">
        <f ca="1">IFERROR(__xludf.DUMMYFUNCTION("""COMPUTED_VALUE"""),40233.7055555555)</f>
        <v>40233.705555555498</v>
      </c>
      <c r="R37" s="111">
        <f ca="1">IFERROR(__xludf.DUMMYFUNCTION("""COMPUTED_VALUE"""),30.45)</f>
        <v>30.45</v>
      </c>
      <c r="S37" s="112">
        <f ca="1">IFERROR(__xludf.DUMMYFUNCTION("""COMPUTED_VALUE"""),40233.7055555555)</f>
        <v>40233.705555555498</v>
      </c>
      <c r="T37" s="111">
        <f ca="1">IFERROR(__xludf.DUMMYFUNCTION("""COMPUTED_VALUE"""),5.88)</f>
        <v>5.88</v>
      </c>
    </row>
    <row r="38" spans="1:20" x14ac:dyDescent="0.3">
      <c r="A38" s="112">
        <f ca="1">IFERROR(__xludf.DUMMYFUNCTION("""COMPUTED_VALUE"""),40234.7055555555)</f>
        <v>40234.705555555498</v>
      </c>
      <c r="B38" s="111">
        <f ca="1">IFERROR(__xludf.DUMMYFUNCTION("""COMPUTED_VALUE"""),23.54)</f>
        <v>23.54</v>
      </c>
      <c r="C38" s="112">
        <f ca="1">IFERROR(__xludf.DUMMYFUNCTION("""COMPUTED_VALUE"""),40234.7055555555)</f>
        <v>40234.705555555498</v>
      </c>
      <c r="D38" s="111">
        <f ca="1">IFERROR(__xludf.DUMMYFUNCTION("""COMPUTED_VALUE"""),17.83)</f>
        <v>17.829999999999998</v>
      </c>
      <c r="E38" s="112">
        <f ca="1">IFERROR(__xludf.DUMMYFUNCTION("""COMPUTED_VALUE"""),40234.7055555555)</f>
        <v>40234.705555555498</v>
      </c>
      <c r="F38" s="111">
        <f ca="1">IFERROR(__xludf.DUMMYFUNCTION("""COMPUTED_VALUE"""),7.29)</f>
        <v>7.29</v>
      </c>
      <c r="G38" s="112">
        <f ca="1">IFERROR(__xludf.DUMMYFUNCTION("""COMPUTED_VALUE"""),40234.7055555555)</f>
        <v>40234.705555555498</v>
      </c>
      <c r="H38" s="111">
        <f ca="1">IFERROR(__xludf.DUMMYFUNCTION("""COMPUTED_VALUE"""),34.38)</f>
        <v>34.380000000000003</v>
      </c>
      <c r="I38" s="112">
        <f ca="1">IFERROR(__xludf.DUMMYFUNCTION("""COMPUTED_VALUE"""),44592.7055555555)</f>
        <v>44592.705555555498</v>
      </c>
      <c r="J38" s="111">
        <f ca="1">IFERROR(__xludf.DUMMYFUNCTION("""COMPUTED_VALUE"""),6.46)</f>
        <v>6.46</v>
      </c>
      <c r="K38" s="112">
        <f ca="1">IFERROR(__xludf.DUMMYFUNCTION("""COMPUTED_VALUE"""),40718.7055555555)</f>
        <v>40718.705555555498</v>
      </c>
      <c r="L38" s="111">
        <f ca="1">IFERROR(__xludf.DUMMYFUNCTION("""COMPUTED_VALUE"""),0.51)</f>
        <v>0.51</v>
      </c>
      <c r="M38" s="112">
        <f ca="1">IFERROR(__xludf.DUMMYFUNCTION("""COMPUTED_VALUE"""),40234.7055555555)</f>
        <v>40234.705555555498</v>
      </c>
      <c r="N38" s="111">
        <f ca="1">IFERROR(__xludf.DUMMYFUNCTION("""COMPUTED_VALUE"""),10.95)</f>
        <v>10.95</v>
      </c>
      <c r="O38" s="112">
        <f ca="1">IFERROR(__xludf.DUMMYFUNCTION("""COMPUTED_VALUE"""),40234.7055555555)</f>
        <v>40234.705555555498</v>
      </c>
      <c r="P38" s="111">
        <f ca="1">IFERROR(__xludf.DUMMYFUNCTION("""COMPUTED_VALUE"""),50.7)</f>
        <v>50.7</v>
      </c>
      <c r="Q38" s="112">
        <f ca="1">IFERROR(__xludf.DUMMYFUNCTION("""COMPUTED_VALUE"""),40234.7055555555)</f>
        <v>40234.705555555498</v>
      </c>
      <c r="R38" s="111">
        <f ca="1">IFERROR(__xludf.DUMMYFUNCTION("""COMPUTED_VALUE"""),30)</f>
        <v>30</v>
      </c>
      <c r="S38" s="112">
        <f ca="1">IFERROR(__xludf.DUMMYFUNCTION("""COMPUTED_VALUE"""),40234.7055555555)</f>
        <v>40234.705555555498</v>
      </c>
      <c r="T38" s="111">
        <f ca="1">IFERROR(__xludf.DUMMYFUNCTION("""COMPUTED_VALUE"""),5.82)</f>
        <v>5.82</v>
      </c>
    </row>
    <row r="39" spans="1:20" x14ac:dyDescent="0.3">
      <c r="A39" s="112">
        <f ca="1">IFERROR(__xludf.DUMMYFUNCTION("""COMPUTED_VALUE"""),40235.7055555555)</f>
        <v>40235.705555555498</v>
      </c>
      <c r="B39" s="111">
        <f ca="1">IFERROR(__xludf.DUMMYFUNCTION("""COMPUTED_VALUE"""),23.14)</f>
        <v>23.14</v>
      </c>
      <c r="C39" s="112">
        <f ca="1">IFERROR(__xludf.DUMMYFUNCTION("""COMPUTED_VALUE"""),40235.7055555555)</f>
        <v>40235.705555555498</v>
      </c>
      <c r="D39" s="111">
        <f ca="1">IFERROR(__xludf.DUMMYFUNCTION("""COMPUTED_VALUE"""),18.28)</f>
        <v>18.28</v>
      </c>
      <c r="E39" s="112">
        <f ca="1">IFERROR(__xludf.DUMMYFUNCTION("""COMPUTED_VALUE"""),40235.7055555555)</f>
        <v>40235.705555555498</v>
      </c>
      <c r="F39" s="111">
        <f ca="1">IFERROR(__xludf.DUMMYFUNCTION("""COMPUTED_VALUE"""),7.52)</f>
        <v>7.52</v>
      </c>
      <c r="G39" s="112">
        <f ca="1">IFERROR(__xludf.DUMMYFUNCTION("""COMPUTED_VALUE"""),40235.7055555555)</f>
        <v>40235.705555555498</v>
      </c>
      <c r="H39" s="111">
        <f ca="1">IFERROR(__xludf.DUMMYFUNCTION("""COMPUTED_VALUE"""),34.61)</f>
        <v>34.61</v>
      </c>
      <c r="I39" s="112">
        <f ca="1">IFERROR(__xludf.DUMMYFUNCTION("""COMPUTED_VALUE"""),44593.7055555555)</f>
        <v>44593.705555555498</v>
      </c>
      <c r="J39" s="111">
        <f ca="1">IFERROR(__xludf.DUMMYFUNCTION("""COMPUTED_VALUE"""),6.61)</f>
        <v>6.61</v>
      </c>
      <c r="K39" s="112">
        <f ca="1">IFERROR(__xludf.DUMMYFUNCTION("""COMPUTED_VALUE"""),40721.7055555555)</f>
        <v>40721.705555555498</v>
      </c>
      <c r="L39" s="111">
        <f ca="1">IFERROR(__xludf.DUMMYFUNCTION("""COMPUTED_VALUE"""),0.5)</f>
        <v>0.5</v>
      </c>
      <c r="M39" s="112">
        <f ca="1">IFERROR(__xludf.DUMMYFUNCTION("""COMPUTED_VALUE"""),40235.7055555555)</f>
        <v>40235.705555555498</v>
      </c>
      <c r="N39" s="111">
        <f ca="1">IFERROR(__xludf.DUMMYFUNCTION("""COMPUTED_VALUE"""),11.05)</f>
        <v>11.05</v>
      </c>
      <c r="O39" s="112">
        <f ca="1">IFERROR(__xludf.DUMMYFUNCTION("""COMPUTED_VALUE"""),40235.7055555555)</f>
        <v>40235.705555555498</v>
      </c>
      <c r="P39" s="111">
        <f ca="1">IFERROR(__xludf.DUMMYFUNCTION("""COMPUTED_VALUE"""),50.45)</f>
        <v>50.45</v>
      </c>
      <c r="Q39" s="112">
        <f ca="1">IFERROR(__xludf.DUMMYFUNCTION("""COMPUTED_VALUE"""),40235.7055555555)</f>
        <v>40235.705555555498</v>
      </c>
      <c r="R39" s="111">
        <f ca="1">IFERROR(__xludf.DUMMYFUNCTION("""COMPUTED_VALUE"""),29.77)</f>
        <v>29.77</v>
      </c>
      <c r="S39" s="112">
        <f ca="1">IFERROR(__xludf.DUMMYFUNCTION("""COMPUTED_VALUE"""),40235.7055555555)</f>
        <v>40235.705555555498</v>
      </c>
      <c r="T39" s="111">
        <f ca="1">IFERROR(__xludf.DUMMYFUNCTION("""COMPUTED_VALUE"""),5.86)</f>
        <v>5.86</v>
      </c>
    </row>
    <row r="40" spans="1:20" x14ac:dyDescent="0.3">
      <c r="A40" s="112">
        <f ca="1">IFERROR(__xludf.DUMMYFUNCTION("""COMPUTED_VALUE"""),40238.7055555555)</f>
        <v>40238.705555555498</v>
      </c>
      <c r="B40" s="111">
        <f ca="1">IFERROR(__xludf.DUMMYFUNCTION("""COMPUTED_VALUE"""),24.03)</f>
        <v>24.03</v>
      </c>
      <c r="C40" s="112">
        <f ca="1">IFERROR(__xludf.DUMMYFUNCTION("""COMPUTED_VALUE"""),40238.7055555555)</f>
        <v>40238.705555555498</v>
      </c>
      <c r="D40" s="111">
        <f ca="1">IFERROR(__xludf.DUMMYFUNCTION("""COMPUTED_VALUE"""),18.31)</f>
        <v>18.309999999999999</v>
      </c>
      <c r="E40" s="112">
        <f ca="1">IFERROR(__xludf.DUMMYFUNCTION("""COMPUTED_VALUE"""),40238.7055555555)</f>
        <v>40238.705555555498</v>
      </c>
      <c r="F40" s="111">
        <f ca="1">IFERROR(__xludf.DUMMYFUNCTION("""COMPUTED_VALUE"""),7.47)</f>
        <v>7.47</v>
      </c>
      <c r="G40" s="112">
        <f ca="1">IFERROR(__xludf.DUMMYFUNCTION("""COMPUTED_VALUE"""),40238.7055555555)</f>
        <v>40238.705555555498</v>
      </c>
      <c r="H40" s="111">
        <f ca="1">IFERROR(__xludf.DUMMYFUNCTION("""COMPUTED_VALUE"""),34.93)</f>
        <v>34.93</v>
      </c>
      <c r="I40" s="112">
        <f ca="1">IFERROR(__xludf.DUMMYFUNCTION("""COMPUTED_VALUE"""),44594.7055555555)</f>
        <v>44594.705555555498</v>
      </c>
      <c r="J40" s="111">
        <f ca="1">IFERROR(__xludf.DUMMYFUNCTION("""COMPUTED_VALUE"""),6.18)</f>
        <v>6.18</v>
      </c>
      <c r="K40" s="112">
        <f ca="1">IFERROR(__xludf.DUMMYFUNCTION("""COMPUTED_VALUE"""),40722.7055555555)</f>
        <v>40722.705555555498</v>
      </c>
      <c r="L40" s="111">
        <f ca="1">IFERROR(__xludf.DUMMYFUNCTION("""COMPUTED_VALUE"""),0.51)</f>
        <v>0.51</v>
      </c>
      <c r="M40" s="112">
        <f ca="1">IFERROR(__xludf.DUMMYFUNCTION("""COMPUTED_VALUE"""),40238.7055555555)</f>
        <v>40238.705555555498</v>
      </c>
      <c r="N40" s="111">
        <f ca="1">IFERROR(__xludf.DUMMYFUNCTION("""COMPUTED_VALUE"""),11.18)</f>
        <v>11.18</v>
      </c>
      <c r="O40" s="112">
        <f ca="1">IFERROR(__xludf.DUMMYFUNCTION("""COMPUTED_VALUE"""),40238.7055555555)</f>
        <v>40238.705555555498</v>
      </c>
      <c r="P40" s="111">
        <f ca="1">IFERROR(__xludf.DUMMYFUNCTION("""COMPUTED_VALUE"""),50.97)</f>
        <v>50.97</v>
      </c>
      <c r="Q40" s="112">
        <f ca="1">IFERROR(__xludf.DUMMYFUNCTION("""COMPUTED_VALUE"""),40238.7055555555)</f>
        <v>40238.705555555498</v>
      </c>
      <c r="R40" s="111">
        <f ca="1">IFERROR(__xludf.DUMMYFUNCTION("""COMPUTED_VALUE"""),30)</f>
        <v>30</v>
      </c>
      <c r="S40" s="112">
        <f ca="1">IFERROR(__xludf.DUMMYFUNCTION("""COMPUTED_VALUE"""),40238.7055555555)</f>
        <v>40238.705555555498</v>
      </c>
      <c r="T40" s="111">
        <f ca="1">IFERROR(__xludf.DUMMYFUNCTION("""COMPUTED_VALUE"""),6.08)</f>
        <v>6.08</v>
      </c>
    </row>
    <row r="41" spans="1:20" x14ac:dyDescent="0.3">
      <c r="A41" s="112">
        <f ca="1">IFERROR(__xludf.DUMMYFUNCTION("""COMPUTED_VALUE"""),40239.7055555555)</f>
        <v>40239.705555555498</v>
      </c>
      <c r="B41" s="111">
        <f ca="1">IFERROR(__xludf.DUMMYFUNCTION("""COMPUTED_VALUE"""),24.34)</f>
        <v>24.34</v>
      </c>
      <c r="C41" s="112">
        <f ca="1">IFERROR(__xludf.DUMMYFUNCTION("""COMPUTED_VALUE"""),40239.7055555555)</f>
        <v>40239.705555555498</v>
      </c>
      <c r="D41" s="111">
        <f ca="1">IFERROR(__xludf.DUMMYFUNCTION("""COMPUTED_VALUE"""),18.61)</f>
        <v>18.61</v>
      </c>
      <c r="E41" s="112">
        <f ca="1">IFERROR(__xludf.DUMMYFUNCTION("""COMPUTED_VALUE"""),40239.7055555555)</f>
        <v>40239.705555555498</v>
      </c>
      <c r="F41" s="111">
        <f ca="1">IFERROR(__xludf.DUMMYFUNCTION("""COMPUTED_VALUE"""),7.55)</f>
        <v>7.55</v>
      </c>
      <c r="G41" s="112">
        <f ca="1">IFERROR(__xludf.DUMMYFUNCTION("""COMPUTED_VALUE"""),40239.7055555555)</f>
        <v>40239.705555555498</v>
      </c>
      <c r="H41" s="111">
        <f ca="1">IFERROR(__xludf.DUMMYFUNCTION("""COMPUTED_VALUE"""),35.12)</f>
        <v>35.119999999999997</v>
      </c>
      <c r="I41" s="112">
        <f ca="1">IFERROR(__xludf.DUMMYFUNCTION("""COMPUTED_VALUE"""),44595.7055555555)</f>
        <v>44595.705555555498</v>
      </c>
      <c r="J41" s="111">
        <f ca="1">IFERROR(__xludf.DUMMYFUNCTION("""COMPUTED_VALUE"""),6)</f>
        <v>6</v>
      </c>
      <c r="K41" s="112">
        <f ca="1">IFERROR(__xludf.DUMMYFUNCTION("""COMPUTED_VALUE"""),40723.7055555555)</f>
        <v>40723.705555555498</v>
      </c>
      <c r="L41" s="111">
        <f ca="1">IFERROR(__xludf.DUMMYFUNCTION("""COMPUTED_VALUE"""),0.51)</f>
        <v>0.51</v>
      </c>
      <c r="M41" s="112">
        <f ca="1">IFERROR(__xludf.DUMMYFUNCTION("""COMPUTED_VALUE"""),40239.7055555555)</f>
        <v>40239.705555555498</v>
      </c>
      <c r="N41" s="111">
        <f ca="1">IFERROR(__xludf.DUMMYFUNCTION("""COMPUTED_VALUE"""),11.3)</f>
        <v>11.3</v>
      </c>
      <c r="O41" s="112">
        <f ca="1">IFERROR(__xludf.DUMMYFUNCTION("""COMPUTED_VALUE"""),40239.7055555555)</f>
        <v>40239.705555555498</v>
      </c>
      <c r="P41" s="111">
        <f ca="1">IFERROR(__xludf.DUMMYFUNCTION("""COMPUTED_VALUE"""),51.99)</f>
        <v>51.99</v>
      </c>
      <c r="Q41" s="112">
        <f ca="1">IFERROR(__xludf.DUMMYFUNCTION("""COMPUTED_VALUE"""),40239.7055555555)</f>
        <v>40239.705555555498</v>
      </c>
      <c r="R41" s="111">
        <f ca="1">IFERROR(__xludf.DUMMYFUNCTION("""COMPUTED_VALUE"""),29.63)</f>
        <v>29.63</v>
      </c>
      <c r="S41" s="112">
        <f ca="1">IFERROR(__xludf.DUMMYFUNCTION("""COMPUTED_VALUE"""),40239.7055555555)</f>
        <v>40239.705555555498</v>
      </c>
      <c r="T41" s="111">
        <f ca="1">IFERROR(__xludf.DUMMYFUNCTION("""COMPUTED_VALUE"""),6.31)</f>
        <v>6.31</v>
      </c>
    </row>
    <row r="42" spans="1:20" x14ac:dyDescent="0.3">
      <c r="A42" s="112">
        <f ca="1">IFERROR(__xludf.DUMMYFUNCTION("""COMPUTED_VALUE"""),40240.7055555555)</f>
        <v>40240.705555555498</v>
      </c>
      <c r="B42" s="111">
        <f ca="1">IFERROR(__xludf.DUMMYFUNCTION("""COMPUTED_VALUE"""),23.68)</f>
        <v>23.68</v>
      </c>
      <c r="C42" s="112">
        <f ca="1">IFERROR(__xludf.DUMMYFUNCTION("""COMPUTED_VALUE"""),40240.7055555555)</f>
        <v>40240.705555555498</v>
      </c>
      <c r="D42" s="111">
        <f ca="1">IFERROR(__xludf.DUMMYFUNCTION("""COMPUTED_VALUE"""),18.61)</f>
        <v>18.61</v>
      </c>
      <c r="E42" s="112">
        <f ca="1">IFERROR(__xludf.DUMMYFUNCTION("""COMPUTED_VALUE"""),40240.7055555555)</f>
        <v>40240.705555555498</v>
      </c>
      <c r="F42" s="111">
        <f ca="1">IFERROR(__xludf.DUMMYFUNCTION("""COMPUTED_VALUE"""),7.59)</f>
        <v>7.59</v>
      </c>
      <c r="G42" s="112">
        <f ca="1">IFERROR(__xludf.DUMMYFUNCTION("""COMPUTED_VALUE"""),40240.7055555555)</f>
        <v>40240.705555555498</v>
      </c>
      <c r="H42" s="111">
        <f ca="1">IFERROR(__xludf.DUMMYFUNCTION("""COMPUTED_VALUE"""),35.15)</f>
        <v>35.15</v>
      </c>
      <c r="I42" s="112">
        <f ca="1">IFERROR(__xludf.DUMMYFUNCTION("""COMPUTED_VALUE"""),44596.7055555555)</f>
        <v>44596.705555555498</v>
      </c>
      <c r="J42" s="111">
        <f ca="1">IFERROR(__xludf.DUMMYFUNCTION("""COMPUTED_VALUE"""),6.54)</f>
        <v>6.54</v>
      </c>
      <c r="K42" s="112">
        <f ca="1">IFERROR(__xludf.DUMMYFUNCTION("""COMPUTED_VALUE"""),40724.7055555555)</f>
        <v>40724.705555555498</v>
      </c>
      <c r="L42" s="111">
        <f ca="1">IFERROR(__xludf.DUMMYFUNCTION("""COMPUTED_VALUE"""),0.51)</f>
        <v>0.51</v>
      </c>
      <c r="M42" s="112">
        <f ca="1">IFERROR(__xludf.DUMMYFUNCTION("""COMPUTED_VALUE"""),40240.7055555555)</f>
        <v>40240.705555555498</v>
      </c>
      <c r="N42" s="111">
        <f ca="1">IFERROR(__xludf.DUMMYFUNCTION("""COMPUTED_VALUE"""),11.28)</f>
        <v>11.28</v>
      </c>
      <c r="O42" s="112">
        <f ca="1">IFERROR(__xludf.DUMMYFUNCTION("""COMPUTED_VALUE"""),40240.7055555555)</f>
        <v>40240.705555555498</v>
      </c>
      <c r="P42" s="111">
        <f ca="1">IFERROR(__xludf.DUMMYFUNCTION("""COMPUTED_VALUE"""),51.88)</f>
        <v>51.88</v>
      </c>
      <c r="Q42" s="112">
        <f ca="1">IFERROR(__xludf.DUMMYFUNCTION("""COMPUTED_VALUE"""),40240.7055555555)</f>
        <v>40240.705555555498</v>
      </c>
      <c r="R42" s="111">
        <f ca="1">IFERROR(__xludf.DUMMYFUNCTION("""COMPUTED_VALUE"""),29.42)</f>
        <v>29.42</v>
      </c>
      <c r="S42" s="112">
        <f ca="1">IFERROR(__xludf.DUMMYFUNCTION("""COMPUTED_VALUE"""),40240.7055555555)</f>
        <v>40240.705555555498</v>
      </c>
      <c r="T42" s="111">
        <f ca="1">IFERROR(__xludf.DUMMYFUNCTION("""COMPUTED_VALUE"""),6.09)</f>
        <v>6.09</v>
      </c>
    </row>
    <row r="43" spans="1:20" x14ac:dyDescent="0.3">
      <c r="A43" s="112">
        <f ca="1">IFERROR(__xludf.DUMMYFUNCTION("""COMPUTED_VALUE"""),40241.7055555555)</f>
        <v>40241.705555555498</v>
      </c>
      <c r="B43" s="111">
        <f ca="1">IFERROR(__xludf.DUMMYFUNCTION("""COMPUTED_VALUE"""),23.93)</f>
        <v>23.93</v>
      </c>
      <c r="C43" s="112">
        <f ca="1">IFERROR(__xludf.DUMMYFUNCTION("""COMPUTED_VALUE"""),40241.7055555555)</f>
        <v>40241.705555555498</v>
      </c>
      <c r="D43" s="111">
        <f ca="1">IFERROR(__xludf.DUMMYFUNCTION("""COMPUTED_VALUE"""),18.58)</f>
        <v>18.579999999999998</v>
      </c>
      <c r="E43" s="112">
        <f ca="1">IFERROR(__xludf.DUMMYFUNCTION("""COMPUTED_VALUE"""),40241.7055555555)</f>
        <v>40241.705555555498</v>
      </c>
      <c r="F43" s="111">
        <f ca="1">IFERROR(__xludf.DUMMYFUNCTION("""COMPUTED_VALUE"""),7.48)</f>
        <v>7.48</v>
      </c>
      <c r="G43" s="112">
        <f ca="1">IFERROR(__xludf.DUMMYFUNCTION("""COMPUTED_VALUE"""),40241.7055555555)</f>
        <v>40241.705555555498</v>
      </c>
      <c r="H43" s="111">
        <f ca="1">IFERROR(__xludf.DUMMYFUNCTION("""COMPUTED_VALUE"""),35.2)</f>
        <v>35.200000000000003</v>
      </c>
      <c r="I43" s="112">
        <f ca="1">IFERROR(__xludf.DUMMYFUNCTION("""COMPUTED_VALUE"""),44599.7055555555)</f>
        <v>44599.705555555498</v>
      </c>
      <c r="J43" s="111">
        <f ca="1">IFERROR(__xludf.DUMMYFUNCTION("""COMPUTED_VALUE"""),6.75)</f>
        <v>6.75</v>
      </c>
      <c r="K43" s="112">
        <f ca="1">IFERROR(__xludf.DUMMYFUNCTION("""COMPUTED_VALUE"""),40725.7055555555)</f>
        <v>40725.705555555498</v>
      </c>
      <c r="L43" s="111">
        <f ca="1">IFERROR(__xludf.DUMMYFUNCTION("""COMPUTED_VALUE"""),0.51)</f>
        <v>0.51</v>
      </c>
      <c r="M43" s="112">
        <f ca="1">IFERROR(__xludf.DUMMYFUNCTION("""COMPUTED_VALUE"""),40241.7055555555)</f>
        <v>40241.705555555498</v>
      </c>
      <c r="N43" s="111">
        <f ca="1">IFERROR(__xludf.DUMMYFUNCTION("""COMPUTED_VALUE"""),11.3)</f>
        <v>11.3</v>
      </c>
      <c r="O43" s="112">
        <f ca="1">IFERROR(__xludf.DUMMYFUNCTION("""COMPUTED_VALUE"""),40241.7055555555)</f>
        <v>40241.705555555498</v>
      </c>
      <c r="P43" s="111">
        <f ca="1">IFERROR(__xludf.DUMMYFUNCTION("""COMPUTED_VALUE"""),52.6)</f>
        <v>52.6</v>
      </c>
      <c r="Q43" s="112">
        <f ca="1">IFERROR(__xludf.DUMMYFUNCTION("""COMPUTED_VALUE"""),40241.7055555555)</f>
        <v>40241.705555555498</v>
      </c>
      <c r="R43" s="111">
        <f ca="1">IFERROR(__xludf.DUMMYFUNCTION("""COMPUTED_VALUE"""),29.4)</f>
        <v>29.4</v>
      </c>
      <c r="S43" s="112">
        <f ca="1">IFERROR(__xludf.DUMMYFUNCTION("""COMPUTED_VALUE"""),40241.7055555555)</f>
        <v>40241.705555555498</v>
      </c>
      <c r="T43" s="111">
        <f ca="1">IFERROR(__xludf.DUMMYFUNCTION("""COMPUTED_VALUE"""),6.15)</f>
        <v>6.15</v>
      </c>
    </row>
    <row r="44" spans="1:20" x14ac:dyDescent="0.3">
      <c r="A44" s="112">
        <f ca="1">IFERROR(__xludf.DUMMYFUNCTION("""COMPUTED_VALUE"""),40242.7055555555)</f>
        <v>40242.705555555498</v>
      </c>
      <c r="B44" s="111">
        <f ca="1">IFERROR(__xludf.DUMMYFUNCTION("""COMPUTED_VALUE"""),24.32)</f>
        <v>24.32</v>
      </c>
      <c r="C44" s="112">
        <f ca="1">IFERROR(__xludf.DUMMYFUNCTION("""COMPUTED_VALUE"""),40242.7055555555)</f>
        <v>40242.705555555498</v>
      </c>
      <c r="D44" s="111">
        <f ca="1">IFERROR(__xludf.DUMMYFUNCTION("""COMPUTED_VALUE"""),18.68)</f>
        <v>18.68</v>
      </c>
      <c r="E44" s="112">
        <f ca="1">IFERROR(__xludf.DUMMYFUNCTION("""COMPUTED_VALUE"""),40242.7055555555)</f>
        <v>40242.705555555498</v>
      </c>
      <c r="F44" s="111">
        <f ca="1">IFERROR(__xludf.DUMMYFUNCTION("""COMPUTED_VALUE"""),7.59)</f>
        <v>7.59</v>
      </c>
      <c r="G44" s="112">
        <f ca="1">IFERROR(__xludf.DUMMYFUNCTION("""COMPUTED_VALUE"""),40242.7055555555)</f>
        <v>40242.705555555498</v>
      </c>
      <c r="H44" s="111">
        <f ca="1">IFERROR(__xludf.DUMMYFUNCTION("""COMPUTED_VALUE"""),35.81)</f>
        <v>35.81</v>
      </c>
      <c r="I44" s="112">
        <f ca="1">IFERROR(__xludf.DUMMYFUNCTION("""COMPUTED_VALUE"""),44600.7055555555)</f>
        <v>44600.705555555498</v>
      </c>
      <c r="J44" s="111">
        <f ca="1">IFERROR(__xludf.DUMMYFUNCTION("""COMPUTED_VALUE"""),7.69)</f>
        <v>7.69</v>
      </c>
      <c r="K44" s="112">
        <f ca="1">IFERROR(__xludf.DUMMYFUNCTION("""COMPUTED_VALUE"""),40728.7055555555)</f>
        <v>40728.705555555498</v>
      </c>
      <c r="L44" s="111">
        <f ca="1">IFERROR(__xludf.DUMMYFUNCTION("""COMPUTED_VALUE"""),0.51)</f>
        <v>0.51</v>
      </c>
      <c r="M44" s="112">
        <f ca="1">IFERROR(__xludf.DUMMYFUNCTION("""COMPUTED_VALUE"""),40242.7055555555)</f>
        <v>40242.705555555498</v>
      </c>
      <c r="N44" s="111">
        <f ca="1">IFERROR(__xludf.DUMMYFUNCTION("""COMPUTED_VALUE"""),11.34)</f>
        <v>11.34</v>
      </c>
      <c r="O44" s="112">
        <f ca="1">IFERROR(__xludf.DUMMYFUNCTION("""COMPUTED_VALUE"""),40242.7055555555)</f>
        <v>40242.705555555498</v>
      </c>
      <c r="P44" s="111">
        <f ca="1">IFERROR(__xludf.DUMMYFUNCTION("""COMPUTED_VALUE"""),54.3)</f>
        <v>54.3</v>
      </c>
      <c r="Q44" s="112">
        <f ca="1">IFERROR(__xludf.DUMMYFUNCTION("""COMPUTED_VALUE"""),40242.7055555555)</f>
        <v>40242.705555555498</v>
      </c>
      <c r="R44" s="111">
        <f ca="1">IFERROR(__xludf.DUMMYFUNCTION("""COMPUTED_VALUE"""),29.8)</f>
        <v>29.8</v>
      </c>
      <c r="S44" s="112">
        <f ca="1">IFERROR(__xludf.DUMMYFUNCTION("""COMPUTED_VALUE"""),40242.7055555555)</f>
        <v>40242.705555555498</v>
      </c>
      <c r="T44" s="111">
        <f ca="1">IFERROR(__xludf.DUMMYFUNCTION("""COMPUTED_VALUE"""),6.19)</f>
        <v>6.19</v>
      </c>
    </row>
    <row r="45" spans="1:20" x14ac:dyDescent="0.3">
      <c r="A45" s="112">
        <f ca="1">IFERROR(__xludf.DUMMYFUNCTION("""COMPUTED_VALUE"""),40245.7055555555)</f>
        <v>40245.705555555498</v>
      </c>
      <c r="B45" s="111">
        <f ca="1">IFERROR(__xludf.DUMMYFUNCTION("""COMPUTED_VALUE"""),24.33)</f>
        <v>24.33</v>
      </c>
      <c r="C45" s="112">
        <f ca="1">IFERROR(__xludf.DUMMYFUNCTION("""COMPUTED_VALUE"""),40245.7055555555)</f>
        <v>40245.705555555498</v>
      </c>
      <c r="D45" s="111">
        <f ca="1">IFERROR(__xludf.DUMMYFUNCTION("""COMPUTED_VALUE"""),18.67)</f>
        <v>18.670000000000002</v>
      </c>
      <c r="E45" s="112">
        <f ca="1">IFERROR(__xludf.DUMMYFUNCTION("""COMPUTED_VALUE"""),40245.7055555555)</f>
        <v>40245.705555555498</v>
      </c>
      <c r="F45" s="111">
        <f ca="1">IFERROR(__xludf.DUMMYFUNCTION("""COMPUTED_VALUE"""),7.58)</f>
        <v>7.58</v>
      </c>
      <c r="G45" s="112">
        <f ca="1">IFERROR(__xludf.DUMMYFUNCTION("""COMPUTED_VALUE"""),40245.7055555555)</f>
        <v>40245.705555555498</v>
      </c>
      <c r="H45" s="111">
        <f ca="1">IFERROR(__xludf.DUMMYFUNCTION("""COMPUTED_VALUE"""),35.7)</f>
        <v>35.700000000000003</v>
      </c>
      <c r="I45" s="112">
        <f ca="1">IFERROR(__xludf.DUMMYFUNCTION("""COMPUTED_VALUE"""),44601.7055555555)</f>
        <v>44601.705555555498</v>
      </c>
      <c r="J45" s="111">
        <f ca="1">IFERROR(__xludf.DUMMYFUNCTION("""COMPUTED_VALUE"""),8.77)</f>
        <v>8.77</v>
      </c>
      <c r="K45" s="112">
        <f ca="1">IFERROR(__xludf.DUMMYFUNCTION("""COMPUTED_VALUE"""),40729.7055555555)</f>
        <v>40729.705555555498</v>
      </c>
      <c r="L45" s="111">
        <f ca="1">IFERROR(__xludf.DUMMYFUNCTION("""COMPUTED_VALUE"""),0.52)</f>
        <v>0.52</v>
      </c>
      <c r="M45" s="112">
        <f ca="1">IFERROR(__xludf.DUMMYFUNCTION("""COMPUTED_VALUE"""),40245.7055555555)</f>
        <v>40245.705555555498</v>
      </c>
      <c r="N45" s="111">
        <f ca="1">IFERROR(__xludf.DUMMYFUNCTION("""COMPUTED_VALUE"""),11.24)</f>
        <v>11.24</v>
      </c>
      <c r="O45" s="112">
        <f ca="1">IFERROR(__xludf.DUMMYFUNCTION("""COMPUTED_VALUE"""),40245.7055555555)</f>
        <v>40245.705555555498</v>
      </c>
      <c r="P45" s="111">
        <f ca="1">IFERROR(__xludf.DUMMYFUNCTION("""COMPUTED_VALUE"""),53.9)</f>
        <v>53.9</v>
      </c>
      <c r="Q45" s="112">
        <f ca="1">IFERROR(__xludf.DUMMYFUNCTION("""COMPUTED_VALUE"""),40245.7055555555)</f>
        <v>40245.705555555498</v>
      </c>
      <c r="R45" s="111">
        <f ca="1">IFERROR(__xludf.DUMMYFUNCTION("""COMPUTED_VALUE"""),29.38)</f>
        <v>29.38</v>
      </c>
      <c r="S45" s="112">
        <f ca="1">IFERROR(__xludf.DUMMYFUNCTION("""COMPUTED_VALUE"""),40245.7055555555)</f>
        <v>40245.705555555498</v>
      </c>
      <c r="T45" s="111">
        <f ca="1">IFERROR(__xludf.DUMMYFUNCTION("""COMPUTED_VALUE"""),6.34)</f>
        <v>6.34</v>
      </c>
    </row>
    <row r="46" spans="1:20" x14ac:dyDescent="0.3">
      <c r="A46" s="112">
        <f ca="1">IFERROR(__xludf.DUMMYFUNCTION("""COMPUTED_VALUE"""),40246.7055555555)</f>
        <v>40246.705555555498</v>
      </c>
      <c r="B46" s="111">
        <f ca="1">IFERROR(__xludf.DUMMYFUNCTION("""COMPUTED_VALUE"""),25.17)</f>
        <v>25.17</v>
      </c>
      <c r="C46" s="112">
        <f ca="1">IFERROR(__xludf.DUMMYFUNCTION("""COMPUTED_VALUE"""),40246.7055555555)</f>
        <v>40246.705555555498</v>
      </c>
      <c r="D46" s="111">
        <f ca="1">IFERROR(__xludf.DUMMYFUNCTION("""COMPUTED_VALUE"""),18.9)</f>
        <v>18.899999999999999</v>
      </c>
      <c r="E46" s="112">
        <f ca="1">IFERROR(__xludf.DUMMYFUNCTION("""COMPUTED_VALUE"""),40246.7055555555)</f>
        <v>40246.705555555498</v>
      </c>
      <c r="F46" s="111">
        <f ca="1">IFERROR(__xludf.DUMMYFUNCTION("""COMPUTED_VALUE"""),7.77)</f>
        <v>7.77</v>
      </c>
      <c r="G46" s="112">
        <f ca="1">IFERROR(__xludf.DUMMYFUNCTION("""COMPUTED_VALUE"""),40246.7055555555)</f>
        <v>40246.705555555498</v>
      </c>
      <c r="H46" s="111">
        <f ca="1">IFERROR(__xludf.DUMMYFUNCTION("""COMPUTED_VALUE"""),36.5)</f>
        <v>36.5</v>
      </c>
      <c r="I46" s="112">
        <f ca="1">IFERROR(__xludf.DUMMYFUNCTION("""COMPUTED_VALUE"""),44602.7055555555)</f>
        <v>44602.705555555498</v>
      </c>
      <c r="J46" s="111">
        <f ca="1">IFERROR(__xludf.DUMMYFUNCTION("""COMPUTED_VALUE"""),8.14)</f>
        <v>8.14</v>
      </c>
      <c r="K46" s="112">
        <f ca="1">IFERROR(__xludf.DUMMYFUNCTION("""COMPUTED_VALUE"""),40730.7055555555)</f>
        <v>40730.705555555498</v>
      </c>
      <c r="L46" s="111">
        <f ca="1">IFERROR(__xludf.DUMMYFUNCTION("""COMPUTED_VALUE"""),0.52)</f>
        <v>0.52</v>
      </c>
      <c r="M46" s="112">
        <f ca="1">IFERROR(__xludf.DUMMYFUNCTION("""COMPUTED_VALUE"""),40246.7055555555)</f>
        <v>40246.705555555498</v>
      </c>
      <c r="N46" s="111">
        <f ca="1">IFERROR(__xludf.DUMMYFUNCTION("""COMPUTED_VALUE"""),11.31)</f>
        <v>11.31</v>
      </c>
      <c r="O46" s="112">
        <f ca="1">IFERROR(__xludf.DUMMYFUNCTION("""COMPUTED_VALUE"""),40246.7055555555)</f>
        <v>40246.705555555498</v>
      </c>
      <c r="P46" s="111">
        <f ca="1">IFERROR(__xludf.DUMMYFUNCTION("""COMPUTED_VALUE"""),54.3)</f>
        <v>54.3</v>
      </c>
      <c r="Q46" s="112">
        <f ca="1">IFERROR(__xludf.DUMMYFUNCTION("""COMPUTED_VALUE"""),40246.7055555555)</f>
        <v>40246.705555555498</v>
      </c>
      <c r="R46" s="111">
        <f ca="1">IFERROR(__xludf.DUMMYFUNCTION("""COMPUTED_VALUE"""),29.9)</f>
        <v>29.9</v>
      </c>
      <c r="S46" s="112">
        <f ca="1">IFERROR(__xludf.DUMMYFUNCTION("""COMPUTED_VALUE"""),40246.7055555555)</f>
        <v>40246.705555555498</v>
      </c>
      <c r="T46" s="111">
        <f ca="1">IFERROR(__xludf.DUMMYFUNCTION("""COMPUTED_VALUE"""),6.33)</f>
        <v>6.33</v>
      </c>
    </row>
    <row r="47" spans="1:20" x14ac:dyDescent="0.3">
      <c r="A47" s="112">
        <f ca="1">IFERROR(__xludf.DUMMYFUNCTION("""COMPUTED_VALUE"""),40247.7055555555)</f>
        <v>40247.705555555498</v>
      </c>
      <c r="B47" s="111">
        <f ca="1">IFERROR(__xludf.DUMMYFUNCTION("""COMPUTED_VALUE"""),25.42)</f>
        <v>25.42</v>
      </c>
      <c r="C47" s="112">
        <f ca="1">IFERROR(__xludf.DUMMYFUNCTION("""COMPUTED_VALUE"""),40247.7055555555)</f>
        <v>40247.705555555498</v>
      </c>
      <c r="D47" s="111">
        <f ca="1">IFERROR(__xludf.DUMMYFUNCTION("""COMPUTED_VALUE"""),18.98)</f>
        <v>18.98</v>
      </c>
      <c r="E47" s="112">
        <f ca="1">IFERROR(__xludf.DUMMYFUNCTION("""COMPUTED_VALUE"""),40247.7055555555)</f>
        <v>40247.705555555498</v>
      </c>
      <c r="F47" s="111">
        <f ca="1">IFERROR(__xludf.DUMMYFUNCTION("""COMPUTED_VALUE"""),7.77)</f>
        <v>7.77</v>
      </c>
      <c r="G47" s="112">
        <f ca="1">IFERROR(__xludf.DUMMYFUNCTION("""COMPUTED_VALUE"""),40247.7055555555)</f>
        <v>40247.705555555498</v>
      </c>
      <c r="H47" s="111">
        <f ca="1">IFERROR(__xludf.DUMMYFUNCTION("""COMPUTED_VALUE"""),37)</f>
        <v>37</v>
      </c>
      <c r="I47" s="112">
        <f ca="1">IFERROR(__xludf.DUMMYFUNCTION("""COMPUTED_VALUE"""),44603.7055555555)</f>
        <v>44603.705555555498</v>
      </c>
      <c r="J47" s="111">
        <f ca="1">IFERROR(__xludf.DUMMYFUNCTION("""COMPUTED_VALUE"""),7.48)</f>
        <v>7.48</v>
      </c>
      <c r="K47" s="112">
        <f ca="1">IFERROR(__xludf.DUMMYFUNCTION("""COMPUTED_VALUE"""),40731.7055555555)</f>
        <v>40731.705555555498</v>
      </c>
      <c r="L47" s="111">
        <f ca="1">IFERROR(__xludf.DUMMYFUNCTION("""COMPUTED_VALUE"""),0.51)</f>
        <v>0.51</v>
      </c>
      <c r="M47" s="112">
        <f ca="1">IFERROR(__xludf.DUMMYFUNCTION("""COMPUTED_VALUE"""),40247.7055555555)</f>
        <v>40247.705555555498</v>
      </c>
      <c r="N47" s="111">
        <f ca="1">IFERROR(__xludf.DUMMYFUNCTION("""COMPUTED_VALUE"""),11.35)</f>
        <v>11.35</v>
      </c>
      <c r="O47" s="112">
        <f ca="1">IFERROR(__xludf.DUMMYFUNCTION("""COMPUTED_VALUE"""),40247.7055555555)</f>
        <v>40247.705555555498</v>
      </c>
      <c r="P47" s="111">
        <f ca="1">IFERROR(__xludf.DUMMYFUNCTION("""COMPUTED_VALUE"""),53.6)</f>
        <v>53.6</v>
      </c>
      <c r="Q47" s="112">
        <f ca="1">IFERROR(__xludf.DUMMYFUNCTION("""COMPUTED_VALUE"""),40247.7055555555)</f>
        <v>40247.705555555498</v>
      </c>
      <c r="R47" s="111">
        <f ca="1">IFERROR(__xludf.DUMMYFUNCTION("""COMPUTED_VALUE"""),30.2)</f>
        <v>30.2</v>
      </c>
      <c r="S47" s="112">
        <f ca="1">IFERROR(__xludf.DUMMYFUNCTION("""COMPUTED_VALUE"""),40247.7055555555)</f>
        <v>40247.705555555498</v>
      </c>
      <c r="T47" s="111">
        <f ca="1">IFERROR(__xludf.DUMMYFUNCTION("""COMPUTED_VALUE"""),6.31)</f>
        <v>6.31</v>
      </c>
    </row>
    <row r="48" spans="1:20" x14ac:dyDescent="0.3">
      <c r="A48" s="112">
        <f ca="1">IFERROR(__xludf.DUMMYFUNCTION("""COMPUTED_VALUE"""),40248.7055555555)</f>
        <v>40248.705555555498</v>
      </c>
      <c r="B48" s="111">
        <f ca="1">IFERROR(__xludf.DUMMYFUNCTION("""COMPUTED_VALUE"""),25.27)</f>
        <v>25.27</v>
      </c>
      <c r="C48" s="112">
        <f ca="1">IFERROR(__xludf.DUMMYFUNCTION("""COMPUTED_VALUE"""),40248.7055555555)</f>
        <v>40248.705555555498</v>
      </c>
      <c r="D48" s="111">
        <f ca="1">IFERROR(__xludf.DUMMYFUNCTION("""COMPUTED_VALUE"""),19.03)</f>
        <v>19.03</v>
      </c>
      <c r="E48" s="112">
        <f ca="1">IFERROR(__xludf.DUMMYFUNCTION("""COMPUTED_VALUE"""),40248.7055555555)</f>
        <v>40248.705555555498</v>
      </c>
      <c r="F48" s="111">
        <f ca="1">IFERROR(__xludf.DUMMYFUNCTION("""COMPUTED_VALUE"""),7.76)</f>
        <v>7.76</v>
      </c>
      <c r="G48" s="112">
        <f ca="1">IFERROR(__xludf.DUMMYFUNCTION("""COMPUTED_VALUE"""),40248.7055555555)</f>
        <v>40248.705555555498</v>
      </c>
      <c r="H48" s="111">
        <f ca="1">IFERROR(__xludf.DUMMYFUNCTION("""COMPUTED_VALUE"""),37.05)</f>
        <v>37.049999999999997</v>
      </c>
      <c r="I48" s="112">
        <f ca="1">IFERROR(__xludf.DUMMYFUNCTION("""COMPUTED_VALUE"""),44606.7055555555)</f>
        <v>44606.705555555498</v>
      </c>
      <c r="J48" s="111">
        <f ca="1">IFERROR(__xludf.DUMMYFUNCTION("""COMPUTED_VALUE"""),7.5)</f>
        <v>7.5</v>
      </c>
      <c r="K48" s="112">
        <f ca="1">IFERROR(__xludf.DUMMYFUNCTION("""COMPUTED_VALUE"""),40732.7055555555)</f>
        <v>40732.705555555498</v>
      </c>
      <c r="L48" s="111">
        <f ca="1">IFERROR(__xludf.DUMMYFUNCTION("""COMPUTED_VALUE"""),0.51)</f>
        <v>0.51</v>
      </c>
      <c r="M48" s="112">
        <f ca="1">IFERROR(__xludf.DUMMYFUNCTION("""COMPUTED_VALUE"""),40248.7055555555)</f>
        <v>40248.705555555498</v>
      </c>
      <c r="N48" s="111">
        <f ca="1">IFERROR(__xludf.DUMMYFUNCTION("""COMPUTED_VALUE"""),11.41)</f>
        <v>11.41</v>
      </c>
      <c r="O48" s="112">
        <f ca="1">IFERROR(__xludf.DUMMYFUNCTION("""COMPUTED_VALUE"""),40248.7055555555)</f>
        <v>40248.705555555498</v>
      </c>
      <c r="P48" s="111">
        <f ca="1">IFERROR(__xludf.DUMMYFUNCTION("""COMPUTED_VALUE"""),52.9)</f>
        <v>52.9</v>
      </c>
      <c r="Q48" s="112">
        <f ca="1">IFERROR(__xludf.DUMMYFUNCTION("""COMPUTED_VALUE"""),40248.7055555555)</f>
        <v>40248.705555555498</v>
      </c>
      <c r="R48" s="111">
        <f ca="1">IFERROR(__xludf.DUMMYFUNCTION("""COMPUTED_VALUE"""),30.16)</f>
        <v>30.16</v>
      </c>
      <c r="S48" s="112">
        <f ca="1">IFERROR(__xludf.DUMMYFUNCTION("""COMPUTED_VALUE"""),40248.7055555555)</f>
        <v>40248.705555555498</v>
      </c>
      <c r="T48" s="111">
        <f ca="1">IFERROR(__xludf.DUMMYFUNCTION("""COMPUTED_VALUE"""),6.33)</f>
        <v>6.33</v>
      </c>
    </row>
    <row r="49" spans="1:20" x14ac:dyDescent="0.3">
      <c r="A49" s="112">
        <f ca="1">IFERROR(__xludf.DUMMYFUNCTION("""COMPUTED_VALUE"""),40249.7055555555)</f>
        <v>40249.705555555498</v>
      </c>
      <c r="B49" s="111">
        <f ca="1">IFERROR(__xludf.DUMMYFUNCTION("""COMPUTED_VALUE"""),24.86)</f>
        <v>24.86</v>
      </c>
      <c r="C49" s="112">
        <f ca="1">IFERROR(__xludf.DUMMYFUNCTION("""COMPUTED_VALUE"""),40249.7055555555)</f>
        <v>40249.705555555498</v>
      </c>
      <c r="D49" s="111">
        <f ca="1">IFERROR(__xludf.DUMMYFUNCTION("""COMPUTED_VALUE"""),18.73)</f>
        <v>18.73</v>
      </c>
      <c r="E49" s="112">
        <f ca="1">IFERROR(__xludf.DUMMYFUNCTION("""COMPUTED_VALUE"""),40249.7055555555)</f>
        <v>40249.705555555498</v>
      </c>
      <c r="F49" s="111">
        <f ca="1">IFERROR(__xludf.DUMMYFUNCTION("""COMPUTED_VALUE"""),7.6)</f>
        <v>7.6</v>
      </c>
      <c r="G49" s="112">
        <f ca="1">IFERROR(__xludf.DUMMYFUNCTION("""COMPUTED_VALUE"""),40249.7055555555)</f>
        <v>40249.705555555498</v>
      </c>
      <c r="H49" s="111">
        <f ca="1">IFERROR(__xludf.DUMMYFUNCTION("""COMPUTED_VALUE"""),37.06)</f>
        <v>37.06</v>
      </c>
      <c r="I49" s="112">
        <f ca="1">IFERROR(__xludf.DUMMYFUNCTION("""COMPUTED_VALUE"""),44607.7055555555)</f>
        <v>44607.705555555498</v>
      </c>
      <c r="J49" s="111">
        <f ca="1">IFERROR(__xludf.DUMMYFUNCTION("""COMPUTED_VALUE"""),7.82)</f>
        <v>7.82</v>
      </c>
      <c r="K49" s="112">
        <f ca="1">IFERROR(__xludf.DUMMYFUNCTION("""COMPUTED_VALUE"""),40735.7055555555)</f>
        <v>40735.705555555498</v>
      </c>
      <c r="L49" s="111">
        <f ca="1">IFERROR(__xludf.DUMMYFUNCTION("""COMPUTED_VALUE"""),0.49)</f>
        <v>0.49</v>
      </c>
      <c r="M49" s="112">
        <f ca="1">IFERROR(__xludf.DUMMYFUNCTION("""COMPUTED_VALUE"""),40249.7055555555)</f>
        <v>40249.705555555498</v>
      </c>
      <c r="N49" s="111">
        <f ca="1">IFERROR(__xludf.DUMMYFUNCTION("""COMPUTED_VALUE"""),11.29)</f>
        <v>11.29</v>
      </c>
      <c r="O49" s="112">
        <f ca="1">IFERROR(__xludf.DUMMYFUNCTION("""COMPUTED_VALUE"""),40249.7055555555)</f>
        <v>40249.705555555498</v>
      </c>
      <c r="P49" s="111">
        <f ca="1">IFERROR(__xludf.DUMMYFUNCTION("""COMPUTED_VALUE"""),52.6)</f>
        <v>52.6</v>
      </c>
      <c r="Q49" s="112">
        <f ca="1">IFERROR(__xludf.DUMMYFUNCTION("""COMPUTED_VALUE"""),40249.7055555555)</f>
        <v>40249.705555555498</v>
      </c>
      <c r="R49" s="111">
        <f ca="1">IFERROR(__xludf.DUMMYFUNCTION("""COMPUTED_VALUE"""),29.9)</f>
        <v>29.9</v>
      </c>
      <c r="S49" s="112">
        <f ca="1">IFERROR(__xludf.DUMMYFUNCTION("""COMPUTED_VALUE"""),40249.7055555555)</f>
        <v>40249.705555555498</v>
      </c>
      <c r="T49" s="111">
        <f ca="1">IFERROR(__xludf.DUMMYFUNCTION("""COMPUTED_VALUE"""),6.12)</f>
        <v>6.12</v>
      </c>
    </row>
    <row r="50" spans="1:20" x14ac:dyDescent="0.3">
      <c r="A50" s="112">
        <f ca="1">IFERROR(__xludf.DUMMYFUNCTION("""COMPUTED_VALUE"""),40252.7055555555)</f>
        <v>40252.705555555498</v>
      </c>
      <c r="B50" s="111">
        <f ca="1">IFERROR(__xludf.DUMMYFUNCTION("""COMPUTED_VALUE"""),25.51)</f>
        <v>25.51</v>
      </c>
      <c r="C50" s="112">
        <f ca="1">IFERROR(__xludf.DUMMYFUNCTION("""COMPUTED_VALUE"""),40252.7055555555)</f>
        <v>40252.705555555498</v>
      </c>
      <c r="D50" s="111">
        <f ca="1">IFERROR(__xludf.DUMMYFUNCTION("""COMPUTED_VALUE"""),18.84)</f>
        <v>18.84</v>
      </c>
      <c r="E50" s="112">
        <f ca="1">IFERROR(__xludf.DUMMYFUNCTION("""COMPUTED_VALUE"""),40252.7055555555)</f>
        <v>40252.705555555498</v>
      </c>
      <c r="F50" s="111">
        <f ca="1">IFERROR(__xludf.DUMMYFUNCTION("""COMPUTED_VALUE"""),7.69)</f>
        <v>7.69</v>
      </c>
      <c r="G50" s="112">
        <f ca="1">IFERROR(__xludf.DUMMYFUNCTION("""COMPUTED_VALUE"""),40252.7055555555)</f>
        <v>40252.705555555498</v>
      </c>
      <c r="H50" s="111">
        <f ca="1">IFERROR(__xludf.DUMMYFUNCTION("""COMPUTED_VALUE"""),36.77)</f>
        <v>36.770000000000003</v>
      </c>
      <c r="I50" s="112">
        <f ca="1">IFERROR(__xludf.DUMMYFUNCTION("""COMPUTED_VALUE"""),44608.7055555555)</f>
        <v>44608.705555555498</v>
      </c>
      <c r="J50" s="111">
        <f ca="1">IFERROR(__xludf.DUMMYFUNCTION("""COMPUTED_VALUE"""),7.69)</f>
        <v>7.69</v>
      </c>
      <c r="K50" s="112">
        <f ca="1">IFERROR(__xludf.DUMMYFUNCTION("""COMPUTED_VALUE"""),40736.7055555555)</f>
        <v>40736.705555555498</v>
      </c>
      <c r="L50" s="111">
        <f ca="1">IFERROR(__xludf.DUMMYFUNCTION("""COMPUTED_VALUE"""),0.5)</f>
        <v>0.5</v>
      </c>
      <c r="M50" s="112">
        <f ca="1">IFERROR(__xludf.DUMMYFUNCTION("""COMPUTED_VALUE"""),40252.7055555555)</f>
        <v>40252.705555555498</v>
      </c>
      <c r="N50" s="111">
        <f ca="1">IFERROR(__xludf.DUMMYFUNCTION("""COMPUTED_VALUE"""),11.26)</f>
        <v>11.26</v>
      </c>
      <c r="O50" s="112">
        <f ca="1">IFERROR(__xludf.DUMMYFUNCTION("""COMPUTED_VALUE"""),40252.7055555555)</f>
        <v>40252.705555555498</v>
      </c>
      <c r="P50" s="111">
        <f ca="1">IFERROR(__xludf.DUMMYFUNCTION("""COMPUTED_VALUE"""),52.9)</f>
        <v>52.9</v>
      </c>
      <c r="Q50" s="112">
        <f ca="1">IFERROR(__xludf.DUMMYFUNCTION("""COMPUTED_VALUE"""),40252.7055555555)</f>
        <v>40252.705555555498</v>
      </c>
      <c r="R50" s="111">
        <f ca="1">IFERROR(__xludf.DUMMYFUNCTION("""COMPUTED_VALUE"""),30.01)</f>
        <v>30.01</v>
      </c>
      <c r="S50" s="112">
        <f ca="1">IFERROR(__xludf.DUMMYFUNCTION("""COMPUTED_VALUE"""),40252.7055555555)</f>
        <v>40252.705555555498</v>
      </c>
      <c r="T50" s="111">
        <f ca="1">IFERROR(__xludf.DUMMYFUNCTION("""COMPUTED_VALUE"""),5.99)</f>
        <v>5.99</v>
      </c>
    </row>
    <row r="51" spans="1:20" x14ac:dyDescent="0.3">
      <c r="A51" s="112">
        <f ca="1">IFERROR(__xludf.DUMMYFUNCTION("""COMPUTED_VALUE"""),40254.7055555555)</f>
        <v>40254.705555555498</v>
      </c>
      <c r="B51" s="111">
        <f ca="1">IFERROR(__xludf.DUMMYFUNCTION("""COMPUTED_VALUE"""),26.55)</f>
        <v>26.55</v>
      </c>
      <c r="C51" s="112">
        <f ca="1">IFERROR(__xludf.DUMMYFUNCTION("""COMPUTED_VALUE"""),40254.7055555555)</f>
        <v>40254.705555555498</v>
      </c>
      <c r="D51" s="111">
        <f ca="1">IFERROR(__xludf.DUMMYFUNCTION("""COMPUTED_VALUE"""),18.78)</f>
        <v>18.78</v>
      </c>
      <c r="E51" s="112">
        <f ca="1">IFERROR(__xludf.DUMMYFUNCTION("""COMPUTED_VALUE"""),40254.7055555555)</f>
        <v>40254.705555555498</v>
      </c>
      <c r="F51" s="111">
        <f ca="1">IFERROR(__xludf.DUMMYFUNCTION("""COMPUTED_VALUE"""),7.66)</f>
        <v>7.66</v>
      </c>
      <c r="G51" s="112">
        <f ca="1">IFERROR(__xludf.DUMMYFUNCTION("""COMPUTED_VALUE"""),40254.7055555555)</f>
        <v>40254.705555555498</v>
      </c>
      <c r="H51" s="111">
        <f ca="1">IFERROR(__xludf.DUMMYFUNCTION("""COMPUTED_VALUE"""),37.15)</f>
        <v>37.15</v>
      </c>
      <c r="I51" s="112">
        <f ca="1">IFERROR(__xludf.DUMMYFUNCTION("""COMPUTED_VALUE"""),44609.7055555555)</f>
        <v>44609.705555555498</v>
      </c>
      <c r="J51" s="111">
        <f ca="1">IFERROR(__xludf.DUMMYFUNCTION("""COMPUTED_VALUE"""),8.68)</f>
        <v>8.68</v>
      </c>
      <c r="K51" s="112">
        <f ca="1">IFERROR(__xludf.DUMMYFUNCTION("""COMPUTED_VALUE"""),40737.7055555555)</f>
        <v>40737.705555555498</v>
      </c>
      <c r="L51" s="111">
        <f ca="1">IFERROR(__xludf.DUMMYFUNCTION("""COMPUTED_VALUE"""),0.49)</f>
        <v>0.49</v>
      </c>
      <c r="M51" s="112">
        <f ca="1">IFERROR(__xludf.DUMMYFUNCTION("""COMPUTED_VALUE"""),40253.7055555555)</f>
        <v>40253.705555555498</v>
      </c>
      <c r="N51" s="111">
        <f ca="1">IFERROR(__xludf.DUMMYFUNCTION("""COMPUTED_VALUE"""),11.36)</f>
        <v>11.36</v>
      </c>
      <c r="O51" s="112">
        <f ca="1">IFERROR(__xludf.DUMMYFUNCTION("""COMPUTED_VALUE"""),40254.7055555555)</f>
        <v>40254.705555555498</v>
      </c>
      <c r="P51" s="111">
        <f ca="1">IFERROR(__xludf.DUMMYFUNCTION("""COMPUTED_VALUE"""),54.28)</f>
        <v>54.28</v>
      </c>
      <c r="Q51" s="112">
        <f ca="1">IFERROR(__xludf.DUMMYFUNCTION("""COMPUTED_VALUE"""),40254.7055555555)</f>
        <v>40254.705555555498</v>
      </c>
      <c r="R51" s="111">
        <f ca="1">IFERROR(__xludf.DUMMYFUNCTION("""COMPUTED_VALUE"""),30.09)</f>
        <v>30.09</v>
      </c>
      <c r="S51" s="112">
        <f ca="1">IFERROR(__xludf.DUMMYFUNCTION("""COMPUTED_VALUE"""),40254.7055555555)</f>
        <v>40254.705555555498</v>
      </c>
      <c r="T51" s="111">
        <f ca="1">IFERROR(__xludf.DUMMYFUNCTION("""COMPUTED_VALUE"""),6.07)</f>
        <v>6.07</v>
      </c>
    </row>
    <row r="52" spans="1:20" x14ac:dyDescent="0.3">
      <c r="A52" s="112">
        <f ca="1">IFERROR(__xludf.DUMMYFUNCTION("""COMPUTED_VALUE"""),40255.7055555555)</f>
        <v>40255.705555555498</v>
      </c>
      <c r="B52" s="111">
        <f ca="1">IFERROR(__xludf.DUMMYFUNCTION("""COMPUTED_VALUE"""),26.7)</f>
        <v>26.7</v>
      </c>
      <c r="C52" s="112">
        <f ca="1">IFERROR(__xludf.DUMMYFUNCTION("""COMPUTED_VALUE"""),40255.7055555555)</f>
        <v>40255.705555555498</v>
      </c>
      <c r="D52" s="111">
        <f ca="1">IFERROR(__xludf.DUMMYFUNCTION("""COMPUTED_VALUE"""),18.63)</f>
        <v>18.63</v>
      </c>
      <c r="E52" s="112">
        <f ca="1">IFERROR(__xludf.DUMMYFUNCTION("""COMPUTED_VALUE"""),40255.7055555555)</f>
        <v>40255.705555555498</v>
      </c>
      <c r="F52" s="111">
        <f ca="1">IFERROR(__xludf.DUMMYFUNCTION("""COMPUTED_VALUE"""),7.63)</f>
        <v>7.63</v>
      </c>
      <c r="G52" s="112">
        <f ca="1">IFERROR(__xludf.DUMMYFUNCTION("""COMPUTED_VALUE"""),40255.7055555555)</f>
        <v>40255.705555555498</v>
      </c>
      <c r="H52" s="111">
        <f ca="1">IFERROR(__xludf.DUMMYFUNCTION("""COMPUTED_VALUE"""),37.02)</f>
        <v>37.020000000000003</v>
      </c>
      <c r="I52" s="112">
        <f ca="1">IFERROR(__xludf.DUMMYFUNCTION("""COMPUTED_VALUE"""),44610.7055555555)</f>
        <v>44610.705555555498</v>
      </c>
      <c r="J52" s="111">
        <f ca="1">IFERROR(__xludf.DUMMYFUNCTION("""COMPUTED_VALUE"""),8.32)</f>
        <v>8.32</v>
      </c>
      <c r="K52" s="112">
        <f ca="1">IFERROR(__xludf.DUMMYFUNCTION("""COMPUTED_VALUE"""),40738.7055555555)</f>
        <v>40738.705555555498</v>
      </c>
      <c r="L52" s="111">
        <f ca="1">IFERROR(__xludf.DUMMYFUNCTION("""COMPUTED_VALUE"""),0.47)</f>
        <v>0.47</v>
      </c>
      <c r="M52" s="112">
        <f ca="1">IFERROR(__xludf.DUMMYFUNCTION("""COMPUTED_VALUE"""),40254.7055555555)</f>
        <v>40254.705555555498</v>
      </c>
      <c r="N52" s="111">
        <f ca="1">IFERROR(__xludf.DUMMYFUNCTION("""COMPUTED_VALUE"""),11.26)</f>
        <v>11.26</v>
      </c>
      <c r="O52" s="112">
        <f ca="1">IFERROR(__xludf.DUMMYFUNCTION("""COMPUTED_VALUE"""),40255.7055555555)</f>
        <v>40255.705555555498</v>
      </c>
      <c r="P52" s="111">
        <f ca="1">IFERROR(__xludf.DUMMYFUNCTION("""COMPUTED_VALUE"""),53.75)</f>
        <v>53.75</v>
      </c>
      <c r="Q52" s="112">
        <f ca="1">IFERROR(__xludf.DUMMYFUNCTION("""COMPUTED_VALUE"""),40255.7055555555)</f>
        <v>40255.705555555498</v>
      </c>
      <c r="R52" s="111">
        <f ca="1">IFERROR(__xludf.DUMMYFUNCTION("""COMPUTED_VALUE"""),29.84)</f>
        <v>29.84</v>
      </c>
      <c r="S52" s="112">
        <f ca="1">IFERROR(__xludf.DUMMYFUNCTION("""COMPUTED_VALUE"""),40255.7055555555)</f>
        <v>40255.705555555498</v>
      </c>
      <c r="T52" s="111">
        <f ca="1">IFERROR(__xludf.DUMMYFUNCTION("""COMPUTED_VALUE"""),6.09)</f>
        <v>6.09</v>
      </c>
    </row>
    <row r="53" spans="1:20" x14ac:dyDescent="0.3">
      <c r="A53" s="112">
        <f ca="1">IFERROR(__xludf.DUMMYFUNCTION("""COMPUTED_VALUE"""),40256.7055555555)</f>
        <v>40256.705555555498</v>
      </c>
      <c r="B53" s="111">
        <f ca="1">IFERROR(__xludf.DUMMYFUNCTION("""COMPUTED_VALUE"""),26.6)</f>
        <v>26.6</v>
      </c>
      <c r="C53" s="112">
        <f ca="1">IFERROR(__xludf.DUMMYFUNCTION("""COMPUTED_VALUE"""),40256.7055555555)</f>
        <v>40256.705555555498</v>
      </c>
      <c r="D53" s="111">
        <f ca="1">IFERROR(__xludf.DUMMYFUNCTION("""COMPUTED_VALUE"""),18.56)</f>
        <v>18.559999999999999</v>
      </c>
      <c r="E53" s="112">
        <f ca="1">IFERROR(__xludf.DUMMYFUNCTION("""COMPUTED_VALUE"""),40256.7055555555)</f>
        <v>40256.705555555498</v>
      </c>
      <c r="F53" s="111">
        <f ca="1">IFERROR(__xludf.DUMMYFUNCTION("""COMPUTED_VALUE"""),7.56)</f>
        <v>7.56</v>
      </c>
      <c r="G53" s="112">
        <f ca="1">IFERROR(__xludf.DUMMYFUNCTION("""COMPUTED_VALUE"""),40256.7055555555)</f>
        <v>40256.705555555498</v>
      </c>
      <c r="H53" s="111">
        <f ca="1">IFERROR(__xludf.DUMMYFUNCTION("""COMPUTED_VALUE"""),36.23)</f>
        <v>36.229999999999997</v>
      </c>
      <c r="I53" s="112">
        <f ca="1">IFERROR(__xludf.DUMMYFUNCTION("""COMPUTED_VALUE"""),44613.7055555555)</f>
        <v>44613.705555555498</v>
      </c>
      <c r="J53" s="111">
        <f ca="1">IFERROR(__xludf.DUMMYFUNCTION("""COMPUTED_VALUE"""),8.6)</f>
        <v>8.6</v>
      </c>
      <c r="K53" s="112">
        <f ca="1">IFERROR(__xludf.DUMMYFUNCTION("""COMPUTED_VALUE"""),40739.7055555555)</f>
        <v>40739.705555555498</v>
      </c>
      <c r="L53" s="111">
        <f ca="1">IFERROR(__xludf.DUMMYFUNCTION("""COMPUTED_VALUE"""),0.45)</f>
        <v>0.45</v>
      </c>
      <c r="M53" s="112">
        <f ca="1">IFERROR(__xludf.DUMMYFUNCTION("""COMPUTED_VALUE"""),40255.7055555555)</f>
        <v>40255.705555555498</v>
      </c>
      <c r="N53" s="111">
        <f ca="1">IFERROR(__xludf.DUMMYFUNCTION("""COMPUTED_VALUE"""),11.25)</f>
        <v>11.25</v>
      </c>
      <c r="O53" s="112">
        <f ca="1">IFERROR(__xludf.DUMMYFUNCTION("""COMPUTED_VALUE"""),40256.7055555555)</f>
        <v>40256.705555555498</v>
      </c>
      <c r="P53" s="111">
        <f ca="1">IFERROR(__xludf.DUMMYFUNCTION("""COMPUTED_VALUE"""),53.17)</f>
        <v>53.17</v>
      </c>
      <c r="Q53" s="112">
        <f ca="1">IFERROR(__xludf.DUMMYFUNCTION("""COMPUTED_VALUE"""),40256.7055555555)</f>
        <v>40256.705555555498</v>
      </c>
      <c r="R53" s="111">
        <f ca="1">IFERROR(__xludf.DUMMYFUNCTION("""COMPUTED_VALUE"""),29.5)</f>
        <v>29.5</v>
      </c>
      <c r="S53" s="112">
        <f ca="1">IFERROR(__xludf.DUMMYFUNCTION("""COMPUTED_VALUE"""),40256.7055555555)</f>
        <v>40256.705555555498</v>
      </c>
      <c r="T53" s="111">
        <f ca="1">IFERROR(__xludf.DUMMYFUNCTION("""COMPUTED_VALUE"""),6.09)</f>
        <v>6.09</v>
      </c>
    </row>
    <row r="54" spans="1:20" x14ac:dyDescent="0.3">
      <c r="A54" s="112">
        <f ca="1">IFERROR(__xludf.DUMMYFUNCTION("""COMPUTED_VALUE"""),40259.7055555555)</f>
        <v>40259.705555555498</v>
      </c>
      <c r="B54" s="111">
        <f ca="1">IFERROR(__xludf.DUMMYFUNCTION("""COMPUTED_VALUE"""),26.06)</f>
        <v>26.06</v>
      </c>
      <c r="C54" s="112">
        <f ca="1">IFERROR(__xludf.DUMMYFUNCTION("""COMPUTED_VALUE"""),40259.7055555555)</f>
        <v>40259.705555555498</v>
      </c>
      <c r="D54" s="111">
        <f ca="1">IFERROR(__xludf.DUMMYFUNCTION("""COMPUTED_VALUE"""),18.83)</f>
        <v>18.829999999999998</v>
      </c>
      <c r="E54" s="112">
        <f ca="1">IFERROR(__xludf.DUMMYFUNCTION("""COMPUTED_VALUE"""),40259.7055555555)</f>
        <v>40259.705555555498</v>
      </c>
      <c r="F54" s="111">
        <f ca="1">IFERROR(__xludf.DUMMYFUNCTION("""COMPUTED_VALUE"""),7.67)</f>
        <v>7.67</v>
      </c>
      <c r="G54" s="112">
        <f ca="1">IFERROR(__xludf.DUMMYFUNCTION("""COMPUTED_VALUE"""),40259.7055555555)</f>
        <v>40259.705555555498</v>
      </c>
      <c r="H54" s="111">
        <f ca="1">IFERROR(__xludf.DUMMYFUNCTION("""COMPUTED_VALUE"""),36.24)</f>
        <v>36.24</v>
      </c>
      <c r="I54" s="112">
        <f ca="1">IFERROR(__xludf.DUMMYFUNCTION("""COMPUTED_VALUE"""),44614.7055555555)</f>
        <v>44614.705555555498</v>
      </c>
      <c r="J54" s="111">
        <f ca="1">IFERROR(__xludf.DUMMYFUNCTION("""COMPUTED_VALUE"""),7.5)</f>
        <v>7.5</v>
      </c>
      <c r="K54" s="112">
        <f ca="1">IFERROR(__xludf.DUMMYFUNCTION("""COMPUTED_VALUE"""),40743.7055555555)</f>
        <v>40743.705555555498</v>
      </c>
      <c r="L54" s="111">
        <f ca="1">IFERROR(__xludf.DUMMYFUNCTION("""COMPUTED_VALUE"""),0.46)</f>
        <v>0.46</v>
      </c>
      <c r="M54" s="112">
        <f ca="1">IFERROR(__xludf.DUMMYFUNCTION("""COMPUTED_VALUE"""),40256.7055555555)</f>
        <v>40256.705555555498</v>
      </c>
      <c r="N54" s="111">
        <f ca="1">IFERROR(__xludf.DUMMYFUNCTION("""COMPUTED_VALUE"""),11.18)</f>
        <v>11.18</v>
      </c>
      <c r="O54" s="112">
        <f ca="1">IFERROR(__xludf.DUMMYFUNCTION("""COMPUTED_VALUE"""),40259.7055555555)</f>
        <v>40259.705555555498</v>
      </c>
      <c r="P54" s="111">
        <f ca="1">IFERROR(__xludf.DUMMYFUNCTION("""COMPUTED_VALUE"""),53.89)</f>
        <v>53.89</v>
      </c>
      <c r="Q54" s="112">
        <f ca="1">IFERROR(__xludf.DUMMYFUNCTION("""COMPUTED_VALUE"""),40259.7055555555)</f>
        <v>40259.705555555498</v>
      </c>
      <c r="R54" s="111">
        <f ca="1">IFERROR(__xludf.DUMMYFUNCTION("""COMPUTED_VALUE"""),29.63)</f>
        <v>29.63</v>
      </c>
      <c r="S54" s="112">
        <f ca="1">IFERROR(__xludf.DUMMYFUNCTION("""COMPUTED_VALUE"""),40259.7055555555)</f>
        <v>40259.705555555498</v>
      </c>
      <c r="T54" s="111">
        <f ca="1">IFERROR(__xludf.DUMMYFUNCTION("""COMPUTED_VALUE"""),6.09)</f>
        <v>6.09</v>
      </c>
    </row>
    <row r="55" spans="1:20" x14ac:dyDescent="0.3">
      <c r="A55" s="112">
        <f ca="1">IFERROR(__xludf.DUMMYFUNCTION("""COMPUTED_VALUE"""),40260.7055555555)</f>
        <v>40260.705555555498</v>
      </c>
      <c r="B55" s="111">
        <f ca="1">IFERROR(__xludf.DUMMYFUNCTION("""COMPUTED_VALUE"""),25.96)</f>
        <v>25.96</v>
      </c>
      <c r="C55" s="112">
        <f ca="1">IFERROR(__xludf.DUMMYFUNCTION("""COMPUTED_VALUE"""),40260.7055555555)</f>
        <v>40260.705555555498</v>
      </c>
      <c r="D55" s="111">
        <f ca="1">IFERROR(__xludf.DUMMYFUNCTION("""COMPUTED_VALUE"""),18.68)</f>
        <v>18.68</v>
      </c>
      <c r="E55" s="112">
        <f ca="1">IFERROR(__xludf.DUMMYFUNCTION("""COMPUTED_VALUE"""),40260.7055555555)</f>
        <v>40260.705555555498</v>
      </c>
      <c r="F55" s="111">
        <f ca="1">IFERROR(__xludf.DUMMYFUNCTION("""COMPUTED_VALUE"""),7.61)</f>
        <v>7.61</v>
      </c>
      <c r="G55" s="112">
        <f ca="1">IFERROR(__xludf.DUMMYFUNCTION("""COMPUTED_VALUE"""),40260.7055555555)</f>
        <v>40260.705555555498</v>
      </c>
      <c r="H55" s="111">
        <f ca="1">IFERROR(__xludf.DUMMYFUNCTION("""COMPUTED_VALUE"""),35.82)</f>
        <v>35.82</v>
      </c>
      <c r="I55" s="112">
        <f ca="1">IFERROR(__xludf.DUMMYFUNCTION("""COMPUTED_VALUE"""),44615.7055555555)</f>
        <v>44615.705555555498</v>
      </c>
      <c r="J55" s="111">
        <f ca="1">IFERROR(__xludf.DUMMYFUNCTION("""COMPUTED_VALUE"""),6.32)</f>
        <v>6.32</v>
      </c>
      <c r="K55" s="112">
        <f ca="1">IFERROR(__xludf.DUMMYFUNCTION("""COMPUTED_VALUE"""),40744.7055555555)</f>
        <v>40744.705555555498</v>
      </c>
      <c r="L55" s="111">
        <f ca="1">IFERROR(__xludf.DUMMYFUNCTION("""COMPUTED_VALUE"""),0.45)</f>
        <v>0.45</v>
      </c>
      <c r="M55" s="112">
        <f ca="1">IFERROR(__xludf.DUMMYFUNCTION("""COMPUTED_VALUE"""),40259.7055555555)</f>
        <v>40259.705555555498</v>
      </c>
      <c r="N55" s="111">
        <f ca="1">IFERROR(__xludf.DUMMYFUNCTION("""COMPUTED_VALUE"""),11.21)</f>
        <v>11.21</v>
      </c>
      <c r="O55" s="112">
        <f ca="1">IFERROR(__xludf.DUMMYFUNCTION("""COMPUTED_VALUE"""),40260.7055555555)</f>
        <v>40260.705555555498</v>
      </c>
      <c r="P55" s="111">
        <f ca="1">IFERROR(__xludf.DUMMYFUNCTION("""COMPUTED_VALUE"""),55.8)</f>
        <v>55.8</v>
      </c>
      <c r="Q55" s="112">
        <f ca="1">IFERROR(__xludf.DUMMYFUNCTION("""COMPUTED_VALUE"""),40260.7055555555)</f>
        <v>40260.705555555498</v>
      </c>
      <c r="R55" s="111">
        <f ca="1">IFERROR(__xludf.DUMMYFUNCTION("""COMPUTED_VALUE"""),29.5)</f>
        <v>29.5</v>
      </c>
      <c r="S55" s="112">
        <f ca="1">IFERROR(__xludf.DUMMYFUNCTION("""COMPUTED_VALUE"""),40260.7055555555)</f>
        <v>40260.705555555498</v>
      </c>
      <c r="T55" s="111">
        <f ca="1">IFERROR(__xludf.DUMMYFUNCTION("""COMPUTED_VALUE"""),6.19)</f>
        <v>6.19</v>
      </c>
    </row>
    <row r="56" spans="1:20" x14ac:dyDescent="0.3">
      <c r="A56" s="112">
        <f ca="1">IFERROR(__xludf.DUMMYFUNCTION("""COMPUTED_VALUE"""),40261.7055555555)</f>
        <v>40261.705555555498</v>
      </c>
      <c r="B56" s="111">
        <f ca="1">IFERROR(__xludf.DUMMYFUNCTION("""COMPUTED_VALUE"""),25.48)</f>
        <v>25.48</v>
      </c>
      <c r="C56" s="112">
        <f ca="1">IFERROR(__xludf.DUMMYFUNCTION("""COMPUTED_VALUE"""),40261.7055555555)</f>
        <v>40261.705555555498</v>
      </c>
      <c r="D56" s="111">
        <f ca="1">IFERROR(__xludf.DUMMYFUNCTION("""COMPUTED_VALUE"""),18.28)</f>
        <v>18.28</v>
      </c>
      <c r="E56" s="112">
        <f ca="1">IFERROR(__xludf.DUMMYFUNCTION("""COMPUTED_VALUE"""),40261.7055555555)</f>
        <v>40261.705555555498</v>
      </c>
      <c r="F56" s="111">
        <f ca="1">IFERROR(__xludf.DUMMYFUNCTION("""COMPUTED_VALUE"""),7.44)</f>
        <v>7.44</v>
      </c>
      <c r="G56" s="112">
        <f ca="1">IFERROR(__xludf.DUMMYFUNCTION("""COMPUTED_VALUE"""),40261.7055555555)</f>
        <v>40261.705555555498</v>
      </c>
      <c r="H56" s="111">
        <f ca="1">IFERROR(__xludf.DUMMYFUNCTION("""COMPUTED_VALUE"""),36.09)</f>
        <v>36.090000000000003</v>
      </c>
      <c r="I56" s="112">
        <f ca="1">IFERROR(__xludf.DUMMYFUNCTION("""COMPUTED_VALUE"""),44616.7055555555)</f>
        <v>44616.705555555498</v>
      </c>
      <c r="J56" s="111">
        <f ca="1">IFERROR(__xludf.DUMMYFUNCTION("""COMPUTED_VALUE"""),6.8)</f>
        <v>6.8</v>
      </c>
      <c r="K56" s="112">
        <f ca="1">IFERROR(__xludf.DUMMYFUNCTION("""COMPUTED_VALUE"""),40745.7055555555)</f>
        <v>40745.705555555498</v>
      </c>
      <c r="L56" s="111">
        <f ca="1">IFERROR(__xludf.DUMMYFUNCTION("""COMPUTED_VALUE"""),0.45)</f>
        <v>0.45</v>
      </c>
      <c r="M56" s="112">
        <f ca="1">IFERROR(__xludf.DUMMYFUNCTION("""COMPUTED_VALUE"""),40260.7055555555)</f>
        <v>40260.705555555498</v>
      </c>
      <c r="N56" s="111">
        <f ca="1">IFERROR(__xludf.DUMMYFUNCTION("""COMPUTED_VALUE"""),11.05)</f>
        <v>11.05</v>
      </c>
      <c r="O56" s="112">
        <f ca="1">IFERROR(__xludf.DUMMYFUNCTION("""COMPUTED_VALUE"""),40261.7055555555)</f>
        <v>40261.705555555498</v>
      </c>
      <c r="P56" s="111">
        <f ca="1">IFERROR(__xludf.DUMMYFUNCTION("""COMPUTED_VALUE"""),55.7)</f>
        <v>55.7</v>
      </c>
      <c r="Q56" s="112">
        <f ca="1">IFERROR(__xludf.DUMMYFUNCTION("""COMPUTED_VALUE"""),40261.7055555555)</f>
        <v>40261.705555555498</v>
      </c>
      <c r="R56" s="111">
        <f ca="1">IFERROR(__xludf.DUMMYFUNCTION("""COMPUTED_VALUE"""),29.5)</f>
        <v>29.5</v>
      </c>
      <c r="S56" s="112">
        <f ca="1">IFERROR(__xludf.DUMMYFUNCTION("""COMPUTED_VALUE"""),40261.7055555555)</f>
        <v>40261.705555555498</v>
      </c>
      <c r="T56" s="111">
        <f ca="1">IFERROR(__xludf.DUMMYFUNCTION("""COMPUTED_VALUE"""),6.09)</f>
        <v>6.09</v>
      </c>
    </row>
    <row r="57" spans="1:20" x14ac:dyDescent="0.3">
      <c r="A57" s="112">
        <f ca="1">IFERROR(__xludf.DUMMYFUNCTION("""COMPUTED_VALUE"""),40262.7055555555)</f>
        <v>40262.705555555498</v>
      </c>
      <c r="B57" s="111">
        <f ca="1">IFERROR(__xludf.DUMMYFUNCTION("""COMPUTED_VALUE"""),25.22)</f>
        <v>25.22</v>
      </c>
      <c r="C57" s="112">
        <f ca="1">IFERROR(__xludf.DUMMYFUNCTION("""COMPUTED_VALUE"""),40262.7055555555)</f>
        <v>40262.705555555498</v>
      </c>
      <c r="D57" s="111">
        <f ca="1">IFERROR(__xludf.DUMMYFUNCTION("""COMPUTED_VALUE"""),18.5)</f>
        <v>18.5</v>
      </c>
      <c r="E57" s="112">
        <f ca="1">IFERROR(__xludf.DUMMYFUNCTION("""COMPUTED_VALUE"""),40262.7055555555)</f>
        <v>40262.705555555498</v>
      </c>
      <c r="F57" s="111">
        <f ca="1">IFERROR(__xludf.DUMMYFUNCTION("""COMPUTED_VALUE"""),7.48)</f>
        <v>7.48</v>
      </c>
      <c r="G57" s="112">
        <f ca="1">IFERROR(__xludf.DUMMYFUNCTION("""COMPUTED_VALUE"""),40262.7055555555)</f>
        <v>40262.705555555498</v>
      </c>
      <c r="H57" s="111">
        <f ca="1">IFERROR(__xludf.DUMMYFUNCTION("""COMPUTED_VALUE"""),35.2)</f>
        <v>35.200000000000003</v>
      </c>
      <c r="I57" s="112">
        <f ca="1">IFERROR(__xludf.DUMMYFUNCTION("""COMPUTED_VALUE"""),44617.7055555555)</f>
        <v>44617.705555555498</v>
      </c>
      <c r="J57" s="111">
        <f ca="1">IFERROR(__xludf.DUMMYFUNCTION("""COMPUTED_VALUE"""),6.67)</f>
        <v>6.67</v>
      </c>
      <c r="K57" s="112">
        <f ca="1">IFERROR(__xludf.DUMMYFUNCTION("""COMPUTED_VALUE"""),40746.7055555555)</f>
        <v>40746.705555555498</v>
      </c>
      <c r="L57" s="111">
        <f ca="1">IFERROR(__xludf.DUMMYFUNCTION("""COMPUTED_VALUE"""),0.47)</f>
        <v>0.47</v>
      </c>
      <c r="M57" s="112">
        <f ca="1">IFERROR(__xludf.DUMMYFUNCTION("""COMPUTED_VALUE"""),40261.7055555555)</f>
        <v>40261.705555555498</v>
      </c>
      <c r="N57" s="111">
        <f ca="1">IFERROR(__xludf.DUMMYFUNCTION("""COMPUTED_VALUE"""),10.92)</f>
        <v>10.92</v>
      </c>
      <c r="O57" s="112">
        <f ca="1">IFERROR(__xludf.DUMMYFUNCTION("""COMPUTED_VALUE"""),40262.7055555555)</f>
        <v>40262.705555555498</v>
      </c>
      <c r="P57" s="111">
        <f ca="1">IFERROR(__xludf.DUMMYFUNCTION("""COMPUTED_VALUE"""),55.3)</f>
        <v>55.3</v>
      </c>
      <c r="Q57" s="112">
        <f ca="1">IFERROR(__xludf.DUMMYFUNCTION("""COMPUTED_VALUE"""),40262.7055555555)</f>
        <v>40262.705555555498</v>
      </c>
      <c r="R57" s="111">
        <f ca="1">IFERROR(__xludf.DUMMYFUNCTION("""COMPUTED_VALUE"""),29.4)</f>
        <v>29.4</v>
      </c>
      <c r="S57" s="112">
        <f ca="1">IFERROR(__xludf.DUMMYFUNCTION("""COMPUTED_VALUE"""),40262.7055555555)</f>
        <v>40262.705555555498</v>
      </c>
      <c r="T57" s="111">
        <f ca="1">IFERROR(__xludf.DUMMYFUNCTION("""COMPUTED_VALUE"""),6.15)</f>
        <v>6.15</v>
      </c>
    </row>
    <row r="58" spans="1:20" x14ac:dyDescent="0.3">
      <c r="A58" s="112">
        <f ca="1">IFERROR(__xludf.DUMMYFUNCTION("""COMPUTED_VALUE"""),40263.7055555555)</f>
        <v>40263.705555555498</v>
      </c>
      <c r="B58" s="111">
        <f ca="1">IFERROR(__xludf.DUMMYFUNCTION("""COMPUTED_VALUE"""),25.95)</f>
        <v>25.95</v>
      </c>
      <c r="C58" s="112">
        <f ca="1">IFERROR(__xludf.DUMMYFUNCTION("""COMPUTED_VALUE"""),40263.7055555555)</f>
        <v>40263.705555555498</v>
      </c>
      <c r="D58" s="111">
        <f ca="1">IFERROR(__xludf.DUMMYFUNCTION("""COMPUTED_VALUE"""),18.83)</f>
        <v>18.829999999999998</v>
      </c>
      <c r="E58" s="112">
        <f ca="1">IFERROR(__xludf.DUMMYFUNCTION("""COMPUTED_VALUE"""),40263.7055555555)</f>
        <v>40263.705555555498</v>
      </c>
      <c r="F58" s="111">
        <f ca="1">IFERROR(__xludf.DUMMYFUNCTION("""COMPUTED_VALUE"""),7.6)</f>
        <v>7.6</v>
      </c>
      <c r="G58" s="112">
        <f ca="1">IFERROR(__xludf.DUMMYFUNCTION("""COMPUTED_VALUE"""),40263.7055555555)</f>
        <v>40263.705555555498</v>
      </c>
      <c r="H58" s="111">
        <f ca="1">IFERROR(__xludf.DUMMYFUNCTION("""COMPUTED_VALUE"""),34.5)</f>
        <v>34.5</v>
      </c>
      <c r="I58" s="112">
        <f ca="1">IFERROR(__xludf.DUMMYFUNCTION("""COMPUTED_VALUE"""),44622.7055555555)</f>
        <v>44622.705555555498</v>
      </c>
      <c r="J58" s="111">
        <f ca="1">IFERROR(__xludf.DUMMYFUNCTION("""COMPUTED_VALUE"""),6.61)</f>
        <v>6.61</v>
      </c>
      <c r="K58" s="112">
        <f ca="1">IFERROR(__xludf.DUMMYFUNCTION("""COMPUTED_VALUE"""),40750.7055555555)</f>
        <v>40750.705555555498</v>
      </c>
      <c r="L58" s="111">
        <f ca="1">IFERROR(__xludf.DUMMYFUNCTION("""COMPUTED_VALUE"""),0.48)</f>
        <v>0.48</v>
      </c>
      <c r="M58" s="112">
        <f ca="1">IFERROR(__xludf.DUMMYFUNCTION("""COMPUTED_VALUE"""),40262.7055555555)</f>
        <v>40262.705555555498</v>
      </c>
      <c r="N58" s="111">
        <f ca="1">IFERROR(__xludf.DUMMYFUNCTION("""COMPUTED_VALUE"""),11.07)</f>
        <v>11.07</v>
      </c>
      <c r="O58" s="112">
        <f ca="1">IFERROR(__xludf.DUMMYFUNCTION("""COMPUTED_VALUE"""),40263.7055555555)</f>
        <v>40263.705555555498</v>
      </c>
      <c r="P58" s="111">
        <f ca="1">IFERROR(__xludf.DUMMYFUNCTION("""COMPUTED_VALUE"""),55.8)</f>
        <v>55.8</v>
      </c>
      <c r="Q58" s="112">
        <f ca="1">IFERROR(__xludf.DUMMYFUNCTION("""COMPUTED_VALUE"""),40263.7055555555)</f>
        <v>40263.705555555498</v>
      </c>
      <c r="R58" s="111">
        <f ca="1">IFERROR(__xludf.DUMMYFUNCTION("""COMPUTED_VALUE"""),29.55)</f>
        <v>29.55</v>
      </c>
      <c r="S58" s="112">
        <f ca="1">IFERROR(__xludf.DUMMYFUNCTION("""COMPUTED_VALUE"""),40263.7055555555)</f>
        <v>40263.705555555498</v>
      </c>
      <c r="T58" s="111">
        <f ca="1">IFERROR(__xludf.DUMMYFUNCTION("""COMPUTED_VALUE"""),5.98)</f>
        <v>5.98</v>
      </c>
    </row>
    <row r="59" spans="1:20" x14ac:dyDescent="0.3">
      <c r="A59" s="112">
        <f ca="1">IFERROR(__xludf.DUMMYFUNCTION("""COMPUTED_VALUE"""),40266.7055555555)</f>
        <v>40266.705555555498</v>
      </c>
      <c r="B59" s="111">
        <f ca="1">IFERROR(__xludf.DUMMYFUNCTION("""COMPUTED_VALUE"""),26.4)</f>
        <v>26.4</v>
      </c>
      <c r="C59" s="112">
        <f ca="1">IFERROR(__xludf.DUMMYFUNCTION("""COMPUTED_VALUE"""),40266.7055555555)</f>
        <v>40266.705555555498</v>
      </c>
      <c r="D59" s="111">
        <f ca="1">IFERROR(__xludf.DUMMYFUNCTION("""COMPUTED_VALUE"""),19.11)</f>
        <v>19.11</v>
      </c>
      <c r="E59" s="112">
        <f ca="1">IFERROR(__xludf.DUMMYFUNCTION("""COMPUTED_VALUE"""),40266.7055555555)</f>
        <v>40266.705555555498</v>
      </c>
      <c r="F59" s="111">
        <f ca="1">IFERROR(__xludf.DUMMYFUNCTION("""COMPUTED_VALUE"""),7.74)</f>
        <v>7.74</v>
      </c>
      <c r="G59" s="112">
        <f ca="1">IFERROR(__xludf.DUMMYFUNCTION("""COMPUTED_VALUE"""),40266.7055555555)</f>
        <v>40266.705555555498</v>
      </c>
      <c r="H59" s="111">
        <f ca="1">IFERROR(__xludf.DUMMYFUNCTION("""COMPUTED_VALUE"""),34.9)</f>
        <v>34.9</v>
      </c>
      <c r="I59" s="112">
        <f ca="1">IFERROR(__xludf.DUMMYFUNCTION("""COMPUTED_VALUE"""),44623.7055555555)</f>
        <v>44623.705555555498</v>
      </c>
      <c r="J59" s="111">
        <f ca="1">IFERROR(__xludf.DUMMYFUNCTION("""COMPUTED_VALUE"""),6.22)</f>
        <v>6.22</v>
      </c>
      <c r="K59" s="112">
        <f ca="1">IFERROR(__xludf.DUMMYFUNCTION("""COMPUTED_VALUE"""),40751.7055555555)</f>
        <v>40751.705555555498</v>
      </c>
      <c r="L59" s="111">
        <f ca="1">IFERROR(__xludf.DUMMYFUNCTION("""COMPUTED_VALUE"""),0.47)</f>
        <v>0.47</v>
      </c>
      <c r="M59" s="112">
        <f ca="1">IFERROR(__xludf.DUMMYFUNCTION("""COMPUTED_VALUE"""),40263.7055555555)</f>
        <v>40263.705555555498</v>
      </c>
      <c r="N59" s="111">
        <f ca="1">IFERROR(__xludf.DUMMYFUNCTION("""COMPUTED_VALUE"""),11.15)</f>
        <v>11.15</v>
      </c>
      <c r="O59" s="112">
        <f ca="1">IFERROR(__xludf.DUMMYFUNCTION("""COMPUTED_VALUE"""),40266.7055555555)</f>
        <v>40266.705555555498</v>
      </c>
      <c r="P59" s="111">
        <f ca="1">IFERROR(__xludf.DUMMYFUNCTION("""COMPUTED_VALUE"""),57.05)</f>
        <v>57.05</v>
      </c>
      <c r="Q59" s="112">
        <f ca="1">IFERROR(__xludf.DUMMYFUNCTION("""COMPUTED_VALUE"""),40266.7055555555)</f>
        <v>40266.705555555498</v>
      </c>
      <c r="R59" s="111">
        <f ca="1">IFERROR(__xludf.DUMMYFUNCTION("""COMPUTED_VALUE"""),29.75)</f>
        <v>29.75</v>
      </c>
      <c r="S59" s="112">
        <f ca="1">IFERROR(__xludf.DUMMYFUNCTION("""COMPUTED_VALUE"""),40266.7055555555)</f>
        <v>40266.705555555498</v>
      </c>
      <c r="T59" s="111">
        <f ca="1">IFERROR(__xludf.DUMMYFUNCTION("""COMPUTED_VALUE"""),6.03)</f>
        <v>6.03</v>
      </c>
    </row>
    <row r="60" spans="1:20" x14ac:dyDescent="0.3">
      <c r="A60" s="112">
        <f ca="1">IFERROR(__xludf.DUMMYFUNCTION("""COMPUTED_VALUE"""),40267.7055555555)</f>
        <v>40267.705555555498</v>
      </c>
      <c r="B60" s="111">
        <f ca="1">IFERROR(__xludf.DUMMYFUNCTION("""COMPUTED_VALUE"""),26.1)</f>
        <v>26.1</v>
      </c>
      <c r="C60" s="112">
        <f ca="1">IFERROR(__xludf.DUMMYFUNCTION("""COMPUTED_VALUE"""),40267.7055555555)</f>
        <v>40267.705555555498</v>
      </c>
      <c r="D60" s="111">
        <f ca="1">IFERROR(__xludf.DUMMYFUNCTION("""COMPUTED_VALUE"""),19.31)</f>
        <v>19.309999999999999</v>
      </c>
      <c r="E60" s="112">
        <f ca="1">IFERROR(__xludf.DUMMYFUNCTION("""COMPUTED_VALUE"""),40267.7055555555)</f>
        <v>40267.705555555498</v>
      </c>
      <c r="F60" s="111">
        <f ca="1">IFERROR(__xludf.DUMMYFUNCTION("""COMPUTED_VALUE"""),7.85)</f>
        <v>7.85</v>
      </c>
      <c r="G60" s="112">
        <f ca="1">IFERROR(__xludf.DUMMYFUNCTION("""COMPUTED_VALUE"""),40267.7055555555)</f>
        <v>40267.705555555498</v>
      </c>
      <c r="H60" s="111">
        <f ca="1">IFERROR(__xludf.DUMMYFUNCTION("""COMPUTED_VALUE"""),34.8)</f>
        <v>34.799999999999997</v>
      </c>
      <c r="I60" s="112">
        <f ca="1">IFERROR(__xludf.DUMMYFUNCTION("""COMPUTED_VALUE"""),44624.7055555555)</f>
        <v>44624.705555555498</v>
      </c>
      <c r="J60" s="111">
        <f ca="1">IFERROR(__xludf.DUMMYFUNCTION("""COMPUTED_VALUE"""),6.09)</f>
        <v>6.09</v>
      </c>
      <c r="K60" s="112">
        <f ca="1">IFERROR(__xludf.DUMMYFUNCTION("""COMPUTED_VALUE"""),40752.7055555555)</f>
        <v>40752.705555555498</v>
      </c>
      <c r="L60" s="111">
        <f ca="1">IFERROR(__xludf.DUMMYFUNCTION("""COMPUTED_VALUE"""),0.44)</f>
        <v>0.44</v>
      </c>
      <c r="M60" s="112">
        <f ca="1">IFERROR(__xludf.DUMMYFUNCTION("""COMPUTED_VALUE"""),40266.7055555555)</f>
        <v>40266.705555555498</v>
      </c>
      <c r="N60" s="111">
        <f ca="1">IFERROR(__xludf.DUMMYFUNCTION("""COMPUTED_VALUE"""),11.35)</f>
        <v>11.35</v>
      </c>
      <c r="O60" s="112">
        <f ca="1">IFERROR(__xludf.DUMMYFUNCTION("""COMPUTED_VALUE"""),40267.7055555555)</f>
        <v>40267.705555555498</v>
      </c>
      <c r="P60" s="111">
        <f ca="1">IFERROR(__xludf.DUMMYFUNCTION("""COMPUTED_VALUE"""),57.45)</f>
        <v>57.45</v>
      </c>
      <c r="Q60" s="112">
        <f ca="1">IFERROR(__xludf.DUMMYFUNCTION("""COMPUTED_VALUE"""),40267.7055555555)</f>
        <v>40267.705555555498</v>
      </c>
      <c r="R60" s="111">
        <f ca="1">IFERROR(__xludf.DUMMYFUNCTION("""COMPUTED_VALUE"""),29.71)</f>
        <v>29.71</v>
      </c>
      <c r="S60" s="112">
        <f ca="1">IFERROR(__xludf.DUMMYFUNCTION("""COMPUTED_VALUE"""),40267.7055555555)</f>
        <v>40267.705555555498</v>
      </c>
      <c r="T60" s="111">
        <f ca="1">IFERROR(__xludf.DUMMYFUNCTION("""COMPUTED_VALUE"""),6.03)</f>
        <v>6.03</v>
      </c>
    </row>
    <row r="61" spans="1:20" x14ac:dyDescent="0.3">
      <c r="A61" s="112">
        <f ca="1">IFERROR(__xludf.DUMMYFUNCTION("""COMPUTED_VALUE"""),40268.7055555555)</f>
        <v>40268.705555555498</v>
      </c>
      <c r="B61" s="111">
        <f ca="1">IFERROR(__xludf.DUMMYFUNCTION("""COMPUTED_VALUE"""),25.91)</f>
        <v>25.91</v>
      </c>
      <c r="C61" s="112">
        <f ca="1">IFERROR(__xludf.DUMMYFUNCTION("""COMPUTED_VALUE"""),40268.7055555555)</f>
        <v>40268.705555555498</v>
      </c>
      <c r="D61" s="111">
        <f ca="1">IFERROR(__xludf.DUMMYFUNCTION("""COMPUTED_VALUE"""),19.53)</f>
        <v>19.53</v>
      </c>
      <c r="E61" s="112">
        <f ca="1">IFERROR(__xludf.DUMMYFUNCTION("""COMPUTED_VALUE"""),40268.7055555555)</f>
        <v>40268.705555555498</v>
      </c>
      <c r="F61" s="111">
        <f ca="1">IFERROR(__xludf.DUMMYFUNCTION("""COMPUTED_VALUE"""),7.92)</f>
        <v>7.92</v>
      </c>
      <c r="G61" s="112">
        <f ca="1">IFERROR(__xludf.DUMMYFUNCTION("""COMPUTED_VALUE"""),40268.7055555555)</f>
        <v>40268.705555555498</v>
      </c>
      <c r="H61" s="111">
        <f ca="1">IFERROR(__xludf.DUMMYFUNCTION("""COMPUTED_VALUE"""),35.39)</f>
        <v>35.39</v>
      </c>
      <c r="I61" s="112">
        <f ca="1">IFERROR(__xludf.DUMMYFUNCTION("""COMPUTED_VALUE"""),44627.7055555555)</f>
        <v>44627.705555555498</v>
      </c>
      <c r="J61" s="111">
        <f ca="1">IFERROR(__xludf.DUMMYFUNCTION("""COMPUTED_VALUE"""),5.89)</f>
        <v>5.89</v>
      </c>
      <c r="K61" s="112">
        <f ca="1">IFERROR(__xludf.DUMMYFUNCTION("""COMPUTED_VALUE"""),40756.7055555555)</f>
        <v>40756.705555555498</v>
      </c>
      <c r="L61" s="111">
        <f ca="1">IFERROR(__xludf.DUMMYFUNCTION("""COMPUTED_VALUE"""),0.44)</f>
        <v>0.44</v>
      </c>
      <c r="M61" s="112">
        <f ca="1">IFERROR(__xludf.DUMMYFUNCTION("""COMPUTED_VALUE"""),40267.7055555555)</f>
        <v>40267.705555555498</v>
      </c>
      <c r="N61" s="111">
        <f ca="1">IFERROR(__xludf.DUMMYFUNCTION("""COMPUTED_VALUE"""),11.45)</f>
        <v>11.45</v>
      </c>
      <c r="O61" s="112">
        <f ca="1">IFERROR(__xludf.DUMMYFUNCTION("""COMPUTED_VALUE"""),40268.7055555555)</f>
        <v>40268.705555555498</v>
      </c>
      <c r="P61" s="111">
        <f ca="1">IFERROR(__xludf.DUMMYFUNCTION("""COMPUTED_VALUE"""),57.15)</f>
        <v>57.15</v>
      </c>
      <c r="Q61" s="112">
        <f ca="1">IFERROR(__xludf.DUMMYFUNCTION("""COMPUTED_VALUE"""),40268.7055555555)</f>
        <v>40268.705555555498</v>
      </c>
      <c r="R61" s="111">
        <f ca="1">IFERROR(__xludf.DUMMYFUNCTION("""COMPUTED_VALUE"""),29.85)</f>
        <v>29.85</v>
      </c>
      <c r="S61" s="112">
        <f ca="1">IFERROR(__xludf.DUMMYFUNCTION("""COMPUTED_VALUE"""),40268.7055555555)</f>
        <v>40268.705555555498</v>
      </c>
      <c r="T61" s="111">
        <f ca="1">IFERROR(__xludf.DUMMYFUNCTION("""COMPUTED_VALUE"""),6.13)</f>
        <v>6.13</v>
      </c>
    </row>
    <row r="62" spans="1:20" x14ac:dyDescent="0.3">
      <c r="A62" s="112">
        <f ca="1">IFERROR(__xludf.DUMMYFUNCTION("""COMPUTED_VALUE"""),40269.7055555555)</f>
        <v>40269.705555555498</v>
      </c>
      <c r="B62" s="111">
        <f ca="1">IFERROR(__xludf.DUMMYFUNCTION("""COMPUTED_VALUE"""),26.28)</f>
        <v>26.28</v>
      </c>
      <c r="C62" s="112">
        <f ca="1">IFERROR(__xludf.DUMMYFUNCTION("""COMPUTED_VALUE"""),40269.7055555555)</f>
        <v>40269.705555555498</v>
      </c>
      <c r="D62" s="111">
        <f ca="1">IFERROR(__xludf.DUMMYFUNCTION("""COMPUTED_VALUE"""),19.63)</f>
        <v>19.63</v>
      </c>
      <c r="E62" s="112">
        <f ca="1">IFERROR(__xludf.DUMMYFUNCTION("""COMPUTED_VALUE"""),40269.7055555555)</f>
        <v>40269.705555555498</v>
      </c>
      <c r="F62" s="111">
        <f ca="1">IFERROR(__xludf.DUMMYFUNCTION("""COMPUTED_VALUE"""),8.03)</f>
        <v>8.0299999999999994</v>
      </c>
      <c r="G62" s="112">
        <f ca="1">IFERROR(__xludf.DUMMYFUNCTION("""COMPUTED_VALUE"""),40269.7055555555)</f>
        <v>40269.705555555498</v>
      </c>
      <c r="H62" s="111">
        <f ca="1">IFERROR(__xludf.DUMMYFUNCTION("""COMPUTED_VALUE"""),35.75)</f>
        <v>35.75</v>
      </c>
      <c r="I62" s="112">
        <f ca="1">IFERROR(__xludf.DUMMYFUNCTION("""COMPUTED_VALUE"""),44628.7055555555)</f>
        <v>44628.705555555498</v>
      </c>
      <c r="J62" s="111">
        <f ca="1">IFERROR(__xludf.DUMMYFUNCTION("""COMPUTED_VALUE"""),6.4)</f>
        <v>6.4</v>
      </c>
      <c r="K62" s="112">
        <f ca="1">IFERROR(__xludf.DUMMYFUNCTION("""COMPUTED_VALUE"""),40757.7055555555)</f>
        <v>40757.705555555498</v>
      </c>
      <c r="L62" s="111">
        <f ca="1">IFERROR(__xludf.DUMMYFUNCTION("""COMPUTED_VALUE"""),0.44)</f>
        <v>0.44</v>
      </c>
      <c r="M62" s="112">
        <f ca="1">IFERROR(__xludf.DUMMYFUNCTION("""COMPUTED_VALUE"""),40268.7055555555)</f>
        <v>40268.705555555498</v>
      </c>
      <c r="N62" s="111">
        <f ca="1">IFERROR(__xludf.DUMMYFUNCTION("""COMPUTED_VALUE"""),11.64)</f>
        <v>11.64</v>
      </c>
      <c r="O62" s="112">
        <f ca="1">IFERROR(__xludf.DUMMYFUNCTION("""COMPUTED_VALUE"""),40269.7055555555)</f>
        <v>40269.705555555498</v>
      </c>
      <c r="P62" s="111">
        <f ca="1">IFERROR(__xludf.DUMMYFUNCTION("""COMPUTED_VALUE"""),57.73)</f>
        <v>57.73</v>
      </c>
      <c r="Q62" s="112">
        <f ca="1">IFERROR(__xludf.DUMMYFUNCTION("""COMPUTED_VALUE"""),40269.7055555555)</f>
        <v>40269.705555555498</v>
      </c>
      <c r="R62" s="111">
        <f ca="1">IFERROR(__xludf.DUMMYFUNCTION("""COMPUTED_VALUE"""),29.8)</f>
        <v>29.8</v>
      </c>
      <c r="S62" s="112">
        <f ca="1">IFERROR(__xludf.DUMMYFUNCTION("""COMPUTED_VALUE"""),40269.7055555555)</f>
        <v>40269.705555555498</v>
      </c>
      <c r="T62" s="111">
        <f ca="1">IFERROR(__xludf.DUMMYFUNCTION("""COMPUTED_VALUE"""),6.01)</f>
        <v>6.01</v>
      </c>
    </row>
    <row r="63" spans="1:20" x14ac:dyDescent="0.3">
      <c r="A63" s="112">
        <f ca="1">IFERROR(__xludf.DUMMYFUNCTION("""COMPUTED_VALUE"""),40273.7055555555)</f>
        <v>40273.705555555498</v>
      </c>
      <c r="B63" s="111">
        <f ca="1">IFERROR(__xludf.DUMMYFUNCTION("""COMPUTED_VALUE"""),25.86)</f>
        <v>25.86</v>
      </c>
      <c r="C63" s="112">
        <f ca="1">IFERROR(__xludf.DUMMYFUNCTION("""COMPUTED_VALUE"""),40273.7055555555)</f>
        <v>40273.705555555498</v>
      </c>
      <c r="D63" s="111">
        <f ca="1">IFERROR(__xludf.DUMMYFUNCTION("""COMPUTED_VALUE"""),19.76)</f>
        <v>19.760000000000002</v>
      </c>
      <c r="E63" s="112">
        <f ca="1">IFERROR(__xludf.DUMMYFUNCTION("""COMPUTED_VALUE"""),40273.7055555555)</f>
        <v>40273.705555555498</v>
      </c>
      <c r="F63" s="111">
        <f ca="1">IFERROR(__xludf.DUMMYFUNCTION("""COMPUTED_VALUE"""),8.05)</f>
        <v>8.0500000000000007</v>
      </c>
      <c r="G63" s="112">
        <f ca="1">IFERROR(__xludf.DUMMYFUNCTION("""COMPUTED_VALUE"""),40273.7055555555)</f>
        <v>40273.705555555498</v>
      </c>
      <c r="H63" s="111">
        <f ca="1">IFERROR(__xludf.DUMMYFUNCTION("""COMPUTED_VALUE"""),36.01)</f>
        <v>36.01</v>
      </c>
      <c r="I63" s="112">
        <f ca="1">IFERROR(__xludf.DUMMYFUNCTION("""COMPUTED_VALUE"""),44629.7055555555)</f>
        <v>44629.705555555498</v>
      </c>
      <c r="J63" s="111">
        <f ca="1">IFERROR(__xludf.DUMMYFUNCTION("""COMPUTED_VALUE"""),6.61)</f>
        <v>6.61</v>
      </c>
      <c r="K63" s="112">
        <f ca="1">IFERROR(__xludf.DUMMYFUNCTION("""COMPUTED_VALUE"""),40758.7055555555)</f>
        <v>40758.705555555498</v>
      </c>
      <c r="L63" s="111">
        <f ca="1">IFERROR(__xludf.DUMMYFUNCTION("""COMPUTED_VALUE"""),0.42)</f>
        <v>0.42</v>
      </c>
      <c r="M63" s="112">
        <f ca="1">IFERROR(__xludf.DUMMYFUNCTION("""COMPUTED_VALUE"""),40269.7055555555)</f>
        <v>40269.705555555498</v>
      </c>
      <c r="N63" s="111">
        <f ca="1">IFERROR(__xludf.DUMMYFUNCTION("""COMPUTED_VALUE"""),11.77)</f>
        <v>11.77</v>
      </c>
      <c r="O63" s="112">
        <f ca="1">IFERROR(__xludf.DUMMYFUNCTION("""COMPUTED_VALUE"""),40273.7055555555)</f>
        <v>40273.705555555498</v>
      </c>
      <c r="P63" s="111">
        <f ca="1">IFERROR(__xludf.DUMMYFUNCTION("""COMPUTED_VALUE"""),57.57)</f>
        <v>57.57</v>
      </c>
      <c r="Q63" s="112">
        <f ca="1">IFERROR(__xludf.DUMMYFUNCTION("""COMPUTED_VALUE"""),40273.7055555555)</f>
        <v>40273.705555555498</v>
      </c>
      <c r="R63" s="111">
        <f ca="1">IFERROR(__xludf.DUMMYFUNCTION("""COMPUTED_VALUE"""),30)</f>
        <v>30</v>
      </c>
      <c r="S63" s="112">
        <f ca="1">IFERROR(__xludf.DUMMYFUNCTION("""COMPUTED_VALUE"""),40273.7055555555)</f>
        <v>40273.705555555498</v>
      </c>
      <c r="T63" s="111">
        <f ca="1">IFERROR(__xludf.DUMMYFUNCTION("""COMPUTED_VALUE"""),6.09)</f>
        <v>6.09</v>
      </c>
    </row>
    <row r="64" spans="1:20" x14ac:dyDescent="0.3">
      <c r="A64" s="112">
        <f ca="1">IFERROR(__xludf.DUMMYFUNCTION("""COMPUTED_VALUE"""),40274.7055555555)</f>
        <v>40274.705555555498</v>
      </c>
      <c r="B64" s="111">
        <f ca="1">IFERROR(__xludf.DUMMYFUNCTION("""COMPUTED_VALUE"""),25.68)</f>
        <v>25.68</v>
      </c>
      <c r="C64" s="112">
        <f ca="1">IFERROR(__xludf.DUMMYFUNCTION("""COMPUTED_VALUE"""),40274.7055555555)</f>
        <v>40274.705555555498</v>
      </c>
      <c r="D64" s="111">
        <f ca="1">IFERROR(__xludf.DUMMYFUNCTION("""COMPUTED_VALUE"""),19.51)</f>
        <v>19.510000000000002</v>
      </c>
      <c r="E64" s="112">
        <f ca="1">IFERROR(__xludf.DUMMYFUNCTION("""COMPUTED_VALUE"""),40274.7055555555)</f>
        <v>40274.705555555498</v>
      </c>
      <c r="F64" s="111">
        <f ca="1">IFERROR(__xludf.DUMMYFUNCTION("""COMPUTED_VALUE"""),7.96)</f>
        <v>7.96</v>
      </c>
      <c r="G64" s="112">
        <f ca="1">IFERROR(__xludf.DUMMYFUNCTION("""COMPUTED_VALUE"""),40274.7055555555)</f>
        <v>40274.705555555498</v>
      </c>
      <c r="H64" s="111">
        <f ca="1">IFERROR(__xludf.DUMMYFUNCTION("""COMPUTED_VALUE"""),36.08)</f>
        <v>36.08</v>
      </c>
      <c r="I64" s="112">
        <f ca="1">IFERROR(__xludf.DUMMYFUNCTION("""COMPUTED_VALUE"""),44630.7055555555)</f>
        <v>44630.705555555498</v>
      </c>
      <c r="J64" s="111">
        <f ca="1">IFERROR(__xludf.DUMMYFUNCTION("""COMPUTED_VALUE"""),5.94)</f>
        <v>5.94</v>
      </c>
      <c r="K64" s="112">
        <f ca="1">IFERROR(__xludf.DUMMYFUNCTION("""COMPUTED_VALUE"""),40759.7055555555)</f>
        <v>40759.705555555498</v>
      </c>
      <c r="L64" s="111">
        <f ca="1">IFERROR(__xludf.DUMMYFUNCTION("""COMPUTED_VALUE"""),0.38)</f>
        <v>0.38</v>
      </c>
      <c r="M64" s="112">
        <f ca="1">IFERROR(__xludf.DUMMYFUNCTION("""COMPUTED_VALUE"""),40273.7055555555)</f>
        <v>40273.705555555498</v>
      </c>
      <c r="N64" s="111">
        <f ca="1">IFERROR(__xludf.DUMMYFUNCTION("""COMPUTED_VALUE"""),11.76)</f>
        <v>11.76</v>
      </c>
      <c r="O64" s="112">
        <f ca="1">IFERROR(__xludf.DUMMYFUNCTION("""COMPUTED_VALUE"""),40274.7055555555)</f>
        <v>40274.705555555498</v>
      </c>
      <c r="P64" s="111">
        <f ca="1">IFERROR(__xludf.DUMMYFUNCTION("""COMPUTED_VALUE"""),57.49)</f>
        <v>57.49</v>
      </c>
      <c r="Q64" s="112">
        <f ca="1">IFERROR(__xludf.DUMMYFUNCTION("""COMPUTED_VALUE"""),40274.7055555555)</f>
        <v>40274.705555555498</v>
      </c>
      <c r="R64" s="111">
        <f ca="1">IFERROR(__xludf.DUMMYFUNCTION("""COMPUTED_VALUE"""),30.04)</f>
        <v>30.04</v>
      </c>
      <c r="S64" s="112">
        <f ca="1">IFERROR(__xludf.DUMMYFUNCTION("""COMPUTED_VALUE"""),40274.7055555555)</f>
        <v>40274.705555555498</v>
      </c>
      <c r="T64" s="111">
        <f ca="1">IFERROR(__xludf.DUMMYFUNCTION("""COMPUTED_VALUE"""),6.17)</f>
        <v>6.17</v>
      </c>
    </row>
    <row r="65" spans="1:20" x14ac:dyDescent="0.3">
      <c r="A65" s="112">
        <f ca="1">IFERROR(__xludf.DUMMYFUNCTION("""COMPUTED_VALUE"""),40275.7055555555)</f>
        <v>40275.705555555498</v>
      </c>
      <c r="B65" s="111">
        <f ca="1">IFERROR(__xludf.DUMMYFUNCTION("""COMPUTED_VALUE"""),25.61)</f>
        <v>25.61</v>
      </c>
      <c r="C65" s="112">
        <f ca="1">IFERROR(__xludf.DUMMYFUNCTION("""COMPUTED_VALUE"""),40275.7055555555)</f>
        <v>40275.705555555498</v>
      </c>
      <c r="D65" s="111">
        <f ca="1">IFERROR(__xludf.DUMMYFUNCTION("""COMPUTED_VALUE"""),19.33)</f>
        <v>19.329999999999998</v>
      </c>
      <c r="E65" s="112">
        <f ca="1">IFERROR(__xludf.DUMMYFUNCTION("""COMPUTED_VALUE"""),40275.7055555555)</f>
        <v>40275.705555555498</v>
      </c>
      <c r="F65" s="111">
        <f ca="1">IFERROR(__xludf.DUMMYFUNCTION("""COMPUTED_VALUE"""),7.85)</f>
        <v>7.85</v>
      </c>
      <c r="G65" s="112">
        <f ca="1">IFERROR(__xludf.DUMMYFUNCTION("""COMPUTED_VALUE"""),40275.7055555555)</f>
        <v>40275.705555555498</v>
      </c>
      <c r="H65" s="111">
        <f ca="1">IFERROR(__xludf.DUMMYFUNCTION("""COMPUTED_VALUE"""),35.8)</f>
        <v>35.799999999999997</v>
      </c>
      <c r="I65" s="112">
        <f ca="1">IFERROR(__xludf.DUMMYFUNCTION("""COMPUTED_VALUE"""),44631.7055555555)</f>
        <v>44631.705555555498</v>
      </c>
      <c r="J65" s="111">
        <f ca="1">IFERROR(__xludf.DUMMYFUNCTION("""COMPUTED_VALUE"""),5.6)</f>
        <v>5.6</v>
      </c>
      <c r="K65" s="112">
        <f ca="1">IFERROR(__xludf.DUMMYFUNCTION("""COMPUTED_VALUE"""),40760.7055555555)</f>
        <v>40760.705555555498</v>
      </c>
      <c r="L65" s="111">
        <f ca="1">IFERROR(__xludf.DUMMYFUNCTION("""COMPUTED_VALUE"""),0.37)</f>
        <v>0.37</v>
      </c>
      <c r="M65" s="112">
        <f ca="1">IFERROR(__xludf.DUMMYFUNCTION("""COMPUTED_VALUE"""),40274.7055555555)</f>
        <v>40274.705555555498</v>
      </c>
      <c r="N65" s="111">
        <f ca="1">IFERROR(__xludf.DUMMYFUNCTION("""COMPUTED_VALUE"""),11.62)</f>
        <v>11.62</v>
      </c>
      <c r="O65" s="112">
        <f ca="1">IFERROR(__xludf.DUMMYFUNCTION("""COMPUTED_VALUE"""),40275.7055555555)</f>
        <v>40275.705555555498</v>
      </c>
      <c r="P65" s="111">
        <f ca="1">IFERROR(__xludf.DUMMYFUNCTION("""COMPUTED_VALUE"""),58.07)</f>
        <v>58.07</v>
      </c>
      <c r="Q65" s="112">
        <f ca="1">IFERROR(__xludf.DUMMYFUNCTION("""COMPUTED_VALUE"""),40275.7055555555)</f>
        <v>40275.705555555498</v>
      </c>
      <c r="R65" s="111">
        <f ca="1">IFERROR(__xludf.DUMMYFUNCTION("""COMPUTED_VALUE"""),29.99)</f>
        <v>29.99</v>
      </c>
      <c r="S65" s="112">
        <f ca="1">IFERROR(__xludf.DUMMYFUNCTION("""COMPUTED_VALUE"""),40275.7055555555)</f>
        <v>40275.705555555498</v>
      </c>
      <c r="T65" s="111">
        <f ca="1">IFERROR(__xludf.DUMMYFUNCTION("""COMPUTED_VALUE"""),6.3)</f>
        <v>6.3</v>
      </c>
    </row>
    <row r="66" spans="1:20" x14ac:dyDescent="0.3">
      <c r="A66" s="112">
        <f ca="1">IFERROR(__xludf.DUMMYFUNCTION("""COMPUTED_VALUE"""),40277.7055555555)</f>
        <v>40277.705555555498</v>
      </c>
      <c r="B66" s="111">
        <f ca="1">IFERROR(__xludf.DUMMYFUNCTION("""COMPUTED_VALUE"""),25.42)</f>
        <v>25.42</v>
      </c>
      <c r="C66" s="112">
        <f ca="1">IFERROR(__xludf.DUMMYFUNCTION("""COMPUTED_VALUE"""),40277.7055555555)</f>
        <v>40277.705555555498</v>
      </c>
      <c r="D66" s="111">
        <f ca="1">IFERROR(__xludf.DUMMYFUNCTION("""COMPUTED_VALUE"""),20.09)</f>
        <v>20.09</v>
      </c>
      <c r="E66" s="112">
        <f ca="1">IFERROR(__xludf.DUMMYFUNCTION("""COMPUTED_VALUE"""),40277.7055555555)</f>
        <v>40277.705555555498</v>
      </c>
      <c r="F66" s="111">
        <f ca="1">IFERROR(__xludf.DUMMYFUNCTION("""COMPUTED_VALUE"""),8.21)</f>
        <v>8.2100000000000009</v>
      </c>
      <c r="G66" s="112">
        <f ca="1">IFERROR(__xludf.DUMMYFUNCTION("""COMPUTED_VALUE"""),40277.7055555555)</f>
        <v>40277.705555555498</v>
      </c>
      <c r="H66" s="111">
        <f ca="1">IFERROR(__xludf.DUMMYFUNCTION("""COMPUTED_VALUE"""),35.23)</f>
        <v>35.229999999999997</v>
      </c>
      <c r="I66" s="112">
        <f ca="1">IFERROR(__xludf.DUMMYFUNCTION("""COMPUTED_VALUE"""),44634.7055555555)</f>
        <v>44634.705555555498</v>
      </c>
      <c r="J66" s="111">
        <f ca="1">IFERROR(__xludf.DUMMYFUNCTION("""COMPUTED_VALUE"""),5.12)</f>
        <v>5.12</v>
      </c>
      <c r="K66" s="112">
        <f ca="1">IFERROR(__xludf.DUMMYFUNCTION("""COMPUTED_VALUE"""),40763.7055555555)</f>
        <v>40763.705555555498</v>
      </c>
      <c r="L66" s="111">
        <f ca="1">IFERROR(__xludf.DUMMYFUNCTION("""COMPUTED_VALUE"""),0.34)</f>
        <v>0.34</v>
      </c>
      <c r="M66" s="112">
        <f ca="1">IFERROR(__xludf.DUMMYFUNCTION("""COMPUTED_VALUE"""),40275.7055555555)</f>
        <v>40275.705555555498</v>
      </c>
      <c r="N66" s="111">
        <f ca="1">IFERROR(__xludf.DUMMYFUNCTION("""COMPUTED_VALUE"""),11.63)</f>
        <v>11.63</v>
      </c>
      <c r="O66" s="112">
        <f ca="1">IFERROR(__xludf.DUMMYFUNCTION("""COMPUTED_VALUE"""),40277.7055555555)</f>
        <v>40277.705555555498</v>
      </c>
      <c r="P66" s="111">
        <f ca="1">IFERROR(__xludf.DUMMYFUNCTION("""COMPUTED_VALUE"""),59.29)</f>
        <v>59.29</v>
      </c>
      <c r="Q66" s="112">
        <f ca="1">IFERROR(__xludf.DUMMYFUNCTION("""COMPUTED_VALUE"""),40277.7055555555)</f>
        <v>40277.705555555498</v>
      </c>
      <c r="R66" s="111">
        <f ca="1">IFERROR(__xludf.DUMMYFUNCTION("""COMPUTED_VALUE"""),31)</f>
        <v>31</v>
      </c>
      <c r="S66" s="112">
        <f ca="1">IFERROR(__xludf.DUMMYFUNCTION("""COMPUTED_VALUE"""),40277.7055555555)</f>
        <v>40277.705555555498</v>
      </c>
      <c r="T66" s="111">
        <f ca="1">IFERROR(__xludf.DUMMYFUNCTION("""COMPUTED_VALUE"""),6.14)</f>
        <v>6.14</v>
      </c>
    </row>
    <row r="67" spans="1:20" x14ac:dyDescent="0.3">
      <c r="A67" s="112">
        <f ca="1">IFERROR(__xludf.DUMMYFUNCTION("""COMPUTED_VALUE"""),40280.7055555555)</f>
        <v>40280.705555555498</v>
      </c>
      <c r="B67" s="111">
        <f ca="1">IFERROR(__xludf.DUMMYFUNCTION("""COMPUTED_VALUE"""),25.02)</f>
        <v>25.02</v>
      </c>
      <c r="C67" s="112">
        <f ca="1">IFERROR(__xludf.DUMMYFUNCTION("""COMPUTED_VALUE"""),40280.7055555555)</f>
        <v>40280.705555555498</v>
      </c>
      <c r="D67" s="111">
        <f ca="1">IFERROR(__xludf.DUMMYFUNCTION("""COMPUTED_VALUE"""),19.81)</f>
        <v>19.809999999999999</v>
      </c>
      <c r="E67" s="112">
        <f ca="1">IFERROR(__xludf.DUMMYFUNCTION("""COMPUTED_VALUE"""),40280.7055555555)</f>
        <v>40280.705555555498</v>
      </c>
      <c r="F67" s="111">
        <f ca="1">IFERROR(__xludf.DUMMYFUNCTION("""COMPUTED_VALUE"""),8.13)</f>
        <v>8.1300000000000008</v>
      </c>
      <c r="G67" s="112">
        <f ca="1">IFERROR(__xludf.DUMMYFUNCTION("""COMPUTED_VALUE"""),40280.7055555555)</f>
        <v>40280.705555555498</v>
      </c>
      <c r="H67" s="111">
        <f ca="1">IFERROR(__xludf.DUMMYFUNCTION("""COMPUTED_VALUE"""),34.39)</f>
        <v>34.39</v>
      </c>
      <c r="I67" s="112">
        <f ca="1">IFERROR(__xludf.DUMMYFUNCTION("""COMPUTED_VALUE"""),44635.7055555555)</f>
        <v>44635.705555555498</v>
      </c>
      <c r="J67" s="111">
        <f ca="1">IFERROR(__xludf.DUMMYFUNCTION("""COMPUTED_VALUE"""),5.19)</f>
        <v>5.19</v>
      </c>
      <c r="K67" s="112">
        <f ca="1">IFERROR(__xludf.DUMMYFUNCTION("""COMPUTED_VALUE"""),40764.7055555555)</f>
        <v>40764.705555555498</v>
      </c>
      <c r="L67" s="111">
        <f ca="1">IFERROR(__xludf.DUMMYFUNCTION("""COMPUTED_VALUE"""),0.35)</f>
        <v>0.35</v>
      </c>
      <c r="M67" s="112">
        <f ca="1">IFERROR(__xludf.DUMMYFUNCTION("""COMPUTED_VALUE"""),40276.7055555555)</f>
        <v>40276.705555555498</v>
      </c>
      <c r="N67" s="111">
        <f ca="1">IFERROR(__xludf.DUMMYFUNCTION("""COMPUTED_VALUE"""),11.99)</f>
        <v>11.99</v>
      </c>
      <c r="O67" s="112">
        <f ca="1">IFERROR(__xludf.DUMMYFUNCTION("""COMPUTED_VALUE"""),40280.7055555555)</f>
        <v>40280.705555555498</v>
      </c>
      <c r="P67" s="111">
        <f ca="1">IFERROR(__xludf.DUMMYFUNCTION("""COMPUTED_VALUE"""),58.88)</f>
        <v>58.88</v>
      </c>
      <c r="Q67" s="112">
        <f ca="1">IFERROR(__xludf.DUMMYFUNCTION("""COMPUTED_VALUE"""),40280.7055555555)</f>
        <v>40280.705555555498</v>
      </c>
      <c r="R67" s="111">
        <f ca="1">IFERROR(__xludf.DUMMYFUNCTION("""COMPUTED_VALUE"""),31.1)</f>
        <v>31.1</v>
      </c>
      <c r="S67" s="112">
        <f ca="1">IFERROR(__xludf.DUMMYFUNCTION("""COMPUTED_VALUE"""),40280.7055555555)</f>
        <v>40280.705555555498</v>
      </c>
      <c r="T67" s="111">
        <f ca="1">IFERROR(__xludf.DUMMYFUNCTION("""COMPUTED_VALUE"""),6.22)</f>
        <v>6.22</v>
      </c>
    </row>
    <row r="68" spans="1:20" x14ac:dyDescent="0.3">
      <c r="A68" s="112">
        <f ca="1">IFERROR(__xludf.DUMMYFUNCTION("""COMPUTED_VALUE"""),40281.7055555555)</f>
        <v>40281.705555555498</v>
      </c>
      <c r="B68" s="111">
        <f ca="1">IFERROR(__xludf.DUMMYFUNCTION("""COMPUTED_VALUE"""),24.93)</f>
        <v>24.93</v>
      </c>
      <c r="C68" s="112">
        <f ca="1">IFERROR(__xludf.DUMMYFUNCTION("""COMPUTED_VALUE"""),40281.7055555555)</f>
        <v>40281.705555555498</v>
      </c>
      <c r="D68" s="111">
        <f ca="1">IFERROR(__xludf.DUMMYFUNCTION("""COMPUTED_VALUE"""),19.75)</f>
        <v>19.75</v>
      </c>
      <c r="E68" s="112">
        <f ca="1">IFERROR(__xludf.DUMMYFUNCTION("""COMPUTED_VALUE"""),40281.7055555555)</f>
        <v>40281.705555555498</v>
      </c>
      <c r="F68" s="111">
        <f ca="1">IFERROR(__xludf.DUMMYFUNCTION("""COMPUTED_VALUE"""),8.11)</f>
        <v>8.11</v>
      </c>
      <c r="G68" s="112">
        <f ca="1">IFERROR(__xludf.DUMMYFUNCTION("""COMPUTED_VALUE"""),40281.7055555555)</f>
        <v>40281.705555555498</v>
      </c>
      <c r="H68" s="111">
        <f ca="1">IFERROR(__xludf.DUMMYFUNCTION("""COMPUTED_VALUE"""),34.19)</f>
        <v>34.19</v>
      </c>
      <c r="I68" s="112">
        <f ca="1">IFERROR(__xludf.DUMMYFUNCTION("""COMPUTED_VALUE"""),44636.7055555555)</f>
        <v>44636.705555555498</v>
      </c>
      <c r="J68" s="111">
        <f ca="1">IFERROR(__xludf.DUMMYFUNCTION("""COMPUTED_VALUE"""),5.84)</f>
        <v>5.84</v>
      </c>
      <c r="K68" s="112">
        <f ca="1">IFERROR(__xludf.DUMMYFUNCTION("""COMPUTED_VALUE"""),40765.7055555555)</f>
        <v>40765.705555555498</v>
      </c>
      <c r="L68" s="111">
        <f ca="1">IFERROR(__xludf.DUMMYFUNCTION("""COMPUTED_VALUE"""),0.35)</f>
        <v>0.35</v>
      </c>
      <c r="M68" s="112">
        <f ca="1">IFERROR(__xludf.DUMMYFUNCTION("""COMPUTED_VALUE"""),40277.7055555555)</f>
        <v>40277.705555555498</v>
      </c>
      <c r="N68" s="111">
        <f ca="1">IFERROR(__xludf.DUMMYFUNCTION("""COMPUTED_VALUE"""),11.98)</f>
        <v>11.98</v>
      </c>
      <c r="O68" s="112">
        <f ca="1">IFERROR(__xludf.DUMMYFUNCTION("""COMPUTED_VALUE"""),40281.7055555555)</f>
        <v>40281.705555555498</v>
      </c>
      <c r="P68" s="111">
        <f ca="1">IFERROR(__xludf.DUMMYFUNCTION("""COMPUTED_VALUE"""),59.35)</f>
        <v>59.35</v>
      </c>
      <c r="Q68" s="112">
        <f ca="1">IFERROR(__xludf.DUMMYFUNCTION("""COMPUTED_VALUE"""),40281.7055555555)</f>
        <v>40281.705555555498</v>
      </c>
      <c r="R68" s="111">
        <f ca="1">IFERROR(__xludf.DUMMYFUNCTION("""COMPUTED_VALUE"""),30.85)</f>
        <v>30.85</v>
      </c>
      <c r="S68" s="112">
        <f ca="1">IFERROR(__xludf.DUMMYFUNCTION("""COMPUTED_VALUE"""),40281.7055555555)</f>
        <v>40281.705555555498</v>
      </c>
      <c r="T68" s="111">
        <f ca="1">IFERROR(__xludf.DUMMYFUNCTION("""COMPUTED_VALUE"""),6.41)</f>
        <v>6.41</v>
      </c>
    </row>
    <row r="69" spans="1:20" x14ac:dyDescent="0.3">
      <c r="A69" s="112">
        <f ca="1">IFERROR(__xludf.DUMMYFUNCTION("""COMPUTED_VALUE"""),40282.7055555555)</f>
        <v>40282.705555555498</v>
      </c>
      <c r="B69" s="111">
        <f ca="1">IFERROR(__xludf.DUMMYFUNCTION("""COMPUTED_VALUE"""),25.11)</f>
        <v>25.11</v>
      </c>
      <c r="C69" s="112">
        <f ca="1">IFERROR(__xludf.DUMMYFUNCTION("""COMPUTED_VALUE"""),40282.7055555555)</f>
        <v>40282.705555555498</v>
      </c>
      <c r="D69" s="111">
        <f ca="1">IFERROR(__xludf.DUMMYFUNCTION("""COMPUTED_VALUE"""),19.86)</f>
        <v>19.86</v>
      </c>
      <c r="E69" s="112">
        <f ca="1">IFERROR(__xludf.DUMMYFUNCTION("""COMPUTED_VALUE"""),40282.7055555555)</f>
        <v>40282.705555555498</v>
      </c>
      <c r="F69" s="111">
        <f ca="1">IFERROR(__xludf.DUMMYFUNCTION("""COMPUTED_VALUE"""),8.18)</f>
        <v>8.18</v>
      </c>
      <c r="G69" s="112">
        <f ca="1">IFERROR(__xludf.DUMMYFUNCTION("""COMPUTED_VALUE"""),40282.7055555555)</f>
        <v>40282.705555555498</v>
      </c>
      <c r="H69" s="111">
        <f ca="1">IFERROR(__xludf.DUMMYFUNCTION("""COMPUTED_VALUE"""),34.25)</f>
        <v>34.25</v>
      </c>
      <c r="I69" s="112">
        <f ca="1">IFERROR(__xludf.DUMMYFUNCTION("""COMPUTED_VALUE"""),44637.7055555555)</f>
        <v>44637.705555555498</v>
      </c>
      <c r="J69" s="111">
        <f ca="1">IFERROR(__xludf.DUMMYFUNCTION("""COMPUTED_VALUE"""),6.22)</f>
        <v>6.22</v>
      </c>
      <c r="K69" s="112">
        <f ca="1">IFERROR(__xludf.DUMMYFUNCTION("""COMPUTED_VALUE"""),40766.7055555555)</f>
        <v>40766.705555555498</v>
      </c>
      <c r="L69" s="111">
        <f ca="1">IFERROR(__xludf.DUMMYFUNCTION("""COMPUTED_VALUE"""),0.39)</f>
        <v>0.39</v>
      </c>
      <c r="M69" s="112">
        <f ca="1">IFERROR(__xludf.DUMMYFUNCTION("""COMPUTED_VALUE"""),40280.7055555555)</f>
        <v>40280.705555555498</v>
      </c>
      <c r="N69" s="111">
        <f ca="1">IFERROR(__xludf.DUMMYFUNCTION("""COMPUTED_VALUE"""),11.82)</f>
        <v>11.82</v>
      </c>
      <c r="O69" s="112">
        <f ca="1">IFERROR(__xludf.DUMMYFUNCTION("""COMPUTED_VALUE"""),40282.7055555555)</f>
        <v>40282.705555555498</v>
      </c>
      <c r="P69" s="111">
        <f ca="1">IFERROR(__xludf.DUMMYFUNCTION("""COMPUTED_VALUE"""),59.85)</f>
        <v>59.85</v>
      </c>
      <c r="Q69" s="112">
        <f ca="1">IFERROR(__xludf.DUMMYFUNCTION("""COMPUTED_VALUE"""),40282.7055555555)</f>
        <v>40282.705555555498</v>
      </c>
      <c r="R69" s="111">
        <f ca="1">IFERROR(__xludf.DUMMYFUNCTION("""COMPUTED_VALUE"""),30.55)</f>
        <v>30.55</v>
      </c>
      <c r="S69" s="112">
        <f ca="1">IFERROR(__xludf.DUMMYFUNCTION("""COMPUTED_VALUE"""),40282.7055555555)</f>
        <v>40282.705555555498</v>
      </c>
      <c r="T69" s="111">
        <f ca="1">IFERROR(__xludf.DUMMYFUNCTION("""COMPUTED_VALUE"""),6.39)</f>
        <v>6.39</v>
      </c>
    </row>
    <row r="70" spans="1:20" x14ac:dyDescent="0.3">
      <c r="A70" s="112">
        <f ca="1">IFERROR(__xludf.DUMMYFUNCTION("""COMPUTED_VALUE"""),40283.7055555555)</f>
        <v>40283.705555555498</v>
      </c>
      <c r="B70" s="111">
        <f ca="1">IFERROR(__xludf.DUMMYFUNCTION("""COMPUTED_VALUE"""),24.72)</f>
        <v>24.72</v>
      </c>
      <c r="C70" s="112">
        <f ca="1">IFERROR(__xludf.DUMMYFUNCTION("""COMPUTED_VALUE"""),40283.7055555555)</f>
        <v>40283.705555555498</v>
      </c>
      <c r="D70" s="111">
        <f ca="1">IFERROR(__xludf.DUMMYFUNCTION("""COMPUTED_VALUE"""),19.83)</f>
        <v>19.829999999999998</v>
      </c>
      <c r="E70" s="112">
        <f ca="1">IFERROR(__xludf.DUMMYFUNCTION("""COMPUTED_VALUE"""),40283.7055555555)</f>
        <v>40283.705555555498</v>
      </c>
      <c r="F70" s="111">
        <f ca="1">IFERROR(__xludf.DUMMYFUNCTION("""COMPUTED_VALUE"""),8.13)</f>
        <v>8.1300000000000008</v>
      </c>
      <c r="G70" s="112">
        <f ca="1">IFERROR(__xludf.DUMMYFUNCTION("""COMPUTED_VALUE"""),40283.7055555555)</f>
        <v>40283.705555555498</v>
      </c>
      <c r="H70" s="111">
        <f ca="1">IFERROR(__xludf.DUMMYFUNCTION("""COMPUTED_VALUE"""),33.6)</f>
        <v>33.6</v>
      </c>
      <c r="I70" s="112">
        <f ca="1">IFERROR(__xludf.DUMMYFUNCTION("""COMPUTED_VALUE"""),44638.7055555555)</f>
        <v>44638.705555555498</v>
      </c>
      <c r="J70" s="111">
        <f ca="1">IFERROR(__xludf.DUMMYFUNCTION("""COMPUTED_VALUE"""),6.56)</f>
        <v>6.56</v>
      </c>
      <c r="K70" s="112">
        <f ca="1">IFERROR(__xludf.DUMMYFUNCTION("""COMPUTED_VALUE"""),40770.7055555555)</f>
        <v>40770.705555555498</v>
      </c>
      <c r="L70" s="111">
        <f ca="1">IFERROR(__xludf.DUMMYFUNCTION("""COMPUTED_VALUE"""),0.42)</f>
        <v>0.42</v>
      </c>
      <c r="M70" s="112">
        <f ca="1">IFERROR(__xludf.DUMMYFUNCTION("""COMPUTED_VALUE"""),40281.7055555555)</f>
        <v>40281.705555555498</v>
      </c>
      <c r="N70" s="111">
        <f ca="1">IFERROR(__xludf.DUMMYFUNCTION("""COMPUTED_VALUE"""),11.71)</f>
        <v>11.71</v>
      </c>
      <c r="O70" s="112">
        <f ca="1">IFERROR(__xludf.DUMMYFUNCTION("""COMPUTED_VALUE"""),40283.7055555555)</f>
        <v>40283.705555555498</v>
      </c>
      <c r="P70" s="111">
        <f ca="1">IFERROR(__xludf.DUMMYFUNCTION("""COMPUTED_VALUE"""),59.35)</f>
        <v>59.35</v>
      </c>
      <c r="Q70" s="112">
        <f ca="1">IFERROR(__xludf.DUMMYFUNCTION("""COMPUTED_VALUE"""),40283.7055555555)</f>
        <v>40283.705555555498</v>
      </c>
      <c r="R70" s="111">
        <f ca="1">IFERROR(__xludf.DUMMYFUNCTION("""COMPUTED_VALUE"""),30.9)</f>
        <v>30.9</v>
      </c>
      <c r="S70" s="112">
        <f ca="1">IFERROR(__xludf.DUMMYFUNCTION("""COMPUTED_VALUE"""),40283.7055555555)</f>
        <v>40283.705555555498</v>
      </c>
      <c r="T70" s="111">
        <f ca="1">IFERROR(__xludf.DUMMYFUNCTION("""COMPUTED_VALUE"""),6.31)</f>
        <v>6.31</v>
      </c>
    </row>
    <row r="71" spans="1:20" x14ac:dyDescent="0.3">
      <c r="A71" s="112">
        <f ca="1">IFERROR(__xludf.DUMMYFUNCTION("""COMPUTED_VALUE"""),40284.7055555555)</f>
        <v>40284.705555555498</v>
      </c>
      <c r="B71" s="111">
        <f ca="1">IFERROR(__xludf.DUMMYFUNCTION("""COMPUTED_VALUE"""),25)</f>
        <v>25</v>
      </c>
      <c r="C71" s="112">
        <f ca="1">IFERROR(__xludf.DUMMYFUNCTION("""COMPUTED_VALUE"""),40284.7055555555)</f>
        <v>40284.705555555498</v>
      </c>
      <c r="D71" s="111">
        <f ca="1">IFERROR(__xludf.DUMMYFUNCTION("""COMPUTED_VALUE"""),19.21)</f>
        <v>19.21</v>
      </c>
      <c r="E71" s="112">
        <f ca="1">IFERROR(__xludf.DUMMYFUNCTION("""COMPUTED_VALUE"""),40284.7055555555)</f>
        <v>40284.705555555498</v>
      </c>
      <c r="F71" s="111">
        <f ca="1">IFERROR(__xludf.DUMMYFUNCTION("""COMPUTED_VALUE"""),7.92)</f>
        <v>7.92</v>
      </c>
      <c r="G71" s="112">
        <f ca="1">IFERROR(__xludf.DUMMYFUNCTION("""COMPUTED_VALUE"""),40284.7055555555)</f>
        <v>40284.705555555498</v>
      </c>
      <c r="H71" s="111">
        <f ca="1">IFERROR(__xludf.DUMMYFUNCTION("""COMPUTED_VALUE"""),32.95)</f>
        <v>32.950000000000003</v>
      </c>
      <c r="I71" s="112">
        <f ca="1">IFERROR(__xludf.DUMMYFUNCTION("""COMPUTED_VALUE"""),44641.7055555555)</f>
        <v>44641.705555555498</v>
      </c>
      <c r="J71" s="111">
        <f ca="1">IFERROR(__xludf.DUMMYFUNCTION("""COMPUTED_VALUE"""),6.19)</f>
        <v>6.19</v>
      </c>
      <c r="K71" s="112">
        <f ca="1">IFERROR(__xludf.DUMMYFUNCTION("""COMPUTED_VALUE"""),40771.7055555555)</f>
        <v>40771.705555555498</v>
      </c>
      <c r="L71" s="111">
        <f ca="1">IFERROR(__xludf.DUMMYFUNCTION("""COMPUTED_VALUE"""),0.41)</f>
        <v>0.41</v>
      </c>
      <c r="M71" s="112">
        <f ca="1">IFERROR(__xludf.DUMMYFUNCTION("""COMPUTED_VALUE"""),40282.7055555555)</f>
        <v>40282.705555555498</v>
      </c>
      <c r="N71" s="111">
        <f ca="1">IFERROR(__xludf.DUMMYFUNCTION("""COMPUTED_VALUE"""),11.75)</f>
        <v>11.75</v>
      </c>
      <c r="O71" s="112">
        <f ca="1">IFERROR(__xludf.DUMMYFUNCTION("""COMPUTED_VALUE"""),40284.7055555555)</f>
        <v>40284.705555555498</v>
      </c>
      <c r="P71" s="111">
        <f ca="1">IFERROR(__xludf.DUMMYFUNCTION("""COMPUTED_VALUE"""),58.53)</f>
        <v>58.53</v>
      </c>
      <c r="Q71" s="112">
        <f ca="1">IFERROR(__xludf.DUMMYFUNCTION("""COMPUTED_VALUE"""),40284.7055555555)</f>
        <v>40284.705555555498</v>
      </c>
      <c r="R71" s="111">
        <f ca="1">IFERROR(__xludf.DUMMYFUNCTION("""COMPUTED_VALUE"""),30.5)</f>
        <v>30.5</v>
      </c>
      <c r="S71" s="112">
        <f ca="1">IFERROR(__xludf.DUMMYFUNCTION("""COMPUTED_VALUE"""),40284.7055555555)</f>
        <v>40284.705555555498</v>
      </c>
      <c r="T71" s="111">
        <f ca="1">IFERROR(__xludf.DUMMYFUNCTION("""COMPUTED_VALUE"""),6.19)</f>
        <v>6.19</v>
      </c>
    </row>
    <row r="72" spans="1:20" x14ac:dyDescent="0.3">
      <c r="A72" s="112">
        <f ca="1">IFERROR(__xludf.DUMMYFUNCTION("""COMPUTED_VALUE"""),40287.7055555555)</f>
        <v>40287.705555555498</v>
      </c>
      <c r="B72" s="111">
        <f ca="1">IFERROR(__xludf.DUMMYFUNCTION("""COMPUTED_VALUE"""),24.95)</f>
        <v>24.95</v>
      </c>
      <c r="C72" s="112">
        <f ca="1">IFERROR(__xludf.DUMMYFUNCTION("""COMPUTED_VALUE"""),40287.7055555555)</f>
        <v>40287.705555555498</v>
      </c>
      <c r="D72" s="111">
        <f ca="1">IFERROR(__xludf.DUMMYFUNCTION("""COMPUTED_VALUE"""),18.99)</f>
        <v>18.989999999999998</v>
      </c>
      <c r="E72" s="112">
        <f ca="1">IFERROR(__xludf.DUMMYFUNCTION("""COMPUTED_VALUE"""),40287.7055555555)</f>
        <v>40287.705555555498</v>
      </c>
      <c r="F72" s="111">
        <f ca="1">IFERROR(__xludf.DUMMYFUNCTION("""COMPUTED_VALUE"""),7.86)</f>
        <v>7.86</v>
      </c>
      <c r="G72" s="112">
        <f ca="1">IFERROR(__xludf.DUMMYFUNCTION("""COMPUTED_VALUE"""),40287.7055555555)</f>
        <v>40287.705555555498</v>
      </c>
      <c r="H72" s="111">
        <f ca="1">IFERROR(__xludf.DUMMYFUNCTION("""COMPUTED_VALUE"""),33.55)</f>
        <v>33.549999999999997</v>
      </c>
      <c r="I72" s="112">
        <f ca="1">IFERROR(__xludf.DUMMYFUNCTION("""COMPUTED_VALUE"""),44642.7055555555)</f>
        <v>44642.705555555498</v>
      </c>
      <c r="J72" s="111">
        <f ca="1">IFERROR(__xludf.DUMMYFUNCTION("""COMPUTED_VALUE"""),6.54)</f>
        <v>6.54</v>
      </c>
      <c r="K72" s="112">
        <f ca="1">IFERROR(__xludf.DUMMYFUNCTION("""COMPUTED_VALUE"""),40773.7055555555)</f>
        <v>40773.705555555498</v>
      </c>
      <c r="L72" s="111">
        <f ca="1">IFERROR(__xludf.DUMMYFUNCTION("""COMPUTED_VALUE"""),0.41)</f>
        <v>0.41</v>
      </c>
      <c r="M72" s="112">
        <f ca="1">IFERROR(__xludf.DUMMYFUNCTION("""COMPUTED_VALUE"""),40283.7055555555)</f>
        <v>40283.705555555498</v>
      </c>
      <c r="N72" s="111">
        <f ca="1">IFERROR(__xludf.DUMMYFUNCTION("""COMPUTED_VALUE"""),11.59)</f>
        <v>11.59</v>
      </c>
      <c r="O72" s="112">
        <f ca="1">IFERROR(__xludf.DUMMYFUNCTION("""COMPUTED_VALUE"""),40287.7055555555)</f>
        <v>40287.705555555498</v>
      </c>
      <c r="P72" s="111">
        <f ca="1">IFERROR(__xludf.DUMMYFUNCTION("""COMPUTED_VALUE"""),57.5)</f>
        <v>57.5</v>
      </c>
      <c r="Q72" s="112">
        <f ca="1">IFERROR(__xludf.DUMMYFUNCTION("""COMPUTED_VALUE"""),40287.7055555555)</f>
        <v>40287.705555555498</v>
      </c>
      <c r="R72" s="111">
        <f ca="1">IFERROR(__xludf.DUMMYFUNCTION("""COMPUTED_VALUE"""),30.15)</f>
        <v>30.15</v>
      </c>
      <c r="S72" s="112">
        <f ca="1">IFERROR(__xludf.DUMMYFUNCTION("""COMPUTED_VALUE"""),40287.7055555555)</f>
        <v>40287.705555555498</v>
      </c>
      <c r="T72" s="111">
        <f ca="1">IFERROR(__xludf.DUMMYFUNCTION("""COMPUTED_VALUE"""),6.12)</f>
        <v>6.12</v>
      </c>
    </row>
    <row r="73" spans="1:20" x14ac:dyDescent="0.3">
      <c r="A73" s="112">
        <f ca="1">IFERROR(__xludf.DUMMYFUNCTION("""COMPUTED_VALUE"""),40288.7055555555)</f>
        <v>40288.705555555498</v>
      </c>
      <c r="B73" s="111">
        <f ca="1">IFERROR(__xludf.DUMMYFUNCTION("""COMPUTED_VALUE"""),25.11)</f>
        <v>25.11</v>
      </c>
      <c r="C73" s="112">
        <f ca="1">IFERROR(__xludf.DUMMYFUNCTION("""COMPUTED_VALUE"""),40288.7055555555)</f>
        <v>40288.705555555498</v>
      </c>
      <c r="D73" s="111">
        <f ca="1">IFERROR(__xludf.DUMMYFUNCTION("""COMPUTED_VALUE"""),19.16)</f>
        <v>19.16</v>
      </c>
      <c r="E73" s="112">
        <f ca="1">IFERROR(__xludf.DUMMYFUNCTION("""COMPUTED_VALUE"""),40288.7055555555)</f>
        <v>40288.705555555498</v>
      </c>
      <c r="F73" s="111">
        <f ca="1">IFERROR(__xludf.DUMMYFUNCTION("""COMPUTED_VALUE"""),7.92)</f>
        <v>7.92</v>
      </c>
      <c r="G73" s="112">
        <f ca="1">IFERROR(__xludf.DUMMYFUNCTION("""COMPUTED_VALUE"""),40288.7055555555)</f>
        <v>40288.705555555498</v>
      </c>
      <c r="H73" s="111">
        <f ca="1">IFERROR(__xludf.DUMMYFUNCTION("""COMPUTED_VALUE"""),34.3)</f>
        <v>34.299999999999997</v>
      </c>
      <c r="I73" s="112">
        <f ca="1">IFERROR(__xludf.DUMMYFUNCTION("""COMPUTED_VALUE"""),44643.7055555555)</f>
        <v>44643.705555555498</v>
      </c>
      <c r="J73" s="111">
        <f ca="1">IFERROR(__xludf.DUMMYFUNCTION("""COMPUTED_VALUE"""),6.37)</f>
        <v>6.37</v>
      </c>
      <c r="K73" s="112">
        <f ca="1">IFERROR(__xludf.DUMMYFUNCTION("""COMPUTED_VALUE"""),40774.7055555555)</f>
        <v>40774.705555555498</v>
      </c>
      <c r="L73" s="111">
        <f ca="1">IFERROR(__xludf.DUMMYFUNCTION("""COMPUTED_VALUE"""),0.4)</f>
        <v>0.4</v>
      </c>
      <c r="M73" s="112">
        <f ca="1">IFERROR(__xludf.DUMMYFUNCTION("""COMPUTED_VALUE"""),40284.7055555555)</f>
        <v>40284.705555555498</v>
      </c>
      <c r="N73" s="111">
        <f ca="1">IFERROR(__xludf.DUMMYFUNCTION("""COMPUTED_VALUE"""),11.35)</f>
        <v>11.35</v>
      </c>
      <c r="O73" s="112">
        <f ca="1">IFERROR(__xludf.DUMMYFUNCTION("""COMPUTED_VALUE"""),40288.7055555555)</f>
        <v>40288.705555555498</v>
      </c>
      <c r="P73" s="111">
        <f ca="1">IFERROR(__xludf.DUMMYFUNCTION("""COMPUTED_VALUE"""),56.7)</f>
        <v>56.7</v>
      </c>
      <c r="Q73" s="112">
        <f ca="1">IFERROR(__xludf.DUMMYFUNCTION("""COMPUTED_VALUE"""),40288.7055555555)</f>
        <v>40288.705555555498</v>
      </c>
      <c r="R73" s="111">
        <f ca="1">IFERROR(__xludf.DUMMYFUNCTION("""COMPUTED_VALUE"""),29.94)</f>
        <v>29.94</v>
      </c>
      <c r="S73" s="112">
        <f ca="1">IFERROR(__xludf.DUMMYFUNCTION("""COMPUTED_VALUE"""),40288.7055555555)</f>
        <v>40288.705555555498</v>
      </c>
      <c r="T73" s="111">
        <f ca="1">IFERROR(__xludf.DUMMYFUNCTION("""COMPUTED_VALUE"""),6.21)</f>
        <v>6.21</v>
      </c>
    </row>
    <row r="74" spans="1:20" x14ac:dyDescent="0.3">
      <c r="A74" s="112">
        <f ca="1">IFERROR(__xludf.DUMMYFUNCTION("""COMPUTED_VALUE"""),40290.7055555555)</f>
        <v>40290.705555555498</v>
      </c>
      <c r="B74" s="111">
        <f ca="1">IFERROR(__xludf.DUMMYFUNCTION("""COMPUTED_VALUE"""),25.23)</f>
        <v>25.23</v>
      </c>
      <c r="C74" s="112">
        <f ca="1">IFERROR(__xludf.DUMMYFUNCTION("""COMPUTED_VALUE"""),40290.7055555555)</f>
        <v>40290.705555555498</v>
      </c>
      <c r="D74" s="111">
        <f ca="1">IFERROR(__xludf.DUMMYFUNCTION("""COMPUTED_VALUE"""),18.98)</f>
        <v>18.98</v>
      </c>
      <c r="E74" s="112">
        <f ca="1">IFERROR(__xludf.DUMMYFUNCTION("""COMPUTED_VALUE"""),40290.7055555555)</f>
        <v>40290.705555555498</v>
      </c>
      <c r="F74" s="111">
        <f ca="1">IFERROR(__xludf.DUMMYFUNCTION("""COMPUTED_VALUE"""),7.86)</f>
        <v>7.86</v>
      </c>
      <c r="G74" s="112">
        <f ca="1">IFERROR(__xludf.DUMMYFUNCTION("""COMPUTED_VALUE"""),40290.7055555555)</f>
        <v>40290.705555555498</v>
      </c>
      <c r="H74" s="111">
        <f ca="1">IFERROR(__xludf.DUMMYFUNCTION("""COMPUTED_VALUE"""),33.86)</f>
        <v>33.86</v>
      </c>
      <c r="I74" s="112">
        <f ca="1">IFERROR(__xludf.DUMMYFUNCTION("""COMPUTED_VALUE"""),44644.7055555555)</f>
        <v>44644.705555555498</v>
      </c>
      <c r="J74" s="111">
        <f ca="1">IFERROR(__xludf.DUMMYFUNCTION("""COMPUTED_VALUE"""),6.51)</f>
        <v>6.51</v>
      </c>
      <c r="K74" s="112">
        <f ca="1">IFERROR(__xludf.DUMMYFUNCTION("""COMPUTED_VALUE"""),40777.7055555555)</f>
        <v>40777.705555555498</v>
      </c>
      <c r="L74" s="111">
        <f ca="1">IFERROR(__xludf.DUMMYFUNCTION("""COMPUTED_VALUE"""),0.4)</f>
        <v>0.4</v>
      </c>
      <c r="M74" s="112">
        <f ca="1">IFERROR(__xludf.DUMMYFUNCTION("""COMPUTED_VALUE"""),40287.7055555555)</f>
        <v>40287.705555555498</v>
      </c>
      <c r="N74" s="111">
        <f ca="1">IFERROR(__xludf.DUMMYFUNCTION("""COMPUTED_VALUE"""),11.25)</f>
        <v>11.25</v>
      </c>
      <c r="O74" s="112">
        <f ca="1">IFERROR(__xludf.DUMMYFUNCTION("""COMPUTED_VALUE"""),40290.7055555555)</f>
        <v>40290.705555555498</v>
      </c>
      <c r="P74" s="111">
        <f ca="1">IFERROR(__xludf.DUMMYFUNCTION("""COMPUTED_VALUE"""),56.9)</f>
        <v>56.9</v>
      </c>
      <c r="Q74" s="112">
        <f ca="1">IFERROR(__xludf.DUMMYFUNCTION("""COMPUTED_VALUE"""),40290.7055555555)</f>
        <v>40290.705555555498</v>
      </c>
      <c r="R74" s="111">
        <f ca="1">IFERROR(__xludf.DUMMYFUNCTION("""COMPUTED_VALUE"""),29.67)</f>
        <v>29.67</v>
      </c>
      <c r="S74" s="112">
        <f ca="1">IFERROR(__xludf.DUMMYFUNCTION("""COMPUTED_VALUE"""),40290.7055555555)</f>
        <v>40290.705555555498</v>
      </c>
      <c r="T74" s="111">
        <f ca="1">IFERROR(__xludf.DUMMYFUNCTION("""COMPUTED_VALUE"""),6.34)</f>
        <v>6.34</v>
      </c>
    </row>
    <row r="75" spans="1:20" x14ac:dyDescent="0.3">
      <c r="A75" s="112">
        <f ca="1">IFERROR(__xludf.DUMMYFUNCTION("""COMPUTED_VALUE"""),40291.7055555555)</f>
        <v>40291.705555555498</v>
      </c>
      <c r="B75" s="111">
        <f ca="1">IFERROR(__xludf.DUMMYFUNCTION("""COMPUTED_VALUE"""),25.47)</f>
        <v>25.47</v>
      </c>
      <c r="C75" s="112">
        <f ca="1">IFERROR(__xludf.DUMMYFUNCTION("""COMPUTED_VALUE"""),40291.7055555555)</f>
        <v>40291.705555555498</v>
      </c>
      <c r="D75" s="111">
        <f ca="1">IFERROR(__xludf.DUMMYFUNCTION("""COMPUTED_VALUE"""),19.01)</f>
        <v>19.010000000000002</v>
      </c>
      <c r="E75" s="112">
        <f ca="1">IFERROR(__xludf.DUMMYFUNCTION("""COMPUTED_VALUE"""),40291.7055555555)</f>
        <v>40291.705555555498</v>
      </c>
      <c r="F75" s="111">
        <f ca="1">IFERROR(__xludf.DUMMYFUNCTION("""COMPUTED_VALUE"""),7.87)</f>
        <v>7.87</v>
      </c>
      <c r="G75" s="112">
        <f ca="1">IFERROR(__xludf.DUMMYFUNCTION("""COMPUTED_VALUE"""),40291.7055555555)</f>
        <v>40291.705555555498</v>
      </c>
      <c r="H75" s="111">
        <f ca="1">IFERROR(__xludf.DUMMYFUNCTION("""COMPUTED_VALUE"""),34)</f>
        <v>34</v>
      </c>
      <c r="I75" s="112">
        <f ca="1">IFERROR(__xludf.DUMMYFUNCTION("""COMPUTED_VALUE"""),44645.7055555555)</f>
        <v>44645.705555555498</v>
      </c>
      <c r="J75" s="111">
        <f ca="1">IFERROR(__xludf.DUMMYFUNCTION("""COMPUTED_VALUE"""),6.27)</f>
        <v>6.27</v>
      </c>
      <c r="K75" s="112">
        <f ca="1">IFERROR(__xludf.DUMMYFUNCTION("""COMPUTED_VALUE"""),40778.7055555555)</f>
        <v>40778.705555555498</v>
      </c>
      <c r="L75" s="111">
        <f ca="1">IFERROR(__xludf.DUMMYFUNCTION("""COMPUTED_VALUE"""),0.4)</f>
        <v>0.4</v>
      </c>
      <c r="M75" s="112">
        <f ca="1">IFERROR(__xludf.DUMMYFUNCTION("""COMPUTED_VALUE"""),40288.7055555555)</f>
        <v>40288.705555555498</v>
      </c>
      <c r="N75" s="111">
        <f ca="1">IFERROR(__xludf.DUMMYFUNCTION("""COMPUTED_VALUE"""),11.32)</f>
        <v>11.32</v>
      </c>
      <c r="O75" s="112">
        <f ca="1">IFERROR(__xludf.DUMMYFUNCTION("""COMPUTED_VALUE"""),40291.7055555555)</f>
        <v>40291.705555555498</v>
      </c>
      <c r="P75" s="111">
        <f ca="1">IFERROR(__xludf.DUMMYFUNCTION("""COMPUTED_VALUE"""),56.4)</f>
        <v>56.4</v>
      </c>
      <c r="Q75" s="112">
        <f ca="1">IFERROR(__xludf.DUMMYFUNCTION("""COMPUTED_VALUE"""),40291.7055555555)</f>
        <v>40291.705555555498</v>
      </c>
      <c r="R75" s="111">
        <f ca="1">IFERROR(__xludf.DUMMYFUNCTION("""COMPUTED_VALUE"""),29.85)</f>
        <v>29.85</v>
      </c>
      <c r="S75" s="112">
        <f ca="1">IFERROR(__xludf.DUMMYFUNCTION("""COMPUTED_VALUE"""),40291.7055555555)</f>
        <v>40291.705555555498</v>
      </c>
      <c r="T75" s="111">
        <f ca="1">IFERROR(__xludf.DUMMYFUNCTION("""COMPUTED_VALUE"""),6.16)</f>
        <v>6.16</v>
      </c>
    </row>
    <row r="76" spans="1:20" x14ac:dyDescent="0.3">
      <c r="A76" s="112">
        <f ca="1">IFERROR(__xludf.DUMMYFUNCTION("""COMPUTED_VALUE"""),40294.7055555555)</f>
        <v>40294.705555555498</v>
      </c>
      <c r="B76" s="111">
        <f ca="1">IFERROR(__xludf.DUMMYFUNCTION("""COMPUTED_VALUE"""),24.97)</f>
        <v>24.97</v>
      </c>
      <c r="C76" s="112">
        <f ca="1">IFERROR(__xludf.DUMMYFUNCTION("""COMPUTED_VALUE"""),40294.7055555555)</f>
        <v>40294.705555555498</v>
      </c>
      <c r="D76" s="111">
        <f ca="1">IFERROR(__xludf.DUMMYFUNCTION("""COMPUTED_VALUE"""),18.76)</f>
        <v>18.760000000000002</v>
      </c>
      <c r="E76" s="112">
        <f ca="1">IFERROR(__xludf.DUMMYFUNCTION("""COMPUTED_VALUE"""),40294.7055555555)</f>
        <v>40294.705555555498</v>
      </c>
      <c r="F76" s="111">
        <f ca="1">IFERROR(__xludf.DUMMYFUNCTION("""COMPUTED_VALUE"""),7.73)</f>
        <v>7.73</v>
      </c>
      <c r="G76" s="112">
        <f ca="1">IFERROR(__xludf.DUMMYFUNCTION("""COMPUTED_VALUE"""),40294.7055555555)</f>
        <v>40294.705555555498</v>
      </c>
      <c r="H76" s="111">
        <f ca="1">IFERROR(__xludf.DUMMYFUNCTION("""COMPUTED_VALUE"""),33.31)</f>
        <v>33.31</v>
      </c>
      <c r="I76" s="112">
        <f ca="1">IFERROR(__xludf.DUMMYFUNCTION("""COMPUTED_VALUE"""),44648.7055555555)</f>
        <v>44648.705555555498</v>
      </c>
      <c r="J76" s="111">
        <f ca="1">IFERROR(__xludf.DUMMYFUNCTION("""COMPUTED_VALUE"""),6.31)</f>
        <v>6.31</v>
      </c>
      <c r="K76" s="112">
        <f ca="1">IFERROR(__xludf.DUMMYFUNCTION("""COMPUTED_VALUE"""),40779.7055555555)</f>
        <v>40779.705555555498</v>
      </c>
      <c r="L76" s="111">
        <f ca="1">IFERROR(__xludf.DUMMYFUNCTION("""COMPUTED_VALUE"""),0.39)</f>
        <v>0.39</v>
      </c>
      <c r="M76" s="112">
        <f ca="1">IFERROR(__xludf.DUMMYFUNCTION("""COMPUTED_VALUE"""),40290.7055555555)</f>
        <v>40290.705555555498</v>
      </c>
      <c r="N76" s="111">
        <f ca="1">IFERROR(__xludf.DUMMYFUNCTION("""COMPUTED_VALUE"""),11.32)</f>
        <v>11.32</v>
      </c>
      <c r="O76" s="112">
        <f ca="1">IFERROR(__xludf.DUMMYFUNCTION("""COMPUTED_VALUE"""),40294.7055555555)</f>
        <v>40294.705555555498</v>
      </c>
      <c r="P76" s="111">
        <f ca="1">IFERROR(__xludf.DUMMYFUNCTION("""COMPUTED_VALUE"""),56.17)</f>
        <v>56.17</v>
      </c>
      <c r="Q76" s="112">
        <f ca="1">IFERROR(__xludf.DUMMYFUNCTION("""COMPUTED_VALUE"""),40294.7055555555)</f>
        <v>40294.705555555498</v>
      </c>
      <c r="R76" s="111">
        <f ca="1">IFERROR(__xludf.DUMMYFUNCTION("""COMPUTED_VALUE"""),29.82)</f>
        <v>29.82</v>
      </c>
      <c r="S76" s="112">
        <f ca="1">IFERROR(__xludf.DUMMYFUNCTION("""COMPUTED_VALUE"""),40294.7055555555)</f>
        <v>40294.705555555498</v>
      </c>
      <c r="T76" s="111">
        <f ca="1">IFERROR(__xludf.DUMMYFUNCTION("""COMPUTED_VALUE"""),6.09)</f>
        <v>6.09</v>
      </c>
    </row>
    <row r="77" spans="1:20" x14ac:dyDescent="0.3">
      <c r="A77" s="112">
        <f ca="1">IFERROR(__xludf.DUMMYFUNCTION("""COMPUTED_VALUE"""),40295.7055555555)</f>
        <v>40295.705555555498</v>
      </c>
      <c r="B77" s="111">
        <f ca="1">IFERROR(__xludf.DUMMYFUNCTION("""COMPUTED_VALUE"""),24.56)</f>
        <v>24.56</v>
      </c>
      <c r="C77" s="112">
        <f ca="1">IFERROR(__xludf.DUMMYFUNCTION("""COMPUTED_VALUE"""),40295.7055555555)</f>
        <v>40295.705555555498</v>
      </c>
      <c r="D77" s="111">
        <f ca="1">IFERROR(__xludf.DUMMYFUNCTION("""COMPUTED_VALUE"""),18.14)</f>
        <v>18.14</v>
      </c>
      <c r="E77" s="112">
        <f ca="1">IFERROR(__xludf.DUMMYFUNCTION("""COMPUTED_VALUE"""),40295.7055555555)</f>
        <v>40295.705555555498</v>
      </c>
      <c r="F77" s="111">
        <f ca="1">IFERROR(__xludf.DUMMYFUNCTION("""COMPUTED_VALUE"""),7.49)</f>
        <v>7.49</v>
      </c>
      <c r="G77" s="112">
        <f ca="1">IFERROR(__xludf.DUMMYFUNCTION("""COMPUTED_VALUE"""),40295.7055555555)</f>
        <v>40295.705555555498</v>
      </c>
      <c r="H77" s="111">
        <f ca="1">IFERROR(__xludf.DUMMYFUNCTION("""COMPUTED_VALUE"""),32.1)</f>
        <v>32.1</v>
      </c>
      <c r="I77" s="112">
        <f ca="1">IFERROR(__xludf.DUMMYFUNCTION("""COMPUTED_VALUE"""),44649.7055555555)</f>
        <v>44649.705555555498</v>
      </c>
      <c r="J77" s="111">
        <f ca="1">IFERROR(__xludf.DUMMYFUNCTION("""COMPUTED_VALUE"""),6.52)</f>
        <v>6.52</v>
      </c>
      <c r="K77" s="112">
        <f ca="1">IFERROR(__xludf.DUMMYFUNCTION("""COMPUTED_VALUE"""),40780.7055555555)</f>
        <v>40780.705555555498</v>
      </c>
      <c r="L77" s="111">
        <f ca="1">IFERROR(__xludf.DUMMYFUNCTION("""COMPUTED_VALUE"""),0.38)</f>
        <v>0.38</v>
      </c>
      <c r="M77" s="112">
        <f ca="1">IFERROR(__xludf.DUMMYFUNCTION("""COMPUTED_VALUE"""),40291.7055555555)</f>
        <v>40291.705555555498</v>
      </c>
      <c r="N77" s="111">
        <f ca="1">IFERROR(__xludf.DUMMYFUNCTION("""COMPUTED_VALUE"""),11.25)</f>
        <v>11.25</v>
      </c>
      <c r="O77" s="112">
        <f ca="1">IFERROR(__xludf.DUMMYFUNCTION("""COMPUTED_VALUE"""),40295.7055555555)</f>
        <v>40295.705555555498</v>
      </c>
      <c r="P77" s="111">
        <f ca="1">IFERROR(__xludf.DUMMYFUNCTION("""COMPUTED_VALUE"""),53.31)</f>
        <v>53.31</v>
      </c>
      <c r="Q77" s="112">
        <f ca="1">IFERROR(__xludf.DUMMYFUNCTION("""COMPUTED_VALUE"""),40295.7055555555)</f>
        <v>40295.705555555498</v>
      </c>
      <c r="R77" s="111">
        <f ca="1">IFERROR(__xludf.DUMMYFUNCTION("""COMPUTED_VALUE"""),28.85)</f>
        <v>28.85</v>
      </c>
      <c r="S77" s="112">
        <f ca="1">IFERROR(__xludf.DUMMYFUNCTION("""COMPUTED_VALUE"""),40295.7055555555)</f>
        <v>40295.705555555498</v>
      </c>
      <c r="T77" s="111">
        <f ca="1">IFERROR(__xludf.DUMMYFUNCTION("""COMPUTED_VALUE"""),5.86)</f>
        <v>5.86</v>
      </c>
    </row>
    <row r="78" spans="1:20" x14ac:dyDescent="0.3">
      <c r="A78" s="112">
        <f ca="1">IFERROR(__xludf.DUMMYFUNCTION("""COMPUTED_VALUE"""),40296.7055555555)</f>
        <v>40296.705555555498</v>
      </c>
      <c r="B78" s="111">
        <f ca="1">IFERROR(__xludf.DUMMYFUNCTION("""COMPUTED_VALUE"""),24.56)</f>
        <v>24.56</v>
      </c>
      <c r="C78" s="112">
        <f ca="1">IFERROR(__xludf.DUMMYFUNCTION("""COMPUTED_VALUE"""),40296.7055555555)</f>
        <v>40296.705555555498</v>
      </c>
      <c r="D78" s="111">
        <f ca="1">IFERROR(__xludf.DUMMYFUNCTION("""COMPUTED_VALUE"""),18.6)</f>
        <v>18.600000000000001</v>
      </c>
      <c r="E78" s="112">
        <f ca="1">IFERROR(__xludf.DUMMYFUNCTION("""COMPUTED_VALUE"""),40296.7055555555)</f>
        <v>40296.705555555498</v>
      </c>
      <c r="F78" s="111">
        <f ca="1">IFERROR(__xludf.DUMMYFUNCTION("""COMPUTED_VALUE"""),7.71)</f>
        <v>7.71</v>
      </c>
      <c r="G78" s="112">
        <f ca="1">IFERROR(__xludf.DUMMYFUNCTION("""COMPUTED_VALUE"""),40296.7055555555)</f>
        <v>40296.705555555498</v>
      </c>
      <c r="H78" s="111">
        <f ca="1">IFERROR(__xludf.DUMMYFUNCTION("""COMPUTED_VALUE"""),32.39)</f>
        <v>32.39</v>
      </c>
      <c r="I78" s="112">
        <f ca="1">IFERROR(__xludf.DUMMYFUNCTION("""COMPUTED_VALUE"""),44650.7055555555)</f>
        <v>44650.705555555498</v>
      </c>
      <c r="J78" s="111">
        <f ca="1">IFERROR(__xludf.DUMMYFUNCTION("""COMPUTED_VALUE"""),6.41)</f>
        <v>6.41</v>
      </c>
      <c r="K78" s="112">
        <f ca="1">IFERROR(__xludf.DUMMYFUNCTION("""COMPUTED_VALUE"""),40781.7055555555)</f>
        <v>40781.705555555498</v>
      </c>
      <c r="L78" s="111">
        <f ca="1">IFERROR(__xludf.DUMMYFUNCTION("""COMPUTED_VALUE"""),0.37)</f>
        <v>0.37</v>
      </c>
      <c r="M78" s="112">
        <f ca="1">IFERROR(__xludf.DUMMYFUNCTION("""COMPUTED_VALUE"""),40294.7055555555)</f>
        <v>40294.705555555498</v>
      </c>
      <c r="N78" s="111">
        <f ca="1">IFERROR(__xludf.DUMMYFUNCTION("""COMPUTED_VALUE"""),11.09)</f>
        <v>11.09</v>
      </c>
      <c r="O78" s="112">
        <f ca="1">IFERROR(__xludf.DUMMYFUNCTION("""COMPUTED_VALUE"""),40296.7055555555)</f>
        <v>40296.705555555498</v>
      </c>
      <c r="P78" s="111">
        <f ca="1">IFERROR(__xludf.DUMMYFUNCTION("""COMPUTED_VALUE"""),52.95)</f>
        <v>52.95</v>
      </c>
      <c r="Q78" s="112">
        <f ca="1">IFERROR(__xludf.DUMMYFUNCTION("""COMPUTED_VALUE"""),40296.7055555555)</f>
        <v>40296.705555555498</v>
      </c>
      <c r="R78" s="111">
        <f ca="1">IFERROR(__xludf.DUMMYFUNCTION("""COMPUTED_VALUE"""),29.44)</f>
        <v>29.44</v>
      </c>
      <c r="S78" s="112">
        <f ca="1">IFERROR(__xludf.DUMMYFUNCTION("""COMPUTED_VALUE"""),40296.7055555555)</f>
        <v>40296.705555555498</v>
      </c>
      <c r="T78" s="111">
        <f ca="1">IFERROR(__xludf.DUMMYFUNCTION("""COMPUTED_VALUE"""),6.1)</f>
        <v>6.1</v>
      </c>
    </row>
    <row r="79" spans="1:20" x14ac:dyDescent="0.3">
      <c r="A79" s="112">
        <f ca="1">IFERROR(__xludf.DUMMYFUNCTION("""COMPUTED_VALUE"""),40297.7055555555)</f>
        <v>40297.705555555498</v>
      </c>
      <c r="B79" s="111">
        <f ca="1">IFERROR(__xludf.DUMMYFUNCTION("""COMPUTED_VALUE"""),24.62)</f>
        <v>24.62</v>
      </c>
      <c r="C79" s="112">
        <f ca="1">IFERROR(__xludf.DUMMYFUNCTION("""COMPUTED_VALUE"""),40297.7055555555)</f>
        <v>40297.705555555498</v>
      </c>
      <c r="D79" s="111">
        <f ca="1">IFERROR(__xludf.DUMMYFUNCTION("""COMPUTED_VALUE"""),18.93)</f>
        <v>18.93</v>
      </c>
      <c r="E79" s="112">
        <f ca="1">IFERROR(__xludf.DUMMYFUNCTION("""COMPUTED_VALUE"""),40297.7055555555)</f>
        <v>40297.705555555498</v>
      </c>
      <c r="F79" s="111">
        <f ca="1">IFERROR(__xludf.DUMMYFUNCTION("""COMPUTED_VALUE"""),7.84)</f>
        <v>7.84</v>
      </c>
      <c r="G79" s="112">
        <f ca="1">IFERROR(__xludf.DUMMYFUNCTION("""COMPUTED_VALUE"""),40297.7055555555)</f>
        <v>40297.705555555498</v>
      </c>
      <c r="H79" s="111">
        <f ca="1">IFERROR(__xludf.DUMMYFUNCTION("""COMPUTED_VALUE"""),33.02)</f>
        <v>33.020000000000003</v>
      </c>
      <c r="I79" s="112">
        <f ca="1">IFERROR(__xludf.DUMMYFUNCTION("""COMPUTED_VALUE"""),44651.7055555555)</f>
        <v>44651.705555555498</v>
      </c>
      <c r="J79" s="111">
        <f ca="1">IFERROR(__xludf.DUMMYFUNCTION("""COMPUTED_VALUE"""),6.17)</f>
        <v>6.17</v>
      </c>
      <c r="K79" s="112">
        <f ca="1">IFERROR(__xludf.DUMMYFUNCTION("""COMPUTED_VALUE"""),40784.7055555555)</f>
        <v>40784.705555555498</v>
      </c>
      <c r="L79" s="111">
        <f ca="1">IFERROR(__xludf.DUMMYFUNCTION("""COMPUTED_VALUE"""),0.38)</f>
        <v>0.38</v>
      </c>
      <c r="M79" s="112">
        <f ca="1">IFERROR(__xludf.DUMMYFUNCTION("""COMPUTED_VALUE"""),40295.7055555555)</f>
        <v>40295.705555555498</v>
      </c>
      <c r="N79" s="111">
        <f ca="1">IFERROR(__xludf.DUMMYFUNCTION("""COMPUTED_VALUE"""),10.91)</f>
        <v>10.91</v>
      </c>
      <c r="O79" s="112">
        <f ca="1">IFERROR(__xludf.DUMMYFUNCTION("""COMPUTED_VALUE"""),40297.7055555555)</f>
        <v>40297.705555555498</v>
      </c>
      <c r="P79" s="111">
        <f ca="1">IFERROR(__xludf.DUMMYFUNCTION("""COMPUTED_VALUE"""),54.4)</f>
        <v>54.4</v>
      </c>
      <c r="Q79" s="112">
        <f ca="1">IFERROR(__xludf.DUMMYFUNCTION("""COMPUTED_VALUE"""),40297.7055555555)</f>
        <v>40297.705555555498</v>
      </c>
      <c r="R79" s="111">
        <f ca="1">IFERROR(__xludf.DUMMYFUNCTION("""COMPUTED_VALUE"""),30)</f>
        <v>30</v>
      </c>
      <c r="S79" s="112">
        <f ca="1">IFERROR(__xludf.DUMMYFUNCTION("""COMPUTED_VALUE"""),40297.7055555555)</f>
        <v>40297.705555555498</v>
      </c>
      <c r="T79" s="111">
        <f ca="1">IFERROR(__xludf.DUMMYFUNCTION("""COMPUTED_VALUE"""),6.24)</f>
        <v>6.24</v>
      </c>
    </row>
    <row r="80" spans="1:20" x14ac:dyDescent="0.3">
      <c r="A80" s="112">
        <f ca="1">IFERROR(__xludf.DUMMYFUNCTION("""COMPUTED_VALUE"""),40298.7055555555)</f>
        <v>40298.705555555498</v>
      </c>
      <c r="B80" s="111">
        <f ca="1">IFERROR(__xludf.DUMMYFUNCTION("""COMPUTED_VALUE"""),24.43)</f>
        <v>24.43</v>
      </c>
      <c r="C80" s="112">
        <f ca="1">IFERROR(__xludf.DUMMYFUNCTION("""COMPUTED_VALUE"""),40298.7055555555)</f>
        <v>40298.705555555498</v>
      </c>
      <c r="D80" s="111">
        <f ca="1">IFERROR(__xludf.DUMMYFUNCTION("""COMPUTED_VALUE"""),18.88)</f>
        <v>18.88</v>
      </c>
      <c r="E80" s="112">
        <f ca="1">IFERROR(__xludf.DUMMYFUNCTION("""COMPUTED_VALUE"""),40298.7055555555)</f>
        <v>40298.705555555498</v>
      </c>
      <c r="F80" s="111">
        <f ca="1">IFERROR(__xludf.DUMMYFUNCTION("""COMPUTED_VALUE"""),7.8)</f>
        <v>7.8</v>
      </c>
      <c r="G80" s="112">
        <f ca="1">IFERROR(__xludf.DUMMYFUNCTION("""COMPUTED_VALUE"""),40298.7055555555)</f>
        <v>40298.705555555498</v>
      </c>
      <c r="H80" s="111">
        <f ca="1">IFERROR(__xludf.DUMMYFUNCTION("""COMPUTED_VALUE"""),32.8)</f>
        <v>32.799999999999997</v>
      </c>
      <c r="I80" s="112">
        <f ca="1">IFERROR(__xludf.DUMMYFUNCTION("""COMPUTED_VALUE"""),44652.7055555555)</f>
        <v>44652.705555555498</v>
      </c>
      <c r="J80" s="111">
        <f ca="1">IFERROR(__xludf.DUMMYFUNCTION("""COMPUTED_VALUE"""),6.35)</f>
        <v>6.35</v>
      </c>
      <c r="K80" s="112">
        <f ca="1">IFERROR(__xludf.DUMMYFUNCTION("""COMPUTED_VALUE"""),40785.7055555555)</f>
        <v>40785.705555555498</v>
      </c>
      <c r="L80" s="111">
        <f ca="1">IFERROR(__xludf.DUMMYFUNCTION("""COMPUTED_VALUE"""),0.39)</f>
        <v>0.39</v>
      </c>
      <c r="M80" s="112">
        <f ca="1">IFERROR(__xludf.DUMMYFUNCTION("""COMPUTED_VALUE"""),40296.7055555555)</f>
        <v>40296.705555555498</v>
      </c>
      <c r="N80" s="111">
        <f ca="1">IFERROR(__xludf.DUMMYFUNCTION("""COMPUTED_VALUE"""),11.11)</f>
        <v>11.11</v>
      </c>
      <c r="O80" s="112">
        <f ca="1">IFERROR(__xludf.DUMMYFUNCTION("""COMPUTED_VALUE"""),40298.7055555555)</f>
        <v>40298.705555555498</v>
      </c>
      <c r="P80" s="111">
        <f ca="1">IFERROR(__xludf.DUMMYFUNCTION("""COMPUTED_VALUE"""),53.1)</f>
        <v>53.1</v>
      </c>
      <c r="Q80" s="112">
        <f ca="1">IFERROR(__xludf.DUMMYFUNCTION("""COMPUTED_VALUE"""),40298.7055555555)</f>
        <v>40298.705555555498</v>
      </c>
      <c r="R80" s="111">
        <f ca="1">IFERROR(__xludf.DUMMYFUNCTION("""COMPUTED_VALUE"""),29.99)</f>
        <v>29.99</v>
      </c>
      <c r="S80" s="112">
        <f ca="1">IFERROR(__xludf.DUMMYFUNCTION("""COMPUTED_VALUE"""),40298.7055555555)</f>
        <v>40298.705555555498</v>
      </c>
      <c r="T80" s="111">
        <f ca="1">IFERROR(__xludf.DUMMYFUNCTION("""COMPUTED_VALUE"""),6.46)</f>
        <v>6.46</v>
      </c>
    </row>
    <row r="81" spans="1:20" x14ac:dyDescent="0.3">
      <c r="A81" s="112">
        <f ca="1">IFERROR(__xludf.DUMMYFUNCTION("""COMPUTED_VALUE"""),40302.7055555555)</f>
        <v>40302.705555555498</v>
      </c>
      <c r="B81" s="111">
        <f ca="1">IFERROR(__xludf.DUMMYFUNCTION("""COMPUTED_VALUE"""),22.94)</f>
        <v>22.94</v>
      </c>
      <c r="C81" s="112">
        <f ca="1">IFERROR(__xludf.DUMMYFUNCTION("""COMPUTED_VALUE"""),40302.7055555555)</f>
        <v>40302.705555555498</v>
      </c>
      <c r="D81" s="111">
        <f ca="1">IFERROR(__xludf.DUMMYFUNCTION("""COMPUTED_VALUE"""),18.43)</f>
        <v>18.43</v>
      </c>
      <c r="E81" s="112">
        <f ca="1">IFERROR(__xludf.DUMMYFUNCTION("""COMPUTED_VALUE"""),40302.7055555555)</f>
        <v>40302.705555555498</v>
      </c>
      <c r="F81" s="111">
        <f ca="1">IFERROR(__xludf.DUMMYFUNCTION("""COMPUTED_VALUE"""),7.58)</f>
        <v>7.58</v>
      </c>
      <c r="G81" s="112">
        <f ca="1">IFERROR(__xludf.DUMMYFUNCTION("""COMPUTED_VALUE"""),40302.7055555555)</f>
        <v>40302.705555555498</v>
      </c>
      <c r="H81" s="111">
        <f ca="1">IFERROR(__xludf.DUMMYFUNCTION("""COMPUTED_VALUE"""),30.44)</f>
        <v>30.44</v>
      </c>
      <c r="I81" s="112">
        <f ca="1">IFERROR(__xludf.DUMMYFUNCTION("""COMPUTED_VALUE"""),44655.7055555555)</f>
        <v>44655.705555555498</v>
      </c>
      <c r="J81" s="111">
        <f ca="1">IFERROR(__xludf.DUMMYFUNCTION("""COMPUTED_VALUE"""),6.23)</f>
        <v>6.23</v>
      </c>
      <c r="K81" s="112">
        <f ca="1">IFERROR(__xludf.DUMMYFUNCTION("""COMPUTED_VALUE"""),40786.7055555555)</f>
        <v>40786.705555555498</v>
      </c>
      <c r="L81" s="111">
        <f ca="1">IFERROR(__xludf.DUMMYFUNCTION("""COMPUTED_VALUE"""),0.4)</f>
        <v>0.4</v>
      </c>
      <c r="M81" s="112">
        <f ca="1">IFERROR(__xludf.DUMMYFUNCTION("""COMPUTED_VALUE"""),40297.7055555555)</f>
        <v>40297.705555555498</v>
      </c>
      <c r="N81" s="111">
        <f ca="1">IFERROR(__xludf.DUMMYFUNCTION("""COMPUTED_VALUE"""),11.33)</f>
        <v>11.33</v>
      </c>
      <c r="O81" s="112">
        <f ca="1">IFERROR(__xludf.DUMMYFUNCTION("""COMPUTED_VALUE"""),40302.7055555555)</f>
        <v>40302.705555555498</v>
      </c>
      <c r="P81" s="111">
        <f ca="1">IFERROR(__xludf.DUMMYFUNCTION("""COMPUTED_VALUE"""),49.36)</f>
        <v>49.36</v>
      </c>
      <c r="Q81" s="112">
        <f ca="1">IFERROR(__xludf.DUMMYFUNCTION("""COMPUTED_VALUE"""),40302.7055555555)</f>
        <v>40302.705555555498</v>
      </c>
      <c r="R81" s="111">
        <f ca="1">IFERROR(__xludf.DUMMYFUNCTION("""COMPUTED_VALUE"""),28.06)</f>
        <v>28.06</v>
      </c>
      <c r="S81" s="112">
        <f ca="1">IFERROR(__xludf.DUMMYFUNCTION("""COMPUTED_VALUE"""),40302.7055555555)</f>
        <v>40302.705555555498</v>
      </c>
      <c r="T81" s="111">
        <f ca="1">IFERROR(__xludf.DUMMYFUNCTION("""COMPUTED_VALUE"""),6.46)</f>
        <v>6.46</v>
      </c>
    </row>
    <row r="82" spans="1:20" x14ac:dyDescent="0.3">
      <c r="A82" s="112">
        <f ca="1">IFERROR(__xludf.DUMMYFUNCTION("""COMPUTED_VALUE"""),40303.7055555555)</f>
        <v>40303.705555555498</v>
      </c>
      <c r="B82" s="111">
        <f ca="1">IFERROR(__xludf.DUMMYFUNCTION("""COMPUTED_VALUE"""),22.38)</f>
        <v>22.38</v>
      </c>
      <c r="C82" s="112">
        <f ca="1">IFERROR(__xludf.DUMMYFUNCTION("""COMPUTED_VALUE"""),40303.7055555555)</f>
        <v>40303.705555555498</v>
      </c>
      <c r="D82" s="111">
        <f ca="1">IFERROR(__xludf.DUMMYFUNCTION("""COMPUTED_VALUE"""),18.37)</f>
        <v>18.37</v>
      </c>
      <c r="E82" s="112">
        <f ca="1">IFERROR(__xludf.DUMMYFUNCTION("""COMPUTED_VALUE"""),40303.7055555555)</f>
        <v>40303.705555555498</v>
      </c>
      <c r="F82" s="111">
        <f ca="1">IFERROR(__xludf.DUMMYFUNCTION("""COMPUTED_VALUE"""),7.51)</f>
        <v>7.51</v>
      </c>
      <c r="G82" s="112">
        <f ca="1">IFERROR(__xludf.DUMMYFUNCTION("""COMPUTED_VALUE"""),40303.7055555555)</f>
        <v>40303.705555555498</v>
      </c>
      <c r="H82" s="111">
        <f ca="1">IFERROR(__xludf.DUMMYFUNCTION("""COMPUTED_VALUE"""),30.21)</f>
        <v>30.21</v>
      </c>
      <c r="I82" s="112">
        <f ca="1">IFERROR(__xludf.DUMMYFUNCTION("""COMPUTED_VALUE"""),44656.7055555555)</f>
        <v>44656.705555555498</v>
      </c>
      <c r="J82" s="111">
        <f ca="1">IFERROR(__xludf.DUMMYFUNCTION("""COMPUTED_VALUE"""),6.14)</f>
        <v>6.14</v>
      </c>
      <c r="K82" s="112">
        <f ca="1">IFERROR(__xludf.DUMMYFUNCTION("""COMPUTED_VALUE"""),40787.7055555555)</f>
        <v>40787.705555555498</v>
      </c>
      <c r="L82" s="111">
        <f ca="1">IFERROR(__xludf.DUMMYFUNCTION("""COMPUTED_VALUE"""),0.44)</f>
        <v>0.44</v>
      </c>
      <c r="M82" s="112">
        <f ca="1">IFERROR(__xludf.DUMMYFUNCTION("""COMPUTED_VALUE"""),40298.7055555555)</f>
        <v>40298.705555555498</v>
      </c>
      <c r="N82" s="111">
        <f ca="1">IFERROR(__xludf.DUMMYFUNCTION("""COMPUTED_VALUE"""),11.29)</f>
        <v>11.29</v>
      </c>
      <c r="O82" s="112">
        <f ca="1">IFERROR(__xludf.DUMMYFUNCTION("""COMPUTED_VALUE"""),40303.7055555555)</f>
        <v>40303.705555555498</v>
      </c>
      <c r="P82" s="111">
        <f ca="1">IFERROR(__xludf.DUMMYFUNCTION("""COMPUTED_VALUE"""),50.59)</f>
        <v>50.59</v>
      </c>
      <c r="Q82" s="112">
        <f ca="1">IFERROR(__xludf.DUMMYFUNCTION("""COMPUTED_VALUE"""),40303.7055555555)</f>
        <v>40303.705555555498</v>
      </c>
      <c r="R82" s="111">
        <f ca="1">IFERROR(__xludf.DUMMYFUNCTION("""COMPUTED_VALUE"""),28.23)</f>
        <v>28.23</v>
      </c>
      <c r="S82" s="112">
        <f ca="1">IFERROR(__xludf.DUMMYFUNCTION("""COMPUTED_VALUE"""),40303.7055555555)</f>
        <v>40303.705555555498</v>
      </c>
      <c r="T82" s="111">
        <f ca="1">IFERROR(__xludf.DUMMYFUNCTION("""COMPUTED_VALUE"""),6.38)</f>
        <v>6.38</v>
      </c>
    </row>
    <row r="83" spans="1:20" x14ac:dyDescent="0.3">
      <c r="A83" s="112">
        <f ca="1">IFERROR(__xludf.DUMMYFUNCTION("""COMPUTED_VALUE"""),40304.7055555555)</f>
        <v>40304.705555555498</v>
      </c>
      <c r="B83" s="111">
        <f ca="1">IFERROR(__xludf.DUMMYFUNCTION("""COMPUTED_VALUE"""),21.86)</f>
        <v>21.86</v>
      </c>
      <c r="C83" s="112">
        <f ca="1">IFERROR(__xludf.DUMMYFUNCTION("""COMPUTED_VALUE"""),40304.7055555555)</f>
        <v>40304.705555555498</v>
      </c>
      <c r="D83" s="111">
        <f ca="1">IFERROR(__xludf.DUMMYFUNCTION("""COMPUTED_VALUE"""),18.15)</f>
        <v>18.149999999999999</v>
      </c>
      <c r="E83" s="112">
        <f ca="1">IFERROR(__xludf.DUMMYFUNCTION("""COMPUTED_VALUE"""),40304.7055555555)</f>
        <v>40304.705555555498</v>
      </c>
      <c r="F83" s="111">
        <f ca="1">IFERROR(__xludf.DUMMYFUNCTION("""COMPUTED_VALUE"""),7.43)</f>
        <v>7.43</v>
      </c>
      <c r="G83" s="112">
        <f ca="1">IFERROR(__xludf.DUMMYFUNCTION("""COMPUTED_VALUE"""),40304.7055555555)</f>
        <v>40304.705555555498</v>
      </c>
      <c r="H83" s="111">
        <f ca="1">IFERROR(__xludf.DUMMYFUNCTION("""COMPUTED_VALUE"""),29.81)</f>
        <v>29.81</v>
      </c>
      <c r="I83" s="112">
        <f ca="1">IFERROR(__xludf.DUMMYFUNCTION("""COMPUTED_VALUE"""),44657.7055555555)</f>
        <v>44657.705555555498</v>
      </c>
      <c r="J83" s="111">
        <f ca="1">IFERROR(__xludf.DUMMYFUNCTION("""COMPUTED_VALUE"""),5.95)</f>
        <v>5.95</v>
      </c>
      <c r="K83" s="112">
        <f ca="1">IFERROR(__xludf.DUMMYFUNCTION("""COMPUTED_VALUE"""),40788.7055555555)</f>
        <v>40788.705555555498</v>
      </c>
      <c r="L83" s="111">
        <f ca="1">IFERROR(__xludf.DUMMYFUNCTION("""COMPUTED_VALUE"""),0.44)</f>
        <v>0.44</v>
      </c>
      <c r="M83" s="112">
        <f ca="1">IFERROR(__xludf.DUMMYFUNCTION("""COMPUTED_VALUE"""),40301.7055555555)</f>
        <v>40301.705555555498</v>
      </c>
      <c r="N83" s="111">
        <f ca="1">IFERROR(__xludf.DUMMYFUNCTION("""COMPUTED_VALUE"""),11.24)</f>
        <v>11.24</v>
      </c>
      <c r="O83" s="112">
        <f ca="1">IFERROR(__xludf.DUMMYFUNCTION("""COMPUTED_VALUE"""),40304.7055555555)</f>
        <v>40304.705555555498</v>
      </c>
      <c r="P83" s="111">
        <f ca="1">IFERROR(__xludf.DUMMYFUNCTION("""COMPUTED_VALUE"""),49.87)</f>
        <v>49.87</v>
      </c>
      <c r="Q83" s="112">
        <f ca="1">IFERROR(__xludf.DUMMYFUNCTION("""COMPUTED_VALUE"""),40304.7055555555)</f>
        <v>40304.705555555498</v>
      </c>
      <c r="R83" s="111">
        <f ca="1">IFERROR(__xludf.DUMMYFUNCTION("""COMPUTED_VALUE"""),27.8)</f>
        <v>27.8</v>
      </c>
      <c r="S83" s="112">
        <f ca="1">IFERROR(__xludf.DUMMYFUNCTION("""COMPUTED_VALUE"""),40304.7055555555)</f>
        <v>40304.705555555498</v>
      </c>
      <c r="T83" s="111">
        <f ca="1">IFERROR(__xludf.DUMMYFUNCTION("""COMPUTED_VALUE"""),6.04)</f>
        <v>6.04</v>
      </c>
    </row>
    <row r="84" spans="1:20" x14ac:dyDescent="0.3">
      <c r="A84" s="112">
        <f ca="1">IFERROR(__xludf.DUMMYFUNCTION("""COMPUTED_VALUE"""),40305.7055555555)</f>
        <v>40305.705555555498</v>
      </c>
      <c r="B84" s="111">
        <f ca="1">IFERROR(__xludf.DUMMYFUNCTION("""COMPUTED_VALUE"""),22.34)</f>
        <v>22.34</v>
      </c>
      <c r="C84" s="112">
        <f ca="1">IFERROR(__xludf.DUMMYFUNCTION("""COMPUTED_VALUE"""),40305.7055555555)</f>
        <v>40305.705555555498</v>
      </c>
      <c r="D84" s="111">
        <f ca="1">IFERROR(__xludf.DUMMYFUNCTION("""COMPUTED_VALUE"""),18.1)</f>
        <v>18.100000000000001</v>
      </c>
      <c r="E84" s="112">
        <f ca="1">IFERROR(__xludf.DUMMYFUNCTION("""COMPUTED_VALUE"""),40305.7055555555)</f>
        <v>40305.705555555498</v>
      </c>
      <c r="F84" s="111">
        <f ca="1">IFERROR(__xludf.DUMMYFUNCTION("""COMPUTED_VALUE"""),7.46)</f>
        <v>7.46</v>
      </c>
      <c r="G84" s="112">
        <f ca="1">IFERROR(__xludf.DUMMYFUNCTION("""COMPUTED_VALUE"""),40305.7055555555)</f>
        <v>40305.705555555498</v>
      </c>
      <c r="H84" s="111">
        <f ca="1">IFERROR(__xludf.DUMMYFUNCTION("""COMPUTED_VALUE"""),29.75)</f>
        <v>29.75</v>
      </c>
      <c r="I84" s="112">
        <f ca="1">IFERROR(__xludf.DUMMYFUNCTION("""COMPUTED_VALUE"""),44658.7055555555)</f>
        <v>44658.705555555498</v>
      </c>
      <c r="J84" s="111">
        <f ca="1">IFERROR(__xludf.DUMMYFUNCTION("""COMPUTED_VALUE"""),5.84)</f>
        <v>5.84</v>
      </c>
      <c r="K84" s="112">
        <f ca="1">IFERROR(__xludf.DUMMYFUNCTION("""COMPUTED_VALUE"""),40791.7055555555)</f>
        <v>40791.705555555498</v>
      </c>
      <c r="L84" s="111">
        <f ca="1">IFERROR(__xludf.DUMMYFUNCTION("""COMPUTED_VALUE"""),0.44)</f>
        <v>0.44</v>
      </c>
      <c r="M84" s="112">
        <f ca="1">IFERROR(__xludf.DUMMYFUNCTION("""COMPUTED_VALUE"""),40302.7055555555)</f>
        <v>40302.705555555498</v>
      </c>
      <c r="N84" s="111">
        <f ca="1">IFERROR(__xludf.DUMMYFUNCTION("""COMPUTED_VALUE"""),10.95)</f>
        <v>10.95</v>
      </c>
      <c r="O84" s="112">
        <f ca="1">IFERROR(__xludf.DUMMYFUNCTION("""COMPUTED_VALUE"""),40305.7055555555)</f>
        <v>40305.705555555498</v>
      </c>
      <c r="P84" s="111">
        <f ca="1">IFERROR(__xludf.DUMMYFUNCTION("""COMPUTED_VALUE"""),49.7)</f>
        <v>49.7</v>
      </c>
      <c r="Q84" s="112">
        <f ca="1">IFERROR(__xludf.DUMMYFUNCTION("""COMPUTED_VALUE"""),40305.7055555555)</f>
        <v>40305.705555555498</v>
      </c>
      <c r="R84" s="111">
        <f ca="1">IFERROR(__xludf.DUMMYFUNCTION("""COMPUTED_VALUE"""),27.62)</f>
        <v>27.62</v>
      </c>
      <c r="S84" s="112">
        <f ca="1">IFERROR(__xludf.DUMMYFUNCTION("""COMPUTED_VALUE"""),40305.7055555555)</f>
        <v>40305.705555555498</v>
      </c>
      <c r="T84" s="111">
        <f ca="1">IFERROR(__xludf.DUMMYFUNCTION("""COMPUTED_VALUE"""),5.98)</f>
        <v>5.98</v>
      </c>
    </row>
    <row r="85" spans="1:20" x14ac:dyDescent="0.3">
      <c r="A85" s="112">
        <f ca="1">IFERROR(__xludf.DUMMYFUNCTION("""COMPUTED_VALUE"""),40308.7055555555)</f>
        <v>40308.705555555498</v>
      </c>
      <c r="B85" s="111">
        <f ca="1">IFERROR(__xludf.DUMMYFUNCTION("""COMPUTED_VALUE"""),23.04)</f>
        <v>23.04</v>
      </c>
      <c r="C85" s="112">
        <f ca="1">IFERROR(__xludf.DUMMYFUNCTION("""COMPUTED_VALUE"""),40308.7055555555)</f>
        <v>40308.705555555498</v>
      </c>
      <c r="D85" s="111">
        <f ca="1">IFERROR(__xludf.DUMMYFUNCTION("""COMPUTED_VALUE"""),18.88)</f>
        <v>18.88</v>
      </c>
      <c r="E85" s="112">
        <f ca="1">IFERROR(__xludf.DUMMYFUNCTION("""COMPUTED_VALUE"""),40308.7055555555)</f>
        <v>40308.705555555498</v>
      </c>
      <c r="F85" s="111">
        <f ca="1">IFERROR(__xludf.DUMMYFUNCTION("""COMPUTED_VALUE"""),7.71)</f>
        <v>7.71</v>
      </c>
      <c r="G85" s="112">
        <f ca="1">IFERROR(__xludf.DUMMYFUNCTION("""COMPUTED_VALUE"""),40308.7055555555)</f>
        <v>40308.705555555498</v>
      </c>
      <c r="H85" s="111">
        <f ca="1">IFERROR(__xludf.DUMMYFUNCTION("""COMPUTED_VALUE"""),30.15)</f>
        <v>30.15</v>
      </c>
      <c r="I85" s="112">
        <f ca="1">IFERROR(__xludf.DUMMYFUNCTION("""COMPUTED_VALUE"""),44659.7055555555)</f>
        <v>44659.705555555498</v>
      </c>
      <c r="J85" s="111">
        <f ca="1">IFERROR(__xludf.DUMMYFUNCTION("""COMPUTED_VALUE"""),5.76)</f>
        <v>5.76</v>
      </c>
      <c r="K85" s="112">
        <f ca="1">IFERROR(__xludf.DUMMYFUNCTION("""COMPUTED_VALUE"""),40792.7055555555)</f>
        <v>40792.705555555498</v>
      </c>
      <c r="L85" s="111">
        <f ca="1">IFERROR(__xludf.DUMMYFUNCTION("""COMPUTED_VALUE"""),0.46)</f>
        <v>0.46</v>
      </c>
      <c r="M85" s="112">
        <f ca="1">IFERROR(__xludf.DUMMYFUNCTION("""COMPUTED_VALUE"""),40303.7055555555)</f>
        <v>40303.705555555498</v>
      </c>
      <c r="N85" s="111">
        <f ca="1">IFERROR(__xludf.DUMMYFUNCTION("""COMPUTED_VALUE"""),10.99)</f>
        <v>10.99</v>
      </c>
      <c r="O85" s="112">
        <f ca="1">IFERROR(__xludf.DUMMYFUNCTION("""COMPUTED_VALUE"""),40308.7055555555)</f>
        <v>40308.705555555498</v>
      </c>
      <c r="P85" s="111">
        <f ca="1">IFERROR(__xludf.DUMMYFUNCTION("""COMPUTED_VALUE"""),51.81)</f>
        <v>51.81</v>
      </c>
      <c r="Q85" s="112">
        <f ca="1">IFERROR(__xludf.DUMMYFUNCTION("""COMPUTED_VALUE"""),40308.7055555555)</f>
        <v>40308.705555555498</v>
      </c>
      <c r="R85" s="111">
        <f ca="1">IFERROR(__xludf.DUMMYFUNCTION("""COMPUTED_VALUE"""),28.5)</f>
        <v>28.5</v>
      </c>
      <c r="S85" s="112">
        <f ca="1">IFERROR(__xludf.DUMMYFUNCTION("""COMPUTED_VALUE"""),40308.7055555555)</f>
        <v>40308.705555555498</v>
      </c>
      <c r="T85" s="111">
        <f ca="1">IFERROR(__xludf.DUMMYFUNCTION("""COMPUTED_VALUE"""),6.42)</f>
        <v>6.42</v>
      </c>
    </row>
    <row r="86" spans="1:20" x14ac:dyDescent="0.3">
      <c r="A86" s="112">
        <f ca="1">IFERROR(__xludf.DUMMYFUNCTION("""COMPUTED_VALUE"""),40309.7055555555)</f>
        <v>40309.705555555498</v>
      </c>
      <c r="B86" s="111">
        <f ca="1">IFERROR(__xludf.DUMMYFUNCTION("""COMPUTED_VALUE"""),22.93)</f>
        <v>22.93</v>
      </c>
      <c r="C86" s="112">
        <f ca="1">IFERROR(__xludf.DUMMYFUNCTION("""COMPUTED_VALUE"""),40309.7055555555)</f>
        <v>40309.705555555498</v>
      </c>
      <c r="D86" s="111">
        <f ca="1">IFERROR(__xludf.DUMMYFUNCTION("""COMPUTED_VALUE"""),18.62)</f>
        <v>18.62</v>
      </c>
      <c r="E86" s="112">
        <f ca="1">IFERROR(__xludf.DUMMYFUNCTION("""COMPUTED_VALUE"""),40309.7055555555)</f>
        <v>40309.705555555498</v>
      </c>
      <c r="F86" s="111">
        <f ca="1">IFERROR(__xludf.DUMMYFUNCTION("""COMPUTED_VALUE"""),7.69)</f>
        <v>7.69</v>
      </c>
      <c r="G86" s="112">
        <f ca="1">IFERROR(__xludf.DUMMYFUNCTION("""COMPUTED_VALUE"""),40309.7055555555)</f>
        <v>40309.705555555498</v>
      </c>
      <c r="H86" s="111">
        <f ca="1">IFERROR(__xludf.DUMMYFUNCTION("""COMPUTED_VALUE"""),29.62)</f>
        <v>29.62</v>
      </c>
      <c r="I86" s="112">
        <f ca="1">IFERROR(__xludf.DUMMYFUNCTION("""COMPUTED_VALUE"""),44662.7055555555)</f>
        <v>44662.705555555498</v>
      </c>
      <c r="J86" s="111">
        <f ca="1">IFERROR(__xludf.DUMMYFUNCTION("""COMPUTED_VALUE"""),5.78)</f>
        <v>5.78</v>
      </c>
      <c r="K86" s="112">
        <f ca="1">IFERROR(__xludf.DUMMYFUNCTION("""COMPUTED_VALUE"""),40794.7055555555)</f>
        <v>40794.705555555498</v>
      </c>
      <c r="L86" s="111">
        <f ca="1">IFERROR(__xludf.DUMMYFUNCTION("""COMPUTED_VALUE"""),0.46)</f>
        <v>0.46</v>
      </c>
      <c r="M86" s="112">
        <f ca="1">IFERROR(__xludf.DUMMYFUNCTION("""COMPUTED_VALUE"""),40304.7055555555)</f>
        <v>40304.705555555498</v>
      </c>
      <c r="N86" s="111">
        <f ca="1">IFERROR(__xludf.DUMMYFUNCTION("""COMPUTED_VALUE"""),11)</f>
        <v>11</v>
      </c>
      <c r="O86" s="112">
        <f ca="1">IFERROR(__xludf.DUMMYFUNCTION("""COMPUTED_VALUE"""),40309.7055555555)</f>
        <v>40309.705555555498</v>
      </c>
      <c r="P86" s="111">
        <f ca="1">IFERROR(__xludf.DUMMYFUNCTION("""COMPUTED_VALUE"""),51.31)</f>
        <v>51.31</v>
      </c>
      <c r="Q86" s="112">
        <f ca="1">IFERROR(__xludf.DUMMYFUNCTION("""COMPUTED_VALUE"""),40309.7055555555)</f>
        <v>40309.705555555498</v>
      </c>
      <c r="R86" s="111">
        <f ca="1">IFERROR(__xludf.DUMMYFUNCTION("""COMPUTED_VALUE"""),27.9)</f>
        <v>27.9</v>
      </c>
      <c r="S86" s="112">
        <f ca="1">IFERROR(__xludf.DUMMYFUNCTION("""COMPUTED_VALUE"""),40309.7055555555)</f>
        <v>40309.705555555498</v>
      </c>
      <c r="T86" s="111">
        <f ca="1">IFERROR(__xludf.DUMMYFUNCTION("""COMPUTED_VALUE"""),6.28)</f>
        <v>6.28</v>
      </c>
    </row>
    <row r="87" spans="1:20" x14ac:dyDescent="0.3">
      <c r="A87" s="112">
        <f ca="1">IFERROR(__xludf.DUMMYFUNCTION("""COMPUTED_VALUE"""),40310.7055555555)</f>
        <v>40310.705555555498</v>
      </c>
      <c r="B87" s="111">
        <f ca="1">IFERROR(__xludf.DUMMYFUNCTION("""COMPUTED_VALUE"""),23.15)</f>
        <v>23.15</v>
      </c>
      <c r="C87" s="112">
        <f ca="1">IFERROR(__xludf.DUMMYFUNCTION("""COMPUTED_VALUE"""),40310.7055555555)</f>
        <v>40310.705555555498</v>
      </c>
      <c r="D87" s="111">
        <f ca="1">IFERROR(__xludf.DUMMYFUNCTION("""COMPUTED_VALUE"""),18.58)</f>
        <v>18.579999999999998</v>
      </c>
      <c r="E87" s="112">
        <f ca="1">IFERROR(__xludf.DUMMYFUNCTION("""COMPUTED_VALUE"""),40310.7055555555)</f>
        <v>40310.705555555498</v>
      </c>
      <c r="F87" s="111">
        <f ca="1">IFERROR(__xludf.DUMMYFUNCTION("""COMPUTED_VALUE"""),7.71)</f>
        <v>7.71</v>
      </c>
      <c r="G87" s="112">
        <f ca="1">IFERROR(__xludf.DUMMYFUNCTION("""COMPUTED_VALUE"""),40310.7055555555)</f>
        <v>40310.705555555498</v>
      </c>
      <c r="H87" s="111">
        <f ca="1">IFERROR(__xludf.DUMMYFUNCTION("""COMPUTED_VALUE"""),29.9)</f>
        <v>29.9</v>
      </c>
      <c r="I87" s="112">
        <f ca="1">IFERROR(__xludf.DUMMYFUNCTION("""COMPUTED_VALUE"""),44663.7055555555)</f>
        <v>44663.705555555498</v>
      </c>
      <c r="J87" s="111">
        <f ca="1">IFERROR(__xludf.DUMMYFUNCTION("""COMPUTED_VALUE"""),5.52)</f>
        <v>5.52</v>
      </c>
      <c r="K87" s="112">
        <f ca="1">IFERROR(__xludf.DUMMYFUNCTION("""COMPUTED_VALUE"""),40795.7055555555)</f>
        <v>40795.705555555498</v>
      </c>
      <c r="L87" s="111">
        <f ca="1">IFERROR(__xludf.DUMMYFUNCTION("""COMPUTED_VALUE"""),0.45)</f>
        <v>0.45</v>
      </c>
      <c r="M87" s="112">
        <f ca="1">IFERROR(__xludf.DUMMYFUNCTION("""COMPUTED_VALUE"""),40305.7055555555)</f>
        <v>40305.705555555498</v>
      </c>
      <c r="N87" s="111">
        <f ca="1">IFERROR(__xludf.DUMMYFUNCTION("""COMPUTED_VALUE"""),10.89)</f>
        <v>10.89</v>
      </c>
      <c r="O87" s="112">
        <f ca="1">IFERROR(__xludf.DUMMYFUNCTION("""COMPUTED_VALUE"""),40310.7055555555)</f>
        <v>40310.705555555498</v>
      </c>
      <c r="P87" s="111">
        <f ca="1">IFERROR(__xludf.DUMMYFUNCTION("""COMPUTED_VALUE"""),51.13)</f>
        <v>51.13</v>
      </c>
      <c r="Q87" s="112">
        <f ca="1">IFERROR(__xludf.DUMMYFUNCTION("""COMPUTED_VALUE"""),40310.7055555555)</f>
        <v>40310.705555555498</v>
      </c>
      <c r="R87" s="111">
        <f ca="1">IFERROR(__xludf.DUMMYFUNCTION("""COMPUTED_VALUE"""),27.86)</f>
        <v>27.86</v>
      </c>
      <c r="S87" s="112">
        <f ca="1">IFERROR(__xludf.DUMMYFUNCTION("""COMPUTED_VALUE"""),40310.7055555555)</f>
        <v>40310.705555555498</v>
      </c>
      <c r="T87" s="111">
        <f ca="1">IFERROR(__xludf.DUMMYFUNCTION("""COMPUTED_VALUE"""),6.33)</f>
        <v>6.33</v>
      </c>
    </row>
    <row r="88" spans="1:20" x14ac:dyDescent="0.3">
      <c r="A88" s="112">
        <f ca="1">IFERROR(__xludf.DUMMYFUNCTION("""COMPUTED_VALUE"""),40311.7055555555)</f>
        <v>40311.705555555498</v>
      </c>
      <c r="B88" s="111">
        <f ca="1">IFERROR(__xludf.DUMMYFUNCTION("""COMPUTED_VALUE"""),23.19)</f>
        <v>23.19</v>
      </c>
      <c r="C88" s="112">
        <f ca="1">IFERROR(__xludf.DUMMYFUNCTION("""COMPUTED_VALUE"""),40311.7055555555)</f>
        <v>40311.705555555498</v>
      </c>
      <c r="D88" s="111">
        <f ca="1">IFERROR(__xludf.DUMMYFUNCTION("""COMPUTED_VALUE"""),18.31)</f>
        <v>18.309999999999999</v>
      </c>
      <c r="E88" s="112">
        <f ca="1">IFERROR(__xludf.DUMMYFUNCTION("""COMPUTED_VALUE"""),40311.7055555555)</f>
        <v>40311.705555555498</v>
      </c>
      <c r="F88" s="111">
        <f ca="1">IFERROR(__xludf.DUMMYFUNCTION("""COMPUTED_VALUE"""),7.55)</f>
        <v>7.55</v>
      </c>
      <c r="G88" s="112">
        <f ca="1">IFERROR(__xludf.DUMMYFUNCTION("""COMPUTED_VALUE"""),40311.7055555555)</f>
        <v>40311.705555555498</v>
      </c>
      <c r="H88" s="111">
        <f ca="1">IFERROR(__xludf.DUMMYFUNCTION("""COMPUTED_VALUE"""),30)</f>
        <v>30</v>
      </c>
      <c r="I88" s="112">
        <f ca="1">IFERROR(__xludf.DUMMYFUNCTION("""COMPUTED_VALUE"""),44664.7055555555)</f>
        <v>44664.705555555498</v>
      </c>
      <c r="J88" s="111">
        <f ca="1">IFERROR(__xludf.DUMMYFUNCTION("""COMPUTED_VALUE"""),5.63)</f>
        <v>5.63</v>
      </c>
      <c r="K88" s="112">
        <f ca="1">IFERROR(__xludf.DUMMYFUNCTION("""COMPUTED_VALUE"""),40798.7055555555)</f>
        <v>40798.705555555498</v>
      </c>
      <c r="L88" s="111">
        <f ca="1">IFERROR(__xludf.DUMMYFUNCTION("""COMPUTED_VALUE"""),0.45)</f>
        <v>0.45</v>
      </c>
      <c r="M88" s="112">
        <f ca="1">IFERROR(__xludf.DUMMYFUNCTION("""COMPUTED_VALUE"""),40308.7055555555)</f>
        <v>40308.705555555498</v>
      </c>
      <c r="N88" s="111">
        <f ca="1">IFERROR(__xludf.DUMMYFUNCTION("""COMPUTED_VALUE"""),11.24)</f>
        <v>11.24</v>
      </c>
      <c r="O88" s="112">
        <f ca="1">IFERROR(__xludf.DUMMYFUNCTION("""COMPUTED_VALUE"""),40311.7055555555)</f>
        <v>40311.705555555498</v>
      </c>
      <c r="P88" s="111">
        <f ca="1">IFERROR(__xludf.DUMMYFUNCTION("""COMPUTED_VALUE"""),50.39)</f>
        <v>50.39</v>
      </c>
      <c r="Q88" s="112">
        <f ca="1">IFERROR(__xludf.DUMMYFUNCTION("""COMPUTED_VALUE"""),40311.7055555555)</f>
        <v>40311.705555555498</v>
      </c>
      <c r="R88" s="111">
        <f ca="1">IFERROR(__xludf.DUMMYFUNCTION("""COMPUTED_VALUE"""),27.51)</f>
        <v>27.51</v>
      </c>
      <c r="S88" s="112">
        <f ca="1">IFERROR(__xludf.DUMMYFUNCTION("""COMPUTED_VALUE"""),40311.7055555555)</f>
        <v>40311.705555555498</v>
      </c>
      <c r="T88" s="111">
        <f ca="1">IFERROR(__xludf.DUMMYFUNCTION("""COMPUTED_VALUE"""),6.46)</f>
        <v>6.46</v>
      </c>
    </row>
    <row r="89" spans="1:20" x14ac:dyDescent="0.3">
      <c r="A89" s="112">
        <f ca="1">IFERROR(__xludf.DUMMYFUNCTION("""COMPUTED_VALUE"""),40312.7055555555)</f>
        <v>40312.705555555498</v>
      </c>
      <c r="B89" s="111">
        <f ca="1">IFERROR(__xludf.DUMMYFUNCTION("""COMPUTED_VALUE"""),22.65)</f>
        <v>22.65</v>
      </c>
      <c r="C89" s="112">
        <f ca="1">IFERROR(__xludf.DUMMYFUNCTION("""COMPUTED_VALUE"""),40312.7055555555)</f>
        <v>40312.705555555498</v>
      </c>
      <c r="D89" s="111">
        <f ca="1">IFERROR(__xludf.DUMMYFUNCTION("""COMPUTED_VALUE"""),18.01)</f>
        <v>18.010000000000002</v>
      </c>
      <c r="E89" s="112">
        <f ca="1">IFERROR(__xludf.DUMMYFUNCTION("""COMPUTED_VALUE"""),40312.7055555555)</f>
        <v>40312.705555555498</v>
      </c>
      <c r="F89" s="111">
        <f ca="1">IFERROR(__xludf.DUMMYFUNCTION("""COMPUTED_VALUE"""),7.44)</f>
        <v>7.44</v>
      </c>
      <c r="G89" s="112">
        <f ca="1">IFERROR(__xludf.DUMMYFUNCTION("""COMPUTED_VALUE"""),40312.7055555555)</f>
        <v>40312.705555555498</v>
      </c>
      <c r="H89" s="111">
        <f ca="1">IFERROR(__xludf.DUMMYFUNCTION("""COMPUTED_VALUE"""),30.09)</f>
        <v>30.09</v>
      </c>
      <c r="I89" s="112">
        <f ca="1">IFERROR(__xludf.DUMMYFUNCTION("""COMPUTED_VALUE"""),44665.7055555555)</f>
        <v>44665.705555555498</v>
      </c>
      <c r="J89" s="111">
        <f ca="1">IFERROR(__xludf.DUMMYFUNCTION("""COMPUTED_VALUE"""),5.54)</f>
        <v>5.54</v>
      </c>
      <c r="K89" s="112">
        <f ca="1">IFERROR(__xludf.DUMMYFUNCTION("""COMPUTED_VALUE"""),40799.7055555555)</f>
        <v>40799.705555555498</v>
      </c>
      <c r="L89" s="111">
        <f ca="1">IFERROR(__xludf.DUMMYFUNCTION("""COMPUTED_VALUE"""),0.45)</f>
        <v>0.45</v>
      </c>
      <c r="M89" s="112">
        <f ca="1">IFERROR(__xludf.DUMMYFUNCTION("""COMPUTED_VALUE"""),40309.7055555555)</f>
        <v>40309.705555555498</v>
      </c>
      <c r="N89" s="111">
        <f ca="1">IFERROR(__xludf.DUMMYFUNCTION("""COMPUTED_VALUE"""),11.13)</f>
        <v>11.13</v>
      </c>
      <c r="O89" s="112">
        <f ca="1">IFERROR(__xludf.DUMMYFUNCTION("""COMPUTED_VALUE"""),40312.7055555555)</f>
        <v>40312.705555555498</v>
      </c>
      <c r="P89" s="111">
        <f ca="1">IFERROR(__xludf.DUMMYFUNCTION("""COMPUTED_VALUE"""),48.9)</f>
        <v>48.9</v>
      </c>
      <c r="Q89" s="112">
        <f ca="1">IFERROR(__xludf.DUMMYFUNCTION("""COMPUTED_VALUE"""),40312.7055555555)</f>
        <v>40312.705555555498</v>
      </c>
      <c r="R89" s="111">
        <f ca="1">IFERROR(__xludf.DUMMYFUNCTION("""COMPUTED_VALUE"""),26.65)</f>
        <v>26.65</v>
      </c>
      <c r="S89" s="112">
        <f ca="1">IFERROR(__xludf.DUMMYFUNCTION("""COMPUTED_VALUE"""),40312.7055555555)</f>
        <v>40312.705555555498</v>
      </c>
      <c r="T89" s="111">
        <f ca="1">IFERROR(__xludf.DUMMYFUNCTION("""COMPUTED_VALUE"""),6.13)</f>
        <v>6.13</v>
      </c>
    </row>
    <row r="90" spans="1:20" x14ac:dyDescent="0.3">
      <c r="A90" s="112">
        <f ca="1">IFERROR(__xludf.DUMMYFUNCTION("""COMPUTED_VALUE"""),40315.7055555555)</f>
        <v>40315.705555555498</v>
      </c>
      <c r="B90" s="111">
        <f ca="1">IFERROR(__xludf.DUMMYFUNCTION("""COMPUTED_VALUE"""),22.75)</f>
        <v>22.75</v>
      </c>
      <c r="C90" s="112">
        <f ca="1">IFERROR(__xludf.DUMMYFUNCTION("""COMPUTED_VALUE"""),40315.7055555555)</f>
        <v>40315.705555555498</v>
      </c>
      <c r="D90" s="111">
        <f ca="1">IFERROR(__xludf.DUMMYFUNCTION("""COMPUTED_VALUE"""),17.98)</f>
        <v>17.98</v>
      </c>
      <c r="E90" s="112">
        <f ca="1">IFERROR(__xludf.DUMMYFUNCTION("""COMPUTED_VALUE"""),40315.7055555555)</f>
        <v>40315.705555555498</v>
      </c>
      <c r="F90" s="111">
        <f ca="1">IFERROR(__xludf.DUMMYFUNCTION("""COMPUTED_VALUE"""),7.53)</f>
        <v>7.53</v>
      </c>
      <c r="G90" s="112">
        <f ca="1">IFERROR(__xludf.DUMMYFUNCTION("""COMPUTED_VALUE"""),40315.7055555555)</f>
        <v>40315.705555555498</v>
      </c>
      <c r="H90" s="111">
        <f ca="1">IFERROR(__xludf.DUMMYFUNCTION("""COMPUTED_VALUE"""),29.85)</f>
        <v>29.85</v>
      </c>
      <c r="I90" s="112">
        <f ca="1">IFERROR(__xludf.DUMMYFUNCTION("""COMPUTED_VALUE"""),44669.7055555555)</f>
        <v>44669.705555555498</v>
      </c>
      <c r="J90" s="111">
        <f ca="1">IFERROR(__xludf.DUMMYFUNCTION("""COMPUTED_VALUE"""),5.45)</f>
        <v>5.45</v>
      </c>
      <c r="K90" s="112">
        <f ca="1">IFERROR(__xludf.DUMMYFUNCTION("""COMPUTED_VALUE"""),40800.7055555555)</f>
        <v>40800.705555555498</v>
      </c>
      <c r="L90" s="111">
        <f ca="1">IFERROR(__xludf.DUMMYFUNCTION("""COMPUTED_VALUE"""),0.44)</f>
        <v>0.44</v>
      </c>
      <c r="M90" s="112">
        <f ca="1">IFERROR(__xludf.DUMMYFUNCTION("""COMPUTED_VALUE"""),40310.7055555555)</f>
        <v>40310.705555555498</v>
      </c>
      <c r="N90" s="111">
        <f ca="1">IFERROR(__xludf.DUMMYFUNCTION("""COMPUTED_VALUE"""),11.25)</f>
        <v>11.25</v>
      </c>
      <c r="O90" s="112">
        <f ca="1">IFERROR(__xludf.DUMMYFUNCTION("""COMPUTED_VALUE"""),40315.7055555555)</f>
        <v>40315.705555555498</v>
      </c>
      <c r="P90" s="111">
        <f ca="1">IFERROR(__xludf.DUMMYFUNCTION("""COMPUTED_VALUE"""),48.14)</f>
        <v>48.14</v>
      </c>
      <c r="Q90" s="112">
        <f ca="1">IFERROR(__xludf.DUMMYFUNCTION("""COMPUTED_VALUE"""),40315.7055555555)</f>
        <v>40315.705555555498</v>
      </c>
      <c r="R90" s="111">
        <f ca="1">IFERROR(__xludf.DUMMYFUNCTION("""COMPUTED_VALUE"""),27.2)</f>
        <v>27.2</v>
      </c>
      <c r="S90" s="112">
        <f ca="1">IFERROR(__xludf.DUMMYFUNCTION("""COMPUTED_VALUE"""),40315.7055555555)</f>
        <v>40315.705555555498</v>
      </c>
      <c r="T90" s="111">
        <f ca="1">IFERROR(__xludf.DUMMYFUNCTION("""COMPUTED_VALUE"""),6.32)</f>
        <v>6.32</v>
      </c>
    </row>
    <row r="91" spans="1:20" x14ac:dyDescent="0.3">
      <c r="A91" s="112">
        <f ca="1">IFERROR(__xludf.DUMMYFUNCTION("""COMPUTED_VALUE"""),40316.7055555555)</f>
        <v>40316.705555555498</v>
      </c>
      <c r="B91" s="111">
        <f ca="1">IFERROR(__xludf.DUMMYFUNCTION("""COMPUTED_VALUE"""),21.94)</f>
        <v>21.94</v>
      </c>
      <c r="C91" s="112">
        <f ca="1">IFERROR(__xludf.DUMMYFUNCTION("""COMPUTED_VALUE"""),40316.7055555555)</f>
        <v>40316.705555555498</v>
      </c>
      <c r="D91" s="111">
        <f ca="1">IFERROR(__xludf.DUMMYFUNCTION("""COMPUTED_VALUE"""),17.53)</f>
        <v>17.53</v>
      </c>
      <c r="E91" s="112">
        <f ca="1">IFERROR(__xludf.DUMMYFUNCTION("""COMPUTED_VALUE"""),40316.7055555555)</f>
        <v>40316.705555555498</v>
      </c>
      <c r="F91" s="111">
        <f ca="1">IFERROR(__xludf.DUMMYFUNCTION("""COMPUTED_VALUE"""),7.3)</f>
        <v>7.3</v>
      </c>
      <c r="G91" s="112">
        <f ca="1">IFERROR(__xludf.DUMMYFUNCTION("""COMPUTED_VALUE"""),40316.7055555555)</f>
        <v>40316.705555555498</v>
      </c>
      <c r="H91" s="111">
        <f ca="1">IFERROR(__xludf.DUMMYFUNCTION("""COMPUTED_VALUE"""),29.22)</f>
        <v>29.22</v>
      </c>
      <c r="I91" s="112">
        <f ca="1">IFERROR(__xludf.DUMMYFUNCTION("""COMPUTED_VALUE"""),44670.7055555555)</f>
        <v>44670.705555555498</v>
      </c>
      <c r="J91" s="111">
        <f ca="1">IFERROR(__xludf.DUMMYFUNCTION("""COMPUTED_VALUE"""),5.6)</f>
        <v>5.6</v>
      </c>
      <c r="K91" s="112">
        <f ca="1">IFERROR(__xludf.DUMMYFUNCTION("""COMPUTED_VALUE"""),40801.7055555555)</f>
        <v>40801.705555555498</v>
      </c>
      <c r="L91" s="111">
        <f ca="1">IFERROR(__xludf.DUMMYFUNCTION("""COMPUTED_VALUE"""),0.44)</f>
        <v>0.44</v>
      </c>
      <c r="M91" s="112">
        <f ca="1">IFERROR(__xludf.DUMMYFUNCTION("""COMPUTED_VALUE"""),40311.7055555555)</f>
        <v>40311.705555555498</v>
      </c>
      <c r="N91" s="111">
        <f ca="1">IFERROR(__xludf.DUMMYFUNCTION("""COMPUTED_VALUE"""),11.07)</f>
        <v>11.07</v>
      </c>
      <c r="O91" s="112">
        <f ca="1">IFERROR(__xludf.DUMMYFUNCTION("""COMPUTED_VALUE"""),40316.7055555555)</f>
        <v>40316.705555555498</v>
      </c>
      <c r="P91" s="111">
        <f ca="1">IFERROR(__xludf.DUMMYFUNCTION("""COMPUTED_VALUE"""),46.4)</f>
        <v>46.4</v>
      </c>
      <c r="Q91" s="112">
        <f ca="1">IFERROR(__xludf.DUMMYFUNCTION("""COMPUTED_VALUE"""),40316.7055555555)</f>
        <v>40316.705555555498</v>
      </c>
      <c r="R91" s="111">
        <f ca="1">IFERROR(__xludf.DUMMYFUNCTION("""COMPUTED_VALUE"""),26.89)</f>
        <v>26.89</v>
      </c>
      <c r="S91" s="112">
        <f ca="1">IFERROR(__xludf.DUMMYFUNCTION("""COMPUTED_VALUE"""),40316.7055555555)</f>
        <v>40316.705555555498</v>
      </c>
      <c r="T91" s="111">
        <f ca="1">IFERROR(__xludf.DUMMYFUNCTION("""COMPUTED_VALUE"""),6.24)</f>
        <v>6.24</v>
      </c>
    </row>
    <row r="92" spans="1:20" x14ac:dyDescent="0.3">
      <c r="A92" s="112">
        <f ca="1">IFERROR(__xludf.DUMMYFUNCTION("""COMPUTED_VALUE"""),40317.7055555555)</f>
        <v>40317.705555555498</v>
      </c>
      <c r="B92" s="111">
        <f ca="1">IFERROR(__xludf.DUMMYFUNCTION("""COMPUTED_VALUE"""),21.76)</f>
        <v>21.76</v>
      </c>
      <c r="C92" s="112">
        <f ca="1">IFERROR(__xludf.DUMMYFUNCTION("""COMPUTED_VALUE"""),40317.7055555555)</f>
        <v>40317.705555555498</v>
      </c>
      <c r="D92" s="111">
        <f ca="1">IFERROR(__xludf.DUMMYFUNCTION("""COMPUTED_VALUE"""),16.63)</f>
        <v>16.63</v>
      </c>
      <c r="E92" s="112">
        <f ca="1">IFERROR(__xludf.DUMMYFUNCTION("""COMPUTED_VALUE"""),40317.7055555555)</f>
        <v>40317.705555555498</v>
      </c>
      <c r="F92" s="111">
        <f ca="1">IFERROR(__xludf.DUMMYFUNCTION("""COMPUTED_VALUE"""),6.99)</f>
        <v>6.99</v>
      </c>
      <c r="G92" s="112">
        <f ca="1">IFERROR(__xludf.DUMMYFUNCTION("""COMPUTED_VALUE"""),40317.7055555555)</f>
        <v>40317.705555555498</v>
      </c>
      <c r="H92" s="111">
        <f ca="1">IFERROR(__xludf.DUMMYFUNCTION("""COMPUTED_VALUE"""),28.55)</f>
        <v>28.55</v>
      </c>
      <c r="I92" s="112">
        <f ca="1">IFERROR(__xludf.DUMMYFUNCTION("""COMPUTED_VALUE"""),44671.7055555555)</f>
        <v>44671.705555555498</v>
      </c>
      <c r="J92" s="111">
        <f ca="1">IFERROR(__xludf.DUMMYFUNCTION("""COMPUTED_VALUE"""),5.51)</f>
        <v>5.51</v>
      </c>
      <c r="K92" s="112">
        <f ca="1">IFERROR(__xludf.DUMMYFUNCTION("""COMPUTED_VALUE"""),40802.7055555555)</f>
        <v>40802.705555555498</v>
      </c>
      <c r="L92" s="111">
        <f ca="1">IFERROR(__xludf.DUMMYFUNCTION("""COMPUTED_VALUE"""),0.43)</f>
        <v>0.43</v>
      </c>
      <c r="M92" s="112">
        <f ca="1">IFERROR(__xludf.DUMMYFUNCTION("""COMPUTED_VALUE"""),40312.7055555555)</f>
        <v>40312.705555555498</v>
      </c>
      <c r="N92" s="111">
        <f ca="1">IFERROR(__xludf.DUMMYFUNCTION("""COMPUTED_VALUE"""),10.93)</f>
        <v>10.93</v>
      </c>
      <c r="O92" s="112">
        <f ca="1">IFERROR(__xludf.DUMMYFUNCTION("""COMPUTED_VALUE"""),40317.7055555555)</f>
        <v>40317.705555555498</v>
      </c>
      <c r="P92" s="111">
        <f ca="1">IFERROR(__xludf.DUMMYFUNCTION("""COMPUTED_VALUE"""),45.5)</f>
        <v>45.5</v>
      </c>
      <c r="Q92" s="112">
        <f ca="1">IFERROR(__xludf.DUMMYFUNCTION("""COMPUTED_VALUE"""),40317.7055555555)</f>
        <v>40317.705555555498</v>
      </c>
      <c r="R92" s="111">
        <f ca="1">IFERROR(__xludf.DUMMYFUNCTION("""COMPUTED_VALUE"""),25.96)</f>
        <v>25.96</v>
      </c>
      <c r="S92" s="112">
        <f ca="1">IFERROR(__xludf.DUMMYFUNCTION("""COMPUTED_VALUE"""),40317.7055555555)</f>
        <v>40317.705555555498</v>
      </c>
      <c r="T92" s="111">
        <f ca="1">IFERROR(__xludf.DUMMYFUNCTION("""COMPUTED_VALUE"""),6.43)</f>
        <v>6.43</v>
      </c>
    </row>
    <row r="93" spans="1:20" x14ac:dyDescent="0.3">
      <c r="A93" s="112">
        <f ca="1">IFERROR(__xludf.DUMMYFUNCTION("""COMPUTED_VALUE"""),40318.7055555555)</f>
        <v>40318.705555555498</v>
      </c>
      <c r="B93" s="111">
        <f ca="1">IFERROR(__xludf.DUMMYFUNCTION("""COMPUTED_VALUE"""),21.62)</f>
        <v>21.62</v>
      </c>
      <c r="C93" s="112">
        <f ca="1">IFERROR(__xludf.DUMMYFUNCTION("""COMPUTED_VALUE"""),40318.7055555555)</f>
        <v>40318.705555555498</v>
      </c>
      <c r="D93" s="111">
        <f ca="1">IFERROR(__xludf.DUMMYFUNCTION("""COMPUTED_VALUE"""),16.45)</f>
        <v>16.45</v>
      </c>
      <c r="E93" s="112">
        <f ca="1">IFERROR(__xludf.DUMMYFUNCTION("""COMPUTED_VALUE"""),40318.7055555555)</f>
        <v>40318.705555555498</v>
      </c>
      <c r="F93" s="111">
        <f ca="1">IFERROR(__xludf.DUMMYFUNCTION("""COMPUTED_VALUE"""),6.9)</f>
        <v>6.9</v>
      </c>
      <c r="G93" s="112">
        <f ca="1">IFERROR(__xludf.DUMMYFUNCTION("""COMPUTED_VALUE"""),40318.7055555555)</f>
        <v>40318.705555555498</v>
      </c>
      <c r="H93" s="111">
        <f ca="1">IFERROR(__xludf.DUMMYFUNCTION("""COMPUTED_VALUE"""),27.43)</f>
        <v>27.43</v>
      </c>
      <c r="I93" s="112">
        <f ca="1">IFERROR(__xludf.DUMMYFUNCTION("""COMPUTED_VALUE"""),44673.7055555555)</f>
        <v>44673.705555555498</v>
      </c>
      <c r="J93" s="111">
        <f ca="1">IFERROR(__xludf.DUMMYFUNCTION("""COMPUTED_VALUE"""),5.43)</f>
        <v>5.43</v>
      </c>
      <c r="K93" s="112">
        <f ca="1">IFERROR(__xludf.DUMMYFUNCTION("""COMPUTED_VALUE"""),40805.7055555555)</f>
        <v>40805.705555555498</v>
      </c>
      <c r="L93" s="111">
        <f ca="1">IFERROR(__xludf.DUMMYFUNCTION("""COMPUTED_VALUE"""),0.43)</f>
        <v>0.43</v>
      </c>
      <c r="M93" s="112">
        <f ca="1">IFERROR(__xludf.DUMMYFUNCTION("""COMPUTED_VALUE"""),40315.7055555555)</f>
        <v>40315.705555555498</v>
      </c>
      <c r="N93" s="111">
        <f ca="1">IFERROR(__xludf.DUMMYFUNCTION("""COMPUTED_VALUE"""),10.98)</f>
        <v>10.98</v>
      </c>
      <c r="O93" s="112">
        <f ca="1">IFERROR(__xludf.DUMMYFUNCTION("""COMPUTED_VALUE"""),40318.7055555555)</f>
        <v>40318.705555555498</v>
      </c>
      <c r="P93" s="111">
        <f ca="1">IFERROR(__xludf.DUMMYFUNCTION("""COMPUTED_VALUE"""),43.85)</f>
        <v>43.85</v>
      </c>
      <c r="Q93" s="112">
        <f ca="1">IFERROR(__xludf.DUMMYFUNCTION("""COMPUTED_VALUE"""),40318.7055555555)</f>
        <v>40318.705555555498</v>
      </c>
      <c r="R93" s="111">
        <f ca="1">IFERROR(__xludf.DUMMYFUNCTION("""COMPUTED_VALUE"""),25.3)</f>
        <v>25.3</v>
      </c>
      <c r="S93" s="112">
        <f ca="1">IFERROR(__xludf.DUMMYFUNCTION("""COMPUTED_VALUE"""),40318.7055555555)</f>
        <v>40318.705555555498</v>
      </c>
      <c r="T93" s="111">
        <f ca="1">IFERROR(__xludf.DUMMYFUNCTION("""COMPUTED_VALUE"""),6.03)</f>
        <v>6.03</v>
      </c>
    </row>
    <row r="94" spans="1:20" x14ac:dyDescent="0.3">
      <c r="A94" s="112">
        <f ca="1">IFERROR(__xludf.DUMMYFUNCTION("""COMPUTED_VALUE"""),40319.7055555555)</f>
        <v>40319.705555555498</v>
      </c>
      <c r="B94" s="111">
        <f ca="1">IFERROR(__xludf.DUMMYFUNCTION("""COMPUTED_VALUE"""),21.66)</f>
        <v>21.66</v>
      </c>
      <c r="C94" s="112">
        <f ca="1">IFERROR(__xludf.DUMMYFUNCTION("""COMPUTED_VALUE"""),40319.7055555555)</f>
        <v>40319.705555555498</v>
      </c>
      <c r="D94" s="111">
        <f ca="1">IFERROR(__xludf.DUMMYFUNCTION("""COMPUTED_VALUE"""),16.78)</f>
        <v>16.78</v>
      </c>
      <c r="E94" s="112">
        <f ca="1">IFERROR(__xludf.DUMMYFUNCTION("""COMPUTED_VALUE"""),40319.7055555555)</f>
        <v>40319.705555555498</v>
      </c>
      <c r="F94" s="111">
        <f ca="1">IFERROR(__xludf.DUMMYFUNCTION("""COMPUTED_VALUE"""),7.1)</f>
        <v>7.1</v>
      </c>
      <c r="G94" s="112">
        <f ca="1">IFERROR(__xludf.DUMMYFUNCTION("""COMPUTED_VALUE"""),40319.7055555555)</f>
        <v>40319.705555555498</v>
      </c>
      <c r="H94" s="111">
        <f ca="1">IFERROR(__xludf.DUMMYFUNCTION("""COMPUTED_VALUE"""),27.58)</f>
        <v>27.58</v>
      </c>
      <c r="I94" s="112">
        <f ca="1">IFERROR(__xludf.DUMMYFUNCTION("""COMPUTED_VALUE"""),44676.7055555555)</f>
        <v>44676.705555555498</v>
      </c>
      <c r="J94" s="111">
        <f ca="1">IFERROR(__xludf.DUMMYFUNCTION("""COMPUTED_VALUE"""),5.62)</f>
        <v>5.62</v>
      </c>
      <c r="K94" s="112">
        <f ca="1">IFERROR(__xludf.DUMMYFUNCTION("""COMPUTED_VALUE"""),40806.7055555555)</f>
        <v>40806.705555555498</v>
      </c>
      <c r="L94" s="111">
        <f ca="1">IFERROR(__xludf.DUMMYFUNCTION("""COMPUTED_VALUE"""),0.42)</f>
        <v>0.42</v>
      </c>
      <c r="M94" s="112">
        <f ca="1">IFERROR(__xludf.DUMMYFUNCTION("""COMPUTED_VALUE"""),40316.7055555555)</f>
        <v>40316.705555555498</v>
      </c>
      <c r="N94" s="111">
        <f ca="1">IFERROR(__xludf.DUMMYFUNCTION("""COMPUTED_VALUE"""),10.72)</f>
        <v>10.72</v>
      </c>
      <c r="O94" s="112">
        <f ca="1">IFERROR(__xludf.DUMMYFUNCTION("""COMPUTED_VALUE"""),40319.7055555555)</f>
        <v>40319.705555555498</v>
      </c>
      <c r="P94" s="111">
        <f ca="1">IFERROR(__xludf.DUMMYFUNCTION("""COMPUTED_VALUE"""),46.8)</f>
        <v>46.8</v>
      </c>
      <c r="Q94" s="112">
        <f ca="1">IFERROR(__xludf.DUMMYFUNCTION("""COMPUTED_VALUE"""),40319.7055555555)</f>
        <v>40319.705555555498</v>
      </c>
      <c r="R94" s="111">
        <f ca="1">IFERROR(__xludf.DUMMYFUNCTION("""COMPUTED_VALUE"""),26.18)</f>
        <v>26.18</v>
      </c>
      <c r="S94" s="112">
        <f ca="1">IFERROR(__xludf.DUMMYFUNCTION("""COMPUTED_VALUE"""),40319.7055555555)</f>
        <v>40319.705555555498</v>
      </c>
      <c r="T94" s="111">
        <f ca="1">IFERROR(__xludf.DUMMYFUNCTION("""COMPUTED_VALUE"""),6.53)</f>
        <v>6.53</v>
      </c>
    </row>
    <row r="95" spans="1:20" x14ac:dyDescent="0.3">
      <c r="A95" s="112">
        <f ca="1">IFERROR(__xludf.DUMMYFUNCTION("""COMPUTED_VALUE"""),40322.7055555555)</f>
        <v>40322.705555555498</v>
      </c>
      <c r="B95" s="111">
        <f ca="1">IFERROR(__xludf.DUMMYFUNCTION("""COMPUTED_VALUE"""),21.91)</f>
        <v>21.91</v>
      </c>
      <c r="C95" s="112">
        <f ca="1">IFERROR(__xludf.DUMMYFUNCTION("""COMPUTED_VALUE"""),40322.7055555555)</f>
        <v>40322.705555555498</v>
      </c>
      <c r="D95" s="111">
        <f ca="1">IFERROR(__xludf.DUMMYFUNCTION("""COMPUTED_VALUE"""),16.49)</f>
        <v>16.489999999999998</v>
      </c>
      <c r="E95" s="112">
        <f ca="1">IFERROR(__xludf.DUMMYFUNCTION("""COMPUTED_VALUE"""),40322.7055555555)</f>
        <v>40322.705555555498</v>
      </c>
      <c r="F95" s="111">
        <f ca="1">IFERROR(__xludf.DUMMYFUNCTION("""COMPUTED_VALUE"""),7.03)</f>
        <v>7.03</v>
      </c>
      <c r="G95" s="112">
        <f ca="1">IFERROR(__xludf.DUMMYFUNCTION("""COMPUTED_VALUE"""),40322.7055555555)</f>
        <v>40322.705555555498</v>
      </c>
      <c r="H95" s="111">
        <f ca="1">IFERROR(__xludf.DUMMYFUNCTION("""COMPUTED_VALUE"""),27.15)</f>
        <v>27.15</v>
      </c>
      <c r="I95" s="112">
        <f ca="1">IFERROR(__xludf.DUMMYFUNCTION("""COMPUTED_VALUE"""),44677.7055555555)</f>
        <v>44677.705555555498</v>
      </c>
      <c r="J95" s="111">
        <f ca="1">IFERROR(__xludf.DUMMYFUNCTION("""COMPUTED_VALUE"""),5.22)</f>
        <v>5.22</v>
      </c>
      <c r="K95" s="112">
        <f ca="1">IFERROR(__xludf.DUMMYFUNCTION("""COMPUTED_VALUE"""),40807.7055555555)</f>
        <v>40807.705555555498</v>
      </c>
      <c r="L95" s="111">
        <f ca="1">IFERROR(__xludf.DUMMYFUNCTION("""COMPUTED_VALUE"""),0.41)</f>
        <v>0.41</v>
      </c>
      <c r="M95" s="112">
        <f ca="1">IFERROR(__xludf.DUMMYFUNCTION("""COMPUTED_VALUE"""),40317.7055555555)</f>
        <v>40317.705555555498</v>
      </c>
      <c r="N95" s="111">
        <f ca="1">IFERROR(__xludf.DUMMYFUNCTION("""COMPUTED_VALUE"""),10.4)</f>
        <v>10.4</v>
      </c>
      <c r="O95" s="112">
        <f ca="1">IFERROR(__xludf.DUMMYFUNCTION("""COMPUTED_VALUE"""),40322.7055555555)</f>
        <v>40322.705555555498</v>
      </c>
      <c r="P95" s="111">
        <f ca="1">IFERROR(__xludf.DUMMYFUNCTION("""COMPUTED_VALUE"""),46.31)</f>
        <v>46.31</v>
      </c>
      <c r="Q95" s="112">
        <f ca="1">IFERROR(__xludf.DUMMYFUNCTION("""COMPUTED_VALUE"""),40322.7055555555)</f>
        <v>40322.705555555498</v>
      </c>
      <c r="R95" s="111">
        <f ca="1">IFERROR(__xludf.DUMMYFUNCTION("""COMPUTED_VALUE"""),25.78)</f>
        <v>25.78</v>
      </c>
      <c r="S95" s="112">
        <f ca="1">IFERROR(__xludf.DUMMYFUNCTION("""COMPUTED_VALUE"""),40322.7055555555)</f>
        <v>40322.705555555498</v>
      </c>
      <c r="T95" s="111">
        <f ca="1">IFERROR(__xludf.DUMMYFUNCTION("""COMPUTED_VALUE"""),6.37)</f>
        <v>6.37</v>
      </c>
    </row>
    <row r="96" spans="1:20" x14ac:dyDescent="0.3">
      <c r="A96" s="112">
        <f ca="1">IFERROR(__xludf.DUMMYFUNCTION("""COMPUTED_VALUE"""),40323.7055555555)</f>
        <v>40323.705555555498</v>
      </c>
      <c r="B96" s="111">
        <f ca="1">IFERROR(__xludf.DUMMYFUNCTION("""COMPUTED_VALUE"""),21.66)</f>
        <v>21.66</v>
      </c>
      <c r="C96" s="112">
        <f ca="1">IFERROR(__xludf.DUMMYFUNCTION("""COMPUTED_VALUE"""),40323.7055555555)</f>
        <v>40323.705555555498</v>
      </c>
      <c r="D96" s="111">
        <f ca="1">IFERROR(__xludf.DUMMYFUNCTION("""COMPUTED_VALUE"""),16.08)</f>
        <v>16.079999999999998</v>
      </c>
      <c r="E96" s="112">
        <f ca="1">IFERROR(__xludf.DUMMYFUNCTION("""COMPUTED_VALUE"""),40323.7055555555)</f>
        <v>40323.705555555498</v>
      </c>
      <c r="F96" s="111">
        <f ca="1">IFERROR(__xludf.DUMMYFUNCTION("""COMPUTED_VALUE"""),6.85)</f>
        <v>6.85</v>
      </c>
      <c r="G96" s="112">
        <f ca="1">IFERROR(__xludf.DUMMYFUNCTION("""COMPUTED_VALUE"""),40323.7055555555)</f>
        <v>40323.705555555498</v>
      </c>
      <c r="H96" s="111">
        <f ca="1">IFERROR(__xludf.DUMMYFUNCTION("""COMPUTED_VALUE"""),26.55)</f>
        <v>26.55</v>
      </c>
      <c r="I96" s="112">
        <f ca="1">IFERROR(__xludf.DUMMYFUNCTION("""COMPUTED_VALUE"""),44678.7055555555)</f>
        <v>44678.705555555498</v>
      </c>
      <c r="J96" s="111">
        <f ca="1">IFERROR(__xludf.DUMMYFUNCTION("""COMPUTED_VALUE"""),5.25)</f>
        <v>5.25</v>
      </c>
      <c r="K96" s="112">
        <f ca="1">IFERROR(__xludf.DUMMYFUNCTION("""COMPUTED_VALUE"""),40808.7055555555)</f>
        <v>40808.705555555498</v>
      </c>
      <c r="L96" s="111">
        <f ca="1">IFERROR(__xludf.DUMMYFUNCTION("""COMPUTED_VALUE"""),0.38)</f>
        <v>0.38</v>
      </c>
      <c r="M96" s="112">
        <f ca="1">IFERROR(__xludf.DUMMYFUNCTION("""COMPUTED_VALUE"""),40318.7055555555)</f>
        <v>40318.705555555498</v>
      </c>
      <c r="N96" s="111">
        <f ca="1">IFERROR(__xludf.DUMMYFUNCTION("""COMPUTED_VALUE"""),10.24)</f>
        <v>10.24</v>
      </c>
      <c r="O96" s="112">
        <f ca="1">IFERROR(__xludf.DUMMYFUNCTION("""COMPUTED_VALUE"""),40323.7055555555)</f>
        <v>40323.705555555498</v>
      </c>
      <c r="P96" s="111">
        <f ca="1">IFERROR(__xludf.DUMMYFUNCTION("""COMPUTED_VALUE"""),46.72)</f>
        <v>46.72</v>
      </c>
      <c r="Q96" s="112">
        <f ca="1">IFERROR(__xludf.DUMMYFUNCTION("""COMPUTED_VALUE"""),40323.7055555555)</f>
        <v>40323.705555555498</v>
      </c>
      <c r="R96" s="111">
        <f ca="1">IFERROR(__xludf.DUMMYFUNCTION("""COMPUTED_VALUE"""),25.52)</f>
        <v>25.52</v>
      </c>
      <c r="S96" s="112">
        <f ca="1">IFERROR(__xludf.DUMMYFUNCTION("""COMPUTED_VALUE"""),40323.7055555555)</f>
        <v>40323.705555555498</v>
      </c>
      <c r="T96" s="111">
        <f ca="1">IFERROR(__xludf.DUMMYFUNCTION("""COMPUTED_VALUE"""),6.24)</f>
        <v>6.24</v>
      </c>
    </row>
    <row r="97" spans="1:20" x14ac:dyDescent="0.3">
      <c r="A97" s="112">
        <f ca="1">IFERROR(__xludf.DUMMYFUNCTION("""COMPUTED_VALUE"""),40324.7055555555)</f>
        <v>40324.705555555498</v>
      </c>
      <c r="B97" s="111">
        <f ca="1">IFERROR(__xludf.DUMMYFUNCTION("""COMPUTED_VALUE"""),22.09)</f>
        <v>22.09</v>
      </c>
      <c r="C97" s="112">
        <f ca="1">IFERROR(__xludf.DUMMYFUNCTION("""COMPUTED_VALUE"""),40324.7055555555)</f>
        <v>40324.705555555498</v>
      </c>
      <c r="D97" s="111">
        <f ca="1">IFERROR(__xludf.DUMMYFUNCTION("""COMPUTED_VALUE"""),16.62)</f>
        <v>16.62</v>
      </c>
      <c r="E97" s="112">
        <f ca="1">IFERROR(__xludf.DUMMYFUNCTION("""COMPUTED_VALUE"""),40324.7055555555)</f>
        <v>40324.705555555498</v>
      </c>
      <c r="F97" s="111">
        <f ca="1">IFERROR(__xludf.DUMMYFUNCTION("""COMPUTED_VALUE"""),7.16)</f>
        <v>7.16</v>
      </c>
      <c r="G97" s="112">
        <f ca="1">IFERROR(__xludf.DUMMYFUNCTION("""COMPUTED_VALUE"""),40324.7055555555)</f>
        <v>40324.705555555498</v>
      </c>
      <c r="H97" s="111">
        <f ca="1">IFERROR(__xludf.DUMMYFUNCTION("""COMPUTED_VALUE"""),27.05)</f>
        <v>27.05</v>
      </c>
      <c r="I97" s="112">
        <f ca="1">IFERROR(__xludf.DUMMYFUNCTION("""COMPUTED_VALUE"""),44679.7055555555)</f>
        <v>44679.705555555498</v>
      </c>
      <c r="J97" s="111">
        <f ca="1">IFERROR(__xludf.DUMMYFUNCTION("""COMPUTED_VALUE"""),5.14)</f>
        <v>5.14</v>
      </c>
      <c r="K97" s="112">
        <f ca="1">IFERROR(__xludf.DUMMYFUNCTION("""COMPUTED_VALUE"""),40809.7055555555)</f>
        <v>40809.705555555498</v>
      </c>
      <c r="L97" s="111">
        <f ca="1">IFERROR(__xludf.DUMMYFUNCTION("""COMPUTED_VALUE"""),0.38)</f>
        <v>0.38</v>
      </c>
      <c r="M97" s="112">
        <f ca="1">IFERROR(__xludf.DUMMYFUNCTION("""COMPUTED_VALUE"""),40319.7055555555)</f>
        <v>40319.705555555498</v>
      </c>
      <c r="N97" s="111">
        <f ca="1">IFERROR(__xludf.DUMMYFUNCTION("""COMPUTED_VALUE"""),10.72)</f>
        <v>10.72</v>
      </c>
      <c r="O97" s="112">
        <f ca="1">IFERROR(__xludf.DUMMYFUNCTION("""COMPUTED_VALUE"""),40324.7055555555)</f>
        <v>40324.705555555498</v>
      </c>
      <c r="P97" s="111">
        <f ca="1">IFERROR(__xludf.DUMMYFUNCTION("""COMPUTED_VALUE"""),46.47)</f>
        <v>46.47</v>
      </c>
      <c r="Q97" s="112">
        <f ca="1">IFERROR(__xludf.DUMMYFUNCTION("""COMPUTED_VALUE"""),40324.7055555555)</f>
        <v>40324.705555555498</v>
      </c>
      <c r="R97" s="111">
        <f ca="1">IFERROR(__xludf.DUMMYFUNCTION("""COMPUTED_VALUE"""),25.8)</f>
        <v>25.8</v>
      </c>
      <c r="S97" s="112">
        <f ca="1">IFERROR(__xludf.DUMMYFUNCTION("""COMPUTED_VALUE"""),40324.7055555555)</f>
        <v>40324.705555555498</v>
      </c>
      <c r="T97" s="111">
        <f ca="1">IFERROR(__xludf.DUMMYFUNCTION("""COMPUTED_VALUE"""),6.34)</f>
        <v>6.34</v>
      </c>
    </row>
    <row r="98" spans="1:20" x14ac:dyDescent="0.3">
      <c r="A98" s="112">
        <f ca="1">IFERROR(__xludf.DUMMYFUNCTION("""COMPUTED_VALUE"""),40325.7055555555)</f>
        <v>40325.705555555498</v>
      </c>
      <c r="B98" s="111">
        <f ca="1">IFERROR(__xludf.DUMMYFUNCTION("""COMPUTED_VALUE"""),22.17)</f>
        <v>22.17</v>
      </c>
      <c r="C98" s="112">
        <f ca="1">IFERROR(__xludf.DUMMYFUNCTION("""COMPUTED_VALUE"""),40325.7055555555)</f>
        <v>40325.705555555498</v>
      </c>
      <c r="D98" s="111">
        <f ca="1">IFERROR(__xludf.DUMMYFUNCTION("""COMPUTED_VALUE"""),16.92)</f>
        <v>16.920000000000002</v>
      </c>
      <c r="E98" s="112">
        <f ca="1">IFERROR(__xludf.DUMMYFUNCTION("""COMPUTED_VALUE"""),40325.7055555555)</f>
        <v>40325.705555555498</v>
      </c>
      <c r="F98" s="111">
        <f ca="1">IFERROR(__xludf.DUMMYFUNCTION("""COMPUTED_VALUE"""),7.1)</f>
        <v>7.1</v>
      </c>
      <c r="G98" s="112">
        <f ca="1">IFERROR(__xludf.DUMMYFUNCTION("""COMPUTED_VALUE"""),40325.7055555555)</f>
        <v>40325.705555555498</v>
      </c>
      <c r="H98" s="111">
        <f ca="1">IFERROR(__xludf.DUMMYFUNCTION("""COMPUTED_VALUE"""),27.81)</f>
        <v>27.81</v>
      </c>
      <c r="I98" s="112">
        <f ca="1">IFERROR(__xludf.DUMMYFUNCTION("""COMPUTED_VALUE"""),44680.7055555555)</f>
        <v>44680.705555555498</v>
      </c>
      <c r="J98" s="111">
        <f ca="1">IFERROR(__xludf.DUMMYFUNCTION("""COMPUTED_VALUE"""),4.95)</f>
        <v>4.95</v>
      </c>
      <c r="K98" s="112">
        <f ca="1">IFERROR(__xludf.DUMMYFUNCTION("""COMPUTED_VALUE"""),40813.7055555555)</f>
        <v>40813.705555555498</v>
      </c>
      <c r="L98" s="111">
        <f ca="1">IFERROR(__xludf.DUMMYFUNCTION("""COMPUTED_VALUE"""),0.39)</f>
        <v>0.39</v>
      </c>
      <c r="M98" s="112">
        <f ca="1">IFERROR(__xludf.DUMMYFUNCTION("""COMPUTED_VALUE"""),40322.7055555555)</f>
        <v>40322.705555555498</v>
      </c>
      <c r="N98" s="111">
        <f ca="1">IFERROR(__xludf.DUMMYFUNCTION("""COMPUTED_VALUE"""),10.61)</f>
        <v>10.61</v>
      </c>
      <c r="O98" s="112">
        <f ca="1">IFERROR(__xludf.DUMMYFUNCTION("""COMPUTED_VALUE"""),40325.7055555555)</f>
        <v>40325.705555555498</v>
      </c>
      <c r="P98" s="111">
        <f ca="1">IFERROR(__xludf.DUMMYFUNCTION("""COMPUTED_VALUE"""),49.4)</f>
        <v>49.4</v>
      </c>
      <c r="Q98" s="112">
        <f ca="1">IFERROR(__xludf.DUMMYFUNCTION("""COMPUTED_VALUE"""),40325.7055555555)</f>
        <v>40325.705555555498</v>
      </c>
      <c r="R98" s="111">
        <f ca="1">IFERROR(__xludf.DUMMYFUNCTION("""COMPUTED_VALUE"""),26.45)</f>
        <v>26.45</v>
      </c>
      <c r="S98" s="112">
        <f ca="1">IFERROR(__xludf.DUMMYFUNCTION("""COMPUTED_VALUE"""),40325.7055555555)</f>
        <v>40325.705555555498</v>
      </c>
      <c r="T98" s="111">
        <f ca="1">IFERROR(__xludf.DUMMYFUNCTION("""COMPUTED_VALUE"""),6.52)</f>
        <v>6.52</v>
      </c>
    </row>
    <row r="99" spans="1:20" x14ac:dyDescent="0.3">
      <c r="A99" s="112">
        <f ca="1">IFERROR(__xludf.DUMMYFUNCTION("""COMPUTED_VALUE"""),40326.7055555555)</f>
        <v>40326.705555555498</v>
      </c>
      <c r="B99" s="111">
        <f ca="1">IFERROR(__xludf.DUMMYFUNCTION("""COMPUTED_VALUE"""),22.35)</f>
        <v>22.35</v>
      </c>
      <c r="C99" s="112">
        <f ca="1">IFERROR(__xludf.DUMMYFUNCTION("""COMPUTED_VALUE"""),40326.7055555555)</f>
        <v>40326.705555555498</v>
      </c>
      <c r="D99" s="111">
        <f ca="1">IFERROR(__xludf.DUMMYFUNCTION("""COMPUTED_VALUE"""),16.83)</f>
        <v>16.829999999999998</v>
      </c>
      <c r="E99" s="112">
        <f ca="1">IFERROR(__xludf.DUMMYFUNCTION("""COMPUTED_VALUE"""),40326.7055555555)</f>
        <v>40326.705555555498</v>
      </c>
      <c r="F99" s="111">
        <f ca="1">IFERROR(__xludf.DUMMYFUNCTION("""COMPUTED_VALUE"""),7.02)</f>
        <v>7.02</v>
      </c>
      <c r="G99" s="112">
        <f ca="1">IFERROR(__xludf.DUMMYFUNCTION("""COMPUTED_VALUE"""),40326.7055555555)</f>
        <v>40326.705555555498</v>
      </c>
      <c r="H99" s="111">
        <f ca="1">IFERROR(__xludf.DUMMYFUNCTION("""COMPUTED_VALUE"""),28.2)</f>
        <v>28.2</v>
      </c>
      <c r="I99" s="112">
        <f ca="1">IFERROR(__xludf.DUMMYFUNCTION("""COMPUTED_VALUE"""),44683.7055555555)</f>
        <v>44683.705555555498</v>
      </c>
      <c r="J99" s="111">
        <f ca="1">IFERROR(__xludf.DUMMYFUNCTION("""COMPUTED_VALUE"""),5.06)</f>
        <v>5.0599999999999996</v>
      </c>
      <c r="K99" s="112">
        <f ca="1">IFERROR(__xludf.DUMMYFUNCTION("""COMPUTED_VALUE"""),40814.7055555555)</f>
        <v>40814.705555555498</v>
      </c>
      <c r="L99" s="111">
        <f ca="1">IFERROR(__xludf.DUMMYFUNCTION("""COMPUTED_VALUE"""),0.38)</f>
        <v>0.38</v>
      </c>
      <c r="M99" s="112">
        <f ca="1">IFERROR(__xludf.DUMMYFUNCTION("""COMPUTED_VALUE"""),40323.7055555555)</f>
        <v>40323.705555555498</v>
      </c>
      <c r="N99" s="111">
        <f ca="1">IFERROR(__xludf.DUMMYFUNCTION("""COMPUTED_VALUE"""),10.17)</f>
        <v>10.17</v>
      </c>
      <c r="O99" s="112">
        <f ca="1">IFERROR(__xludf.DUMMYFUNCTION("""COMPUTED_VALUE"""),40326.7055555555)</f>
        <v>40326.705555555498</v>
      </c>
      <c r="P99" s="111">
        <f ca="1">IFERROR(__xludf.DUMMYFUNCTION("""COMPUTED_VALUE"""),48.95)</f>
        <v>48.95</v>
      </c>
      <c r="Q99" s="112">
        <f ca="1">IFERROR(__xludf.DUMMYFUNCTION("""COMPUTED_VALUE"""),40326.7055555555)</f>
        <v>40326.705555555498</v>
      </c>
      <c r="R99" s="111">
        <f ca="1">IFERROR(__xludf.DUMMYFUNCTION("""COMPUTED_VALUE"""),25.89)</f>
        <v>25.89</v>
      </c>
      <c r="S99" s="112">
        <f ca="1">IFERROR(__xludf.DUMMYFUNCTION("""COMPUTED_VALUE"""),40326.7055555555)</f>
        <v>40326.705555555498</v>
      </c>
      <c r="T99" s="111">
        <f ca="1">IFERROR(__xludf.DUMMYFUNCTION("""COMPUTED_VALUE"""),6.48)</f>
        <v>6.48</v>
      </c>
    </row>
    <row r="100" spans="1:20" x14ac:dyDescent="0.3">
      <c r="A100" s="112">
        <f ca="1">IFERROR(__xludf.DUMMYFUNCTION("""COMPUTED_VALUE"""),40329.7055555555)</f>
        <v>40329.705555555498</v>
      </c>
      <c r="B100" s="111">
        <f ca="1">IFERROR(__xludf.DUMMYFUNCTION("""COMPUTED_VALUE"""),22.4)</f>
        <v>22.4</v>
      </c>
      <c r="C100" s="112">
        <f ca="1">IFERROR(__xludf.DUMMYFUNCTION("""COMPUTED_VALUE"""),40329.7055555555)</f>
        <v>40329.705555555498</v>
      </c>
      <c r="D100" s="111">
        <f ca="1">IFERROR(__xludf.DUMMYFUNCTION("""COMPUTED_VALUE"""),17.38)</f>
        <v>17.38</v>
      </c>
      <c r="E100" s="112">
        <f ca="1">IFERROR(__xludf.DUMMYFUNCTION("""COMPUTED_VALUE"""),40329.7055555555)</f>
        <v>40329.705555555498</v>
      </c>
      <c r="F100" s="111">
        <f ca="1">IFERROR(__xludf.DUMMYFUNCTION("""COMPUTED_VALUE"""),7.25)</f>
        <v>7.25</v>
      </c>
      <c r="G100" s="112">
        <f ca="1">IFERROR(__xludf.DUMMYFUNCTION("""COMPUTED_VALUE"""),40329.7055555555)</f>
        <v>40329.705555555498</v>
      </c>
      <c r="H100" s="111">
        <f ca="1">IFERROR(__xludf.DUMMYFUNCTION("""COMPUTED_VALUE"""),29.6)</f>
        <v>29.6</v>
      </c>
      <c r="I100" s="112">
        <f ca="1">IFERROR(__xludf.DUMMYFUNCTION("""COMPUTED_VALUE"""),44684.7055555555)</f>
        <v>44684.705555555498</v>
      </c>
      <c r="J100" s="111">
        <f ca="1">IFERROR(__xludf.DUMMYFUNCTION("""COMPUTED_VALUE"""),4.55)</f>
        <v>4.55</v>
      </c>
      <c r="K100" s="112">
        <f ca="1">IFERROR(__xludf.DUMMYFUNCTION("""COMPUTED_VALUE"""),40815.7055555555)</f>
        <v>40815.705555555498</v>
      </c>
      <c r="L100" s="111">
        <f ca="1">IFERROR(__xludf.DUMMYFUNCTION("""COMPUTED_VALUE"""),0.38)</f>
        <v>0.38</v>
      </c>
      <c r="M100" s="112">
        <f ca="1">IFERROR(__xludf.DUMMYFUNCTION("""COMPUTED_VALUE"""),40324.7055555555)</f>
        <v>40324.705555555498</v>
      </c>
      <c r="N100" s="111">
        <f ca="1">IFERROR(__xludf.DUMMYFUNCTION("""COMPUTED_VALUE"""),10.15)</f>
        <v>10.15</v>
      </c>
      <c r="O100" s="112">
        <f ca="1">IFERROR(__xludf.DUMMYFUNCTION("""COMPUTED_VALUE"""),40329.7055555555)</f>
        <v>40329.705555555498</v>
      </c>
      <c r="P100" s="111">
        <f ca="1">IFERROR(__xludf.DUMMYFUNCTION("""COMPUTED_VALUE"""),50)</f>
        <v>50</v>
      </c>
      <c r="Q100" s="112">
        <f ca="1">IFERROR(__xludf.DUMMYFUNCTION("""COMPUTED_VALUE"""),40329.7055555555)</f>
        <v>40329.705555555498</v>
      </c>
      <c r="R100" s="111">
        <f ca="1">IFERROR(__xludf.DUMMYFUNCTION("""COMPUTED_VALUE"""),25.98)</f>
        <v>25.98</v>
      </c>
      <c r="S100" s="112">
        <f ca="1">IFERROR(__xludf.DUMMYFUNCTION("""COMPUTED_VALUE"""),40329.7055555555)</f>
        <v>40329.705555555498</v>
      </c>
      <c r="T100" s="111">
        <f ca="1">IFERROR(__xludf.DUMMYFUNCTION("""COMPUTED_VALUE"""),6.54)</f>
        <v>6.54</v>
      </c>
    </row>
    <row r="101" spans="1:20" x14ac:dyDescent="0.3">
      <c r="A101" s="112">
        <f ca="1">IFERROR(__xludf.DUMMYFUNCTION("""COMPUTED_VALUE"""),40330.7055555555)</f>
        <v>40330.705555555498</v>
      </c>
      <c r="B101" s="111">
        <f ca="1">IFERROR(__xludf.DUMMYFUNCTION("""COMPUTED_VALUE"""),22.22)</f>
        <v>22.22</v>
      </c>
      <c r="C101" s="112">
        <f ca="1">IFERROR(__xludf.DUMMYFUNCTION("""COMPUTED_VALUE"""),40330.7055555555)</f>
        <v>40330.705555555498</v>
      </c>
      <c r="D101" s="111">
        <f ca="1">IFERROR(__xludf.DUMMYFUNCTION("""COMPUTED_VALUE"""),17.03)</f>
        <v>17.03</v>
      </c>
      <c r="E101" s="112">
        <f ca="1">IFERROR(__xludf.DUMMYFUNCTION("""COMPUTED_VALUE"""),40330.7055555555)</f>
        <v>40330.705555555498</v>
      </c>
      <c r="F101" s="111">
        <f ca="1">IFERROR(__xludf.DUMMYFUNCTION("""COMPUTED_VALUE"""),7.15)</f>
        <v>7.15</v>
      </c>
      <c r="G101" s="112">
        <f ca="1">IFERROR(__xludf.DUMMYFUNCTION("""COMPUTED_VALUE"""),40330.7055555555)</f>
        <v>40330.705555555498</v>
      </c>
      <c r="H101" s="111">
        <f ca="1">IFERROR(__xludf.DUMMYFUNCTION("""COMPUTED_VALUE"""),28.65)</f>
        <v>28.65</v>
      </c>
      <c r="I101" s="112">
        <f ca="1">IFERROR(__xludf.DUMMYFUNCTION("""COMPUTED_VALUE"""),44685.7055555555)</f>
        <v>44685.705555555498</v>
      </c>
      <c r="J101" s="111">
        <f ca="1">IFERROR(__xludf.DUMMYFUNCTION("""COMPUTED_VALUE"""),4.69)</f>
        <v>4.6900000000000004</v>
      </c>
      <c r="K101" s="112">
        <f ca="1">IFERROR(__xludf.DUMMYFUNCTION("""COMPUTED_VALUE"""),40816.7055555555)</f>
        <v>40816.705555555498</v>
      </c>
      <c r="L101" s="111">
        <f ca="1">IFERROR(__xludf.DUMMYFUNCTION("""COMPUTED_VALUE"""),0.37)</f>
        <v>0.37</v>
      </c>
      <c r="M101" s="112">
        <f ca="1">IFERROR(__xludf.DUMMYFUNCTION("""COMPUTED_VALUE"""),40325.7055555555)</f>
        <v>40325.705555555498</v>
      </c>
      <c r="N101" s="111">
        <f ca="1">IFERROR(__xludf.DUMMYFUNCTION("""COMPUTED_VALUE"""),10.5)</f>
        <v>10.5</v>
      </c>
      <c r="O101" s="112">
        <f ca="1">IFERROR(__xludf.DUMMYFUNCTION("""COMPUTED_VALUE"""),40330.7055555555)</f>
        <v>40330.705555555498</v>
      </c>
      <c r="P101" s="111">
        <f ca="1">IFERROR(__xludf.DUMMYFUNCTION("""COMPUTED_VALUE"""),48.92)</f>
        <v>48.92</v>
      </c>
      <c r="Q101" s="112">
        <f ca="1">IFERROR(__xludf.DUMMYFUNCTION("""COMPUTED_VALUE"""),40330.7055555555)</f>
        <v>40330.705555555498</v>
      </c>
      <c r="R101" s="111">
        <f ca="1">IFERROR(__xludf.DUMMYFUNCTION("""COMPUTED_VALUE"""),25.67)</f>
        <v>25.67</v>
      </c>
      <c r="S101" s="112">
        <f ca="1">IFERROR(__xludf.DUMMYFUNCTION("""COMPUTED_VALUE"""),40330.7055555555)</f>
        <v>40330.705555555498</v>
      </c>
      <c r="T101" s="111">
        <f ca="1">IFERROR(__xludf.DUMMYFUNCTION("""COMPUTED_VALUE"""),6.42)</f>
        <v>6.42</v>
      </c>
    </row>
    <row r="102" spans="1:20" x14ac:dyDescent="0.3">
      <c r="A102" s="112">
        <f ca="1">IFERROR(__xludf.DUMMYFUNCTION("""COMPUTED_VALUE"""),40331.7055555555)</f>
        <v>40331.705555555498</v>
      </c>
      <c r="B102" s="111">
        <f ca="1">IFERROR(__xludf.DUMMYFUNCTION("""COMPUTED_VALUE"""),22.25)</f>
        <v>22.25</v>
      </c>
      <c r="C102" s="112">
        <f ca="1">IFERROR(__xludf.DUMMYFUNCTION("""COMPUTED_VALUE"""),40331.7055555555)</f>
        <v>40331.705555555498</v>
      </c>
      <c r="D102" s="111">
        <f ca="1">IFERROR(__xludf.DUMMYFUNCTION("""COMPUTED_VALUE"""),17.51)</f>
        <v>17.510000000000002</v>
      </c>
      <c r="E102" s="112">
        <f ca="1">IFERROR(__xludf.DUMMYFUNCTION("""COMPUTED_VALUE"""),40331.7055555555)</f>
        <v>40331.705555555498</v>
      </c>
      <c r="F102" s="111">
        <f ca="1">IFERROR(__xludf.DUMMYFUNCTION("""COMPUTED_VALUE"""),7.26)</f>
        <v>7.26</v>
      </c>
      <c r="G102" s="112">
        <f ca="1">IFERROR(__xludf.DUMMYFUNCTION("""COMPUTED_VALUE"""),40331.7055555555)</f>
        <v>40331.705555555498</v>
      </c>
      <c r="H102" s="111">
        <f ca="1">IFERROR(__xludf.DUMMYFUNCTION("""COMPUTED_VALUE"""),29.1)</f>
        <v>29.1</v>
      </c>
      <c r="I102" s="112">
        <f ca="1">IFERROR(__xludf.DUMMYFUNCTION("""COMPUTED_VALUE"""),44686.7055555555)</f>
        <v>44686.705555555498</v>
      </c>
      <c r="J102" s="111">
        <f ca="1">IFERROR(__xludf.DUMMYFUNCTION("""COMPUTED_VALUE"""),4.54)</f>
        <v>4.54</v>
      </c>
      <c r="K102" s="112">
        <f ca="1">IFERROR(__xludf.DUMMYFUNCTION("""COMPUTED_VALUE"""),40819.7055555555)</f>
        <v>40819.705555555498</v>
      </c>
      <c r="L102" s="111">
        <f ca="1">IFERROR(__xludf.DUMMYFUNCTION("""COMPUTED_VALUE"""),0.35)</f>
        <v>0.35</v>
      </c>
      <c r="M102" s="112">
        <f ca="1">IFERROR(__xludf.DUMMYFUNCTION("""COMPUTED_VALUE"""),40326.7055555555)</f>
        <v>40326.705555555498</v>
      </c>
      <c r="N102" s="111">
        <f ca="1">IFERROR(__xludf.DUMMYFUNCTION("""COMPUTED_VALUE"""),10.47)</f>
        <v>10.47</v>
      </c>
      <c r="O102" s="112">
        <f ca="1">IFERROR(__xludf.DUMMYFUNCTION("""COMPUTED_VALUE"""),40331.7055555555)</f>
        <v>40331.705555555498</v>
      </c>
      <c r="P102" s="111">
        <f ca="1">IFERROR(__xludf.DUMMYFUNCTION("""COMPUTED_VALUE"""),49.95)</f>
        <v>49.95</v>
      </c>
      <c r="Q102" s="112">
        <f ca="1">IFERROR(__xludf.DUMMYFUNCTION("""COMPUTED_VALUE"""),40331.7055555555)</f>
        <v>40331.705555555498</v>
      </c>
      <c r="R102" s="111">
        <f ca="1">IFERROR(__xludf.DUMMYFUNCTION("""COMPUTED_VALUE"""),26.71)</f>
        <v>26.71</v>
      </c>
      <c r="S102" s="112">
        <f ca="1">IFERROR(__xludf.DUMMYFUNCTION("""COMPUTED_VALUE"""),40331.7055555555)</f>
        <v>40331.705555555498</v>
      </c>
      <c r="T102" s="111">
        <f ca="1">IFERROR(__xludf.DUMMYFUNCTION("""COMPUTED_VALUE"""),6.5)</f>
        <v>6.5</v>
      </c>
    </row>
    <row r="103" spans="1:20" x14ac:dyDescent="0.3">
      <c r="A103" s="112">
        <f ca="1">IFERROR(__xludf.DUMMYFUNCTION("""COMPUTED_VALUE"""),40333.7055555555)</f>
        <v>40333.705555555498</v>
      </c>
      <c r="B103" s="111">
        <f ca="1">IFERROR(__xludf.DUMMYFUNCTION("""COMPUTED_VALUE"""),22.35)</f>
        <v>22.35</v>
      </c>
      <c r="C103" s="112">
        <f ca="1">IFERROR(__xludf.DUMMYFUNCTION("""COMPUTED_VALUE"""),40333.7055555555)</f>
        <v>40333.705555555498</v>
      </c>
      <c r="D103" s="111">
        <f ca="1">IFERROR(__xludf.DUMMYFUNCTION("""COMPUTED_VALUE"""),17.16)</f>
        <v>17.16</v>
      </c>
      <c r="E103" s="112">
        <f ca="1">IFERROR(__xludf.DUMMYFUNCTION("""COMPUTED_VALUE"""),40333.7055555555)</f>
        <v>40333.705555555498</v>
      </c>
      <c r="F103" s="111">
        <f ca="1">IFERROR(__xludf.DUMMYFUNCTION("""COMPUTED_VALUE"""),7.1)</f>
        <v>7.1</v>
      </c>
      <c r="G103" s="112">
        <f ca="1">IFERROR(__xludf.DUMMYFUNCTION("""COMPUTED_VALUE"""),40333.7055555555)</f>
        <v>40333.705555555498</v>
      </c>
      <c r="H103" s="111">
        <f ca="1">IFERROR(__xludf.DUMMYFUNCTION("""COMPUTED_VALUE"""),29.25)</f>
        <v>29.25</v>
      </c>
      <c r="I103" s="112">
        <f ca="1">IFERROR(__xludf.DUMMYFUNCTION("""COMPUTED_VALUE"""),44687.7055555555)</f>
        <v>44687.705555555498</v>
      </c>
      <c r="J103" s="111">
        <f ca="1">IFERROR(__xludf.DUMMYFUNCTION("""COMPUTED_VALUE"""),4.44)</f>
        <v>4.4400000000000004</v>
      </c>
      <c r="K103" s="112">
        <f ca="1">IFERROR(__xludf.DUMMYFUNCTION("""COMPUTED_VALUE"""),40821.7055555555)</f>
        <v>40821.705555555498</v>
      </c>
      <c r="L103" s="111">
        <f ca="1">IFERROR(__xludf.DUMMYFUNCTION("""COMPUTED_VALUE"""),0.36)</f>
        <v>0.36</v>
      </c>
      <c r="M103" s="112">
        <f ca="1">IFERROR(__xludf.DUMMYFUNCTION("""COMPUTED_VALUE"""),40329.7055555555)</f>
        <v>40329.705555555498</v>
      </c>
      <c r="N103" s="111">
        <f ca="1">IFERROR(__xludf.DUMMYFUNCTION("""COMPUTED_VALUE"""),10.79)</f>
        <v>10.79</v>
      </c>
      <c r="O103" s="112">
        <f ca="1">IFERROR(__xludf.DUMMYFUNCTION("""COMPUTED_VALUE"""),40333.7055555555)</f>
        <v>40333.705555555498</v>
      </c>
      <c r="P103" s="111">
        <f ca="1">IFERROR(__xludf.DUMMYFUNCTION("""COMPUTED_VALUE"""),47.59)</f>
        <v>47.59</v>
      </c>
      <c r="Q103" s="112">
        <f ca="1">IFERROR(__xludf.DUMMYFUNCTION("""COMPUTED_VALUE"""),40333.7055555555)</f>
        <v>40333.705555555498</v>
      </c>
      <c r="R103" s="111">
        <f ca="1">IFERROR(__xludf.DUMMYFUNCTION("""COMPUTED_VALUE"""),26.83)</f>
        <v>26.83</v>
      </c>
      <c r="S103" s="112">
        <f ca="1">IFERROR(__xludf.DUMMYFUNCTION("""COMPUTED_VALUE"""),40333.7055555555)</f>
        <v>40333.705555555498</v>
      </c>
      <c r="T103" s="111">
        <f ca="1">IFERROR(__xludf.DUMMYFUNCTION("""COMPUTED_VALUE"""),6.41)</f>
        <v>6.41</v>
      </c>
    </row>
    <row r="104" spans="1:20" x14ac:dyDescent="0.3">
      <c r="A104" s="112">
        <f ca="1">IFERROR(__xludf.DUMMYFUNCTION("""COMPUTED_VALUE"""),40336.7055555555)</f>
        <v>40336.705555555498</v>
      </c>
      <c r="B104" s="111">
        <f ca="1">IFERROR(__xludf.DUMMYFUNCTION("""COMPUTED_VALUE"""),22.16)</f>
        <v>22.16</v>
      </c>
      <c r="C104" s="112">
        <f ca="1">IFERROR(__xludf.DUMMYFUNCTION("""COMPUTED_VALUE"""),40336.7055555555)</f>
        <v>40336.705555555498</v>
      </c>
      <c r="D104" s="111">
        <f ca="1">IFERROR(__xludf.DUMMYFUNCTION("""COMPUTED_VALUE"""),16.63)</f>
        <v>16.63</v>
      </c>
      <c r="E104" s="112">
        <f ca="1">IFERROR(__xludf.DUMMYFUNCTION("""COMPUTED_VALUE"""),40336.7055555555)</f>
        <v>40336.705555555498</v>
      </c>
      <c r="F104" s="111">
        <f ca="1">IFERROR(__xludf.DUMMYFUNCTION("""COMPUTED_VALUE"""),6.93)</f>
        <v>6.93</v>
      </c>
      <c r="G104" s="112">
        <f ca="1">IFERROR(__xludf.DUMMYFUNCTION("""COMPUTED_VALUE"""),40336.7055555555)</f>
        <v>40336.705555555498</v>
      </c>
      <c r="H104" s="111">
        <f ca="1">IFERROR(__xludf.DUMMYFUNCTION("""COMPUTED_VALUE"""),29.52)</f>
        <v>29.52</v>
      </c>
      <c r="I104" s="112">
        <f ca="1">IFERROR(__xludf.DUMMYFUNCTION("""COMPUTED_VALUE"""),44690.7055555555)</f>
        <v>44690.705555555498</v>
      </c>
      <c r="J104" s="111">
        <f ca="1">IFERROR(__xludf.DUMMYFUNCTION("""COMPUTED_VALUE"""),3.8)</f>
        <v>3.8</v>
      </c>
      <c r="K104" s="112">
        <f ca="1">IFERROR(__xludf.DUMMYFUNCTION("""COMPUTED_VALUE"""),40822.7055555555)</f>
        <v>40822.705555555498</v>
      </c>
      <c r="L104" s="111">
        <f ca="1">IFERROR(__xludf.DUMMYFUNCTION("""COMPUTED_VALUE"""),0.36)</f>
        <v>0.36</v>
      </c>
      <c r="M104" s="112">
        <f ca="1">IFERROR(__xludf.DUMMYFUNCTION("""COMPUTED_VALUE"""),40330.7055555555)</f>
        <v>40330.705555555498</v>
      </c>
      <c r="N104" s="111">
        <f ca="1">IFERROR(__xludf.DUMMYFUNCTION("""COMPUTED_VALUE"""),10.56)</f>
        <v>10.56</v>
      </c>
      <c r="O104" s="112">
        <f ca="1">IFERROR(__xludf.DUMMYFUNCTION("""COMPUTED_VALUE"""),40336.7055555555)</f>
        <v>40336.705555555498</v>
      </c>
      <c r="P104" s="111">
        <f ca="1">IFERROR(__xludf.DUMMYFUNCTION("""COMPUTED_VALUE"""),46.1)</f>
        <v>46.1</v>
      </c>
      <c r="Q104" s="112">
        <f ca="1">IFERROR(__xludf.DUMMYFUNCTION("""COMPUTED_VALUE"""),40336.7055555555)</f>
        <v>40336.705555555498</v>
      </c>
      <c r="R104" s="111">
        <f ca="1">IFERROR(__xludf.DUMMYFUNCTION("""COMPUTED_VALUE"""),26.4)</f>
        <v>26.4</v>
      </c>
      <c r="S104" s="112">
        <f ca="1">IFERROR(__xludf.DUMMYFUNCTION("""COMPUTED_VALUE"""),40336.7055555555)</f>
        <v>40336.705555555498</v>
      </c>
      <c r="T104" s="111">
        <f ca="1">IFERROR(__xludf.DUMMYFUNCTION("""COMPUTED_VALUE"""),6.57)</f>
        <v>6.57</v>
      </c>
    </row>
    <row r="105" spans="1:20" x14ac:dyDescent="0.3">
      <c r="A105" s="112">
        <f ca="1">IFERROR(__xludf.DUMMYFUNCTION("""COMPUTED_VALUE"""),40337.7055555555)</f>
        <v>40337.705555555498</v>
      </c>
      <c r="B105" s="111">
        <f ca="1">IFERROR(__xludf.DUMMYFUNCTION("""COMPUTED_VALUE"""),21.94)</f>
        <v>21.94</v>
      </c>
      <c r="C105" s="112">
        <f ca="1">IFERROR(__xludf.DUMMYFUNCTION("""COMPUTED_VALUE"""),40337.7055555555)</f>
        <v>40337.705555555498</v>
      </c>
      <c r="D105" s="111">
        <f ca="1">IFERROR(__xludf.DUMMYFUNCTION("""COMPUTED_VALUE"""),16.93)</f>
        <v>16.93</v>
      </c>
      <c r="E105" s="112">
        <f ca="1">IFERROR(__xludf.DUMMYFUNCTION("""COMPUTED_VALUE"""),40337.7055555555)</f>
        <v>40337.705555555498</v>
      </c>
      <c r="F105" s="111">
        <f ca="1">IFERROR(__xludf.DUMMYFUNCTION("""COMPUTED_VALUE"""),7.17)</f>
        <v>7.17</v>
      </c>
      <c r="G105" s="112">
        <f ca="1">IFERROR(__xludf.DUMMYFUNCTION("""COMPUTED_VALUE"""),40337.7055555555)</f>
        <v>40337.705555555498</v>
      </c>
      <c r="H105" s="111">
        <f ca="1">IFERROR(__xludf.DUMMYFUNCTION("""COMPUTED_VALUE"""),29.66)</f>
        <v>29.66</v>
      </c>
      <c r="I105" s="112">
        <f ca="1">IFERROR(__xludf.DUMMYFUNCTION("""COMPUTED_VALUE"""),44691.7055555555)</f>
        <v>44691.705555555498</v>
      </c>
      <c r="J105" s="111">
        <f ca="1">IFERROR(__xludf.DUMMYFUNCTION("""COMPUTED_VALUE"""),3.77)</f>
        <v>3.77</v>
      </c>
      <c r="K105" s="112">
        <f ca="1">IFERROR(__xludf.DUMMYFUNCTION("""COMPUTED_VALUE"""),40823.7055555555)</f>
        <v>40823.705555555498</v>
      </c>
      <c r="L105" s="111">
        <f ca="1">IFERROR(__xludf.DUMMYFUNCTION("""COMPUTED_VALUE"""),0.35)</f>
        <v>0.35</v>
      </c>
      <c r="M105" s="112">
        <f ca="1">IFERROR(__xludf.DUMMYFUNCTION("""COMPUTED_VALUE"""),40331.7055555555)</f>
        <v>40331.705555555498</v>
      </c>
      <c r="N105" s="111">
        <f ca="1">IFERROR(__xludf.DUMMYFUNCTION("""COMPUTED_VALUE"""),10.75)</f>
        <v>10.75</v>
      </c>
      <c r="O105" s="112">
        <f ca="1">IFERROR(__xludf.DUMMYFUNCTION("""COMPUTED_VALUE"""),40337.7055555555)</f>
        <v>40337.705555555498</v>
      </c>
      <c r="P105" s="111">
        <f ca="1">IFERROR(__xludf.DUMMYFUNCTION("""COMPUTED_VALUE"""),46.59)</f>
        <v>46.59</v>
      </c>
      <c r="Q105" s="112">
        <f ca="1">IFERROR(__xludf.DUMMYFUNCTION("""COMPUTED_VALUE"""),40337.7055555555)</f>
        <v>40337.705555555498</v>
      </c>
      <c r="R105" s="111">
        <f ca="1">IFERROR(__xludf.DUMMYFUNCTION("""COMPUTED_VALUE"""),26.55)</f>
        <v>26.55</v>
      </c>
      <c r="S105" s="112">
        <f ca="1">IFERROR(__xludf.DUMMYFUNCTION("""COMPUTED_VALUE"""),40337.7055555555)</f>
        <v>40337.705555555498</v>
      </c>
      <c r="T105" s="111">
        <f ca="1">IFERROR(__xludf.DUMMYFUNCTION("""COMPUTED_VALUE"""),6.67)</f>
        <v>6.67</v>
      </c>
    </row>
    <row r="106" spans="1:20" x14ac:dyDescent="0.3">
      <c r="A106" s="112">
        <f ca="1">IFERROR(__xludf.DUMMYFUNCTION("""COMPUTED_VALUE"""),40338.7055555555)</f>
        <v>40338.705555555498</v>
      </c>
      <c r="B106" s="111">
        <f ca="1">IFERROR(__xludf.DUMMYFUNCTION("""COMPUTED_VALUE"""),21.87)</f>
        <v>21.87</v>
      </c>
      <c r="C106" s="112">
        <f ca="1">IFERROR(__xludf.DUMMYFUNCTION("""COMPUTED_VALUE"""),40338.7055555555)</f>
        <v>40338.705555555498</v>
      </c>
      <c r="D106" s="111">
        <f ca="1">IFERROR(__xludf.DUMMYFUNCTION("""COMPUTED_VALUE"""),16.78)</f>
        <v>16.78</v>
      </c>
      <c r="E106" s="112">
        <f ca="1">IFERROR(__xludf.DUMMYFUNCTION("""COMPUTED_VALUE"""),40338.7055555555)</f>
        <v>40338.705555555498</v>
      </c>
      <c r="F106" s="111">
        <f ca="1">IFERROR(__xludf.DUMMYFUNCTION("""COMPUTED_VALUE"""),7.1)</f>
        <v>7.1</v>
      </c>
      <c r="G106" s="112">
        <f ca="1">IFERROR(__xludf.DUMMYFUNCTION("""COMPUTED_VALUE"""),40338.7055555555)</f>
        <v>40338.705555555498</v>
      </c>
      <c r="H106" s="111">
        <f ca="1">IFERROR(__xludf.DUMMYFUNCTION("""COMPUTED_VALUE"""),29.55)</f>
        <v>29.55</v>
      </c>
      <c r="I106" s="112">
        <f ca="1">IFERROR(__xludf.DUMMYFUNCTION("""COMPUTED_VALUE"""),44692.7055555555)</f>
        <v>44692.705555555498</v>
      </c>
      <c r="J106" s="111">
        <f ca="1">IFERROR(__xludf.DUMMYFUNCTION("""COMPUTED_VALUE"""),3.23)</f>
        <v>3.23</v>
      </c>
      <c r="K106" s="112">
        <f ca="1">IFERROR(__xludf.DUMMYFUNCTION("""COMPUTED_VALUE"""),40826.7055555555)</f>
        <v>40826.705555555498</v>
      </c>
      <c r="L106" s="111">
        <f ca="1">IFERROR(__xludf.DUMMYFUNCTION("""COMPUTED_VALUE"""),0.36)</f>
        <v>0.36</v>
      </c>
      <c r="M106" s="112">
        <f ca="1">IFERROR(__xludf.DUMMYFUNCTION("""COMPUTED_VALUE"""),40333.7055555555)</f>
        <v>40333.705555555498</v>
      </c>
      <c r="N106" s="111">
        <f ca="1">IFERROR(__xludf.DUMMYFUNCTION("""COMPUTED_VALUE"""),10.65)</f>
        <v>10.65</v>
      </c>
      <c r="O106" s="112">
        <f ca="1">IFERROR(__xludf.DUMMYFUNCTION("""COMPUTED_VALUE"""),40338.7055555555)</f>
        <v>40338.705555555498</v>
      </c>
      <c r="P106" s="111">
        <f ca="1">IFERROR(__xludf.DUMMYFUNCTION("""COMPUTED_VALUE"""),46.76)</f>
        <v>46.76</v>
      </c>
      <c r="Q106" s="112">
        <f ca="1">IFERROR(__xludf.DUMMYFUNCTION("""COMPUTED_VALUE"""),40338.7055555555)</f>
        <v>40338.705555555498</v>
      </c>
      <c r="R106" s="111">
        <f ca="1">IFERROR(__xludf.DUMMYFUNCTION("""COMPUTED_VALUE"""),26.25)</f>
        <v>26.25</v>
      </c>
      <c r="S106" s="112">
        <f ca="1">IFERROR(__xludf.DUMMYFUNCTION("""COMPUTED_VALUE"""),40338.7055555555)</f>
        <v>40338.705555555498</v>
      </c>
      <c r="T106" s="111">
        <f ca="1">IFERROR(__xludf.DUMMYFUNCTION("""COMPUTED_VALUE"""),6.51)</f>
        <v>6.51</v>
      </c>
    </row>
    <row r="107" spans="1:20" x14ac:dyDescent="0.3">
      <c r="A107" s="112">
        <f ca="1">IFERROR(__xludf.DUMMYFUNCTION("""COMPUTED_VALUE"""),40339.7055555555)</f>
        <v>40339.705555555498</v>
      </c>
      <c r="B107" s="111">
        <f ca="1">IFERROR(__xludf.DUMMYFUNCTION("""COMPUTED_VALUE"""),22.1)</f>
        <v>22.1</v>
      </c>
      <c r="C107" s="112">
        <f ca="1">IFERROR(__xludf.DUMMYFUNCTION("""COMPUTED_VALUE"""),40339.7055555555)</f>
        <v>40339.705555555498</v>
      </c>
      <c r="D107" s="111">
        <f ca="1">IFERROR(__xludf.DUMMYFUNCTION("""COMPUTED_VALUE"""),17.23)</f>
        <v>17.23</v>
      </c>
      <c r="E107" s="112">
        <f ca="1">IFERROR(__xludf.DUMMYFUNCTION("""COMPUTED_VALUE"""),40339.7055555555)</f>
        <v>40339.705555555498</v>
      </c>
      <c r="F107" s="111">
        <f ca="1">IFERROR(__xludf.DUMMYFUNCTION("""COMPUTED_VALUE"""),7.27)</f>
        <v>7.27</v>
      </c>
      <c r="G107" s="112">
        <f ca="1">IFERROR(__xludf.DUMMYFUNCTION("""COMPUTED_VALUE"""),40339.7055555555)</f>
        <v>40339.705555555498</v>
      </c>
      <c r="H107" s="111">
        <f ca="1">IFERROR(__xludf.DUMMYFUNCTION("""COMPUTED_VALUE"""),29.9)</f>
        <v>29.9</v>
      </c>
      <c r="I107" s="112">
        <f ca="1">IFERROR(__xludf.DUMMYFUNCTION("""COMPUTED_VALUE"""),44693.7055555555)</f>
        <v>44693.705555555498</v>
      </c>
      <c r="J107" s="111">
        <f ca="1">IFERROR(__xludf.DUMMYFUNCTION("""COMPUTED_VALUE"""),3.4)</f>
        <v>3.4</v>
      </c>
      <c r="K107" s="112">
        <f ca="1">IFERROR(__xludf.DUMMYFUNCTION("""COMPUTED_VALUE"""),40827.7055555555)</f>
        <v>40827.705555555498</v>
      </c>
      <c r="L107" s="111">
        <f ca="1">IFERROR(__xludf.DUMMYFUNCTION("""COMPUTED_VALUE"""),0.36)</f>
        <v>0.36</v>
      </c>
      <c r="M107" s="112">
        <f ca="1">IFERROR(__xludf.DUMMYFUNCTION("""COMPUTED_VALUE"""),40336.7055555555)</f>
        <v>40336.705555555498</v>
      </c>
      <c r="N107" s="111">
        <f ca="1">IFERROR(__xludf.DUMMYFUNCTION("""COMPUTED_VALUE"""),10.44)</f>
        <v>10.44</v>
      </c>
      <c r="O107" s="112">
        <f ca="1">IFERROR(__xludf.DUMMYFUNCTION("""COMPUTED_VALUE"""),40339.7055555555)</f>
        <v>40339.705555555498</v>
      </c>
      <c r="P107" s="111">
        <f ca="1">IFERROR(__xludf.DUMMYFUNCTION("""COMPUTED_VALUE"""),47.61)</f>
        <v>47.61</v>
      </c>
      <c r="Q107" s="112">
        <f ca="1">IFERROR(__xludf.DUMMYFUNCTION("""COMPUTED_VALUE"""),40339.7055555555)</f>
        <v>40339.705555555498</v>
      </c>
      <c r="R107" s="111">
        <f ca="1">IFERROR(__xludf.DUMMYFUNCTION("""COMPUTED_VALUE"""),26.76)</f>
        <v>26.76</v>
      </c>
      <c r="S107" s="112">
        <f ca="1">IFERROR(__xludf.DUMMYFUNCTION("""COMPUTED_VALUE"""),40339.7055555555)</f>
        <v>40339.705555555498</v>
      </c>
      <c r="T107" s="111">
        <f ca="1">IFERROR(__xludf.DUMMYFUNCTION("""COMPUTED_VALUE"""),6.58)</f>
        <v>6.58</v>
      </c>
    </row>
    <row r="108" spans="1:20" x14ac:dyDescent="0.3">
      <c r="A108" s="112">
        <f ca="1">IFERROR(__xludf.DUMMYFUNCTION("""COMPUTED_VALUE"""),40340.7055555555)</f>
        <v>40340.705555555498</v>
      </c>
      <c r="B108" s="111">
        <f ca="1">IFERROR(__xludf.DUMMYFUNCTION("""COMPUTED_VALUE"""),22.62)</f>
        <v>22.62</v>
      </c>
      <c r="C108" s="112">
        <f ca="1">IFERROR(__xludf.DUMMYFUNCTION("""COMPUTED_VALUE"""),40340.7055555555)</f>
        <v>40340.705555555498</v>
      </c>
      <c r="D108" s="111">
        <f ca="1">IFERROR(__xludf.DUMMYFUNCTION("""COMPUTED_VALUE"""),17.49)</f>
        <v>17.489999999999998</v>
      </c>
      <c r="E108" s="112">
        <f ca="1">IFERROR(__xludf.DUMMYFUNCTION("""COMPUTED_VALUE"""),40340.7055555555)</f>
        <v>40340.705555555498</v>
      </c>
      <c r="F108" s="111">
        <f ca="1">IFERROR(__xludf.DUMMYFUNCTION("""COMPUTED_VALUE"""),7.45)</f>
        <v>7.45</v>
      </c>
      <c r="G108" s="112">
        <f ca="1">IFERROR(__xludf.DUMMYFUNCTION("""COMPUTED_VALUE"""),40340.7055555555)</f>
        <v>40340.705555555498</v>
      </c>
      <c r="H108" s="111">
        <f ca="1">IFERROR(__xludf.DUMMYFUNCTION("""COMPUTED_VALUE"""),29.62)</f>
        <v>29.62</v>
      </c>
      <c r="I108" s="112">
        <f ca="1">IFERROR(__xludf.DUMMYFUNCTION("""COMPUTED_VALUE"""),44694.7055555555)</f>
        <v>44694.705555555498</v>
      </c>
      <c r="J108" s="111">
        <f ca="1">IFERROR(__xludf.DUMMYFUNCTION("""COMPUTED_VALUE"""),4.04)</f>
        <v>4.04</v>
      </c>
      <c r="K108" s="112">
        <f ca="1">IFERROR(__xludf.DUMMYFUNCTION("""COMPUTED_VALUE"""),40829.7055555555)</f>
        <v>40829.705555555498</v>
      </c>
      <c r="L108" s="111">
        <f ca="1">IFERROR(__xludf.DUMMYFUNCTION("""COMPUTED_VALUE"""),0.37)</f>
        <v>0.37</v>
      </c>
      <c r="M108" s="112">
        <f ca="1">IFERROR(__xludf.DUMMYFUNCTION("""COMPUTED_VALUE"""),40337.7055555555)</f>
        <v>40337.705555555498</v>
      </c>
      <c r="N108" s="111">
        <f ca="1">IFERROR(__xludf.DUMMYFUNCTION("""COMPUTED_VALUE"""),10.48)</f>
        <v>10.48</v>
      </c>
      <c r="O108" s="112">
        <f ca="1">IFERROR(__xludf.DUMMYFUNCTION("""COMPUTED_VALUE"""),40340.7055555555)</f>
        <v>40340.705555555498</v>
      </c>
      <c r="P108" s="111">
        <f ca="1">IFERROR(__xludf.DUMMYFUNCTION("""COMPUTED_VALUE"""),48.19)</f>
        <v>48.19</v>
      </c>
      <c r="Q108" s="112">
        <f ca="1">IFERROR(__xludf.DUMMYFUNCTION("""COMPUTED_VALUE"""),40340.7055555555)</f>
        <v>40340.705555555498</v>
      </c>
      <c r="R108" s="111">
        <f ca="1">IFERROR(__xludf.DUMMYFUNCTION("""COMPUTED_VALUE"""),26.9)</f>
        <v>26.9</v>
      </c>
      <c r="S108" s="112">
        <f ca="1">IFERROR(__xludf.DUMMYFUNCTION("""COMPUTED_VALUE"""),40340.7055555555)</f>
        <v>40340.705555555498</v>
      </c>
      <c r="T108" s="111">
        <f ca="1">IFERROR(__xludf.DUMMYFUNCTION("""COMPUTED_VALUE"""),6.84)</f>
        <v>6.84</v>
      </c>
    </row>
    <row r="109" spans="1:20" x14ac:dyDescent="0.3">
      <c r="A109" s="112">
        <f ca="1">IFERROR(__xludf.DUMMYFUNCTION("""COMPUTED_VALUE"""),40343.7055555555)</f>
        <v>40343.705555555498</v>
      </c>
      <c r="B109" s="111">
        <f ca="1">IFERROR(__xludf.DUMMYFUNCTION("""COMPUTED_VALUE"""),22.79)</f>
        <v>22.79</v>
      </c>
      <c r="C109" s="112">
        <f ca="1">IFERROR(__xludf.DUMMYFUNCTION("""COMPUTED_VALUE"""),40343.7055555555)</f>
        <v>40343.705555555498</v>
      </c>
      <c r="D109" s="111">
        <f ca="1">IFERROR(__xludf.DUMMYFUNCTION("""COMPUTED_VALUE"""),17.21)</f>
        <v>17.21</v>
      </c>
      <c r="E109" s="112">
        <f ca="1">IFERROR(__xludf.DUMMYFUNCTION("""COMPUTED_VALUE"""),40343.7055555555)</f>
        <v>40343.705555555498</v>
      </c>
      <c r="F109" s="111">
        <f ca="1">IFERROR(__xludf.DUMMYFUNCTION("""COMPUTED_VALUE"""),7.32)</f>
        <v>7.32</v>
      </c>
      <c r="G109" s="112">
        <f ca="1">IFERROR(__xludf.DUMMYFUNCTION("""COMPUTED_VALUE"""),40343.7055555555)</f>
        <v>40343.705555555498</v>
      </c>
      <c r="H109" s="111">
        <f ca="1">IFERROR(__xludf.DUMMYFUNCTION("""COMPUTED_VALUE"""),29.05)</f>
        <v>29.05</v>
      </c>
      <c r="I109" s="112">
        <f ca="1">IFERROR(__xludf.DUMMYFUNCTION("""COMPUTED_VALUE"""),44697.7055555555)</f>
        <v>44697.705555555498</v>
      </c>
      <c r="J109" s="111">
        <f ca="1">IFERROR(__xludf.DUMMYFUNCTION("""COMPUTED_VALUE"""),3.65)</f>
        <v>3.65</v>
      </c>
      <c r="K109" s="112">
        <f ca="1">IFERROR(__xludf.DUMMYFUNCTION("""COMPUTED_VALUE"""),40830.7055555555)</f>
        <v>40830.705555555498</v>
      </c>
      <c r="L109" s="111">
        <f ca="1">IFERROR(__xludf.DUMMYFUNCTION("""COMPUTED_VALUE"""),0.38)</f>
        <v>0.38</v>
      </c>
      <c r="M109" s="112">
        <f ca="1">IFERROR(__xludf.DUMMYFUNCTION("""COMPUTED_VALUE"""),40338.7055555555)</f>
        <v>40338.705555555498</v>
      </c>
      <c r="N109" s="111">
        <f ca="1">IFERROR(__xludf.DUMMYFUNCTION("""COMPUTED_VALUE"""),10.35)</f>
        <v>10.35</v>
      </c>
      <c r="O109" s="112">
        <f ca="1">IFERROR(__xludf.DUMMYFUNCTION("""COMPUTED_VALUE"""),40343.7055555555)</f>
        <v>40343.705555555498</v>
      </c>
      <c r="P109" s="111">
        <f ca="1">IFERROR(__xludf.DUMMYFUNCTION("""COMPUTED_VALUE"""),48.22)</f>
        <v>48.22</v>
      </c>
      <c r="Q109" s="112">
        <f ca="1">IFERROR(__xludf.DUMMYFUNCTION("""COMPUTED_VALUE"""),40343.7055555555)</f>
        <v>40343.705555555498</v>
      </c>
      <c r="R109" s="111">
        <f ca="1">IFERROR(__xludf.DUMMYFUNCTION("""COMPUTED_VALUE"""),27.5)</f>
        <v>27.5</v>
      </c>
      <c r="S109" s="112">
        <f ca="1">IFERROR(__xludf.DUMMYFUNCTION("""COMPUTED_VALUE"""),40343.7055555555)</f>
        <v>40343.705555555498</v>
      </c>
      <c r="T109" s="111">
        <f ca="1">IFERROR(__xludf.DUMMYFUNCTION("""COMPUTED_VALUE"""),6.86)</f>
        <v>6.86</v>
      </c>
    </row>
    <row r="110" spans="1:20" x14ac:dyDescent="0.3">
      <c r="A110" s="112">
        <f ca="1">IFERROR(__xludf.DUMMYFUNCTION("""COMPUTED_VALUE"""),40344.7055555555)</f>
        <v>40344.705555555498</v>
      </c>
      <c r="B110" s="111">
        <f ca="1">IFERROR(__xludf.DUMMYFUNCTION("""COMPUTED_VALUE"""),23.23)</f>
        <v>23.23</v>
      </c>
      <c r="C110" s="112">
        <f ca="1">IFERROR(__xludf.DUMMYFUNCTION("""COMPUTED_VALUE"""),40344.7055555555)</f>
        <v>40344.705555555498</v>
      </c>
      <c r="D110" s="111">
        <f ca="1">IFERROR(__xludf.DUMMYFUNCTION("""COMPUTED_VALUE"""),17.63)</f>
        <v>17.63</v>
      </c>
      <c r="E110" s="112">
        <f ca="1">IFERROR(__xludf.DUMMYFUNCTION("""COMPUTED_VALUE"""),40344.7055555555)</f>
        <v>40344.705555555498</v>
      </c>
      <c r="F110" s="111">
        <f ca="1">IFERROR(__xludf.DUMMYFUNCTION("""COMPUTED_VALUE"""),7.46)</f>
        <v>7.46</v>
      </c>
      <c r="G110" s="112">
        <f ca="1">IFERROR(__xludf.DUMMYFUNCTION("""COMPUTED_VALUE"""),40344.7055555555)</f>
        <v>40344.705555555498</v>
      </c>
      <c r="H110" s="111">
        <f ca="1">IFERROR(__xludf.DUMMYFUNCTION("""COMPUTED_VALUE"""),29)</f>
        <v>29</v>
      </c>
      <c r="I110" s="112">
        <f ca="1">IFERROR(__xludf.DUMMYFUNCTION("""COMPUTED_VALUE"""),44698.7055555555)</f>
        <v>44698.705555555498</v>
      </c>
      <c r="J110" s="111">
        <f ca="1">IFERROR(__xludf.DUMMYFUNCTION("""COMPUTED_VALUE"""),3.38)</f>
        <v>3.38</v>
      </c>
      <c r="K110" s="112">
        <f ca="1">IFERROR(__xludf.DUMMYFUNCTION("""COMPUTED_VALUE"""),40834.7055555555)</f>
        <v>40834.705555555498</v>
      </c>
      <c r="L110" s="111">
        <f ca="1">IFERROR(__xludf.DUMMYFUNCTION("""COMPUTED_VALUE"""),0.37)</f>
        <v>0.37</v>
      </c>
      <c r="M110" s="112">
        <f ca="1">IFERROR(__xludf.DUMMYFUNCTION("""COMPUTED_VALUE"""),40339.7055555555)</f>
        <v>40339.705555555498</v>
      </c>
      <c r="N110" s="111">
        <f ca="1">IFERROR(__xludf.DUMMYFUNCTION("""COMPUTED_VALUE"""),10.59)</f>
        <v>10.59</v>
      </c>
      <c r="O110" s="112">
        <f ca="1">IFERROR(__xludf.DUMMYFUNCTION("""COMPUTED_VALUE"""),40344.7055555555)</f>
        <v>40344.705555555498</v>
      </c>
      <c r="P110" s="111">
        <f ca="1">IFERROR(__xludf.DUMMYFUNCTION("""COMPUTED_VALUE"""),48.91)</f>
        <v>48.91</v>
      </c>
      <c r="Q110" s="112">
        <f ca="1">IFERROR(__xludf.DUMMYFUNCTION("""COMPUTED_VALUE"""),40344.7055555555)</f>
        <v>40344.705555555498</v>
      </c>
      <c r="R110" s="111">
        <f ca="1">IFERROR(__xludf.DUMMYFUNCTION("""COMPUTED_VALUE"""),27.22)</f>
        <v>27.22</v>
      </c>
      <c r="S110" s="112">
        <f ca="1">IFERROR(__xludf.DUMMYFUNCTION("""COMPUTED_VALUE"""),40344.7055555555)</f>
        <v>40344.705555555498</v>
      </c>
      <c r="T110" s="111">
        <f ca="1">IFERROR(__xludf.DUMMYFUNCTION("""COMPUTED_VALUE"""),6.95)</f>
        <v>6.95</v>
      </c>
    </row>
    <row r="111" spans="1:20" x14ac:dyDescent="0.3">
      <c r="A111" s="112">
        <f ca="1">IFERROR(__xludf.DUMMYFUNCTION("""COMPUTED_VALUE"""),40345.7055555555)</f>
        <v>40345.705555555498</v>
      </c>
      <c r="B111" s="111">
        <f ca="1">IFERROR(__xludf.DUMMYFUNCTION("""COMPUTED_VALUE"""),23.93)</f>
        <v>23.93</v>
      </c>
      <c r="C111" s="112">
        <f ca="1">IFERROR(__xludf.DUMMYFUNCTION("""COMPUTED_VALUE"""),40345.7055555555)</f>
        <v>40345.705555555498</v>
      </c>
      <c r="D111" s="111">
        <f ca="1">IFERROR(__xludf.DUMMYFUNCTION("""COMPUTED_VALUE"""),17.68)</f>
        <v>17.68</v>
      </c>
      <c r="E111" s="112">
        <f ca="1">IFERROR(__xludf.DUMMYFUNCTION("""COMPUTED_VALUE"""),40345.7055555555)</f>
        <v>40345.705555555498</v>
      </c>
      <c r="F111" s="111">
        <f ca="1">IFERROR(__xludf.DUMMYFUNCTION("""COMPUTED_VALUE"""),7.61)</f>
        <v>7.61</v>
      </c>
      <c r="G111" s="112">
        <f ca="1">IFERROR(__xludf.DUMMYFUNCTION("""COMPUTED_VALUE"""),40345.7055555555)</f>
        <v>40345.705555555498</v>
      </c>
      <c r="H111" s="111">
        <f ca="1">IFERROR(__xludf.DUMMYFUNCTION("""COMPUTED_VALUE"""),29.65)</f>
        <v>29.65</v>
      </c>
      <c r="I111" s="112">
        <f ca="1">IFERROR(__xludf.DUMMYFUNCTION("""COMPUTED_VALUE"""),44699.7055555555)</f>
        <v>44699.705555555498</v>
      </c>
      <c r="J111" s="111">
        <f ca="1">IFERROR(__xludf.DUMMYFUNCTION("""COMPUTED_VALUE"""),3.22)</f>
        <v>3.22</v>
      </c>
      <c r="K111" s="112">
        <f ca="1">IFERROR(__xludf.DUMMYFUNCTION("""COMPUTED_VALUE"""),40835.7055555555)</f>
        <v>40835.705555555498</v>
      </c>
      <c r="L111" s="111">
        <f ca="1">IFERROR(__xludf.DUMMYFUNCTION("""COMPUTED_VALUE"""),0.39)</f>
        <v>0.39</v>
      </c>
      <c r="M111" s="112">
        <f ca="1">IFERROR(__xludf.DUMMYFUNCTION("""COMPUTED_VALUE"""),40340.7055555555)</f>
        <v>40340.705555555498</v>
      </c>
      <c r="N111" s="111">
        <f ca="1">IFERROR(__xludf.DUMMYFUNCTION("""COMPUTED_VALUE"""),10.7)</f>
        <v>10.7</v>
      </c>
      <c r="O111" s="112">
        <f ca="1">IFERROR(__xludf.DUMMYFUNCTION("""COMPUTED_VALUE"""),40345.7055555555)</f>
        <v>40345.705555555498</v>
      </c>
      <c r="P111" s="111">
        <f ca="1">IFERROR(__xludf.DUMMYFUNCTION("""COMPUTED_VALUE"""),48.3)</f>
        <v>48.3</v>
      </c>
      <c r="Q111" s="112">
        <f ca="1">IFERROR(__xludf.DUMMYFUNCTION("""COMPUTED_VALUE"""),40345.7055555555)</f>
        <v>40345.705555555498</v>
      </c>
      <c r="R111" s="111">
        <f ca="1">IFERROR(__xludf.DUMMYFUNCTION("""COMPUTED_VALUE"""),27.39)</f>
        <v>27.39</v>
      </c>
      <c r="S111" s="112">
        <f ca="1">IFERROR(__xludf.DUMMYFUNCTION("""COMPUTED_VALUE"""),40345.7055555555)</f>
        <v>40345.705555555498</v>
      </c>
      <c r="T111" s="111">
        <f ca="1">IFERROR(__xludf.DUMMYFUNCTION("""COMPUTED_VALUE"""),7.21)</f>
        <v>7.21</v>
      </c>
    </row>
    <row r="112" spans="1:20" x14ac:dyDescent="0.3">
      <c r="A112" s="112">
        <f ca="1">IFERROR(__xludf.DUMMYFUNCTION("""COMPUTED_VALUE"""),40350.7055555555)</f>
        <v>40350.705555555498</v>
      </c>
      <c r="B112" s="111">
        <f ca="1">IFERROR(__xludf.DUMMYFUNCTION("""COMPUTED_VALUE"""),24.04)</f>
        <v>24.04</v>
      </c>
      <c r="C112" s="112">
        <f ca="1">IFERROR(__xludf.DUMMYFUNCTION("""COMPUTED_VALUE"""),40350.7055555555)</f>
        <v>40350.705555555498</v>
      </c>
      <c r="D112" s="111">
        <f ca="1">IFERROR(__xludf.DUMMYFUNCTION("""COMPUTED_VALUE"""),17.76)</f>
        <v>17.760000000000002</v>
      </c>
      <c r="E112" s="112">
        <f ca="1">IFERROR(__xludf.DUMMYFUNCTION("""COMPUTED_VALUE"""),40350.7055555555)</f>
        <v>40350.705555555498</v>
      </c>
      <c r="F112" s="111">
        <f ca="1">IFERROR(__xludf.DUMMYFUNCTION("""COMPUTED_VALUE"""),7.59)</f>
        <v>7.59</v>
      </c>
      <c r="G112" s="112">
        <f ca="1">IFERROR(__xludf.DUMMYFUNCTION("""COMPUTED_VALUE"""),40350.7055555555)</f>
        <v>40350.705555555498</v>
      </c>
      <c r="H112" s="111">
        <f ca="1">IFERROR(__xludf.DUMMYFUNCTION("""COMPUTED_VALUE"""),29.4)</f>
        <v>29.4</v>
      </c>
      <c r="I112" s="112">
        <f ca="1">IFERROR(__xludf.DUMMYFUNCTION("""COMPUTED_VALUE"""),44700.7055555555)</f>
        <v>44700.705555555498</v>
      </c>
      <c r="J112" s="111">
        <f ca="1">IFERROR(__xludf.DUMMYFUNCTION("""COMPUTED_VALUE"""),3.49)</f>
        <v>3.49</v>
      </c>
      <c r="K112" s="112">
        <f ca="1">IFERROR(__xludf.DUMMYFUNCTION("""COMPUTED_VALUE"""),40836.7055555555)</f>
        <v>40836.705555555498</v>
      </c>
      <c r="L112" s="111">
        <f ca="1">IFERROR(__xludf.DUMMYFUNCTION("""COMPUTED_VALUE"""),0.39)</f>
        <v>0.39</v>
      </c>
      <c r="M112" s="112">
        <f ca="1">IFERROR(__xludf.DUMMYFUNCTION("""COMPUTED_VALUE"""),40343.7055555555)</f>
        <v>40343.705555555498</v>
      </c>
      <c r="N112" s="111">
        <f ca="1">IFERROR(__xludf.DUMMYFUNCTION("""COMPUTED_VALUE"""),10.57)</f>
        <v>10.57</v>
      </c>
      <c r="O112" s="112">
        <f ca="1">IFERROR(__xludf.DUMMYFUNCTION("""COMPUTED_VALUE"""),40350.7055555555)</f>
        <v>40350.705555555498</v>
      </c>
      <c r="P112" s="111">
        <f ca="1">IFERROR(__xludf.DUMMYFUNCTION("""COMPUTED_VALUE"""),48.47)</f>
        <v>48.47</v>
      </c>
      <c r="Q112" s="112">
        <f ca="1">IFERROR(__xludf.DUMMYFUNCTION("""COMPUTED_VALUE"""),40350.7055555555)</f>
        <v>40350.705555555498</v>
      </c>
      <c r="R112" s="111">
        <f ca="1">IFERROR(__xludf.DUMMYFUNCTION("""COMPUTED_VALUE"""),28.19)</f>
        <v>28.19</v>
      </c>
      <c r="S112" s="112">
        <f ca="1">IFERROR(__xludf.DUMMYFUNCTION("""COMPUTED_VALUE"""),40350.7055555555)</f>
        <v>40350.705555555498</v>
      </c>
      <c r="T112" s="111">
        <f ca="1">IFERROR(__xludf.DUMMYFUNCTION("""COMPUTED_VALUE"""),7.06)</f>
        <v>7.06</v>
      </c>
    </row>
    <row r="113" spans="1:20" x14ac:dyDescent="0.3">
      <c r="A113" s="112">
        <f ca="1">IFERROR(__xludf.DUMMYFUNCTION("""COMPUTED_VALUE"""),40351.7055555555)</f>
        <v>40351.705555555498</v>
      </c>
      <c r="B113" s="111">
        <f ca="1">IFERROR(__xludf.DUMMYFUNCTION("""COMPUTED_VALUE"""),24.58)</f>
        <v>24.58</v>
      </c>
      <c r="C113" s="112">
        <f ca="1">IFERROR(__xludf.DUMMYFUNCTION("""COMPUTED_VALUE"""),40351.7055555555)</f>
        <v>40351.705555555498</v>
      </c>
      <c r="D113" s="111">
        <f ca="1">IFERROR(__xludf.DUMMYFUNCTION("""COMPUTED_VALUE"""),17.68)</f>
        <v>17.68</v>
      </c>
      <c r="E113" s="112">
        <f ca="1">IFERROR(__xludf.DUMMYFUNCTION("""COMPUTED_VALUE"""),40351.7055555555)</f>
        <v>40351.705555555498</v>
      </c>
      <c r="F113" s="111">
        <f ca="1">IFERROR(__xludf.DUMMYFUNCTION("""COMPUTED_VALUE"""),7.59)</f>
        <v>7.59</v>
      </c>
      <c r="G113" s="112">
        <f ca="1">IFERROR(__xludf.DUMMYFUNCTION("""COMPUTED_VALUE"""),40351.7055555555)</f>
        <v>40351.705555555498</v>
      </c>
      <c r="H113" s="111">
        <f ca="1">IFERROR(__xludf.DUMMYFUNCTION("""COMPUTED_VALUE"""),29.11)</f>
        <v>29.11</v>
      </c>
      <c r="I113" s="112">
        <f ca="1">IFERROR(__xludf.DUMMYFUNCTION("""COMPUTED_VALUE"""),44701.7055555555)</f>
        <v>44701.705555555498</v>
      </c>
      <c r="J113" s="111">
        <f ca="1">IFERROR(__xludf.DUMMYFUNCTION("""COMPUTED_VALUE"""),3.11)</f>
        <v>3.11</v>
      </c>
      <c r="K113" s="112">
        <f ca="1">IFERROR(__xludf.DUMMYFUNCTION("""COMPUTED_VALUE"""),40837.7055555555)</f>
        <v>40837.705555555498</v>
      </c>
      <c r="L113" s="111">
        <f ca="1">IFERROR(__xludf.DUMMYFUNCTION("""COMPUTED_VALUE"""),0.39)</f>
        <v>0.39</v>
      </c>
      <c r="M113" s="112">
        <f ca="1">IFERROR(__xludf.DUMMYFUNCTION("""COMPUTED_VALUE"""),40344.7055555555)</f>
        <v>40344.705555555498</v>
      </c>
      <c r="N113" s="111">
        <f ca="1">IFERROR(__xludf.DUMMYFUNCTION("""COMPUTED_VALUE"""),10.79)</f>
        <v>10.79</v>
      </c>
      <c r="O113" s="112">
        <f ca="1">IFERROR(__xludf.DUMMYFUNCTION("""COMPUTED_VALUE"""),40351.7055555555)</f>
        <v>40351.705555555498</v>
      </c>
      <c r="P113" s="111">
        <f ca="1">IFERROR(__xludf.DUMMYFUNCTION("""COMPUTED_VALUE"""),48)</f>
        <v>48</v>
      </c>
      <c r="Q113" s="112">
        <f ca="1">IFERROR(__xludf.DUMMYFUNCTION("""COMPUTED_VALUE"""),40351.7055555555)</f>
        <v>40351.705555555498</v>
      </c>
      <c r="R113" s="111">
        <f ca="1">IFERROR(__xludf.DUMMYFUNCTION("""COMPUTED_VALUE"""),28.25)</f>
        <v>28.25</v>
      </c>
      <c r="S113" s="112">
        <f ca="1">IFERROR(__xludf.DUMMYFUNCTION("""COMPUTED_VALUE"""),40351.7055555555)</f>
        <v>40351.705555555498</v>
      </c>
      <c r="T113" s="111">
        <f ca="1">IFERROR(__xludf.DUMMYFUNCTION("""COMPUTED_VALUE"""),7.34)</f>
        <v>7.34</v>
      </c>
    </row>
    <row r="114" spans="1:20" x14ac:dyDescent="0.3">
      <c r="A114" s="112">
        <f ca="1">IFERROR(__xludf.DUMMYFUNCTION("""COMPUTED_VALUE"""),40352.7055555555)</f>
        <v>40352.705555555498</v>
      </c>
      <c r="B114" s="111">
        <f ca="1">IFERROR(__xludf.DUMMYFUNCTION("""COMPUTED_VALUE"""),24.2)</f>
        <v>24.2</v>
      </c>
      <c r="C114" s="112">
        <f ca="1">IFERROR(__xludf.DUMMYFUNCTION("""COMPUTED_VALUE"""),40352.7055555555)</f>
        <v>40352.705555555498</v>
      </c>
      <c r="D114" s="111">
        <f ca="1">IFERROR(__xludf.DUMMYFUNCTION("""COMPUTED_VALUE"""),17.77)</f>
        <v>17.77</v>
      </c>
      <c r="E114" s="112">
        <f ca="1">IFERROR(__xludf.DUMMYFUNCTION("""COMPUTED_VALUE"""),40352.7055555555)</f>
        <v>40352.705555555498</v>
      </c>
      <c r="F114" s="111">
        <f ca="1">IFERROR(__xludf.DUMMYFUNCTION("""COMPUTED_VALUE"""),7.64)</f>
        <v>7.64</v>
      </c>
      <c r="G114" s="112">
        <f ca="1">IFERROR(__xludf.DUMMYFUNCTION("""COMPUTED_VALUE"""),40352.7055555555)</f>
        <v>40352.705555555498</v>
      </c>
      <c r="H114" s="111">
        <f ca="1">IFERROR(__xludf.DUMMYFUNCTION("""COMPUTED_VALUE"""),28.5)</f>
        <v>28.5</v>
      </c>
      <c r="I114" s="112">
        <f ca="1">IFERROR(__xludf.DUMMYFUNCTION("""COMPUTED_VALUE"""),44704.7055555555)</f>
        <v>44704.705555555498</v>
      </c>
      <c r="J114" s="111">
        <f ca="1">IFERROR(__xludf.DUMMYFUNCTION("""COMPUTED_VALUE"""),3.02)</f>
        <v>3.02</v>
      </c>
      <c r="K114" s="112">
        <f ca="1">IFERROR(__xludf.DUMMYFUNCTION("""COMPUTED_VALUE"""),40841.7055555555)</f>
        <v>40841.705555555498</v>
      </c>
      <c r="L114" s="111">
        <f ca="1">IFERROR(__xludf.DUMMYFUNCTION("""COMPUTED_VALUE"""),0.39)</f>
        <v>0.39</v>
      </c>
      <c r="M114" s="112">
        <f ca="1">IFERROR(__xludf.DUMMYFUNCTION("""COMPUTED_VALUE"""),40345.7055555555)</f>
        <v>40345.705555555498</v>
      </c>
      <c r="N114" s="111">
        <f ca="1">IFERROR(__xludf.DUMMYFUNCTION("""COMPUTED_VALUE"""),10.89)</f>
        <v>10.89</v>
      </c>
      <c r="O114" s="112">
        <f ca="1">IFERROR(__xludf.DUMMYFUNCTION("""COMPUTED_VALUE"""),40352.7055555555)</f>
        <v>40352.705555555498</v>
      </c>
      <c r="P114" s="111">
        <f ca="1">IFERROR(__xludf.DUMMYFUNCTION("""COMPUTED_VALUE"""),48.59)</f>
        <v>48.59</v>
      </c>
      <c r="Q114" s="112">
        <f ca="1">IFERROR(__xludf.DUMMYFUNCTION("""COMPUTED_VALUE"""),40352.7055555555)</f>
        <v>40352.705555555498</v>
      </c>
      <c r="R114" s="111">
        <f ca="1">IFERROR(__xludf.DUMMYFUNCTION("""COMPUTED_VALUE"""),27.71)</f>
        <v>27.71</v>
      </c>
      <c r="S114" s="112">
        <f ca="1">IFERROR(__xludf.DUMMYFUNCTION("""COMPUTED_VALUE"""),40352.7055555555)</f>
        <v>40352.705555555498</v>
      </c>
      <c r="T114" s="111">
        <f ca="1">IFERROR(__xludf.DUMMYFUNCTION("""COMPUTED_VALUE"""),7.39)</f>
        <v>7.39</v>
      </c>
    </row>
    <row r="115" spans="1:20" x14ac:dyDescent="0.3">
      <c r="A115" s="112">
        <f ca="1">IFERROR(__xludf.DUMMYFUNCTION("""COMPUTED_VALUE"""),40353.7055555555)</f>
        <v>40353.705555555498</v>
      </c>
      <c r="B115" s="111">
        <f ca="1">IFERROR(__xludf.DUMMYFUNCTION("""COMPUTED_VALUE"""),24.19)</f>
        <v>24.19</v>
      </c>
      <c r="C115" s="112">
        <f ca="1">IFERROR(__xludf.DUMMYFUNCTION("""COMPUTED_VALUE"""),40353.7055555555)</f>
        <v>40353.705555555498</v>
      </c>
      <c r="D115" s="111">
        <f ca="1">IFERROR(__xludf.DUMMYFUNCTION("""COMPUTED_VALUE"""),17.21)</f>
        <v>17.21</v>
      </c>
      <c r="E115" s="112">
        <f ca="1">IFERROR(__xludf.DUMMYFUNCTION("""COMPUTED_VALUE"""),40353.7055555555)</f>
        <v>40353.705555555498</v>
      </c>
      <c r="F115" s="111">
        <f ca="1">IFERROR(__xludf.DUMMYFUNCTION("""COMPUTED_VALUE"""),7.43)</f>
        <v>7.43</v>
      </c>
      <c r="G115" s="112">
        <f ca="1">IFERROR(__xludf.DUMMYFUNCTION("""COMPUTED_VALUE"""),40353.7055555555)</f>
        <v>40353.705555555498</v>
      </c>
      <c r="H115" s="111">
        <f ca="1">IFERROR(__xludf.DUMMYFUNCTION("""COMPUTED_VALUE"""),27.49)</f>
        <v>27.49</v>
      </c>
      <c r="I115" s="112">
        <f ca="1">IFERROR(__xludf.DUMMYFUNCTION("""COMPUTED_VALUE"""),44705.7055555555)</f>
        <v>44705.705555555498</v>
      </c>
      <c r="J115" s="111">
        <f ca="1">IFERROR(__xludf.DUMMYFUNCTION("""COMPUTED_VALUE"""),2.72)</f>
        <v>2.72</v>
      </c>
      <c r="K115" s="112">
        <f ca="1">IFERROR(__xludf.DUMMYFUNCTION("""COMPUTED_VALUE"""),40842.7055555555)</f>
        <v>40842.705555555498</v>
      </c>
      <c r="L115" s="111">
        <f ca="1">IFERROR(__xludf.DUMMYFUNCTION("""COMPUTED_VALUE"""),0.39)</f>
        <v>0.39</v>
      </c>
      <c r="M115" s="112">
        <f ca="1">IFERROR(__xludf.DUMMYFUNCTION("""COMPUTED_VALUE"""),40346.7055555555)</f>
        <v>40346.705555555498</v>
      </c>
      <c r="N115" s="111">
        <f ca="1">IFERROR(__xludf.DUMMYFUNCTION("""COMPUTED_VALUE"""),10.77)</f>
        <v>10.77</v>
      </c>
      <c r="O115" s="112">
        <f ca="1">IFERROR(__xludf.DUMMYFUNCTION("""COMPUTED_VALUE"""),40353.7055555555)</f>
        <v>40353.705555555498</v>
      </c>
      <c r="P115" s="111">
        <f ca="1">IFERROR(__xludf.DUMMYFUNCTION("""COMPUTED_VALUE"""),47.5)</f>
        <v>47.5</v>
      </c>
      <c r="Q115" s="112">
        <f ca="1">IFERROR(__xludf.DUMMYFUNCTION("""COMPUTED_VALUE"""),40353.7055555555)</f>
        <v>40353.705555555498</v>
      </c>
      <c r="R115" s="111">
        <f ca="1">IFERROR(__xludf.DUMMYFUNCTION("""COMPUTED_VALUE"""),27.37)</f>
        <v>27.37</v>
      </c>
      <c r="S115" s="112">
        <f ca="1">IFERROR(__xludf.DUMMYFUNCTION("""COMPUTED_VALUE"""),40353.7055555555)</f>
        <v>40353.705555555498</v>
      </c>
      <c r="T115" s="111">
        <f ca="1">IFERROR(__xludf.DUMMYFUNCTION("""COMPUTED_VALUE"""),7.23)</f>
        <v>7.23</v>
      </c>
    </row>
    <row r="116" spans="1:20" x14ac:dyDescent="0.3">
      <c r="A116" s="112">
        <f ca="1">IFERROR(__xludf.DUMMYFUNCTION("""COMPUTED_VALUE"""),40357.7055555555)</f>
        <v>40357.705555555498</v>
      </c>
      <c r="B116" s="111">
        <f ca="1">IFERROR(__xludf.DUMMYFUNCTION("""COMPUTED_VALUE"""),24.33)</f>
        <v>24.33</v>
      </c>
      <c r="C116" s="112">
        <f ca="1">IFERROR(__xludf.DUMMYFUNCTION("""COMPUTED_VALUE"""),40357.7055555555)</f>
        <v>40357.705555555498</v>
      </c>
      <c r="D116" s="111">
        <f ca="1">IFERROR(__xludf.DUMMYFUNCTION("""COMPUTED_VALUE"""),17.29)</f>
        <v>17.29</v>
      </c>
      <c r="E116" s="112">
        <f ca="1">IFERROR(__xludf.DUMMYFUNCTION("""COMPUTED_VALUE"""),40357.7055555555)</f>
        <v>40357.705555555498</v>
      </c>
      <c r="F116" s="111">
        <f ca="1">IFERROR(__xludf.DUMMYFUNCTION("""COMPUTED_VALUE"""),7.5)</f>
        <v>7.5</v>
      </c>
      <c r="G116" s="112">
        <f ca="1">IFERROR(__xludf.DUMMYFUNCTION("""COMPUTED_VALUE"""),40357.7055555555)</f>
        <v>40357.705555555498</v>
      </c>
      <c r="H116" s="111">
        <f ca="1">IFERROR(__xludf.DUMMYFUNCTION("""COMPUTED_VALUE"""),27.42)</f>
        <v>27.42</v>
      </c>
      <c r="I116" s="112">
        <f ca="1">IFERROR(__xludf.DUMMYFUNCTION("""COMPUTED_VALUE"""),44706.7055555555)</f>
        <v>44706.705555555498</v>
      </c>
      <c r="J116" s="111">
        <f ca="1">IFERROR(__xludf.DUMMYFUNCTION("""COMPUTED_VALUE"""),2.85)</f>
        <v>2.85</v>
      </c>
      <c r="K116" s="112">
        <f ca="1">IFERROR(__xludf.DUMMYFUNCTION("""COMPUTED_VALUE"""),40843.7055555555)</f>
        <v>40843.705555555498</v>
      </c>
      <c r="L116" s="111">
        <f ca="1">IFERROR(__xludf.DUMMYFUNCTION("""COMPUTED_VALUE"""),0.39)</f>
        <v>0.39</v>
      </c>
      <c r="M116" s="112">
        <f ca="1">IFERROR(__xludf.DUMMYFUNCTION("""COMPUTED_VALUE"""),40347.7055555555)</f>
        <v>40347.705555555498</v>
      </c>
      <c r="N116" s="111">
        <f ca="1">IFERROR(__xludf.DUMMYFUNCTION("""COMPUTED_VALUE"""),10.95)</f>
        <v>10.95</v>
      </c>
      <c r="O116" s="112">
        <f ca="1">IFERROR(__xludf.DUMMYFUNCTION("""COMPUTED_VALUE"""),40357.7055555555)</f>
        <v>40357.705555555498</v>
      </c>
      <c r="P116" s="111">
        <f ca="1">IFERROR(__xludf.DUMMYFUNCTION("""COMPUTED_VALUE"""),47.18)</f>
        <v>47.18</v>
      </c>
      <c r="Q116" s="112">
        <f ca="1">IFERROR(__xludf.DUMMYFUNCTION("""COMPUTED_VALUE"""),40357.7055555555)</f>
        <v>40357.705555555498</v>
      </c>
      <c r="R116" s="111">
        <f ca="1">IFERROR(__xludf.DUMMYFUNCTION("""COMPUTED_VALUE"""),26.6)</f>
        <v>26.6</v>
      </c>
      <c r="S116" s="112">
        <f ca="1">IFERROR(__xludf.DUMMYFUNCTION("""COMPUTED_VALUE"""),40357.7055555555)</f>
        <v>40357.705555555498</v>
      </c>
      <c r="T116" s="111">
        <f ca="1">IFERROR(__xludf.DUMMYFUNCTION("""COMPUTED_VALUE"""),7.66)</f>
        <v>7.66</v>
      </c>
    </row>
    <row r="117" spans="1:20" x14ac:dyDescent="0.3">
      <c r="A117" s="112">
        <f ca="1">IFERROR(__xludf.DUMMYFUNCTION("""COMPUTED_VALUE"""),40358.7055555555)</f>
        <v>40358.705555555498</v>
      </c>
      <c r="B117" s="111">
        <f ca="1">IFERROR(__xludf.DUMMYFUNCTION("""COMPUTED_VALUE"""),24.25)</f>
        <v>24.25</v>
      </c>
      <c r="C117" s="112">
        <f ca="1">IFERROR(__xludf.DUMMYFUNCTION("""COMPUTED_VALUE"""),40358.7055555555)</f>
        <v>40358.705555555498</v>
      </c>
      <c r="D117" s="111">
        <f ca="1">IFERROR(__xludf.DUMMYFUNCTION("""COMPUTED_VALUE"""),16.57)</f>
        <v>16.57</v>
      </c>
      <c r="E117" s="112">
        <f ca="1">IFERROR(__xludf.DUMMYFUNCTION("""COMPUTED_VALUE"""),40358.7055555555)</f>
        <v>40358.705555555498</v>
      </c>
      <c r="F117" s="111">
        <f ca="1">IFERROR(__xludf.DUMMYFUNCTION("""COMPUTED_VALUE"""),7.16)</f>
        <v>7.16</v>
      </c>
      <c r="G117" s="112">
        <f ca="1">IFERROR(__xludf.DUMMYFUNCTION("""COMPUTED_VALUE"""),40358.7055555555)</f>
        <v>40358.705555555498</v>
      </c>
      <c r="H117" s="111">
        <f ca="1">IFERROR(__xludf.DUMMYFUNCTION("""COMPUTED_VALUE"""),26.83)</f>
        <v>26.83</v>
      </c>
      <c r="I117" s="112">
        <f ca="1">IFERROR(__xludf.DUMMYFUNCTION("""COMPUTED_VALUE"""),44707.7055555555)</f>
        <v>44707.705555555498</v>
      </c>
      <c r="J117" s="111">
        <f ca="1">IFERROR(__xludf.DUMMYFUNCTION("""COMPUTED_VALUE"""),2.85)</f>
        <v>2.85</v>
      </c>
      <c r="K117" s="112">
        <f ca="1">IFERROR(__xludf.DUMMYFUNCTION("""COMPUTED_VALUE"""),40844.7055555555)</f>
        <v>40844.705555555498</v>
      </c>
      <c r="L117" s="111">
        <f ca="1">IFERROR(__xludf.DUMMYFUNCTION("""COMPUTED_VALUE"""),0.4)</f>
        <v>0.4</v>
      </c>
      <c r="M117" s="112">
        <f ca="1">IFERROR(__xludf.DUMMYFUNCTION("""COMPUTED_VALUE"""),40350.7055555555)</f>
        <v>40350.705555555498</v>
      </c>
      <c r="N117" s="111">
        <f ca="1">IFERROR(__xludf.DUMMYFUNCTION("""COMPUTED_VALUE"""),11)</f>
        <v>11</v>
      </c>
      <c r="O117" s="112">
        <f ca="1">IFERROR(__xludf.DUMMYFUNCTION("""COMPUTED_VALUE"""),40358.7055555555)</f>
        <v>40358.705555555498</v>
      </c>
      <c r="P117" s="111">
        <f ca="1">IFERROR(__xludf.DUMMYFUNCTION("""COMPUTED_VALUE"""),44.9)</f>
        <v>44.9</v>
      </c>
      <c r="Q117" s="112">
        <f ca="1">IFERROR(__xludf.DUMMYFUNCTION("""COMPUTED_VALUE"""),40358.7055555555)</f>
        <v>40358.705555555498</v>
      </c>
      <c r="R117" s="111">
        <f ca="1">IFERROR(__xludf.DUMMYFUNCTION("""COMPUTED_VALUE"""),25.5)</f>
        <v>25.5</v>
      </c>
      <c r="S117" s="112">
        <f ca="1">IFERROR(__xludf.DUMMYFUNCTION("""COMPUTED_VALUE"""),40358.7055555555)</f>
        <v>40358.705555555498</v>
      </c>
      <c r="T117" s="111">
        <f ca="1">IFERROR(__xludf.DUMMYFUNCTION("""COMPUTED_VALUE"""),7.42)</f>
        <v>7.42</v>
      </c>
    </row>
    <row r="118" spans="1:20" x14ac:dyDescent="0.3">
      <c r="A118" s="112">
        <f ca="1">IFERROR(__xludf.DUMMYFUNCTION("""COMPUTED_VALUE"""),40359.7055555555)</f>
        <v>40359.705555555498</v>
      </c>
      <c r="B118" s="111">
        <f ca="1">IFERROR(__xludf.DUMMYFUNCTION("""COMPUTED_VALUE"""),23.6)</f>
        <v>23.6</v>
      </c>
      <c r="C118" s="112">
        <f ca="1">IFERROR(__xludf.DUMMYFUNCTION("""COMPUTED_VALUE"""),40359.7055555555)</f>
        <v>40359.705555555498</v>
      </c>
      <c r="D118" s="111">
        <f ca="1">IFERROR(__xludf.DUMMYFUNCTION("""COMPUTED_VALUE"""),16.28)</f>
        <v>16.28</v>
      </c>
      <c r="E118" s="112">
        <f ca="1">IFERROR(__xludf.DUMMYFUNCTION("""COMPUTED_VALUE"""),40359.7055555555)</f>
        <v>40359.705555555498</v>
      </c>
      <c r="F118" s="111">
        <f ca="1">IFERROR(__xludf.DUMMYFUNCTION("""COMPUTED_VALUE"""),6.97)</f>
        <v>6.97</v>
      </c>
      <c r="G118" s="112">
        <f ca="1">IFERROR(__xludf.DUMMYFUNCTION("""COMPUTED_VALUE"""),40359.7055555555)</f>
        <v>40359.705555555498</v>
      </c>
      <c r="H118" s="111">
        <f ca="1">IFERROR(__xludf.DUMMYFUNCTION("""COMPUTED_VALUE"""),26.86)</f>
        <v>26.86</v>
      </c>
      <c r="I118" s="112">
        <f ca="1">IFERROR(__xludf.DUMMYFUNCTION("""COMPUTED_VALUE"""),44708.7055555555)</f>
        <v>44708.705555555498</v>
      </c>
      <c r="J118" s="111">
        <f ca="1">IFERROR(__xludf.DUMMYFUNCTION("""COMPUTED_VALUE"""),3.17)</f>
        <v>3.17</v>
      </c>
      <c r="K118" s="112">
        <f ca="1">IFERROR(__xludf.DUMMYFUNCTION("""COMPUTED_VALUE"""),40847.7055555555)</f>
        <v>40847.705555555498</v>
      </c>
      <c r="L118" s="111">
        <f ca="1">IFERROR(__xludf.DUMMYFUNCTION("""COMPUTED_VALUE"""),0.42)</f>
        <v>0.42</v>
      </c>
      <c r="M118" s="112">
        <f ca="1">IFERROR(__xludf.DUMMYFUNCTION("""COMPUTED_VALUE"""),40351.7055555555)</f>
        <v>40351.705555555498</v>
      </c>
      <c r="N118" s="111">
        <f ca="1">IFERROR(__xludf.DUMMYFUNCTION("""COMPUTED_VALUE"""),10.89)</f>
        <v>10.89</v>
      </c>
      <c r="O118" s="112">
        <f ca="1">IFERROR(__xludf.DUMMYFUNCTION("""COMPUTED_VALUE"""),40359.7055555555)</f>
        <v>40359.705555555498</v>
      </c>
      <c r="P118" s="111">
        <f ca="1">IFERROR(__xludf.DUMMYFUNCTION("""COMPUTED_VALUE"""),43.65)</f>
        <v>43.65</v>
      </c>
      <c r="Q118" s="112">
        <f ca="1">IFERROR(__xludf.DUMMYFUNCTION("""COMPUTED_VALUE"""),40359.7055555555)</f>
        <v>40359.705555555498</v>
      </c>
      <c r="R118" s="111">
        <f ca="1">IFERROR(__xludf.DUMMYFUNCTION("""COMPUTED_VALUE"""),24.65)</f>
        <v>24.65</v>
      </c>
      <c r="S118" s="112">
        <f ca="1">IFERROR(__xludf.DUMMYFUNCTION("""COMPUTED_VALUE"""),40359.7055555555)</f>
        <v>40359.705555555498</v>
      </c>
      <c r="T118" s="111">
        <f ca="1">IFERROR(__xludf.DUMMYFUNCTION("""COMPUTED_VALUE"""),7.36)</f>
        <v>7.36</v>
      </c>
    </row>
    <row r="119" spans="1:20" x14ac:dyDescent="0.3">
      <c r="A119" s="112">
        <f ca="1">IFERROR(__xludf.DUMMYFUNCTION("""COMPUTED_VALUE"""),40360.7055555555)</f>
        <v>40360.705555555498</v>
      </c>
      <c r="B119" s="111">
        <f ca="1">IFERROR(__xludf.DUMMYFUNCTION("""COMPUTED_VALUE"""),22.99)</f>
        <v>22.99</v>
      </c>
      <c r="C119" s="112">
        <f ca="1">IFERROR(__xludf.DUMMYFUNCTION("""COMPUTED_VALUE"""),40360.7055555555)</f>
        <v>40360.705555555498</v>
      </c>
      <c r="D119" s="111">
        <f ca="1">IFERROR(__xludf.DUMMYFUNCTION("""COMPUTED_VALUE"""),17.02)</f>
        <v>17.02</v>
      </c>
      <c r="E119" s="112">
        <f ca="1">IFERROR(__xludf.DUMMYFUNCTION("""COMPUTED_VALUE"""),40360.7055555555)</f>
        <v>40360.705555555498</v>
      </c>
      <c r="F119" s="111">
        <f ca="1">IFERROR(__xludf.DUMMYFUNCTION("""COMPUTED_VALUE"""),7.34)</f>
        <v>7.34</v>
      </c>
      <c r="G119" s="112">
        <f ca="1">IFERROR(__xludf.DUMMYFUNCTION("""COMPUTED_VALUE"""),40360.7055555555)</f>
        <v>40360.705555555498</v>
      </c>
      <c r="H119" s="111">
        <f ca="1">IFERROR(__xludf.DUMMYFUNCTION("""COMPUTED_VALUE"""),26.45)</f>
        <v>26.45</v>
      </c>
      <c r="I119" s="112">
        <f ca="1">IFERROR(__xludf.DUMMYFUNCTION("""COMPUTED_VALUE"""),44711.7055555555)</f>
        <v>44711.705555555498</v>
      </c>
      <c r="J119" s="111">
        <f ca="1">IFERROR(__xludf.DUMMYFUNCTION("""COMPUTED_VALUE"""),3.22)</f>
        <v>3.22</v>
      </c>
      <c r="K119" s="112">
        <f ca="1">IFERROR(__xludf.DUMMYFUNCTION("""COMPUTED_VALUE"""),40848.7055555555)</f>
        <v>40848.705555555498</v>
      </c>
      <c r="L119" s="111">
        <f ca="1">IFERROR(__xludf.DUMMYFUNCTION("""COMPUTED_VALUE"""),0.4)</f>
        <v>0.4</v>
      </c>
      <c r="M119" s="112">
        <f ca="1">IFERROR(__xludf.DUMMYFUNCTION("""COMPUTED_VALUE"""),40352.7055555555)</f>
        <v>40352.705555555498</v>
      </c>
      <c r="N119" s="111">
        <f ca="1">IFERROR(__xludf.DUMMYFUNCTION("""COMPUTED_VALUE"""),10.93)</f>
        <v>10.93</v>
      </c>
      <c r="O119" s="112">
        <f ca="1">IFERROR(__xludf.DUMMYFUNCTION("""COMPUTED_VALUE"""),40360.7055555555)</f>
        <v>40360.705555555498</v>
      </c>
      <c r="P119" s="111">
        <f ca="1">IFERROR(__xludf.DUMMYFUNCTION("""COMPUTED_VALUE"""),43.84)</f>
        <v>43.84</v>
      </c>
      <c r="Q119" s="112">
        <f ca="1">IFERROR(__xludf.DUMMYFUNCTION("""COMPUTED_VALUE"""),40360.7055555555)</f>
        <v>40360.705555555498</v>
      </c>
      <c r="R119" s="111">
        <f ca="1">IFERROR(__xludf.DUMMYFUNCTION("""COMPUTED_VALUE"""),26.16)</f>
        <v>26.16</v>
      </c>
      <c r="S119" s="112">
        <f ca="1">IFERROR(__xludf.DUMMYFUNCTION("""COMPUTED_VALUE"""),40360.7055555555)</f>
        <v>40360.705555555498</v>
      </c>
      <c r="T119" s="111">
        <f ca="1">IFERROR(__xludf.DUMMYFUNCTION("""COMPUTED_VALUE"""),7.11)</f>
        <v>7.11</v>
      </c>
    </row>
    <row r="120" spans="1:20" x14ac:dyDescent="0.3">
      <c r="A120" s="112">
        <f ca="1">IFERROR(__xludf.DUMMYFUNCTION("""COMPUTED_VALUE"""),40361.7055555555)</f>
        <v>40361.705555555498</v>
      </c>
      <c r="B120" s="111">
        <f ca="1">IFERROR(__xludf.DUMMYFUNCTION("""COMPUTED_VALUE"""),22.75)</f>
        <v>22.75</v>
      </c>
      <c r="C120" s="112">
        <f ca="1">IFERROR(__xludf.DUMMYFUNCTION("""COMPUTED_VALUE"""),40361.7055555555)</f>
        <v>40361.705555555498</v>
      </c>
      <c r="D120" s="111">
        <f ca="1">IFERROR(__xludf.DUMMYFUNCTION("""COMPUTED_VALUE"""),17.19)</f>
        <v>17.190000000000001</v>
      </c>
      <c r="E120" s="112">
        <f ca="1">IFERROR(__xludf.DUMMYFUNCTION("""COMPUTED_VALUE"""),40361.7055555555)</f>
        <v>40361.705555555498</v>
      </c>
      <c r="F120" s="111">
        <f ca="1">IFERROR(__xludf.DUMMYFUNCTION("""COMPUTED_VALUE"""),7.34)</f>
        <v>7.34</v>
      </c>
      <c r="G120" s="112">
        <f ca="1">IFERROR(__xludf.DUMMYFUNCTION("""COMPUTED_VALUE"""),40361.7055555555)</f>
        <v>40361.705555555498</v>
      </c>
      <c r="H120" s="111">
        <f ca="1">IFERROR(__xludf.DUMMYFUNCTION("""COMPUTED_VALUE"""),26.77)</f>
        <v>26.77</v>
      </c>
      <c r="I120" s="112">
        <f ca="1">IFERROR(__xludf.DUMMYFUNCTION("""COMPUTED_VALUE"""),44712.7055555555)</f>
        <v>44712.705555555498</v>
      </c>
      <c r="J120" s="111">
        <f ca="1">IFERROR(__xludf.DUMMYFUNCTION("""COMPUTED_VALUE"""),3.02)</f>
        <v>3.02</v>
      </c>
      <c r="K120" s="112">
        <f ca="1">IFERROR(__xludf.DUMMYFUNCTION("""COMPUTED_VALUE"""),40850.7055555555)</f>
        <v>40850.705555555498</v>
      </c>
      <c r="L120" s="111">
        <f ca="1">IFERROR(__xludf.DUMMYFUNCTION("""COMPUTED_VALUE"""),0.41)</f>
        <v>0.41</v>
      </c>
      <c r="M120" s="112">
        <f ca="1">IFERROR(__xludf.DUMMYFUNCTION("""COMPUTED_VALUE"""),40353.7055555555)</f>
        <v>40353.705555555498</v>
      </c>
      <c r="N120" s="111">
        <f ca="1">IFERROR(__xludf.DUMMYFUNCTION("""COMPUTED_VALUE"""),10.61)</f>
        <v>10.61</v>
      </c>
      <c r="O120" s="112">
        <f ca="1">IFERROR(__xludf.DUMMYFUNCTION("""COMPUTED_VALUE"""),40361.7055555555)</f>
        <v>40361.705555555498</v>
      </c>
      <c r="P120" s="111">
        <f ca="1">IFERROR(__xludf.DUMMYFUNCTION("""COMPUTED_VALUE"""),43.62)</f>
        <v>43.62</v>
      </c>
      <c r="Q120" s="112">
        <f ca="1">IFERROR(__xludf.DUMMYFUNCTION("""COMPUTED_VALUE"""),40361.7055555555)</f>
        <v>40361.705555555498</v>
      </c>
      <c r="R120" s="111">
        <f ca="1">IFERROR(__xludf.DUMMYFUNCTION("""COMPUTED_VALUE"""),26.5)</f>
        <v>26.5</v>
      </c>
      <c r="S120" s="112">
        <f ca="1">IFERROR(__xludf.DUMMYFUNCTION("""COMPUTED_VALUE"""),40361.7055555555)</f>
        <v>40361.705555555498</v>
      </c>
      <c r="T120" s="111">
        <f ca="1">IFERROR(__xludf.DUMMYFUNCTION("""COMPUTED_VALUE"""),7.19)</f>
        <v>7.19</v>
      </c>
    </row>
    <row r="121" spans="1:20" x14ac:dyDescent="0.3">
      <c r="A121" s="112">
        <f ca="1">IFERROR(__xludf.DUMMYFUNCTION("""COMPUTED_VALUE"""),40364.7055555555)</f>
        <v>40364.705555555498</v>
      </c>
      <c r="B121" s="111">
        <f ca="1">IFERROR(__xludf.DUMMYFUNCTION("""COMPUTED_VALUE"""),22.48)</f>
        <v>22.48</v>
      </c>
      <c r="C121" s="112">
        <f ca="1">IFERROR(__xludf.DUMMYFUNCTION("""COMPUTED_VALUE"""),40364.7055555555)</f>
        <v>40364.705555555498</v>
      </c>
      <c r="D121" s="111">
        <f ca="1">IFERROR(__xludf.DUMMYFUNCTION("""COMPUTED_VALUE"""),16.77)</f>
        <v>16.77</v>
      </c>
      <c r="E121" s="112">
        <f ca="1">IFERROR(__xludf.DUMMYFUNCTION("""COMPUTED_VALUE"""),40364.7055555555)</f>
        <v>40364.705555555498</v>
      </c>
      <c r="F121" s="111">
        <f ca="1">IFERROR(__xludf.DUMMYFUNCTION("""COMPUTED_VALUE"""),7.18)</f>
        <v>7.18</v>
      </c>
      <c r="G121" s="112">
        <f ca="1">IFERROR(__xludf.DUMMYFUNCTION("""COMPUTED_VALUE"""),40364.7055555555)</f>
        <v>40364.705555555498</v>
      </c>
      <c r="H121" s="111">
        <f ca="1">IFERROR(__xludf.DUMMYFUNCTION("""COMPUTED_VALUE"""),26.54)</f>
        <v>26.54</v>
      </c>
      <c r="I121" s="112">
        <f ca="1">IFERROR(__xludf.DUMMYFUNCTION("""COMPUTED_VALUE"""),44713.7055555555)</f>
        <v>44713.705555555498</v>
      </c>
      <c r="J121" s="111">
        <f ca="1">IFERROR(__xludf.DUMMYFUNCTION("""COMPUTED_VALUE"""),3.08)</f>
        <v>3.08</v>
      </c>
      <c r="K121" s="112">
        <f ca="1">IFERROR(__xludf.DUMMYFUNCTION("""COMPUTED_VALUE"""),40851.7055555555)</f>
        <v>40851.705555555498</v>
      </c>
      <c r="L121" s="111">
        <f ca="1">IFERROR(__xludf.DUMMYFUNCTION("""COMPUTED_VALUE"""),0.41)</f>
        <v>0.41</v>
      </c>
      <c r="M121" s="112">
        <f ca="1">IFERROR(__xludf.DUMMYFUNCTION("""COMPUTED_VALUE"""),40354.7055555555)</f>
        <v>40354.705555555498</v>
      </c>
      <c r="N121" s="111">
        <f ca="1">IFERROR(__xludf.DUMMYFUNCTION("""COMPUTED_VALUE"""),10.73)</f>
        <v>10.73</v>
      </c>
      <c r="O121" s="112">
        <f ca="1">IFERROR(__xludf.DUMMYFUNCTION("""COMPUTED_VALUE"""),40364.7055555555)</f>
        <v>40364.705555555498</v>
      </c>
      <c r="P121" s="111">
        <f ca="1">IFERROR(__xludf.DUMMYFUNCTION("""COMPUTED_VALUE"""),43)</f>
        <v>43</v>
      </c>
      <c r="Q121" s="112">
        <f ca="1">IFERROR(__xludf.DUMMYFUNCTION("""COMPUTED_VALUE"""),40364.7055555555)</f>
        <v>40364.705555555498</v>
      </c>
      <c r="R121" s="111">
        <f ca="1">IFERROR(__xludf.DUMMYFUNCTION("""COMPUTED_VALUE"""),26.3)</f>
        <v>26.3</v>
      </c>
      <c r="S121" s="112">
        <f ca="1">IFERROR(__xludf.DUMMYFUNCTION("""COMPUTED_VALUE"""),40364.7055555555)</f>
        <v>40364.705555555498</v>
      </c>
      <c r="T121" s="111">
        <f ca="1">IFERROR(__xludf.DUMMYFUNCTION("""COMPUTED_VALUE"""),7.17)</f>
        <v>7.17</v>
      </c>
    </row>
    <row r="122" spans="1:20" x14ac:dyDescent="0.3">
      <c r="A122" s="112">
        <f ca="1">IFERROR(__xludf.DUMMYFUNCTION("""COMPUTED_VALUE"""),40365.7055555555)</f>
        <v>40365.705555555498</v>
      </c>
      <c r="B122" s="111">
        <f ca="1">IFERROR(__xludf.DUMMYFUNCTION("""COMPUTED_VALUE"""),22.32)</f>
        <v>22.32</v>
      </c>
      <c r="C122" s="112">
        <f ca="1">IFERROR(__xludf.DUMMYFUNCTION("""COMPUTED_VALUE"""),40365.7055555555)</f>
        <v>40365.705555555498</v>
      </c>
      <c r="D122" s="111">
        <f ca="1">IFERROR(__xludf.DUMMYFUNCTION("""COMPUTED_VALUE"""),17.17)</f>
        <v>17.170000000000002</v>
      </c>
      <c r="E122" s="112">
        <f ca="1">IFERROR(__xludf.DUMMYFUNCTION("""COMPUTED_VALUE"""),40365.7055555555)</f>
        <v>40365.705555555498</v>
      </c>
      <c r="F122" s="111">
        <f ca="1">IFERROR(__xludf.DUMMYFUNCTION("""COMPUTED_VALUE"""),7.39)</f>
        <v>7.39</v>
      </c>
      <c r="G122" s="112">
        <f ca="1">IFERROR(__xludf.DUMMYFUNCTION("""COMPUTED_VALUE"""),40365.7055555555)</f>
        <v>40365.705555555498</v>
      </c>
      <c r="H122" s="111">
        <f ca="1">IFERROR(__xludf.DUMMYFUNCTION("""COMPUTED_VALUE"""),27.05)</f>
        <v>27.05</v>
      </c>
      <c r="I122" s="112">
        <f ca="1">IFERROR(__xludf.DUMMYFUNCTION("""COMPUTED_VALUE"""),44714.7055555555)</f>
        <v>44714.705555555498</v>
      </c>
      <c r="J122" s="111">
        <f ca="1">IFERROR(__xludf.DUMMYFUNCTION("""COMPUTED_VALUE"""),3.5)</f>
        <v>3.5</v>
      </c>
      <c r="K122" s="112">
        <f ca="1">IFERROR(__xludf.DUMMYFUNCTION("""COMPUTED_VALUE"""),40854.7055555555)</f>
        <v>40854.705555555498</v>
      </c>
      <c r="L122" s="111">
        <f ca="1">IFERROR(__xludf.DUMMYFUNCTION("""COMPUTED_VALUE"""),0.41)</f>
        <v>0.41</v>
      </c>
      <c r="M122" s="112">
        <f ca="1">IFERROR(__xludf.DUMMYFUNCTION("""COMPUTED_VALUE"""),40357.7055555555)</f>
        <v>40357.705555555498</v>
      </c>
      <c r="N122" s="111">
        <f ca="1">IFERROR(__xludf.DUMMYFUNCTION("""COMPUTED_VALUE"""),10.62)</f>
        <v>10.62</v>
      </c>
      <c r="O122" s="112">
        <f ca="1">IFERROR(__xludf.DUMMYFUNCTION("""COMPUTED_VALUE"""),40365.7055555555)</f>
        <v>40365.705555555498</v>
      </c>
      <c r="P122" s="111">
        <f ca="1">IFERROR(__xludf.DUMMYFUNCTION("""COMPUTED_VALUE"""),43.54)</f>
        <v>43.54</v>
      </c>
      <c r="Q122" s="112">
        <f ca="1">IFERROR(__xludf.DUMMYFUNCTION("""COMPUTED_VALUE"""),40365.7055555555)</f>
        <v>40365.705555555498</v>
      </c>
      <c r="R122" s="111">
        <f ca="1">IFERROR(__xludf.DUMMYFUNCTION("""COMPUTED_VALUE"""),26.95)</f>
        <v>26.95</v>
      </c>
      <c r="S122" s="112">
        <f ca="1">IFERROR(__xludf.DUMMYFUNCTION("""COMPUTED_VALUE"""),40365.7055555555)</f>
        <v>40365.705555555498</v>
      </c>
      <c r="T122" s="111">
        <f ca="1">IFERROR(__xludf.DUMMYFUNCTION("""COMPUTED_VALUE"""),7.21)</f>
        <v>7.21</v>
      </c>
    </row>
    <row r="123" spans="1:20" x14ac:dyDescent="0.3">
      <c r="A123" s="112">
        <f ca="1">IFERROR(__xludf.DUMMYFUNCTION("""COMPUTED_VALUE"""),40367.7055555555)</f>
        <v>40367.705555555498</v>
      </c>
      <c r="B123" s="111">
        <f ca="1">IFERROR(__xludf.DUMMYFUNCTION("""COMPUTED_VALUE"""),22.15)</f>
        <v>22.15</v>
      </c>
      <c r="C123" s="112">
        <f ca="1">IFERROR(__xludf.DUMMYFUNCTION("""COMPUTED_VALUE"""),40367.7055555555)</f>
        <v>40367.705555555498</v>
      </c>
      <c r="D123" s="111">
        <f ca="1">IFERROR(__xludf.DUMMYFUNCTION("""COMPUTED_VALUE"""),18.58)</f>
        <v>18.579999999999998</v>
      </c>
      <c r="E123" s="112">
        <f ca="1">IFERROR(__xludf.DUMMYFUNCTION("""COMPUTED_VALUE"""),40367.7055555555)</f>
        <v>40367.705555555498</v>
      </c>
      <c r="F123" s="111">
        <f ca="1">IFERROR(__xludf.DUMMYFUNCTION("""COMPUTED_VALUE"""),7.88)</f>
        <v>7.88</v>
      </c>
      <c r="G123" s="112">
        <f ca="1">IFERROR(__xludf.DUMMYFUNCTION("""COMPUTED_VALUE"""),40367.7055555555)</f>
        <v>40367.705555555498</v>
      </c>
      <c r="H123" s="111">
        <f ca="1">IFERROR(__xludf.DUMMYFUNCTION("""COMPUTED_VALUE"""),27.58)</f>
        <v>27.58</v>
      </c>
      <c r="I123" s="112">
        <f ca="1">IFERROR(__xludf.DUMMYFUNCTION("""COMPUTED_VALUE"""),44715.7055555555)</f>
        <v>44715.705555555498</v>
      </c>
      <c r="J123" s="111">
        <f ca="1">IFERROR(__xludf.DUMMYFUNCTION("""COMPUTED_VALUE"""),3.6)</f>
        <v>3.6</v>
      </c>
      <c r="K123" s="112">
        <f ca="1">IFERROR(__xludf.DUMMYFUNCTION("""COMPUTED_VALUE"""),40855.7055555555)</f>
        <v>40855.705555555498</v>
      </c>
      <c r="L123" s="111">
        <f ca="1">IFERROR(__xludf.DUMMYFUNCTION("""COMPUTED_VALUE"""),0.41)</f>
        <v>0.41</v>
      </c>
      <c r="M123" s="112">
        <f ca="1">IFERROR(__xludf.DUMMYFUNCTION("""COMPUTED_VALUE"""),40358.7055555555)</f>
        <v>40358.705555555498</v>
      </c>
      <c r="N123" s="111">
        <f ca="1">IFERROR(__xludf.DUMMYFUNCTION("""COMPUTED_VALUE"""),10.14)</f>
        <v>10.14</v>
      </c>
      <c r="O123" s="112">
        <f ca="1">IFERROR(__xludf.DUMMYFUNCTION("""COMPUTED_VALUE"""),40367.7055555555)</f>
        <v>40367.705555555498</v>
      </c>
      <c r="P123" s="111">
        <f ca="1">IFERROR(__xludf.DUMMYFUNCTION("""COMPUTED_VALUE"""),44.74)</f>
        <v>44.74</v>
      </c>
      <c r="Q123" s="112">
        <f ca="1">IFERROR(__xludf.DUMMYFUNCTION("""COMPUTED_VALUE"""),40367.7055555555)</f>
        <v>40367.705555555498</v>
      </c>
      <c r="R123" s="111">
        <f ca="1">IFERROR(__xludf.DUMMYFUNCTION("""COMPUTED_VALUE"""),27.69)</f>
        <v>27.69</v>
      </c>
      <c r="S123" s="112">
        <f ca="1">IFERROR(__xludf.DUMMYFUNCTION("""COMPUTED_VALUE"""),40367.7055555555)</f>
        <v>40367.705555555498</v>
      </c>
      <c r="T123" s="111">
        <f ca="1">IFERROR(__xludf.DUMMYFUNCTION("""COMPUTED_VALUE"""),7.16)</f>
        <v>7.16</v>
      </c>
    </row>
    <row r="124" spans="1:20" x14ac:dyDescent="0.3">
      <c r="A124" s="112">
        <f ca="1">IFERROR(__xludf.DUMMYFUNCTION("""COMPUTED_VALUE"""),40371.7055555555)</f>
        <v>40371.705555555498</v>
      </c>
      <c r="B124" s="111">
        <f ca="1">IFERROR(__xludf.DUMMYFUNCTION("""COMPUTED_VALUE"""),21.71)</f>
        <v>21.71</v>
      </c>
      <c r="C124" s="112">
        <f ca="1">IFERROR(__xludf.DUMMYFUNCTION("""COMPUTED_VALUE"""),40371.7055555555)</f>
        <v>40371.705555555498</v>
      </c>
      <c r="D124" s="111">
        <f ca="1">IFERROR(__xludf.DUMMYFUNCTION("""COMPUTED_VALUE"""),18.65)</f>
        <v>18.649999999999999</v>
      </c>
      <c r="E124" s="112">
        <f ca="1">IFERROR(__xludf.DUMMYFUNCTION("""COMPUTED_VALUE"""),40371.7055555555)</f>
        <v>40371.705555555498</v>
      </c>
      <c r="F124" s="111">
        <f ca="1">IFERROR(__xludf.DUMMYFUNCTION("""COMPUTED_VALUE"""),7.84)</f>
        <v>7.84</v>
      </c>
      <c r="G124" s="112">
        <f ca="1">IFERROR(__xludf.DUMMYFUNCTION("""COMPUTED_VALUE"""),40371.7055555555)</f>
        <v>40371.705555555498</v>
      </c>
      <c r="H124" s="111">
        <f ca="1">IFERROR(__xludf.DUMMYFUNCTION("""COMPUTED_VALUE"""),27.23)</f>
        <v>27.23</v>
      </c>
      <c r="I124" s="112">
        <f ca="1">IFERROR(__xludf.DUMMYFUNCTION("""COMPUTED_VALUE"""),44718.7055555555)</f>
        <v>44718.705555555498</v>
      </c>
      <c r="J124" s="111">
        <f ca="1">IFERROR(__xludf.DUMMYFUNCTION("""COMPUTED_VALUE"""),3.44)</f>
        <v>3.44</v>
      </c>
      <c r="K124" s="112">
        <f ca="1">IFERROR(__xludf.DUMMYFUNCTION("""COMPUTED_VALUE"""),40856.7055555555)</f>
        <v>40856.705555555498</v>
      </c>
      <c r="L124" s="111">
        <f ca="1">IFERROR(__xludf.DUMMYFUNCTION("""COMPUTED_VALUE"""),0.39)</f>
        <v>0.39</v>
      </c>
      <c r="M124" s="112">
        <f ca="1">IFERROR(__xludf.DUMMYFUNCTION("""COMPUTED_VALUE"""),40359.7055555555)</f>
        <v>40359.705555555498</v>
      </c>
      <c r="N124" s="111">
        <f ca="1">IFERROR(__xludf.DUMMYFUNCTION("""COMPUTED_VALUE"""),9.97)</f>
        <v>9.9700000000000006</v>
      </c>
      <c r="O124" s="112">
        <f ca="1">IFERROR(__xludf.DUMMYFUNCTION("""COMPUTED_VALUE"""),40371.7055555555)</f>
        <v>40371.705555555498</v>
      </c>
      <c r="P124" s="111">
        <f ca="1">IFERROR(__xludf.DUMMYFUNCTION("""COMPUTED_VALUE"""),44.08)</f>
        <v>44.08</v>
      </c>
      <c r="Q124" s="112">
        <f ca="1">IFERROR(__xludf.DUMMYFUNCTION("""COMPUTED_VALUE"""),40371.7055555555)</f>
        <v>40371.705555555498</v>
      </c>
      <c r="R124" s="111">
        <f ca="1">IFERROR(__xludf.DUMMYFUNCTION("""COMPUTED_VALUE"""),27.79)</f>
        <v>27.79</v>
      </c>
      <c r="S124" s="112">
        <f ca="1">IFERROR(__xludf.DUMMYFUNCTION("""COMPUTED_VALUE"""),40371.7055555555)</f>
        <v>40371.705555555498</v>
      </c>
      <c r="T124" s="111">
        <f ca="1">IFERROR(__xludf.DUMMYFUNCTION("""COMPUTED_VALUE"""),7.11)</f>
        <v>7.11</v>
      </c>
    </row>
    <row r="125" spans="1:20" x14ac:dyDescent="0.3">
      <c r="A125" s="112">
        <f ca="1">IFERROR(__xludf.DUMMYFUNCTION("""COMPUTED_VALUE"""),40372.7055555555)</f>
        <v>40372.705555555498</v>
      </c>
      <c r="B125" s="111">
        <f ca="1">IFERROR(__xludf.DUMMYFUNCTION("""COMPUTED_VALUE"""),21.96)</f>
        <v>21.96</v>
      </c>
      <c r="C125" s="112">
        <f ca="1">IFERROR(__xludf.DUMMYFUNCTION("""COMPUTED_VALUE"""),40372.7055555555)</f>
        <v>40372.705555555498</v>
      </c>
      <c r="D125" s="111">
        <f ca="1">IFERROR(__xludf.DUMMYFUNCTION("""COMPUTED_VALUE"""),18.71)</f>
        <v>18.71</v>
      </c>
      <c r="E125" s="112">
        <f ca="1">IFERROR(__xludf.DUMMYFUNCTION("""COMPUTED_VALUE"""),40372.7055555555)</f>
        <v>40372.705555555498</v>
      </c>
      <c r="F125" s="111">
        <f ca="1">IFERROR(__xludf.DUMMYFUNCTION("""COMPUTED_VALUE"""),7.94)</f>
        <v>7.94</v>
      </c>
      <c r="G125" s="112">
        <f ca="1">IFERROR(__xludf.DUMMYFUNCTION("""COMPUTED_VALUE"""),40372.7055555555)</f>
        <v>40372.705555555498</v>
      </c>
      <c r="H125" s="111">
        <f ca="1">IFERROR(__xludf.DUMMYFUNCTION("""COMPUTED_VALUE"""),27.3)</f>
        <v>27.3</v>
      </c>
      <c r="I125" s="112">
        <f ca="1">IFERROR(__xludf.DUMMYFUNCTION("""COMPUTED_VALUE"""),44719.7055555555)</f>
        <v>44719.705555555498</v>
      </c>
      <c r="J125" s="111">
        <f ca="1">IFERROR(__xludf.DUMMYFUNCTION("""COMPUTED_VALUE"""),3.49)</f>
        <v>3.49</v>
      </c>
      <c r="K125" s="112">
        <f ca="1">IFERROR(__xludf.DUMMYFUNCTION("""COMPUTED_VALUE"""),40858.7055555555)</f>
        <v>40858.705555555498</v>
      </c>
      <c r="L125" s="111">
        <f ca="1">IFERROR(__xludf.DUMMYFUNCTION("""COMPUTED_VALUE"""),0.37)</f>
        <v>0.37</v>
      </c>
      <c r="M125" s="112">
        <f ca="1">IFERROR(__xludf.DUMMYFUNCTION("""COMPUTED_VALUE"""),40360.7055555555)</f>
        <v>40360.705555555498</v>
      </c>
      <c r="N125" s="111">
        <f ca="1">IFERROR(__xludf.DUMMYFUNCTION("""COMPUTED_VALUE"""),10.43)</f>
        <v>10.43</v>
      </c>
      <c r="O125" s="112">
        <f ca="1">IFERROR(__xludf.DUMMYFUNCTION("""COMPUTED_VALUE"""),40372.7055555555)</f>
        <v>40372.705555555498</v>
      </c>
      <c r="P125" s="111">
        <f ca="1">IFERROR(__xludf.DUMMYFUNCTION("""COMPUTED_VALUE"""),44.16)</f>
        <v>44.16</v>
      </c>
      <c r="Q125" s="112">
        <f ca="1">IFERROR(__xludf.DUMMYFUNCTION("""COMPUTED_VALUE"""),40372.7055555555)</f>
        <v>40372.705555555498</v>
      </c>
      <c r="R125" s="111">
        <f ca="1">IFERROR(__xludf.DUMMYFUNCTION("""COMPUTED_VALUE"""),28.44)</f>
        <v>28.44</v>
      </c>
      <c r="S125" s="112">
        <f ca="1">IFERROR(__xludf.DUMMYFUNCTION("""COMPUTED_VALUE"""),40372.7055555555)</f>
        <v>40372.705555555498</v>
      </c>
      <c r="T125" s="111">
        <f ca="1">IFERROR(__xludf.DUMMYFUNCTION("""COMPUTED_VALUE"""),7.39)</f>
        <v>7.39</v>
      </c>
    </row>
    <row r="126" spans="1:20" x14ac:dyDescent="0.3">
      <c r="A126" s="112">
        <f ca="1">IFERROR(__xludf.DUMMYFUNCTION("""COMPUTED_VALUE"""),40373.7055555555)</f>
        <v>40373.705555555498</v>
      </c>
      <c r="B126" s="111">
        <f ca="1">IFERROR(__xludf.DUMMYFUNCTION("""COMPUTED_VALUE"""),21.86)</f>
        <v>21.86</v>
      </c>
      <c r="C126" s="112">
        <f ca="1">IFERROR(__xludf.DUMMYFUNCTION("""COMPUTED_VALUE"""),40373.7055555555)</f>
        <v>40373.705555555498</v>
      </c>
      <c r="D126" s="111">
        <f ca="1">IFERROR(__xludf.DUMMYFUNCTION("""COMPUTED_VALUE"""),18.57)</f>
        <v>18.57</v>
      </c>
      <c r="E126" s="112">
        <f ca="1">IFERROR(__xludf.DUMMYFUNCTION("""COMPUTED_VALUE"""),40373.7055555555)</f>
        <v>40373.705555555498</v>
      </c>
      <c r="F126" s="111">
        <f ca="1">IFERROR(__xludf.DUMMYFUNCTION("""COMPUTED_VALUE"""),7.92)</f>
        <v>7.92</v>
      </c>
      <c r="G126" s="112">
        <f ca="1">IFERROR(__xludf.DUMMYFUNCTION("""COMPUTED_VALUE"""),40373.7055555555)</f>
        <v>40373.705555555498</v>
      </c>
      <c r="H126" s="111">
        <f ca="1">IFERROR(__xludf.DUMMYFUNCTION("""COMPUTED_VALUE"""),27.3)</f>
        <v>27.3</v>
      </c>
      <c r="I126" s="112">
        <f ca="1">IFERROR(__xludf.DUMMYFUNCTION("""COMPUTED_VALUE"""),44720.7055555555)</f>
        <v>44720.705555555498</v>
      </c>
      <c r="J126" s="111">
        <f ca="1">IFERROR(__xludf.DUMMYFUNCTION("""COMPUTED_VALUE"""),3.54)</f>
        <v>3.54</v>
      </c>
      <c r="K126" s="112">
        <f ca="1">IFERROR(__xludf.DUMMYFUNCTION("""COMPUTED_VALUE"""),40861.7055555555)</f>
        <v>40861.705555555498</v>
      </c>
      <c r="L126" s="111">
        <f ca="1">IFERROR(__xludf.DUMMYFUNCTION("""COMPUTED_VALUE"""),0.36)</f>
        <v>0.36</v>
      </c>
      <c r="M126" s="112">
        <f ca="1">IFERROR(__xludf.DUMMYFUNCTION("""COMPUTED_VALUE"""),40361.7055555555)</f>
        <v>40361.705555555498</v>
      </c>
      <c r="N126" s="111">
        <f ca="1">IFERROR(__xludf.DUMMYFUNCTION("""COMPUTED_VALUE"""),10.51)</f>
        <v>10.51</v>
      </c>
      <c r="O126" s="112">
        <f ca="1">IFERROR(__xludf.DUMMYFUNCTION("""COMPUTED_VALUE"""),40373.7055555555)</f>
        <v>40373.705555555498</v>
      </c>
      <c r="P126" s="111">
        <f ca="1">IFERROR(__xludf.DUMMYFUNCTION("""COMPUTED_VALUE"""),44.17)</f>
        <v>44.17</v>
      </c>
      <c r="Q126" s="112">
        <f ca="1">IFERROR(__xludf.DUMMYFUNCTION("""COMPUTED_VALUE"""),40373.7055555555)</f>
        <v>40373.705555555498</v>
      </c>
      <c r="R126" s="111">
        <f ca="1">IFERROR(__xludf.DUMMYFUNCTION("""COMPUTED_VALUE"""),28.29)</f>
        <v>28.29</v>
      </c>
      <c r="S126" s="112">
        <f ca="1">IFERROR(__xludf.DUMMYFUNCTION("""COMPUTED_VALUE"""),40373.7055555555)</f>
        <v>40373.705555555498</v>
      </c>
      <c r="T126" s="111">
        <f ca="1">IFERROR(__xludf.DUMMYFUNCTION("""COMPUTED_VALUE"""),7.72)</f>
        <v>7.72</v>
      </c>
    </row>
    <row r="127" spans="1:20" x14ac:dyDescent="0.3">
      <c r="A127" s="112">
        <f ca="1">IFERROR(__xludf.DUMMYFUNCTION("""COMPUTED_VALUE"""),40374.7055555555)</f>
        <v>40374.705555555498</v>
      </c>
      <c r="B127" s="111">
        <f ca="1">IFERROR(__xludf.DUMMYFUNCTION("""COMPUTED_VALUE"""),21.66)</f>
        <v>21.66</v>
      </c>
      <c r="C127" s="112">
        <f ca="1">IFERROR(__xludf.DUMMYFUNCTION("""COMPUTED_VALUE"""),40374.7055555555)</f>
        <v>40374.705555555498</v>
      </c>
      <c r="D127" s="111">
        <f ca="1">IFERROR(__xludf.DUMMYFUNCTION("""COMPUTED_VALUE"""),18.53)</f>
        <v>18.53</v>
      </c>
      <c r="E127" s="112">
        <f ca="1">IFERROR(__xludf.DUMMYFUNCTION("""COMPUTED_VALUE"""),40374.7055555555)</f>
        <v>40374.705555555498</v>
      </c>
      <c r="F127" s="111">
        <f ca="1">IFERROR(__xludf.DUMMYFUNCTION("""COMPUTED_VALUE"""),7.9)</f>
        <v>7.9</v>
      </c>
      <c r="G127" s="112">
        <f ca="1">IFERROR(__xludf.DUMMYFUNCTION("""COMPUTED_VALUE"""),40374.7055555555)</f>
        <v>40374.705555555498</v>
      </c>
      <c r="H127" s="111">
        <f ca="1">IFERROR(__xludf.DUMMYFUNCTION("""COMPUTED_VALUE"""),27.11)</f>
        <v>27.11</v>
      </c>
      <c r="I127" s="112">
        <f ca="1">IFERROR(__xludf.DUMMYFUNCTION("""COMPUTED_VALUE"""),44721.7055555555)</f>
        <v>44721.705555555498</v>
      </c>
      <c r="J127" s="111">
        <f ca="1">IFERROR(__xludf.DUMMYFUNCTION("""COMPUTED_VALUE"""),3.22)</f>
        <v>3.22</v>
      </c>
      <c r="K127" s="112">
        <f ca="1">IFERROR(__xludf.DUMMYFUNCTION("""COMPUTED_VALUE"""),40863.7055555555)</f>
        <v>40863.705555555498</v>
      </c>
      <c r="L127" s="111">
        <f ca="1">IFERROR(__xludf.DUMMYFUNCTION("""COMPUTED_VALUE"""),0.35)</f>
        <v>0.35</v>
      </c>
      <c r="M127" s="112">
        <f ca="1">IFERROR(__xludf.DUMMYFUNCTION("""COMPUTED_VALUE"""),40364.7055555555)</f>
        <v>40364.705555555498</v>
      </c>
      <c r="N127" s="111">
        <f ca="1">IFERROR(__xludf.DUMMYFUNCTION("""COMPUTED_VALUE"""),10.35)</f>
        <v>10.35</v>
      </c>
      <c r="O127" s="112">
        <f ca="1">IFERROR(__xludf.DUMMYFUNCTION("""COMPUTED_VALUE"""),40374.7055555555)</f>
        <v>40374.705555555498</v>
      </c>
      <c r="P127" s="111">
        <f ca="1">IFERROR(__xludf.DUMMYFUNCTION("""COMPUTED_VALUE"""),43.82)</f>
        <v>43.82</v>
      </c>
      <c r="Q127" s="112">
        <f ca="1">IFERROR(__xludf.DUMMYFUNCTION("""COMPUTED_VALUE"""),40374.7055555555)</f>
        <v>40374.705555555498</v>
      </c>
      <c r="R127" s="111">
        <f ca="1">IFERROR(__xludf.DUMMYFUNCTION("""COMPUTED_VALUE"""),28.73)</f>
        <v>28.73</v>
      </c>
      <c r="S127" s="112">
        <f ca="1">IFERROR(__xludf.DUMMYFUNCTION("""COMPUTED_VALUE"""),40374.7055555555)</f>
        <v>40374.705555555498</v>
      </c>
      <c r="T127" s="111">
        <f ca="1">IFERROR(__xludf.DUMMYFUNCTION("""COMPUTED_VALUE"""),7.59)</f>
        <v>7.59</v>
      </c>
    </row>
    <row r="128" spans="1:20" x14ac:dyDescent="0.3">
      <c r="A128" s="112">
        <f ca="1">IFERROR(__xludf.DUMMYFUNCTION("""COMPUTED_VALUE"""),40375.7055555555)</f>
        <v>40375.705555555498</v>
      </c>
      <c r="B128" s="111">
        <f ca="1">IFERROR(__xludf.DUMMYFUNCTION("""COMPUTED_VALUE"""),21.26)</f>
        <v>21.26</v>
      </c>
      <c r="C128" s="112">
        <f ca="1">IFERROR(__xludf.DUMMYFUNCTION("""COMPUTED_VALUE"""),40375.7055555555)</f>
        <v>40375.705555555498</v>
      </c>
      <c r="D128" s="111">
        <f ca="1">IFERROR(__xludf.DUMMYFUNCTION("""COMPUTED_VALUE"""),18.07)</f>
        <v>18.07</v>
      </c>
      <c r="E128" s="112">
        <f ca="1">IFERROR(__xludf.DUMMYFUNCTION("""COMPUTED_VALUE"""),40375.7055555555)</f>
        <v>40375.705555555498</v>
      </c>
      <c r="F128" s="111">
        <f ca="1">IFERROR(__xludf.DUMMYFUNCTION("""COMPUTED_VALUE"""),7.67)</f>
        <v>7.67</v>
      </c>
      <c r="G128" s="112">
        <f ca="1">IFERROR(__xludf.DUMMYFUNCTION("""COMPUTED_VALUE"""),40375.7055555555)</f>
        <v>40375.705555555498</v>
      </c>
      <c r="H128" s="111">
        <f ca="1">IFERROR(__xludf.DUMMYFUNCTION("""COMPUTED_VALUE"""),26.84)</f>
        <v>26.84</v>
      </c>
      <c r="I128" s="112">
        <f ca="1">IFERROR(__xludf.DUMMYFUNCTION("""COMPUTED_VALUE"""),44722.7055555555)</f>
        <v>44722.705555555498</v>
      </c>
      <c r="J128" s="111">
        <f ca="1">IFERROR(__xludf.DUMMYFUNCTION("""COMPUTED_VALUE"""),3.06)</f>
        <v>3.06</v>
      </c>
      <c r="K128" s="112">
        <f ca="1">IFERROR(__xludf.DUMMYFUNCTION("""COMPUTED_VALUE"""),40864.7055555555)</f>
        <v>40864.705555555498</v>
      </c>
      <c r="L128" s="111">
        <f ca="1">IFERROR(__xludf.DUMMYFUNCTION("""COMPUTED_VALUE"""),0.35)</f>
        <v>0.35</v>
      </c>
      <c r="M128" s="112">
        <f ca="1">IFERROR(__xludf.DUMMYFUNCTION("""COMPUTED_VALUE"""),40365.7055555555)</f>
        <v>40365.705555555498</v>
      </c>
      <c r="N128" s="111">
        <f ca="1">IFERROR(__xludf.DUMMYFUNCTION("""COMPUTED_VALUE"""),10.68)</f>
        <v>10.68</v>
      </c>
      <c r="O128" s="112">
        <f ca="1">IFERROR(__xludf.DUMMYFUNCTION("""COMPUTED_VALUE"""),40375.7055555555)</f>
        <v>40375.705555555498</v>
      </c>
      <c r="P128" s="111">
        <f ca="1">IFERROR(__xludf.DUMMYFUNCTION("""COMPUTED_VALUE"""),42.85)</f>
        <v>42.85</v>
      </c>
      <c r="Q128" s="112">
        <f ca="1">IFERROR(__xludf.DUMMYFUNCTION("""COMPUTED_VALUE"""),40375.7055555555)</f>
        <v>40375.705555555498</v>
      </c>
      <c r="R128" s="111">
        <f ca="1">IFERROR(__xludf.DUMMYFUNCTION("""COMPUTED_VALUE"""),27.91)</f>
        <v>27.91</v>
      </c>
      <c r="S128" s="112">
        <f ca="1">IFERROR(__xludf.DUMMYFUNCTION("""COMPUTED_VALUE"""),40375.7055555555)</f>
        <v>40375.705555555498</v>
      </c>
      <c r="T128" s="111">
        <f ca="1">IFERROR(__xludf.DUMMYFUNCTION("""COMPUTED_VALUE"""),7.44)</f>
        <v>7.44</v>
      </c>
    </row>
    <row r="129" spans="1:20" x14ac:dyDescent="0.3">
      <c r="A129" s="112">
        <f ca="1">IFERROR(__xludf.DUMMYFUNCTION("""COMPUTED_VALUE"""),40378.7055555555)</f>
        <v>40378.705555555498</v>
      </c>
      <c r="B129" s="111">
        <f ca="1">IFERROR(__xludf.DUMMYFUNCTION("""COMPUTED_VALUE"""),21.47)</f>
        <v>21.47</v>
      </c>
      <c r="C129" s="112">
        <f ca="1">IFERROR(__xludf.DUMMYFUNCTION("""COMPUTED_VALUE"""),40378.7055555555)</f>
        <v>40378.705555555498</v>
      </c>
      <c r="D129" s="111">
        <f ca="1">IFERROR(__xludf.DUMMYFUNCTION("""COMPUTED_VALUE"""),18.48)</f>
        <v>18.48</v>
      </c>
      <c r="E129" s="112">
        <f ca="1">IFERROR(__xludf.DUMMYFUNCTION("""COMPUTED_VALUE"""),40378.7055555555)</f>
        <v>40378.705555555498</v>
      </c>
      <c r="F129" s="111">
        <f ca="1">IFERROR(__xludf.DUMMYFUNCTION("""COMPUTED_VALUE"""),7.87)</f>
        <v>7.87</v>
      </c>
      <c r="G129" s="112">
        <f ca="1">IFERROR(__xludf.DUMMYFUNCTION("""COMPUTED_VALUE"""),40378.7055555555)</f>
        <v>40378.705555555498</v>
      </c>
      <c r="H129" s="111">
        <f ca="1">IFERROR(__xludf.DUMMYFUNCTION("""COMPUTED_VALUE"""),26.95)</f>
        <v>26.95</v>
      </c>
      <c r="I129" s="112">
        <f ca="1">IFERROR(__xludf.DUMMYFUNCTION("""COMPUTED_VALUE"""),44725.7055555555)</f>
        <v>44725.705555555498</v>
      </c>
      <c r="J129" s="111">
        <f ca="1">IFERROR(__xludf.DUMMYFUNCTION("""COMPUTED_VALUE"""),3)</f>
        <v>3</v>
      </c>
      <c r="K129" s="112">
        <f ca="1">IFERROR(__xludf.DUMMYFUNCTION("""COMPUTED_VALUE"""),40865.7055555555)</f>
        <v>40865.705555555498</v>
      </c>
      <c r="L129" s="111">
        <f ca="1">IFERROR(__xludf.DUMMYFUNCTION("""COMPUTED_VALUE"""),0.35)</f>
        <v>0.35</v>
      </c>
      <c r="M129" s="112">
        <f ca="1">IFERROR(__xludf.DUMMYFUNCTION("""COMPUTED_VALUE"""),40366.7055555555)</f>
        <v>40366.705555555498</v>
      </c>
      <c r="N129" s="111">
        <f ca="1">IFERROR(__xludf.DUMMYFUNCTION("""COMPUTED_VALUE"""),11.18)</f>
        <v>11.18</v>
      </c>
      <c r="O129" s="112">
        <f ca="1">IFERROR(__xludf.DUMMYFUNCTION("""COMPUTED_VALUE"""),40378.7055555555)</f>
        <v>40378.705555555498</v>
      </c>
      <c r="P129" s="111">
        <f ca="1">IFERROR(__xludf.DUMMYFUNCTION("""COMPUTED_VALUE"""),44.05)</f>
        <v>44.05</v>
      </c>
      <c r="Q129" s="112">
        <f ca="1">IFERROR(__xludf.DUMMYFUNCTION("""COMPUTED_VALUE"""),40378.7055555555)</f>
        <v>40378.705555555498</v>
      </c>
      <c r="R129" s="111">
        <f ca="1">IFERROR(__xludf.DUMMYFUNCTION("""COMPUTED_VALUE"""),28.2)</f>
        <v>28.2</v>
      </c>
      <c r="S129" s="112">
        <f ca="1">IFERROR(__xludf.DUMMYFUNCTION("""COMPUTED_VALUE"""),40378.7055555555)</f>
        <v>40378.705555555498</v>
      </c>
      <c r="T129" s="111">
        <f ca="1">IFERROR(__xludf.DUMMYFUNCTION("""COMPUTED_VALUE"""),7.6)</f>
        <v>7.6</v>
      </c>
    </row>
    <row r="130" spans="1:20" x14ac:dyDescent="0.3">
      <c r="A130" s="112">
        <f ca="1">IFERROR(__xludf.DUMMYFUNCTION("""COMPUTED_VALUE"""),40379.7055555555)</f>
        <v>40379.705555555498</v>
      </c>
      <c r="B130" s="111">
        <f ca="1">IFERROR(__xludf.DUMMYFUNCTION("""COMPUTED_VALUE"""),21.62)</f>
        <v>21.62</v>
      </c>
      <c r="C130" s="112">
        <f ca="1">IFERROR(__xludf.DUMMYFUNCTION("""COMPUTED_VALUE"""),40379.7055555555)</f>
        <v>40379.705555555498</v>
      </c>
      <c r="D130" s="111">
        <f ca="1">IFERROR(__xludf.DUMMYFUNCTION("""COMPUTED_VALUE"""),18.64)</f>
        <v>18.64</v>
      </c>
      <c r="E130" s="112">
        <f ca="1">IFERROR(__xludf.DUMMYFUNCTION("""COMPUTED_VALUE"""),40379.7055555555)</f>
        <v>40379.705555555498</v>
      </c>
      <c r="F130" s="111">
        <f ca="1">IFERROR(__xludf.DUMMYFUNCTION("""COMPUTED_VALUE"""),7.91)</f>
        <v>7.91</v>
      </c>
      <c r="G130" s="112">
        <f ca="1">IFERROR(__xludf.DUMMYFUNCTION("""COMPUTED_VALUE"""),40379.7055555555)</f>
        <v>40379.705555555498</v>
      </c>
      <c r="H130" s="111">
        <f ca="1">IFERROR(__xludf.DUMMYFUNCTION("""COMPUTED_VALUE"""),27.65)</f>
        <v>27.65</v>
      </c>
      <c r="I130" s="112">
        <f ca="1">IFERROR(__xludf.DUMMYFUNCTION("""COMPUTED_VALUE"""),44726.7055555555)</f>
        <v>44726.705555555498</v>
      </c>
      <c r="J130" s="111">
        <f ca="1">IFERROR(__xludf.DUMMYFUNCTION("""COMPUTED_VALUE"""),2.99)</f>
        <v>2.99</v>
      </c>
      <c r="K130" s="112">
        <f ca="1">IFERROR(__xludf.DUMMYFUNCTION("""COMPUTED_VALUE"""),40868.7055555555)</f>
        <v>40868.705555555498</v>
      </c>
      <c r="L130" s="111">
        <f ca="1">IFERROR(__xludf.DUMMYFUNCTION("""COMPUTED_VALUE"""),0.33)</f>
        <v>0.33</v>
      </c>
      <c r="M130" s="112">
        <f ca="1">IFERROR(__xludf.DUMMYFUNCTION("""COMPUTED_VALUE"""),40367.7055555555)</f>
        <v>40367.705555555498</v>
      </c>
      <c r="N130" s="111">
        <f ca="1">IFERROR(__xludf.DUMMYFUNCTION("""COMPUTED_VALUE"""),11.44)</f>
        <v>11.44</v>
      </c>
      <c r="O130" s="112">
        <f ca="1">IFERROR(__xludf.DUMMYFUNCTION("""COMPUTED_VALUE"""),40379.7055555555)</f>
        <v>40379.705555555498</v>
      </c>
      <c r="P130" s="111">
        <f ca="1">IFERROR(__xludf.DUMMYFUNCTION("""COMPUTED_VALUE"""),46.54)</f>
        <v>46.54</v>
      </c>
      <c r="Q130" s="112">
        <f ca="1">IFERROR(__xludf.DUMMYFUNCTION("""COMPUTED_VALUE"""),40379.7055555555)</f>
        <v>40379.705555555498</v>
      </c>
      <c r="R130" s="111">
        <f ca="1">IFERROR(__xludf.DUMMYFUNCTION("""COMPUTED_VALUE"""),28.1)</f>
        <v>28.1</v>
      </c>
      <c r="S130" s="112">
        <f ca="1">IFERROR(__xludf.DUMMYFUNCTION("""COMPUTED_VALUE"""),40379.7055555555)</f>
        <v>40379.705555555498</v>
      </c>
      <c r="T130" s="111">
        <f ca="1">IFERROR(__xludf.DUMMYFUNCTION("""COMPUTED_VALUE"""),7.66)</f>
        <v>7.66</v>
      </c>
    </row>
    <row r="131" spans="1:20" x14ac:dyDescent="0.3">
      <c r="A131" s="112">
        <f ca="1">IFERROR(__xludf.DUMMYFUNCTION("""COMPUTED_VALUE"""),40380.7055555555)</f>
        <v>40380.705555555498</v>
      </c>
      <c r="B131" s="111">
        <f ca="1">IFERROR(__xludf.DUMMYFUNCTION("""COMPUTED_VALUE"""),21.68)</f>
        <v>21.68</v>
      </c>
      <c r="C131" s="112">
        <f ca="1">IFERROR(__xludf.DUMMYFUNCTION("""COMPUTED_VALUE"""),40380.7055555555)</f>
        <v>40380.705555555498</v>
      </c>
      <c r="D131" s="111">
        <f ca="1">IFERROR(__xludf.DUMMYFUNCTION("""COMPUTED_VALUE"""),18.58)</f>
        <v>18.579999999999998</v>
      </c>
      <c r="E131" s="112">
        <f ca="1">IFERROR(__xludf.DUMMYFUNCTION("""COMPUTED_VALUE"""),40380.7055555555)</f>
        <v>40380.705555555498</v>
      </c>
      <c r="F131" s="111">
        <f ca="1">IFERROR(__xludf.DUMMYFUNCTION("""COMPUTED_VALUE"""),7.97)</f>
        <v>7.97</v>
      </c>
      <c r="G131" s="112">
        <f ca="1">IFERROR(__xludf.DUMMYFUNCTION("""COMPUTED_VALUE"""),40380.7055555555)</f>
        <v>40380.705555555498</v>
      </c>
      <c r="H131" s="111">
        <f ca="1">IFERROR(__xludf.DUMMYFUNCTION("""COMPUTED_VALUE"""),27.5)</f>
        <v>27.5</v>
      </c>
      <c r="I131" s="112">
        <f ca="1">IFERROR(__xludf.DUMMYFUNCTION("""COMPUTED_VALUE"""),44727.7055555555)</f>
        <v>44727.705555555498</v>
      </c>
      <c r="J131" s="111">
        <f ca="1">IFERROR(__xludf.DUMMYFUNCTION("""COMPUTED_VALUE"""),3.02)</f>
        <v>3.02</v>
      </c>
      <c r="K131" s="112">
        <f ca="1">IFERROR(__xludf.DUMMYFUNCTION("""COMPUTED_VALUE"""),40869.7055555555)</f>
        <v>40869.705555555498</v>
      </c>
      <c r="L131" s="111">
        <f ca="1">IFERROR(__xludf.DUMMYFUNCTION("""COMPUTED_VALUE"""),0.31)</f>
        <v>0.31</v>
      </c>
      <c r="M131" s="112">
        <f ca="1">IFERROR(__xludf.DUMMYFUNCTION("""COMPUTED_VALUE"""),40371.7055555555)</f>
        <v>40371.705555555498</v>
      </c>
      <c r="N131" s="111">
        <f ca="1">IFERROR(__xludf.DUMMYFUNCTION("""COMPUTED_VALUE"""),11.34)</f>
        <v>11.34</v>
      </c>
      <c r="O131" s="112">
        <f ca="1">IFERROR(__xludf.DUMMYFUNCTION("""COMPUTED_VALUE"""),40380.7055555555)</f>
        <v>40380.705555555498</v>
      </c>
      <c r="P131" s="111">
        <f ca="1">IFERROR(__xludf.DUMMYFUNCTION("""COMPUTED_VALUE"""),46.81)</f>
        <v>46.81</v>
      </c>
      <c r="Q131" s="112">
        <f ca="1">IFERROR(__xludf.DUMMYFUNCTION("""COMPUTED_VALUE"""),40380.7055555555)</f>
        <v>40380.705555555498</v>
      </c>
      <c r="R131" s="111">
        <f ca="1">IFERROR(__xludf.DUMMYFUNCTION("""COMPUTED_VALUE"""),28.26)</f>
        <v>28.26</v>
      </c>
      <c r="S131" s="112">
        <f ca="1">IFERROR(__xludf.DUMMYFUNCTION("""COMPUTED_VALUE"""),40380.7055555555)</f>
        <v>40380.705555555498</v>
      </c>
      <c r="T131" s="111">
        <f ca="1">IFERROR(__xludf.DUMMYFUNCTION("""COMPUTED_VALUE"""),7.54)</f>
        <v>7.54</v>
      </c>
    </row>
    <row r="132" spans="1:20" x14ac:dyDescent="0.3">
      <c r="A132" s="112">
        <f ca="1">IFERROR(__xludf.DUMMYFUNCTION("""COMPUTED_VALUE"""),40381.7055555555)</f>
        <v>40381.705555555498</v>
      </c>
      <c r="B132" s="111">
        <f ca="1">IFERROR(__xludf.DUMMYFUNCTION("""COMPUTED_VALUE"""),22.05)</f>
        <v>22.05</v>
      </c>
      <c r="C132" s="112">
        <f ca="1">IFERROR(__xludf.DUMMYFUNCTION("""COMPUTED_VALUE"""),40381.7055555555)</f>
        <v>40381.705555555498</v>
      </c>
      <c r="D132" s="111">
        <f ca="1">IFERROR(__xludf.DUMMYFUNCTION("""COMPUTED_VALUE"""),19.08)</f>
        <v>19.079999999999998</v>
      </c>
      <c r="E132" s="112">
        <f ca="1">IFERROR(__xludf.DUMMYFUNCTION("""COMPUTED_VALUE"""),40381.7055555555)</f>
        <v>40381.705555555498</v>
      </c>
      <c r="F132" s="111">
        <f ca="1">IFERROR(__xludf.DUMMYFUNCTION("""COMPUTED_VALUE"""),8.16)</f>
        <v>8.16</v>
      </c>
      <c r="G132" s="112">
        <f ca="1">IFERROR(__xludf.DUMMYFUNCTION("""COMPUTED_VALUE"""),40381.7055555555)</f>
        <v>40381.705555555498</v>
      </c>
      <c r="H132" s="111">
        <f ca="1">IFERROR(__xludf.DUMMYFUNCTION("""COMPUTED_VALUE"""),27.98)</f>
        <v>27.98</v>
      </c>
      <c r="I132" s="112">
        <f ca="1">IFERROR(__xludf.DUMMYFUNCTION("""COMPUTED_VALUE"""),44729.7055555555)</f>
        <v>44729.705555555498</v>
      </c>
      <c r="J132" s="111">
        <f ca="1">IFERROR(__xludf.DUMMYFUNCTION("""COMPUTED_VALUE"""),2.98)</f>
        <v>2.98</v>
      </c>
      <c r="K132" s="112">
        <f ca="1">IFERROR(__xludf.DUMMYFUNCTION("""COMPUTED_VALUE"""),40870.7055555555)</f>
        <v>40870.705555555498</v>
      </c>
      <c r="L132" s="111">
        <f ca="1">IFERROR(__xludf.DUMMYFUNCTION("""COMPUTED_VALUE"""),0.31)</f>
        <v>0.31</v>
      </c>
      <c r="M132" s="112">
        <f ca="1">IFERROR(__xludf.DUMMYFUNCTION("""COMPUTED_VALUE"""),40372.7055555555)</f>
        <v>40372.705555555498</v>
      </c>
      <c r="N132" s="111">
        <f ca="1">IFERROR(__xludf.DUMMYFUNCTION("""COMPUTED_VALUE"""),11.48)</f>
        <v>11.48</v>
      </c>
      <c r="O132" s="112">
        <f ca="1">IFERROR(__xludf.DUMMYFUNCTION("""COMPUTED_VALUE"""),40381.7055555555)</f>
        <v>40381.705555555498</v>
      </c>
      <c r="P132" s="111">
        <f ca="1">IFERROR(__xludf.DUMMYFUNCTION("""COMPUTED_VALUE"""),47.8)</f>
        <v>47.8</v>
      </c>
      <c r="Q132" s="112">
        <f ca="1">IFERROR(__xludf.DUMMYFUNCTION("""COMPUTED_VALUE"""),40381.7055555555)</f>
        <v>40381.705555555498</v>
      </c>
      <c r="R132" s="111">
        <f ca="1">IFERROR(__xludf.DUMMYFUNCTION("""COMPUTED_VALUE"""),29.08)</f>
        <v>29.08</v>
      </c>
      <c r="S132" s="112">
        <f ca="1">IFERROR(__xludf.DUMMYFUNCTION("""COMPUTED_VALUE"""),40381.7055555555)</f>
        <v>40381.705555555498</v>
      </c>
      <c r="T132" s="111">
        <f ca="1">IFERROR(__xludf.DUMMYFUNCTION("""COMPUTED_VALUE"""),7.86)</f>
        <v>7.86</v>
      </c>
    </row>
    <row r="133" spans="1:20" x14ac:dyDescent="0.3">
      <c r="A133" s="112">
        <f ca="1">IFERROR(__xludf.DUMMYFUNCTION("""COMPUTED_VALUE"""),40382.7055555555)</f>
        <v>40382.705555555498</v>
      </c>
      <c r="B133" s="111">
        <f ca="1">IFERROR(__xludf.DUMMYFUNCTION("""COMPUTED_VALUE"""),22.28)</f>
        <v>22.28</v>
      </c>
      <c r="C133" s="112">
        <f ca="1">IFERROR(__xludf.DUMMYFUNCTION("""COMPUTED_VALUE"""),40382.7055555555)</f>
        <v>40382.705555555498</v>
      </c>
      <c r="D133" s="111">
        <f ca="1">IFERROR(__xludf.DUMMYFUNCTION("""COMPUTED_VALUE"""),19.28)</f>
        <v>19.28</v>
      </c>
      <c r="E133" s="112">
        <f ca="1">IFERROR(__xludf.DUMMYFUNCTION("""COMPUTED_VALUE"""),40382.7055555555)</f>
        <v>40382.705555555498</v>
      </c>
      <c r="F133" s="111">
        <f ca="1">IFERROR(__xludf.DUMMYFUNCTION("""COMPUTED_VALUE"""),8.26)</f>
        <v>8.26</v>
      </c>
      <c r="G133" s="112">
        <f ca="1">IFERROR(__xludf.DUMMYFUNCTION("""COMPUTED_VALUE"""),40382.7055555555)</f>
        <v>40382.705555555498</v>
      </c>
      <c r="H133" s="111">
        <f ca="1">IFERROR(__xludf.DUMMYFUNCTION("""COMPUTED_VALUE"""),27.79)</f>
        <v>27.79</v>
      </c>
      <c r="I133" s="112">
        <f ca="1">IFERROR(__xludf.DUMMYFUNCTION("""COMPUTED_VALUE"""),44732.7055555555)</f>
        <v>44732.705555555498</v>
      </c>
      <c r="J133" s="111">
        <f ca="1">IFERROR(__xludf.DUMMYFUNCTION("""COMPUTED_VALUE"""),2.98)</f>
        <v>2.98</v>
      </c>
      <c r="K133" s="112">
        <f ca="1">IFERROR(__xludf.DUMMYFUNCTION("""COMPUTED_VALUE"""),40871.7055555555)</f>
        <v>40871.705555555498</v>
      </c>
      <c r="L133" s="111">
        <f ca="1">IFERROR(__xludf.DUMMYFUNCTION("""COMPUTED_VALUE"""),0.31)</f>
        <v>0.31</v>
      </c>
      <c r="M133" s="112">
        <f ca="1">IFERROR(__xludf.DUMMYFUNCTION("""COMPUTED_VALUE"""),40373.7055555555)</f>
        <v>40373.705555555498</v>
      </c>
      <c r="N133" s="111">
        <f ca="1">IFERROR(__xludf.DUMMYFUNCTION("""COMPUTED_VALUE"""),11.46)</f>
        <v>11.46</v>
      </c>
      <c r="O133" s="112">
        <f ca="1">IFERROR(__xludf.DUMMYFUNCTION("""COMPUTED_VALUE"""),40382.7055555555)</f>
        <v>40382.705555555498</v>
      </c>
      <c r="P133" s="111">
        <f ca="1">IFERROR(__xludf.DUMMYFUNCTION("""COMPUTED_VALUE"""),48.17)</f>
        <v>48.17</v>
      </c>
      <c r="Q133" s="112">
        <f ca="1">IFERROR(__xludf.DUMMYFUNCTION("""COMPUTED_VALUE"""),40382.7055555555)</f>
        <v>40382.705555555498</v>
      </c>
      <c r="R133" s="111">
        <f ca="1">IFERROR(__xludf.DUMMYFUNCTION("""COMPUTED_VALUE"""),29.48)</f>
        <v>29.48</v>
      </c>
      <c r="S133" s="112">
        <f ca="1">IFERROR(__xludf.DUMMYFUNCTION("""COMPUTED_VALUE"""),40382.7055555555)</f>
        <v>40382.705555555498</v>
      </c>
      <c r="T133" s="111">
        <f ca="1">IFERROR(__xludf.DUMMYFUNCTION("""COMPUTED_VALUE"""),7.81)</f>
        <v>7.81</v>
      </c>
    </row>
    <row r="134" spans="1:20" x14ac:dyDescent="0.3">
      <c r="A134" s="112">
        <f ca="1">IFERROR(__xludf.DUMMYFUNCTION("""COMPUTED_VALUE"""),40385.7055555555)</f>
        <v>40385.705555555498</v>
      </c>
      <c r="B134" s="111">
        <f ca="1">IFERROR(__xludf.DUMMYFUNCTION("""COMPUTED_VALUE"""),22.36)</f>
        <v>22.36</v>
      </c>
      <c r="C134" s="112">
        <f ca="1">IFERROR(__xludf.DUMMYFUNCTION("""COMPUTED_VALUE"""),40385.7055555555)</f>
        <v>40385.705555555498</v>
      </c>
      <c r="D134" s="111">
        <f ca="1">IFERROR(__xludf.DUMMYFUNCTION("""COMPUTED_VALUE"""),19.33)</f>
        <v>19.329999999999998</v>
      </c>
      <c r="E134" s="112">
        <f ca="1">IFERROR(__xludf.DUMMYFUNCTION("""COMPUTED_VALUE"""),40385.7055555555)</f>
        <v>40385.705555555498</v>
      </c>
      <c r="F134" s="111">
        <f ca="1">IFERROR(__xludf.DUMMYFUNCTION("""COMPUTED_VALUE"""),8.29)</f>
        <v>8.2899999999999991</v>
      </c>
      <c r="G134" s="112">
        <f ca="1">IFERROR(__xludf.DUMMYFUNCTION("""COMPUTED_VALUE"""),40385.7055555555)</f>
        <v>40385.705555555498</v>
      </c>
      <c r="H134" s="111">
        <f ca="1">IFERROR(__xludf.DUMMYFUNCTION("""COMPUTED_VALUE"""),27.9)</f>
        <v>27.9</v>
      </c>
      <c r="I134" s="112">
        <f ca="1">IFERROR(__xludf.DUMMYFUNCTION("""COMPUTED_VALUE"""),44733.7055555555)</f>
        <v>44733.705555555498</v>
      </c>
      <c r="J134" s="111">
        <f ca="1">IFERROR(__xludf.DUMMYFUNCTION("""COMPUTED_VALUE"""),3.34)</f>
        <v>3.34</v>
      </c>
      <c r="K134" s="112">
        <f ca="1">IFERROR(__xludf.DUMMYFUNCTION("""COMPUTED_VALUE"""),40872.7055555555)</f>
        <v>40872.705555555498</v>
      </c>
      <c r="L134" s="111">
        <f ca="1">IFERROR(__xludf.DUMMYFUNCTION("""COMPUTED_VALUE"""),0.31)</f>
        <v>0.31</v>
      </c>
      <c r="M134" s="112">
        <f ca="1">IFERROR(__xludf.DUMMYFUNCTION("""COMPUTED_VALUE"""),40374.7055555555)</f>
        <v>40374.705555555498</v>
      </c>
      <c r="N134" s="111">
        <f ca="1">IFERROR(__xludf.DUMMYFUNCTION("""COMPUTED_VALUE"""),11.45)</f>
        <v>11.45</v>
      </c>
      <c r="O134" s="112">
        <f ca="1">IFERROR(__xludf.DUMMYFUNCTION("""COMPUTED_VALUE"""),40385.7055555555)</f>
        <v>40385.705555555498</v>
      </c>
      <c r="P134" s="111">
        <f ca="1">IFERROR(__xludf.DUMMYFUNCTION("""COMPUTED_VALUE"""),48.19)</f>
        <v>48.19</v>
      </c>
      <c r="Q134" s="112">
        <f ca="1">IFERROR(__xludf.DUMMYFUNCTION("""COMPUTED_VALUE"""),40385.7055555555)</f>
        <v>40385.705555555498</v>
      </c>
      <c r="R134" s="111">
        <f ca="1">IFERROR(__xludf.DUMMYFUNCTION("""COMPUTED_VALUE"""),29.05)</f>
        <v>29.05</v>
      </c>
      <c r="S134" s="112">
        <f ca="1">IFERROR(__xludf.DUMMYFUNCTION("""COMPUTED_VALUE"""),40385.7055555555)</f>
        <v>40385.705555555498</v>
      </c>
      <c r="T134" s="111">
        <f ca="1">IFERROR(__xludf.DUMMYFUNCTION("""COMPUTED_VALUE"""),7.67)</f>
        <v>7.67</v>
      </c>
    </row>
    <row r="135" spans="1:20" x14ac:dyDescent="0.3">
      <c r="A135" s="112">
        <f ca="1">IFERROR(__xludf.DUMMYFUNCTION("""COMPUTED_VALUE"""),40386.7055555555)</f>
        <v>40386.705555555498</v>
      </c>
      <c r="B135" s="111">
        <f ca="1">IFERROR(__xludf.DUMMYFUNCTION("""COMPUTED_VALUE"""),21.76)</f>
        <v>21.76</v>
      </c>
      <c r="C135" s="112">
        <f ca="1">IFERROR(__xludf.DUMMYFUNCTION("""COMPUTED_VALUE"""),40386.7055555555)</f>
        <v>40386.705555555498</v>
      </c>
      <c r="D135" s="111">
        <f ca="1">IFERROR(__xludf.DUMMYFUNCTION("""COMPUTED_VALUE"""),19.28)</f>
        <v>19.28</v>
      </c>
      <c r="E135" s="112">
        <f ca="1">IFERROR(__xludf.DUMMYFUNCTION("""COMPUTED_VALUE"""),40386.7055555555)</f>
        <v>40386.705555555498</v>
      </c>
      <c r="F135" s="111">
        <f ca="1">IFERROR(__xludf.DUMMYFUNCTION("""COMPUTED_VALUE"""),8.21)</f>
        <v>8.2100000000000009</v>
      </c>
      <c r="G135" s="112">
        <f ca="1">IFERROR(__xludf.DUMMYFUNCTION("""COMPUTED_VALUE"""),40386.7055555555)</f>
        <v>40386.705555555498</v>
      </c>
      <c r="H135" s="111">
        <f ca="1">IFERROR(__xludf.DUMMYFUNCTION("""COMPUTED_VALUE"""),27.98)</f>
        <v>27.98</v>
      </c>
      <c r="I135" s="112">
        <f ca="1">IFERROR(__xludf.DUMMYFUNCTION("""COMPUTED_VALUE"""),44734.7055555555)</f>
        <v>44734.705555555498</v>
      </c>
      <c r="J135" s="111">
        <f ca="1">IFERROR(__xludf.DUMMYFUNCTION("""COMPUTED_VALUE"""),3.39)</f>
        <v>3.39</v>
      </c>
      <c r="K135" s="112">
        <f ca="1">IFERROR(__xludf.DUMMYFUNCTION("""COMPUTED_VALUE"""),40875.7055555555)</f>
        <v>40875.705555555498</v>
      </c>
      <c r="L135" s="111">
        <f ca="1">IFERROR(__xludf.DUMMYFUNCTION("""COMPUTED_VALUE"""),0.32)</f>
        <v>0.32</v>
      </c>
      <c r="M135" s="112">
        <f ca="1">IFERROR(__xludf.DUMMYFUNCTION("""COMPUTED_VALUE"""),40375.7055555555)</f>
        <v>40375.705555555498</v>
      </c>
      <c r="N135" s="111">
        <f ca="1">IFERROR(__xludf.DUMMYFUNCTION("""COMPUTED_VALUE"""),11.25)</f>
        <v>11.25</v>
      </c>
      <c r="O135" s="112">
        <f ca="1">IFERROR(__xludf.DUMMYFUNCTION("""COMPUTED_VALUE"""),40386.7055555555)</f>
        <v>40386.705555555498</v>
      </c>
      <c r="P135" s="111">
        <f ca="1">IFERROR(__xludf.DUMMYFUNCTION("""COMPUTED_VALUE"""),48)</f>
        <v>48</v>
      </c>
      <c r="Q135" s="112">
        <f ca="1">IFERROR(__xludf.DUMMYFUNCTION("""COMPUTED_VALUE"""),40386.7055555555)</f>
        <v>40386.705555555498</v>
      </c>
      <c r="R135" s="111">
        <f ca="1">IFERROR(__xludf.DUMMYFUNCTION("""COMPUTED_VALUE"""),28.7)</f>
        <v>28.7</v>
      </c>
      <c r="S135" s="112">
        <f ca="1">IFERROR(__xludf.DUMMYFUNCTION("""COMPUTED_VALUE"""),40386.7055555555)</f>
        <v>40386.705555555498</v>
      </c>
      <c r="T135" s="111">
        <f ca="1">IFERROR(__xludf.DUMMYFUNCTION("""COMPUTED_VALUE"""),7.82)</f>
        <v>7.82</v>
      </c>
    </row>
    <row r="136" spans="1:20" x14ac:dyDescent="0.3">
      <c r="A136" s="112">
        <f ca="1">IFERROR(__xludf.DUMMYFUNCTION("""COMPUTED_VALUE"""),40387.7055555555)</f>
        <v>40387.705555555498</v>
      </c>
      <c r="B136" s="111">
        <f ca="1">IFERROR(__xludf.DUMMYFUNCTION("""COMPUTED_VALUE"""),22.02)</f>
        <v>22.02</v>
      </c>
      <c r="C136" s="112">
        <f ca="1">IFERROR(__xludf.DUMMYFUNCTION("""COMPUTED_VALUE"""),40387.7055555555)</f>
        <v>40387.705555555498</v>
      </c>
      <c r="D136" s="111">
        <f ca="1">IFERROR(__xludf.DUMMYFUNCTION("""COMPUTED_VALUE"""),19.73)</f>
        <v>19.73</v>
      </c>
      <c r="E136" s="112">
        <f ca="1">IFERROR(__xludf.DUMMYFUNCTION("""COMPUTED_VALUE"""),40387.7055555555)</f>
        <v>40387.705555555498</v>
      </c>
      <c r="F136" s="111">
        <f ca="1">IFERROR(__xludf.DUMMYFUNCTION("""COMPUTED_VALUE"""),8.36)</f>
        <v>8.36</v>
      </c>
      <c r="G136" s="112">
        <f ca="1">IFERROR(__xludf.DUMMYFUNCTION("""COMPUTED_VALUE"""),40387.7055555555)</f>
        <v>40387.705555555498</v>
      </c>
      <c r="H136" s="111">
        <f ca="1">IFERROR(__xludf.DUMMYFUNCTION("""COMPUTED_VALUE"""),27.8)</f>
        <v>27.8</v>
      </c>
      <c r="I136" s="112">
        <f ca="1">IFERROR(__xludf.DUMMYFUNCTION("""COMPUTED_VALUE"""),44735.7055555555)</f>
        <v>44735.705555555498</v>
      </c>
      <c r="J136" s="111">
        <f ca="1">IFERROR(__xludf.DUMMYFUNCTION("""COMPUTED_VALUE"""),3.5)</f>
        <v>3.5</v>
      </c>
      <c r="K136" s="112">
        <f ca="1">IFERROR(__xludf.DUMMYFUNCTION("""COMPUTED_VALUE"""),40876.7055555555)</f>
        <v>40876.705555555498</v>
      </c>
      <c r="L136" s="111">
        <f ca="1">IFERROR(__xludf.DUMMYFUNCTION("""COMPUTED_VALUE"""),0.32)</f>
        <v>0.32</v>
      </c>
      <c r="M136" s="112">
        <f ca="1">IFERROR(__xludf.DUMMYFUNCTION("""COMPUTED_VALUE"""),40378.7055555555)</f>
        <v>40378.705555555498</v>
      </c>
      <c r="N136" s="111">
        <f ca="1">IFERROR(__xludf.DUMMYFUNCTION("""COMPUTED_VALUE"""),11.51)</f>
        <v>11.51</v>
      </c>
      <c r="O136" s="112">
        <f ca="1">IFERROR(__xludf.DUMMYFUNCTION("""COMPUTED_VALUE"""),40387.7055555555)</f>
        <v>40387.705555555498</v>
      </c>
      <c r="P136" s="111">
        <f ca="1">IFERROR(__xludf.DUMMYFUNCTION("""COMPUTED_VALUE"""),48.85)</f>
        <v>48.85</v>
      </c>
      <c r="Q136" s="112">
        <f ca="1">IFERROR(__xludf.DUMMYFUNCTION("""COMPUTED_VALUE"""),40387.7055555555)</f>
        <v>40387.705555555498</v>
      </c>
      <c r="R136" s="111">
        <f ca="1">IFERROR(__xludf.DUMMYFUNCTION("""COMPUTED_VALUE"""),29.9)</f>
        <v>29.9</v>
      </c>
      <c r="S136" s="112">
        <f ca="1">IFERROR(__xludf.DUMMYFUNCTION("""COMPUTED_VALUE"""),40387.7055555555)</f>
        <v>40387.705555555498</v>
      </c>
      <c r="T136" s="111">
        <f ca="1">IFERROR(__xludf.DUMMYFUNCTION("""COMPUTED_VALUE"""),7.89)</f>
        <v>7.89</v>
      </c>
    </row>
    <row r="137" spans="1:20" x14ac:dyDescent="0.3">
      <c r="A137" s="112">
        <f ca="1">IFERROR(__xludf.DUMMYFUNCTION("""COMPUTED_VALUE"""),40388.7055555555)</f>
        <v>40388.705555555498</v>
      </c>
      <c r="B137" s="111">
        <f ca="1">IFERROR(__xludf.DUMMYFUNCTION("""COMPUTED_VALUE"""),22.25)</f>
        <v>22.25</v>
      </c>
      <c r="C137" s="112">
        <f ca="1">IFERROR(__xludf.DUMMYFUNCTION("""COMPUTED_VALUE"""),40388.7055555555)</f>
        <v>40388.705555555498</v>
      </c>
      <c r="D137" s="111">
        <f ca="1">IFERROR(__xludf.DUMMYFUNCTION("""COMPUTED_VALUE"""),19.75)</f>
        <v>19.75</v>
      </c>
      <c r="E137" s="112">
        <f ca="1">IFERROR(__xludf.DUMMYFUNCTION("""COMPUTED_VALUE"""),40388.7055555555)</f>
        <v>40388.705555555498</v>
      </c>
      <c r="F137" s="111">
        <f ca="1">IFERROR(__xludf.DUMMYFUNCTION("""COMPUTED_VALUE"""),8.44)</f>
        <v>8.44</v>
      </c>
      <c r="G137" s="112">
        <f ca="1">IFERROR(__xludf.DUMMYFUNCTION("""COMPUTED_VALUE"""),40388.7055555555)</f>
        <v>40388.705555555498</v>
      </c>
      <c r="H137" s="111">
        <f ca="1">IFERROR(__xludf.DUMMYFUNCTION("""COMPUTED_VALUE"""),27.74)</f>
        <v>27.74</v>
      </c>
      <c r="I137" s="112">
        <f ca="1">IFERROR(__xludf.DUMMYFUNCTION("""COMPUTED_VALUE"""),44736.7055555555)</f>
        <v>44736.705555555498</v>
      </c>
      <c r="J137" s="111">
        <f ca="1">IFERROR(__xludf.DUMMYFUNCTION("""COMPUTED_VALUE"""),3.55)</f>
        <v>3.55</v>
      </c>
      <c r="K137" s="112">
        <f ca="1">IFERROR(__xludf.DUMMYFUNCTION("""COMPUTED_VALUE"""),40877.7055555555)</f>
        <v>40877.705555555498</v>
      </c>
      <c r="L137" s="111">
        <f ca="1">IFERROR(__xludf.DUMMYFUNCTION("""COMPUTED_VALUE"""),0.34)</f>
        <v>0.34</v>
      </c>
      <c r="M137" s="112">
        <f ca="1">IFERROR(__xludf.DUMMYFUNCTION("""COMPUTED_VALUE"""),40379.7055555555)</f>
        <v>40379.705555555498</v>
      </c>
      <c r="N137" s="111">
        <f ca="1">IFERROR(__xludf.DUMMYFUNCTION("""COMPUTED_VALUE"""),11.68)</f>
        <v>11.68</v>
      </c>
      <c r="O137" s="112">
        <f ca="1">IFERROR(__xludf.DUMMYFUNCTION("""COMPUTED_VALUE"""),40388.7055555555)</f>
        <v>40388.705555555498</v>
      </c>
      <c r="P137" s="111">
        <f ca="1">IFERROR(__xludf.DUMMYFUNCTION("""COMPUTED_VALUE"""),48.4)</f>
        <v>48.4</v>
      </c>
      <c r="Q137" s="112">
        <f ca="1">IFERROR(__xludf.DUMMYFUNCTION("""COMPUTED_VALUE"""),40388.7055555555)</f>
        <v>40388.705555555498</v>
      </c>
      <c r="R137" s="111">
        <f ca="1">IFERROR(__xludf.DUMMYFUNCTION("""COMPUTED_VALUE"""),29.9)</f>
        <v>29.9</v>
      </c>
      <c r="S137" s="112">
        <f ca="1">IFERROR(__xludf.DUMMYFUNCTION("""COMPUTED_VALUE"""),40388.7055555555)</f>
        <v>40388.705555555498</v>
      </c>
      <c r="T137" s="111">
        <f ca="1">IFERROR(__xludf.DUMMYFUNCTION("""COMPUTED_VALUE"""),8.19)</f>
        <v>8.19</v>
      </c>
    </row>
    <row r="138" spans="1:20" x14ac:dyDescent="0.3">
      <c r="A138" s="112">
        <f ca="1">IFERROR(__xludf.DUMMYFUNCTION("""COMPUTED_VALUE"""),40389.7055555555)</f>
        <v>40389.705555555498</v>
      </c>
      <c r="B138" s="111">
        <f ca="1">IFERROR(__xludf.DUMMYFUNCTION("""COMPUTED_VALUE"""),22.55)</f>
        <v>22.55</v>
      </c>
      <c r="C138" s="112">
        <f ca="1">IFERROR(__xludf.DUMMYFUNCTION("""COMPUTED_VALUE"""),40389.7055555555)</f>
        <v>40389.705555555498</v>
      </c>
      <c r="D138" s="111">
        <f ca="1">IFERROR(__xludf.DUMMYFUNCTION("""COMPUTED_VALUE"""),19.83)</f>
        <v>19.829999999999998</v>
      </c>
      <c r="E138" s="112">
        <f ca="1">IFERROR(__xludf.DUMMYFUNCTION("""COMPUTED_VALUE"""),40389.7055555555)</f>
        <v>40389.705555555498</v>
      </c>
      <c r="F138" s="111">
        <f ca="1">IFERROR(__xludf.DUMMYFUNCTION("""COMPUTED_VALUE"""),8.51)</f>
        <v>8.51</v>
      </c>
      <c r="G138" s="112">
        <f ca="1">IFERROR(__xludf.DUMMYFUNCTION("""COMPUTED_VALUE"""),40389.7055555555)</f>
        <v>40389.705555555498</v>
      </c>
      <c r="H138" s="111">
        <f ca="1">IFERROR(__xludf.DUMMYFUNCTION("""COMPUTED_VALUE"""),27.85)</f>
        <v>27.85</v>
      </c>
      <c r="I138" s="112">
        <f ca="1">IFERROR(__xludf.DUMMYFUNCTION("""COMPUTED_VALUE"""),44739.7055555555)</f>
        <v>44739.705555555498</v>
      </c>
      <c r="J138" s="111">
        <f ca="1">IFERROR(__xludf.DUMMYFUNCTION("""COMPUTED_VALUE"""),3.47)</f>
        <v>3.47</v>
      </c>
      <c r="K138" s="112">
        <f ca="1">IFERROR(__xludf.DUMMYFUNCTION("""COMPUTED_VALUE"""),40878.7055555555)</f>
        <v>40878.705555555498</v>
      </c>
      <c r="L138" s="111">
        <f ca="1">IFERROR(__xludf.DUMMYFUNCTION("""COMPUTED_VALUE"""),0.37)</f>
        <v>0.37</v>
      </c>
      <c r="M138" s="112">
        <f ca="1">IFERROR(__xludf.DUMMYFUNCTION("""COMPUTED_VALUE"""),40380.7055555555)</f>
        <v>40380.705555555498</v>
      </c>
      <c r="N138" s="111">
        <f ca="1">IFERROR(__xludf.DUMMYFUNCTION("""COMPUTED_VALUE"""),11.59)</f>
        <v>11.59</v>
      </c>
      <c r="O138" s="112">
        <f ca="1">IFERROR(__xludf.DUMMYFUNCTION("""COMPUTED_VALUE"""),40389.7055555555)</f>
        <v>40389.705555555498</v>
      </c>
      <c r="P138" s="111">
        <f ca="1">IFERROR(__xludf.DUMMYFUNCTION("""COMPUTED_VALUE"""),48.55)</f>
        <v>48.55</v>
      </c>
      <c r="Q138" s="112">
        <f ca="1">IFERROR(__xludf.DUMMYFUNCTION("""COMPUTED_VALUE"""),40389.7055555555)</f>
        <v>40389.705555555498</v>
      </c>
      <c r="R138" s="111">
        <f ca="1">IFERROR(__xludf.DUMMYFUNCTION("""COMPUTED_VALUE"""),30.54)</f>
        <v>30.54</v>
      </c>
      <c r="S138" s="112">
        <f ca="1">IFERROR(__xludf.DUMMYFUNCTION("""COMPUTED_VALUE"""),40389.7055555555)</f>
        <v>40389.705555555498</v>
      </c>
      <c r="T138" s="111">
        <f ca="1">IFERROR(__xludf.DUMMYFUNCTION("""COMPUTED_VALUE"""),8.86)</f>
        <v>8.86</v>
      </c>
    </row>
    <row r="139" spans="1:20" x14ac:dyDescent="0.3">
      <c r="A139" s="112">
        <f ca="1">IFERROR(__xludf.DUMMYFUNCTION("""COMPUTED_VALUE"""),40392.7055555555)</f>
        <v>40392.705555555498</v>
      </c>
      <c r="B139" s="111">
        <f ca="1">IFERROR(__xludf.DUMMYFUNCTION("""COMPUTED_VALUE"""),22.73)</f>
        <v>22.73</v>
      </c>
      <c r="C139" s="112">
        <f ca="1">IFERROR(__xludf.DUMMYFUNCTION("""COMPUTED_VALUE"""),40392.7055555555)</f>
        <v>40392.705555555498</v>
      </c>
      <c r="D139" s="111">
        <f ca="1">IFERROR(__xludf.DUMMYFUNCTION("""COMPUTED_VALUE"""),19.89)</f>
        <v>19.89</v>
      </c>
      <c r="E139" s="112">
        <f ca="1">IFERROR(__xludf.DUMMYFUNCTION("""COMPUTED_VALUE"""),40392.7055555555)</f>
        <v>40392.705555555498</v>
      </c>
      <c r="F139" s="111">
        <f ca="1">IFERROR(__xludf.DUMMYFUNCTION("""COMPUTED_VALUE"""),8.54)</f>
        <v>8.5399999999999991</v>
      </c>
      <c r="G139" s="112">
        <f ca="1">IFERROR(__xludf.DUMMYFUNCTION("""COMPUTED_VALUE"""),40392.7055555555)</f>
        <v>40392.705555555498</v>
      </c>
      <c r="H139" s="111">
        <f ca="1">IFERROR(__xludf.DUMMYFUNCTION("""COMPUTED_VALUE"""),28.44)</f>
        <v>28.44</v>
      </c>
      <c r="I139" s="112">
        <f ca="1">IFERROR(__xludf.DUMMYFUNCTION("""COMPUTED_VALUE"""),44740.7055555555)</f>
        <v>44740.705555555498</v>
      </c>
      <c r="J139" s="111">
        <f ca="1">IFERROR(__xludf.DUMMYFUNCTION("""COMPUTED_VALUE"""),3.38)</f>
        <v>3.38</v>
      </c>
      <c r="K139" s="112">
        <f ca="1">IFERROR(__xludf.DUMMYFUNCTION("""COMPUTED_VALUE"""),40879.7055555555)</f>
        <v>40879.705555555498</v>
      </c>
      <c r="L139" s="111">
        <f ca="1">IFERROR(__xludf.DUMMYFUNCTION("""COMPUTED_VALUE"""),0.36)</f>
        <v>0.36</v>
      </c>
      <c r="M139" s="112">
        <f ca="1">IFERROR(__xludf.DUMMYFUNCTION("""COMPUTED_VALUE"""),40381.7055555555)</f>
        <v>40381.705555555498</v>
      </c>
      <c r="N139" s="111">
        <f ca="1">IFERROR(__xludf.DUMMYFUNCTION("""COMPUTED_VALUE"""),11.94)</f>
        <v>11.94</v>
      </c>
      <c r="O139" s="112">
        <f ca="1">IFERROR(__xludf.DUMMYFUNCTION("""COMPUTED_VALUE"""),40392.7055555555)</f>
        <v>40392.705555555498</v>
      </c>
      <c r="P139" s="111">
        <f ca="1">IFERROR(__xludf.DUMMYFUNCTION("""COMPUTED_VALUE"""),50.53)</f>
        <v>50.53</v>
      </c>
      <c r="Q139" s="112">
        <f ca="1">IFERROR(__xludf.DUMMYFUNCTION("""COMPUTED_VALUE"""),40392.7055555555)</f>
        <v>40392.705555555498</v>
      </c>
      <c r="R139" s="111">
        <f ca="1">IFERROR(__xludf.DUMMYFUNCTION("""COMPUTED_VALUE"""),30.46)</f>
        <v>30.46</v>
      </c>
      <c r="S139" s="112">
        <f ca="1">IFERROR(__xludf.DUMMYFUNCTION("""COMPUTED_VALUE"""),40392.7055555555)</f>
        <v>40392.705555555498</v>
      </c>
      <c r="T139" s="111">
        <f ca="1">IFERROR(__xludf.DUMMYFUNCTION("""COMPUTED_VALUE"""),8.44)</f>
        <v>8.44</v>
      </c>
    </row>
    <row r="140" spans="1:20" x14ac:dyDescent="0.3">
      <c r="A140" s="112">
        <f ca="1">IFERROR(__xludf.DUMMYFUNCTION("""COMPUTED_VALUE"""),40393.7055555555)</f>
        <v>40393.705555555498</v>
      </c>
      <c r="B140" s="111">
        <f ca="1">IFERROR(__xludf.DUMMYFUNCTION("""COMPUTED_VALUE"""),22.45)</f>
        <v>22.45</v>
      </c>
      <c r="C140" s="112">
        <f ca="1">IFERROR(__xludf.DUMMYFUNCTION("""COMPUTED_VALUE"""),40393.7055555555)</f>
        <v>40393.705555555498</v>
      </c>
      <c r="D140" s="111">
        <f ca="1">IFERROR(__xludf.DUMMYFUNCTION("""COMPUTED_VALUE"""),19.28)</f>
        <v>19.28</v>
      </c>
      <c r="E140" s="112">
        <f ca="1">IFERROR(__xludf.DUMMYFUNCTION("""COMPUTED_VALUE"""),40393.7055555555)</f>
        <v>40393.705555555498</v>
      </c>
      <c r="F140" s="111">
        <f ca="1">IFERROR(__xludf.DUMMYFUNCTION("""COMPUTED_VALUE"""),8.2)</f>
        <v>8.1999999999999993</v>
      </c>
      <c r="G140" s="112">
        <f ca="1">IFERROR(__xludf.DUMMYFUNCTION("""COMPUTED_VALUE"""),40393.7055555555)</f>
        <v>40393.705555555498</v>
      </c>
      <c r="H140" s="111">
        <f ca="1">IFERROR(__xludf.DUMMYFUNCTION("""COMPUTED_VALUE"""),29.08)</f>
        <v>29.08</v>
      </c>
      <c r="I140" s="112">
        <f ca="1">IFERROR(__xludf.DUMMYFUNCTION("""COMPUTED_VALUE"""),44741.7055555555)</f>
        <v>44741.705555555498</v>
      </c>
      <c r="J140" s="111">
        <f ca="1">IFERROR(__xludf.DUMMYFUNCTION("""COMPUTED_VALUE"""),3.37)</f>
        <v>3.37</v>
      </c>
      <c r="K140" s="112">
        <f ca="1">IFERROR(__xludf.DUMMYFUNCTION("""COMPUTED_VALUE"""),40882.7055555555)</f>
        <v>40882.705555555498</v>
      </c>
      <c r="L140" s="111">
        <f ca="1">IFERROR(__xludf.DUMMYFUNCTION("""COMPUTED_VALUE"""),0.35)</f>
        <v>0.35</v>
      </c>
      <c r="M140" s="112">
        <f ca="1">IFERROR(__xludf.DUMMYFUNCTION("""COMPUTED_VALUE"""),40382.7055555555)</f>
        <v>40382.705555555498</v>
      </c>
      <c r="N140" s="111">
        <f ca="1">IFERROR(__xludf.DUMMYFUNCTION("""COMPUTED_VALUE"""),12.03)</f>
        <v>12.03</v>
      </c>
      <c r="O140" s="112">
        <f ca="1">IFERROR(__xludf.DUMMYFUNCTION("""COMPUTED_VALUE"""),40393.7055555555)</f>
        <v>40393.705555555498</v>
      </c>
      <c r="P140" s="111">
        <f ca="1">IFERROR(__xludf.DUMMYFUNCTION("""COMPUTED_VALUE"""),50.47)</f>
        <v>50.47</v>
      </c>
      <c r="Q140" s="112">
        <f ca="1">IFERROR(__xludf.DUMMYFUNCTION("""COMPUTED_VALUE"""),40393.7055555555)</f>
        <v>40393.705555555498</v>
      </c>
      <c r="R140" s="111">
        <f ca="1">IFERROR(__xludf.DUMMYFUNCTION("""COMPUTED_VALUE"""),29.6)</f>
        <v>29.6</v>
      </c>
      <c r="S140" s="112">
        <f ca="1">IFERROR(__xludf.DUMMYFUNCTION("""COMPUTED_VALUE"""),40393.7055555555)</f>
        <v>40393.705555555498</v>
      </c>
      <c r="T140" s="111">
        <f ca="1">IFERROR(__xludf.DUMMYFUNCTION("""COMPUTED_VALUE"""),8.19)</f>
        <v>8.19</v>
      </c>
    </row>
    <row r="141" spans="1:20" x14ac:dyDescent="0.3">
      <c r="A141" s="112">
        <f ca="1">IFERROR(__xludf.DUMMYFUNCTION("""COMPUTED_VALUE"""),40394.7055555555)</f>
        <v>40394.705555555498</v>
      </c>
      <c r="B141" s="111">
        <f ca="1">IFERROR(__xludf.DUMMYFUNCTION("""COMPUTED_VALUE"""),22.48)</f>
        <v>22.48</v>
      </c>
      <c r="C141" s="112">
        <f ca="1">IFERROR(__xludf.DUMMYFUNCTION("""COMPUTED_VALUE"""),40394.7055555555)</f>
        <v>40394.705555555498</v>
      </c>
      <c r="D141" s="111">
        <f ca="1">IFERROR(__xludf.DUMMYFUNCTION("""COMPUTED_VALUE"""),18.95)</f>
        <v>18.95</v>
      </c>
      <c r="E141" s="112">
        <f ca="1">IFERROR(__xludf.DUMMYFUNCTION("""COMPUTED_VALUE"""),40394.7055555555)</f>
        <v>40394.705555555498</v>
      </c>
      <c r="F141" s="111">
        <f ca="1">IFERROR(__xludf.DUMMYFUNCTION("""COMPUTED_VALUE"""),8.16)</f>
        <v>8.16</v>
      </c>
      <c r="G141" s="112">
        <f ca="1">IFERROR(__xludf.DUMMYFUNCTION("""COMPUTED_VALUE"""),40394.7055555555)</f>
        <v>40394.705555555498</v>
      </c>
      <c r="H141" s="111">
        <f ca="1">IFERROR(__xludf.DUMMYFUNCTION("""COMPUTED_VALUE"""),29.34)</f>
        <v>29.34</v>
      </c>
      <c r="I141" s="112">
        <f ca="1">IFERROR(__xludf.DUMMYFUNCTION("""COMPUTED_VALUE"""),44742.7055555555)</f>
        <v>44742.705555555498</v>
      </c>
      <c r="J141" s="111">
        <f ca="1">IFERROR(__xludf.DUMMYFUNCTION("""COMPUTED_VALUE"""),3.26)</f>
        <v>3.26</v>
      </c>
      <c r="K141" s="112">
        <f ca="1">IFERROR(__xludf.DUMMYFUNCTION("""COMPUTED_VALUE"""),40883.7055555555)</f>
        <v>40883.705555555498</v>
      </c>
      <c r="L141" s="111">
        <f ca="1">IFERROR(__xludf.DUMMYFUNCTION("""COMPUTED_VALUE"""),0.34)</f>
        <v>0.34</v>
      </c>
      <c r="M141" s="112">
        <f ca="1">IFERROR(__xludf.DUMMYFUNCTION("""COMPUTED_VALUE"""),40385.7055555555)</f>
        <v>40385.705555555498</v>
      </c>
      <c r="N141" s="111">
        <f ca="1">IFERROR(__xludf.DUMMYFUNCTION("""COMPUTED_VALUE"""),11.99)</f>
        <v>11.99</v>
      </c>
      <c r="O141" s="112">
        <f ca="1">IFERROR(__xludf.DUMMYFUNCTION("""COMPUTED_VALUE"""),40394.7055555555)</f>
        <v>40394.705555555498</v>
      </c>
      <c r="P141" s="111">
        <f ca="1">IFERROR(__xludf.DUMMYFUNCTION("""COMPUTED_VALUE"""),50.43)</f>
        <v>50.43</v>
      </c>
      <c r="Q141" s="112">
        <f ca="1">IFERROR(__xludf.DUMMYFUNCTION("""COMPUTED_VALUE"""),40394.7055555555)</f>
        <v>40394.705555555498</v>
      </c>
      <c r="R141" s="111">
        <f ca="1">IFERROR(__xludf.DUMMYFUNCTION("""COMPUTED_VALUE"""),29.3)</f>
        <v>29.3</v>
      </c>
      <c r="S141" s="112">
        <f ca="1">IFERROR(__xludf.DUMMYFUNCTION("""COMPUTED_VALUE"""),40394.7055555555)</f>
        <v>40394.705555555498</v>
      </c>
      <c r="T141" s="111">
        <f ca="1">IFERROR(__xludf.DUMMYFUNCTION("""COMPUTED_VALUE"""),8.31)</f>
        <v>8.31</v>
      </c>
    </row>
    <row r="142" spans="1:20" x14ac:dyDescent="0.3">
      <c r="A142" s="112">
        <f ca="1">IFERROR(__xludf.DUMMYFUNCTION("""COMPUTED_VALUE"""),40395.7055555555)</f>
        <v>40395.705555555498</v>
      </c>
      <c r="B142" s="111">
        <f ca="1">IFERROR(__xludf.DUMMYFUNCTION("""COMPUTED_VALUE"""),22.65)</f>
        <v>22.65</v>
      </c>
      <c r="C142" s="112">
        <f ca="1">IFERROR(__xludf.DUMMYFUNCTION("""COMPUTED_VALUE"""),40395.7055555555)</f>
        <v>40395.705555555498</v>
      </c>
      <c r="D142" s="111">
        <f ca="1">IFERROR(__xludf.DUMMYFUNCTION("""COMPUTED_VALUE"""),18.99)</f>
        <v>18.989999999999998</v>
      </c>
      <c r="E142" s="112">
        <f ca="1">IFERROR(__xludf.DUMMYFUNCTION("""COMPUTED_VALUE"""),40395.7055555555)</f>
        <v>40395.705555555498</v>
      </c>
      <c r="F142" s="111">
        <f ca="1">IFERROR(__xludf.DUMMYFUNCTION("""COMPUTED_VALUE"""),8.18)</f>
        <v>8.18</v>
      </c>
      <c r="G142" s="112">
        <f ca="1">IFERROR(__xludf.DUMMYFUNCTION("""COMPUTED_VALUE"""),40395.7055555555)</f>
        <v>40395.705555555498</v>
      </c>
      <c r="H142" s="111">
        <f ca="1">IFERROR(__xludf.DUMMYFUNCTION("""COMPUTED_VALUE"""),29.43)</f>
        <v>29.43</v>
      </c>
      <c r="I142" s="112">
        <f ca="1">IFERROR(__xludf.DUMMYFUNCTION("""COMPUTED_VALUE"""),44743.7055555555)</f>
        <v>44743.705555555498</v>
      </c>
      <c r="J142" s="111">
        <f ca="1">IFERROR(__xludf.DUMMYFUNCTION("""COMPUTED_VALUE"""),3.51)</f>
        <v>3.51</v>
      </c>
      <c r="K142" s="112">
        <f ca="1">IFERROR(__xludf.DUMMYFUNCTION("""COMPUTED_VALUE"""),40884.7055555555)</f>
        <v>40884.705555555498</v>
      </c>
      <c r="L142" s="111">
        <f ca="1">IFERROR(__xludf.DUMMYFUNCTION("""COMPUTED_VALUE"""),0.34)</f>
        <v>0.34</v>
      </c>
      <c r="M142" s="112">
        <f ca="1">IFERROR(__xludf.DUMMYFUNCTION("""COMPUTED_VALUE"""),40386.7055555555)</f>
        <v>40386.705555555498</v>
      </c>
      <c r="N142" s="111">
        <f ca="1">IFERROR(__xludf.DUMMYFUNCTION("""COMPUTED_VALUE"""),12.03)</f>
        <v>12.03</v>
      </c>
      <c r="O142" s="112">
        <f ca="1">IFERROR(__xludf.DUMMYFUNCTION("""COMPUTED_VALUE"""),40395.7055555555)</f>
        <v>40395.705555555498</v>
      </c>
      <c r="P142" s="111">
        <f ca="1">IFERROR(__xludf.DUMMYFUNCTION("""COMPUTED_VALUE"""),50.65)</f>
        <v>50.65</v>
      </c>
      <c r="Q142" s="112">
        <f ca="1">IFERROR(__xludf.DUMMYFUNCTION("""COMPUTED_VALUE"""),40395.7055555555)</f>
        <v>40395.705555555498</v>
      </c>
      <c r="R142" s="111">
        <f ca="1">IFERROR(__xludf.DUMMYFUNCTION("""COMPUTED_VALUE"""),30)</f>
        <v>30</v>
      </c>
      <c r="S142" s="112">
        <f ca="1">IFERROR(__xludf.DUMMYFUNCTION("""COMPUTED_VALUE"""),40395.7055555555)</f>
        <v>40395.705555555498</v>
      </c>
      <c r="T142" s="111">
        <f ca="1">IFERROR(__xludf.DUMMYFUNCTION("""COMPUTED_VALUE"""),8.17)</f>
        <v>8.17</v>
      </c>
    </row>
    <row r="143" spans="1:20" x14ac:dyDescent="0.3">
      <c r="A143" s="112">
        <f ca="1">IFERROR(__xludf.DUMMYFUNCTION("""COMPUTED_VALUE"""),40396.7055555555)</f>
        <v>40396.705555555498</v>
      </c>
      <c r="B143" s="111">
        <f ca="1">IFERROR(__xludf.DUMMYFUNCTION("""COMPUTED_VALUE"""),22.75)</f>
        <v>22.75</v>
      </c>
      <c r="C143" s="112">
        <f ca="1">IFERROR(__xludf.DUMMYFUNCTION("""COMPUTED_VALUE"""),40396.7055555555)</f>
        <v>40396.705555555498</v>
      </c>
      <c r="D143" s="111">
        <f ca="1">IFERROR(__xludf.DUMMYFUNCTION("""COMPUTED_VALUE"""),19.21)</f>
        <v>19.21</v>
      </c>
      <c r="E143" s="112">
        <f ca="1">IFERROR(__xludf.DUMMYFUNCTION("""COMPUTED_VALUE"""),40396.7055555555)</f>
        <v>40396.705555555498</v>
      </c>
      <c r="F143" s="111">
        <f ca="1">IFERROR(__xludf.DUMMYFUNCTION("""COMPUTED_VALUE"""),8.24)</f>
        <v>8.24</v>
      </c>
      <c r="G143" s="112">
        <f ca="1">IFERROR(__xludf.DUMMYFUNCTION("""COMPUTED_VALUE"""),40396.7055555555)</f>
        <v>40396.705555555498</v>
      </c>
      <c r="H143" s="111">
        <f ca="1">IFERROR(__xludf.DUMMYFUNCTION("""COMPUTED_VALUE"""),29.09)</f>
        <v>29.09</v>
      </c>
      <c r="I143" s="112">
        <f ca="1">IFERROR(__xludf.DUMMYFUNCTION("""COMPUTED_VALUE"""),44746.7055555555)</f>
        <v>44746.705555555498</v>
      </c>
      <c r="J143" s="111">
        <f ca="1">IFERROR(__xludf.DUMMYFUNCTION("""COMPUTED_VALUE"""),3.44)</f>
        <v>3.44</v>
      </c>
      <c r="K143" s="112">
        <f ca="1">IFERROR(__xludf.DUMMYFUNCTION("""COMPUTED_VALUE"""),40886.7055555555)</f>
        <v>40886.705555555498</v>
      </c>
      <c r="L143" s="111">
        <f ca="1">IFERROR(__xludf.DUMMYFUNCTION("""COMPUTED_VALUE"""),0.33)</f>
        <v>0.33</v>
      </c>
      <c r="M143" s="112">
        <f ca="1">IFERROR(__xludf.DUMMYFUNCTION("""COMPUTED_VALUE"""),40387.7055555555)</f>
        <v>40387.705555555498</v>
      </c>
      <c r="N143" s="111">
        <f ca="1">IFERROR(__xludf.DUMMYFUNCTION("""COMPUTED_VALUE"""),12.57)</f>
        <v>12.57</v>
      </c>
      <c r="O143" s="112">
        <f ca="1">IFERROR(__xludf.DUMMYFUNCTION("""COMPUTED_VALUE"""),40396.7055555555)</f>
        <v>40396.705555555498</v>
      </c>
      <c r="P143" s="111">
        <f ca="1">IFERROR(__xludf.DUMMYFUNCTION("""COMPUTED_VALUE"""),50.58)</f>
        <v>50.58</v>
      </c>
      <c r="Q143" s="112">
        <f ca="1">IFERROR(__xludf.DUMMYFUNCTION("""COMPUTED_VALUE"""),40396.7055555555)</f>
        <v>40396.705555555498</v>
      </c>
      <c r="R143" s="111">
        <f ca="1">IFERROR(__xludf.DUMMYFUNCTION("""COMPUTED_VALUE"""),30.34)</f>
        <v>30.34</v>
      </c>
      <c r="S143" s="112">
        <f ca="1">IFERROR(__xludf.DUMMYFUNCTION("""COMPUTED_VALUE"""),40396.7055555555)</f>
        <v>40396.705555555498</v>
      </c>
      <c r="T143" s="111">
        <f ca="1">IFERROR(__xludf.DUMMYFUNCTION("""COMPUTED_VALUE"""),7.92)</f>
        <v>7.92</v>
      </c>
    </row>
    <row r="144" spans="1:20" x14ac:dyDescent="0.3">
      <c r="A144" s="112">
        <f ca="1">IFERROR(__xludf.DUMMYFUNCTION("""COMPUTED_VALUE"""),40399.7055555555)</f>
        <v>40399.705555555498</v>
      </c>
      <c r="B144" s="111">
        <f ca="1">IFERROR(__xludf.DUMMYFUNCTION("""COMPUTED_VALUE"""),22.54)</f>
        <v>22.54</v>
      </c>
      <c r="C144" s="112">
        <f ca="1">IFERROR(__xludf.DUMMYFUNCTION("""COMPUTED_VALUE"""),40399.7055555555)</f>
        <v>40399.705555555498</v>
      </c>
      <c r="D144" s="111">
        <f ca="1">IFERROR(__xludf.DUMMYFUNCTION("""COMPUTED_VALUE"""),19.28)</f>
        <v>19.28</v>
      </c>
      <c r="E144" s="112">
        <f ca="1">IFERROR(__xludf.DUMMYFUNCTION("""COMPUTED_VALUE"""),40399.7055555555)</f>
        <v>40399.705555555498</v>
      </c>
      <c r="F144" s="111">
        <f ca="1">IFERROR(__xludf.DUMMYFUNCTION("""COMPUTED_VALUE"""),8.25)</f>
        <v>8.25</v>
      </c>
      <c r="G144" s="112">
        <f ca="1">IFERROR(__xludf.DUMMYFUNCTION("""COMPUTED_VALUE"""),40399.7055555555)</f>
        <v>40399.705555555498</v>
      </c>
      <c r="H144" s="111">
        <f ca="1">IFERROR(__xludf.DUMMYFUNCTION("""COMPUTED_VALUE"""),28.83)</f>
        <v>28.83</v>
      </c>
      <c r="I144" s="112">
        <f ca="1">IFERROR(__xludf.DUMMYFUNCTION("""COMPUTED_VALUE"""),44747.7055555555)</f>
        <v>44747.705555555498</v>
      </c>
      <c r="J144" s="111">
        <f ca="1">IFERROR(__xludf.DUMMYFUNCTION("""COMPUTED_VALUE"""),3.71)</f>
        <v>3.71</v>
      </c>
      <c r="K144" s="112">
        <f ca="1">IFERROR(__xludf.DUMMYFUNCTION("""COMPUTED_VALUE"""),40890.7055555555)</f>
        <v>40890.705555555498</v>
      </c>
      <c r="L144" s="111">
        <f ca="1">IFERROR(__xludf.DUMMYFUNCTION("""COMPUTED_VALUE"""),0.33)</f>
        <v>0.33</v>
      </c>
      <c r="M144" s="112">
        <f ca="1">IFERROR(__xludf.DUMMYFUNCTION("""COMPUTED_VALUE"""),40388.7055555555)</f>
        <v>40388.705555555498</v>
      </c>
      <c r="N144" s="111">
        <f ca="1">IFERROR(__xludf.DUMMYFUNCTION("""COMPUTED_VALUE"""),12.56)</f>
        <v>12.56</v>
      </c>
      <c r="O144" s="112">
        <f ca="1">IFERROR(__xludf.DUMMYFUNCTION("""COMPUTED_VALUE"""),40399.7055555555)</f>
        <v>40399.705555555498</v>
      </c>
      <c r="P144" s="111">
        <f ca="1">IFERROR(__xludf.DUMMYFUNCTION("""COMPUTED_VALUE"""),50.71)</f>
        <v>50.71</v>
      </c>
      <c r="Q144" s="112">
        <f ca="1">IFERROR(__xludf.DUMMYFUNCTION("""COMPUTED_VALUE"""),40399.7055555555)</f>
        <v>40399.705555555498</v>
      </c>
      <c r="R144" s="111">
        <f ca="1">IFERROR(__xludf.DUMMYFUNCTION("""COMPUTED_VALUE"""),30.7)</f>
        <v>30.7</v>
      </c>
      <c r="S144" s="112">
        <f ca="1">IFERROR(__xludf.DUMMYFUNCTION("""COMPUTED_VALUE"""),40399.7055555555)</f>
        <v>40399.705555555498</v>
      </c>
      <c r="T144" s="111">
        <f ca="1">IFERROR(__xludf.DUMMYFUNCTION("""COMPUTED_VALUE"""),7.88)</f>
        <v>7.88</v>
      </c>
    </row>
    <row r="145" spans="1:20" x14ac:dyDescent="0.3">
      <c r="A145" s="112">
        <f ca="1">IFERROR(__xludf.DUMMYFUNCTION("""COMPUTED_VALUE"""),40400.7055555555)</f>
        <v>40400.705555555498</v>
      </c>
      <c r="B145" s="111">
        <f ca="1">IFERROR(__xludf.DUMMYFUNCTION("""COMPUTED_VALUE"""),22.44)</f>
        <v>22.44</v>
      </c>
      <c r="C145" s="112">
        <f ca="1">IFERROR(__xludf.DUMMYFUNCTION("""COMPUTED_VALUE"""),40400.7055555555)</f>
        <v>40400.705555555498</v>
      </c>
      <c r="D145" s="111">
        <f ca="1">IFERROR(__xludf.DUMMYFUNCTION("""COMPUTED_VALUE"""),19.19)</f>
        <v>19.190000000000001</v>
      </c>
      <c r="E145" s="112">
        <f ca="1">IFERROR(__xludf.DUMMYFUNCTION("""COMPUTED_VALUE"""),40400.7055555555)</f>
        <v>40400.705555555498</v>
      </c>
      <c r="F145" s="111">
        <f ca="1">IFERROR(__xludf.DUMMYFUNCTION("""COMPUTED_VALUE"""),8.22)</f>
        <v>8.2200000000000006</v>
      </c>
      <c r="G145" s="112">
        <f ca="1">IFERROR(__xludf.DUMMYFUNCTION("""COMPUTED_VALUE"""),40400.7055555555)</f>
        <v>40400.705555555498</v>
      </c>
      <c r="H145" s="111">
        <f ca="1">IFERROR(__xludf.DUMMYFUNCTION("""COMPUTED_VALUE"""),28.41)</f>
        <v>28.41</v>
      </c>
      <c r="I145" s="112">
        <f ca="1">IFERROR(__xludf.DUMMYFUNCTION("""COMPUTED_VALUE"""),44748.7055555555)</f>
        <v>44748.705555555498</v>
      </c>
      <c r="J145" s="111">
        <f ca="1">IFERROR(__xludf.DUMMYFUNCTION("""COMPUTED_VALUE"""),3.64)</f>
        <v>3.64</v>
      </c>
      <c r="K145" s="112">
        <f ca="1">IFERROR(__xludf.DUMMYFUNCTION("""COMPUTED_VALUE"""),40891.7055555555)</f>
        <v>40891.705555555498</v>
      </c>
      <c r="L145" s="111">
        <f ca="1">IFERROR(__xludf.DUMMYFUNCTION("""COMPUTED_VALUE"""),0.31)</f>
        <v>0.31</v>
      </c>
      <c r="M145" s="112">
        <f ca="1">IFERROR(__xludf.DUMMYFUNCTION("""COMPUTED_VALUE"""),40389.7055555555)</f>
        <v>40389.705555555498</v>
      </c>
      <c r="N145" s="111">
        <f ca="1">IFERROR(__xludf.DUMMYFUNCTION("""COMPUTED_VALUE"""),12.59)</f>
        <v>12.59</v>
      </c>
      <c r="O145" s="112">
        <f ca="1">IFERROR(__xludf.DUMMYFUNCTION("""COMPUTED_VALUE"""),40400.7055555555)</f>
        <v>40400.705555555498</v>
      </c>
      <c r="P145" s="111">
        <f ca="1">IFERROR(__xludf.DUMMYFUNCTION("""COMPUTED_VALUE"""),50)</f>
        <v>50</v>
      </c>
      <c r="Q145" s="112">
        <f ca="1">IFERROR(__xludf.DUMMYFUNCTION("""COMPUTED_VALUE"""),40400.7055555555)</f>
        <v>40400.705555555498</v>
      </c>
      <c r="R145" s="111">
        <f ca="1">IFERROR(__xludf.DUMMYFUNCTION("""COMPUTED_VALUE"""),30.31)</f>
        <v>30.31</v>
      </c>
      <c r="S145" s="112">
        <f ca="1">IFERROR(__xludf.DUMMYFUNCTION("""COMPUTED_VALUE"""),40400.7055555555)</f>
        <v>40400.705555555498</v>
      </c>
      <c r="T145" s="111">
        <f ca="1">IFERROR(__xludf.DUMMYFUNCTION("""COMPUTED_VALUE"""),7.96)</f>
        <v>7.96</v>
      </c>
    </row>
    <row r="146" spans="1:20" x14ac:dyDescent="0.3">
      <c r="A146" s="112">
        <f ca="1">IFERROR(__xludf.DUMMYFUNCTION("""COMPUTED_VALUE"""),40401.7055555555)</f>
        <v>40401.705555555498</v>
      </c>
      <c r="B146" s="111">
        <f ca="1">IFERROR(__xludf.DUMMYFUNCTION("""COMPUTED_VALUE"""),22.05)</f>
        <v>22.05</v>
      </c>
      <c r="C146" s="112">
        <f ca="1">IFERROR(__xludf.DUMMYFUNCTION("""COMPUTED_VALUE"""),40401.7055555555)</f>
        <v>40401.705555555498</v>
      </c>
      <c r="D146" s="111">
        <f ca="1">IFERROR(__xludf.DUMMYFUNCTION("""COMPUTED_VALUE"""),18.77)</f>
        <v>18.77</v>
      </c>
      <c r="E146" s="112">
        <f ca="1">IFERROR(__xludf.DUMMYFUNCTION("""COMPUTED_VALUE"""),40401.7055555555)</f>
        <v>40401.705555555498</v>
      </c>
      <c r="F146" s="111">
        <f ca="1">IFERROR(__xludf.DUMMYFUNCTION("""COMPUTED_VALUE"""),7.97)</f>
        <v>7.97</v>
      </c>
      <c r="G146" s="112">
        <f ca="1">IFERROR(__xludf.DUMMYFUNCTION("""COMPUTED_VALUE"""),40401.7055555555)</f>
        <v>40401.705555555498</v>
      </c>
      <c r="H146" s="111">
        <f ca="1">IFERROR(__xludf.DUMMYFUNCTION("""COMPUTED_VALUE"""),27.5)</f>
        <v>27.5</v>
      </c>
      <c r="I146" s="112">
        <f ca="1">IFERROR(__xludf.DUMMYFUNCTION("""COMPUTED_VALUE"""),44749.7055555555)</f>
        <v>44749.705555555498</v>
      </c>
      <c r="J146" s="111">
        <f ca="1">IFERROR(__xludf.DUMMYFUNCTION("""COMPUTED_VALUE"""),3.69)</f>
        <v>3.69</v>
      </c>
      <c r="K146" s="112">
        <f ca="1">IFERROR(__xludf.DUMMYFUNCTION("""COMPUTED_VALUE"""),40892.7055555555)</f>
        <v>40892.705555555498</v>
      </c>
      <c r="L146" s="111">
        <f ca="1">IFERROR(__xludf.DUMMYFUNCTION("""COMPUTED_VALUE"""),0.32)</f>
        <v>0.32</v>
      </c>
      <c r="M146" s="112">
        <f ca="1">IFERROR(__xludf.DUMMYFUNCTION("""COMPUTED_VALUE"""),40392.7055555555)</f>
        <v>40392.705555555498</v>
      </c>
      <c r="N146" s="111">
        <f ca="1">IFERROR(__xludf.DUMMYFUNCTION("""COMPUTED_VALUE"""),12.66)</f>
        <v>12.66</v>
      </c>
      <c r="O146" s="112">
        <f ca="1">IFERROR(__xludf.DUMMYFUNCTION("""COMPUTED_VALUE"""),40401.7055555555)</f>
        <v>40401.705555555498</v>
      </c>
      <c r="P146" s="111">
        <f ca="1">IFERROR(__xludf.DUMMYFUNCTION("""COMPUTED_VALUE"""),48.31)</f>
        <v>48.31</v>
      </c>
      <c r="Q146" s="112">
        <f ca="1">IFERROR(__xludf.DUMMYFUNCTION("""COMPUTED_VALUE"""),40401.7055555555)</f>
        <v>40401.705555555498</v>
      </c>
      <c r="R146" s="111">
        <f ca="1">IFERROR(__xludf.DUMMYFUNCTION("""COMPUTED_VALUE"""),29.7)</f>
        <v>29.7</v>
      </c>
      <c r="S146" s="112">
        <f ca="1">IFERROR(__xludf.DUMMYFUNCTION("""COMPUTED_VALUE"""),40401.7055555555)</f>
        <v>40401.705555555498</v>
      </c>
      <c r="T146" s="111">
        <f ca="1">IFERROR(__xludf.DUMMYFUNCTION("""COMPUTED_VALUE"""),8.11)</f>
        <v>8.11</v>
      </c>
    </row>
    <row r="147" spans="1:20" x14ac:dyDescent="0.3">
      <c r="A147" s="112">
        <f ca="1">IFERROR(__xludf.DUMMYFUNCTION("""COMPUTED_VALUE"""),40402.7055555555)</f>
        <v>40402.705555555498</v>
      </c>
      <c r="B147" s="111">
        <f ca="1">IFERROR(__xludf.DUMMYFUNCTION("""COMPUTED_VALUE"""),21.96)</f>
        <v>21.96</v>
      </c>
      <c r="C147" s="112">
        <f ca="1">IFERROR(__xludf.DUMMYFUNCTION("""COMPUTED_VALUE"""),40402.7055555555)</f>
        <v>40402.705555555498</v>
      </c>
      <c r="D147" s="111">
        <f ca="1">IFERROR(__xludf.DUMMYFUNCTION("""COMPUTED_VALUE"""),18.86)</f>
        <v>18.86</v>
      </c>
      <c r="E147" s="112">
        <f ca="1">IFERROR(__xludf.DUMMYFUNCTION("""COMPUTED_VALUE"""),40402.7055555555)</f>
        <v>40402.705555555498</v>
      </c>
      <c r="F147" s="111">
        <f ca="1">IFERROR(__xludf.DUMMYFUNCTION("""COMPUTED_VALUE"""),8.01)</f>
        <v>8.01</v>
      </c>
      <c r="G147" s="112">
        <f ca="1">IFERROR(__xludf.DUMMYFUNCTION("""COMPUTED_VALUE"""),40402.7055555555)</f>
        <v>40402.705555555498</v>
      </c>
      <c r="H147" s="111">
        <f ca="1">IFERROR(__xludf.DUMMYFUNCTION("""COMPUTED_VALUE"""),27.53)</f>
        <v>27.53</v>
      </c>
      <c r="I147" s="112">
        <f ca="1">IFERROR(__xludf.DUMMYFUNCTION("""COMPUTED_VALUE"""),44750.7055555555)</f>
        <v>44750.705555555498</v>
      </c>
      <c r="J147" s="111">
        <f ca="1">IFERROR(__xludf.DUMMYFUNCTION("""COMPUTED_VALUE"""),3.5)</f>
        <v>3.5</v>
      </c>
      <c r="K147" s="112">
        <f ca="1">IFERROR(__xludf.DUMMYFUNCTION("""COMPUTED_VALUE"""),40893.7055555555)</f>
        <v>40893.705555555498</v>
      </c>
      <c r="L147" s="111">
        <f ca="1">IFERROR(__xludf.DUMMYFUNCTION("""COMPUTED_VALUE"""),0.33)</f>
        <v>0.33</v>
      </c>
      <c r="M147" s="112">
        <f ca="1">IFERROR(__xludf.DUMMYFUNCTION("""COMPUTED_VALUE"""),40393.7055555555)</f>
        <v>40393.705555555498</v>
      </c>
      <c r="N147" s="111">
        <f ca="1">IFERROR(__xludf.DUMMYFUNCTION("""COMPUTED_VALUE"""),12.45)</f>
        <v>12.45</v>
      </c>
      <c r="O147" s="112">
        <f ca="1">IFERROR(__xludf.DUMMYFUNCTION("""COMPUTED_VALUE"""),40402.7055555555)</f>
        <v>40402.705555555498</v>
      </c>
      <c r="P147" s="111">
        <f ca="1">IFERROR(__xludf.DUMMYFUNCTION("""COMPUTED_VALUE"""),48.72)</f>
        <v>48.72</v>
      </c>
      <c r="Q147" s="112">
        <f ca="1">IFERROR(__xludf.DUMMYFUNCTION("""COMPUTED_VALUE"""),40402.7055555555)</f>
        <v>40402.705555555498</v>
      </c>
      <c r="R147" s="111">
        <f ca="1">IFERROR(__xludf.DUMMYFUNCTION("""COMPUTED_VALUE"""),30.35)</f>
        <v>30.35</v>
      </c>
      <c r="S147" s="112">
        <f ca="1">IFERROR(__xludf.DUMMYFUNCTION("""COMPUTED_VALUE"""),40402.7055555555)</f>
        <v>40402.705555555498</v>
      </c>
      <c r="T147" s="111">
        <f ca="1">IFERROR(__xludf.DUMMYFUNCTION("""COMPUTED_VALUE"""),8.32)</f>
        <v>8.32</v>
      </c>
    </row>
    <row r="148" spans="1:20" x14ac:dyDescent="0.3">
      <c r="A148" s="112">
        <f ca="1">IFERROR(__xludf.DUMMYFUNCTION("""COMPUTED_VALUE"""),40403.7055555555)</f>
        <v>40403.705555555498</v>
      </c>
      <c r="B148" s="111">
        <f ca="1">IFERROR(__xludf.DUMMYFUNCTION("""COMPUTED_VALUE"""),21.83)</f>
        <v>21.83</v>
      </c>
      <c r="C148" s="112">
        <f ca="1">IFERROR(__xludf.DUMMYFUNCTION("""COMPUTED_VALUE"""),40403.7055555555)</f>
        <v>40403.705555555498</v>
      </c>
      <c r="D148" s="111">
        <f ca="1">IFERROR(__xludf.DUMMYFUNCTION("""COMPUTED_VALUE"""),18.89)</f>
        <v>18.89</v>
      </c>
      <c r="E148" s="112">
        <f ca="1">IFERROR(__xludf.DUMMYFUNCTION("""COMPUTED_VALUE"""),40403.7055555555)</f>
        <v>40403.705555555498</v>
      </c>
      <c r="F148" s="111">
        <f ca="1">IFERROR(__xludf.DUMMYFUNCTION("""COMPUTED_VALUE"""),8.03)</f>
        <v>8.0299999999999994</v>
      </c>
      <c r="G148" s="112">
        <f ca="1">IFERROR(__xludf.DUMMYFUNCTION("""COMPUTED_VALUE"""),40403.7055555555)</f>
        <v>40403.705555555498</v>
      </c>
      <c r="H148" s="111">
        <f ca="1">IFERROR(__xludf.DUMMYFUNCTION("""COMPUTED_VALUE"""),27.66)</f>
        <v>27.66</v>
      </c>
      <c r="I148" s="112">
        <f ca="1">IFERROR(__xludf.DUMMYFUNCTION("""COMPUTED_VALUE"""),44753.7055555555)</f>
        <v>44753.705555555498</v>
      </c>
      <c r="J148" s="111">
        <f ca="1">IFERROR(__xludf.DUMMYFUNCTION("""COMPUTED_VALUE"""),3.37)</f>
        <v>3.37</v>
      </c>
      <c r="K148" s="112">
        <f ca="1">IFERROR(__xludf.DUMMYFUNCTION("""COMPUTED_VALUE"""),40897.7055555555)</f>
        <v>40897.705555555498</v>
      </c>
      <c r="L148" s="111">
        <f ca="1">IFERROR(__xludf.DUMMYFUNCTION("""COMPUTED_VALUE"""),0.32)</f>
        <v>0.32</v>
      </c>
      <c r="M148" s="112">
        <f ca="1">IFERROR(__xludf.DUMMYFUNCTION("""COMPUTED_VALUE"""),40394.7055555555)</f>
        <v>40394.705555555498</v>
      </c>
      <c r="N148" s="111">
        <f ca="1">IFERROR(__xludf.DUMMYFUNCTION("""COMPUTED_VALUE"""),12.36)</f>
        <v>12.36</v>
      </c>
      <c r="O148" s="112">
        <f ca="1">IFERROR(__xludf.DUMMYFUNCTION("""COMPUTED_VALUE"""),40403.7055555555)</f>
        <v>40403.705555555498</v>
      </c>
      <c r="P148" s="111">
        <f ca="1">IFERROR(__xludf.DUMMYFUNCTION("""COMPUTED_VALUE"""),48.8)</f>
        <v>48.8</v>
      </c>
      <c r="Q148" s="112">
        <f ca="1">IFERROR(__xludf.DUMMYFUNCTION("""COMPUTED_VALUE"""),40403.7055555555)</f>
        <v>40403.705555555498</v>
      </c>
      <c r="R148" s="111">
        <f ca="1">IFERROR(__xludf.DUMMYFUNCTION("""COMPUTED_VALUE"""),30.44)</f>
        <v>30.44</v>
      </c>
      <c r="S148" s="112">
        <f ca="1">IFERROR(__xludf.DUMMYFUNCTION("""COMPUTED_VALUE"""),40403.7055555555)</f>
        <v>40403.705555555498</v>
      </c>
      <c r="T148" s="111">
        <f ca="1">IFERROR(__xludf.DUMMYFUNCTION("""COMPUTED_VALUE"""),8.27)</f>
        <v>8.27</v>
      </c>
    </row>
    <row r="149" spans="1:20" x14ac:dyDescent="0.3">
      <c r="A149" s="112">
        <f ca="1">IFERROR(__xludf.DUMMYFUNCTION("""COMPUTED_VALUE"""),40406.7055555555)</f>
        <v>40406.705555555498</v>
      </c>
      <c r="B149" s="111">
        <f ca="1">IFERROR(__xludf.DUMMYFUNCTION("""COMPUTED_VALUE"""),21.95)</f>
        <v>21.95</v>
      </c>
      <c r="C149" s="112">
        <f ca="1">IFERROR(__xludf.DUMMYFUNCTION("""COMPUTED_VALUE"""),40406.7055555555)</f>
        <v>40406.705555555498</v>
      </c>
      <c r="D149" s="111">
        <f ca="1">IFERROR(__xludf.DUMMYFUNCTION("""COMPUTED_VALUE"""),18.98)</f>
        <v>18.98</v>
      </c>
      <c r="E149" s="112">
        <f ca="1">IFERROR(__xludf.DUMMYFUNCTION("""COMPUTED_VALUE"""),40406.7055555555)</f>
        <v>40406.705555555498</v>
      </c>
      <c r="F149" s="111">
        <f ca="1">IFERROR(__xludf.DUMMYFUNCTION("""COMPUTED_VALUE"""),8.14)</f>
        <v>8.14</v>
      </c>
      <c r="G149" s="112">
        <f ca="1">IFERROR(__xludf.DUMMYFUNCTION("""COMPUTED_VALUE"""),40406.7055555555)</f>
        <v>40406.705555555498</v>
      </c>
      <c r="H149" s="111">
        <f ca="1">IFERROR(__xludf.DUMMYFUNCTION("""COMPUTED_VALUE"""),27.61)</f>
        <v>27.61</v>
      </c>
      <c r="I149" s="112">
        <f ca="1">IFERROR(__xludf.DUMMYFUNCTION("""COMPUTED_VALUE"""),44754.7055555555)</f>
        <v>44754.705555555498</v>
      </c>
      <c r="J149" s="111">
        <f ca="1">IFERROR(__xludf.DUMMYFUNCTION("""COMPUTED_VALUE"""),3.6)</f>
        <v>3.6</v>
      </c>
      <c r="K149" s="112">
        <f ca="1">IFERROR(__xludf.DUMMYFUNCTION("""COMPUTED_VALUE"""),40898.7055555555)</f>
        <v>40898.705555555498</v>
      </c>
      <c r="L149" s="111">
        <f ca="1">IFERROR(__xludf.DUMMYFUNCTION("""COMPUTED_VALUE"""),0.31)</f>
        <v>0.31</v>
      </c>
      <c r="M149" s="112">
        <f ca="1">IFERROR(__xludf.DUMMYFUNCTION("""COMPUTED_VALUE"""),40395.7055555555)</f>
        <v>40395.705555555498</v>
      </c>
      <c r="N149" s="111">
        <f ca="1">IFERROR(__xludf.DUMMYFUNCTION("""COMPUTED_VALUE"""),12.39)</f>
        <v>12.39</v>
      </c>
      <c r="O149" s="112">
        <f ca="1">IFERROR(__xludf.DUMMYFUNCTION("""COMPUTED_VALUE"""),40406.7055555555)</f>
        <v>40406.705555555498</v>
      </c>
      <c r="P149" s="111">
        <f ca="1">IFERROR(__xludf.DUMMYFUNCTION("""COMPUTED_VALUE"""),49.44)</f>
        <v>49.44</v>
      </c>
      <c r="Q149" s="112">
        <f ca="1">IFERROR(__xludf.DUMMYFUNCTION("""COMPUTED_VALUE"""),40406.7055555555)</f>
        <v>40406.705555555498</v>
      </c>
      <c r="R149" s="111">
        <f ca="1">IFERROR(__xludf.DUMMYFUNCTION("""COMPUTED_VALUE"""),30.3)</f>
        <v>30.3</v>
      </c>
      <c r="S149" s="112">
        <f ca="1">IFERROR(__xludf.DUMMYFUNCTION("""COMPUTED_VALUE"""),40406.7055555555)</f>
        <v>40406.705555555498</v>
      </c>
      <c r="T149" s="111">
        <f ca="1">IFERROR(__xludf.DUMMYFUNCTION("""COMPUTED_VALUE"""),8.31)</f>
        <v>8.31</v>
      </c>
    </row>
    <row r="150" spans="1:20" x14ac:dyDescent="0.3">
      <c r="A150" s="112">
        <f ca="1">IFERROR(__xludf.DUMMYFUNCTION("""COMPUTED_VALUE"""),40407.7055555555)</f>
        <v>40407.705555555498</v>
      </c>
      <c r="B150" s="111">
        <f ca="1">IFERROR(__xludf.DUMMYFUNCTION("""COMPUTED_VALUE"""),22.04)</f>
        <v>22.04</v>
      </c>
      <c r="C150" s="112">
        <f ca="1">IFERROR(__xludf.DUMMYFUNCTION("""COMPUTED_VALUE"""),40407.7055555555)</f>
        <v>40407.705555555498</v>
      </c>
      <c r="D150" s="111">
        <f ca="1">IFERROR(__xludf.DUMMYFUNCTION("""COMPUTED_VALUE"""),19.1)</f>
        <v>19.100000000000001</v>
      </c>
      <c r="E150" s="112">
        <f ca="1">IFERROR(__xludf.DUMMYFUNCTION("""COMPUTED_VALUE"""),40407.7055555555)</f>
        <v>40407.705555555498</v>
      </c>
      <c r="F150" s="111">
        <f ca="1">IFERROR(__xludf.DUMMYFUNCTION("""COMPUTED_VALUE"""),8.18)</f>
        <v>8.18</v>
      </c>
      <c r="G150" s="112">
        <f ca="1">IFERROR(__xludf.DUMMYFUNCTION("""COMPUTED_VALUE"""),40407.7055555555)</f>
        <v>40407.705555555498</v>
      </c>
      <c r="H150" s="111">
        <f ca="1">IFERROR(__xludf.DUMMYFUNCTION("""COMPUTED_VALUE"""),28.3)</f>
        <v>28.3</v>
      </c>
      <c r="I150" s="112">
        <f ca="1">IFERROR(__xludf.DUMMYFUNCTION("""COMPUTED_VALUE"""),44755.7055555555)</f>
        <v>44755.705555555498</v>
      </c>
      <c r="J150" s="111">
        <f ca="1">IFERROR(__xludf.DUMMYFUNCTION("""COMPUTED_VALUE"""),3.58)</f>
        <v>3.58</v>
      </c>
      <c r="K150" s="112">
        <f ca="1">IFERROR(__xludf.DUMMYFUNCTION("""COMPUTED_VALUE"""),40899.7055555555)</f>
        <v>40899.705555555498</v>
      </c>
      <c r="L150" s="111">
        <f ca="1">IFERROR(__xludf.DUMMYFUNCTION("""COMPUTED_VALUE"""),0.28)</f>
        <v>0.28000000000000003</v>
      </c>
      <c r="M150" s="112">
        <f ca="1">IFERROR(__xludf.DUMMYFUNCTION("""COMPUTED_VALUE"""),40396.7055555555)</f>
        <v>40396.705555555498</v>
      </c>
      <c r="N150" s="111">
        <f ca="1">IFERROR(__xludf.DUMMYFUNCTION("""COMPUTED_VALUE"""),12.42)</f>
        <v>12.42</v>
      </c>
      <c r="O150" s="112">
        <f ca="1">IFERROR(__xludf.DUMMYFUNCTION("""COMPUTED_VALUE"""),40407.7055555555)</f>
        <v>40407.705555555498</v>
      </c>
      <c r="P150" s="111">
        <f ca="1">IFERROR(__xludf.DUMMYFUNCTION("""COMPUTED_VALUE"""),50.01)</f>
        <v>50.01</v>
      </c>
      <c r="Q150" s="112">
        <f ca="1">IFERROR(__xludf.DUMMYFUNCTION("""COMPUTED_VALUE"""),40407.7055555555)</f>
        <v>40407.705555555498</v>
      </c>
      <c r="R150" s="111">
        <f ca="1">IFERROR(__xludf.DUMMYFUNCTION("""COMPUTED_VALUE"""),30.15)</f>
        <v>30.15</v>
      </c>
      <c r="S150" s="112">
        <f ca="1">IFERROR(__xludf.DUMMYFUNCTION("""COMPUTED_VALUE"""),40407.7055555555)</f>
        <v>40407.705555555498</v>
      </c>
      <c r="T150" s="111">
        <f ca="1">IFERROR(__xludf.DUMMYFUNCTION("""COMPUTED_VALUE"""),8.58)</f>
        <v>8.58</v>
      </c>
    </row>
    <row r="151" spans="1:20" x14ac:dyDescent="0.3">
      <c r="A151" s="112">
        <f ca="1">IFERROR(__xludf.DUMMYFUNCTION("""COMPUTED_VALUE"""),40408.7055555555)</f>
        <v>40408.705555555498</v>
      </c>
      <c r="B151" s="111">
        <f ca="1">IFERROR(__xludf.DUMMYFUNCTION("""COMPUTED_VALUE"""),22.12)</f>
        <v>22.12</v>
      </c>
      <c r="C151" s="112">
        <f ca="1">IFERROR(__xludf.DUMMYFUNCTION("""COMPUTED_VALUE"""),40408.7055555555)</f>
        <v>40408.705555555498</v>
      </c>
      <c r="D151" s="111">
        <f ca="1">IFERROR(__xludf.DUMMYFUNCTION("""COMPUTED_VALUE"""),19.06)</f>
        <v>19.059999999999999</v>
      </c>
      <c r="E151" s="112">
        <f ca="1">IFERROR(__xludf.DUMMYFUNCTION("""COMPUTED_VALUE"""),40408.7055555555)</f>
        <v>40408.705555555498</v>
      </c>
      <c r="F151" s="111">
        <f ca="1">IFERROR(__xludf.DUMMYFUNCTION("""COMPUTED_VALUE"""),8.1)</f>
        <v>8.1</v>
      </c>
      <c r="G151" s="112">
        <f ca="1">IFERROR(__xludf.DUMMYFUNCTION("""COMPUTED_VALUE"""),40408.7055555555)</f>
        <v>40408.705555555498</v>
      </c>
      <c r="H151" s="111">
        <f ca="1">IFERROR(__xludf.DUMMYFUNCTION("""COMPUTED_VALUE"""),27.68)</f>
        <v>27.68</v>
      </c>
      <c r="I151" s="112">
        <f ca="1">IFERROR(__xludf.DUMMYFUNCTION("""COMPUTED_VALUE"""),44756.7055555555)</f>
        <v>44756.705555555498</v>
      </c>
      <c r="J151" s="111">
        <f ca="1">IFERROR(__xludf.DUMMYFUNCTION("""COMPUTED_VALUE"""),3.42)</f>
        <v>3.42</v>
      </c>
      <c r="K151" s="112">
        <f ca="1">IFERROR(__xludf.DUMMYFUNCTION("""COMPUTED_VALUE"""),40900.7055555555)</f>
        <v>40900.705555555498</v>
      </c>
      <c r="L151" s="111">
        <f ca="1">IFERROR(__xludf.DUMMYFUNCTION("""COMPUTED_VALUE"""),0.29)</f>
        <v>0.28999999999999998</v>
      </c>
      <c r="M151" s="112">
        <f ca="1">IFERROR(__xludf.DUMMYFUNCTION("""COMPUTED_VALUE"""),40399.7055555555)</f>
        <v>40399.705555555498</v>
      </c>
      <c r="N151" s="111">
        <f ca="1">IFERROR(__xludf.DUMMYFUNCTION("""COMPUTED_VALUE"""),12.49)</f>
        <v>12.49</v>
      </c>
      <c r="O151" s="112">
        <f ca="1">IFERROR(__xludf.DUMMYFUNCTION("""COMPUTED_VALUE"""),40408.7055555555)</f>
        <v>40408.705555555498</v>
      </c>
      <c r="P151" s="111">
        <f ca="1">IFERROR(__xludf.DUMMYFUNCTION("""COMPUTED_VALUE"""),50.35)</f>
        <v>50.35</v>
      </c>
      <c r="Q151" s="112">
        <f ca="1">IFERROR(__xludf.DUMMYFUNCTION("""COMPUTED_VALUE"""),40408.7055555555)</f>
        <v>40408.705555555498</v>
      </c>
      <c r="R151" s="111">
        <f ca="1">IFERROR(__xludf.DUMMYFUNCTION("""COMPUTED_VALUE"""),29.92)</f>
        <v>29.92</v>
      </c>
      <c r="S151" s="112">
        <f ca="1">IFERROR(__xludf.DUMMYFUNCTION("""COMPUTED_VALUE"""),40408.7055555555)</f>
        <v>40408.705555555498</v>
      </c>
      <c r="T151" s="111">
        <f ca="1">IFERROR(__xludf.DUMMYFUNCTION("""COMPUTED_VALUE"""),8.67)</f>
        <v>8.67</v>
      </c>
    </row>
    <row r="152" spans="1:20" x14ac:dyDescent="0.3">
      <c r="A152" s="112">
        <f ca="1">IFERROR(__xludf.DUMMYFUNCTION("""COMPUTED_VALUE"""),40409.7055555555)</f>
        <v>40409.705555555498</v>
      </c>
      <c r="B152" s="111">
        <f ca="1">IFERROR(__xludf.DUMMYFUNCTION("""COMPUTED_VALUE"""),21.71)</f>
        <v>21.71</v>
      </c>
      <c r="C152" s="112">
        <f ca="1">IFERROR(__xludf.DUMMYFUNCTION("""COMPUTED_VALUE"""),40409.7055555555)</f>
        <v>40409.705555555498</v>
      </c>
      <c r="D152" s="111">
        <f ca="1">IFERROR(__xludf.DUMMYFUNCTION("""COMPUTED_VALUE"""),18.83)</f>
        <v>18.829999999999998</v>
      </c>
      <c r="E152" s="112">
        <f ca="1">IFERROR(__xludf.DUMMYFUNCTION("""COMPUTED_VALUE"""),40409.7055555555)</f>
        <v>40409.705555555498</v>
      </c>
      <c r="F152" s="111">
        <f ca="1">IFERROR(__xludf.DUMMYFUNCTION("""COMPUTED_VALUE"""),8.01)</f>
        <v>8.01</v>
      </c>
      <c r="G152" s="112">
        <f ca="1">IFERROR(__xludf.DUMMYFUNCTION("""COMPUTED_VALUE"""),40409.7055555555)</f>
        <v>40409.705555555498</v>
      </c>
      <c r="H152" s="111">
        <f ca="1">IFERROR(__xludf.DUMMYFUNCTION("""COMPUTED_VALUE"""),26.78)</f>
        <v>26.78</v>
      </c>
      <c r="I152" s="112">
        <f ca="1">IFERROR(__xludf.DUMMYFUNCTION("""COMPUTED_VALUE"""),44757.7055555555)</f>
        <v>44757.705555555498</v>
      </c>
      <c r="J152" s="111">
        <f ca="1">IFERROR(__xludf.DUMMYFUNCTION("""COMPUTED_VALUE"""),3.39)</f>
        <v>3.39</v>
      </c>
      <c r="K152" s="112">
        <f ca="1">IFERROR(__xludf.DUMMYFUNCTION("""COMPUTED_VALUE"""),40903.7055555555)</f>
        <v>40903.705555555498</v>
      </c>
      <c r="L152" s="111">
        <f ca="1">IFERROR(__xludf.DUMMYFUNCTION("""COMPUTED_VALUE"""),0.29)</f>
        <v>0.28999999999999998</v>
      </c>
      <c r="M152" s="112">
        <f ca="1">IFERROR(__xludf.DUMMYFUNCTION("""COMPUTED_VALUE"""),40400.7055555555)</f>
        <v>40400.705555555498</v>
      </c>
      <c r="N152" s="111">
        <f ca="1">IFERROR(__xludf.DUMMYFUNCTION("""COMPUTED_VALUE"""),12.33)</f>
        <v>12.33</v>
      </c>
      <c r="O152" s="112">
        <f ca="1">IFERROR(__xludf.DUMMYFUNCTION("""COMPUTED_VALUE"""),40409.7055555555)</f>
        <v>40409.705555555498</v>
      </c>
      <c r="P152" s="111">
        <f ca="1">IFERROR(__xludf.DUMMYFUNCTION("""COMPUTED_VALUE"""),49.85)</f>
        <v>49.85</v>
      </c>
      <c r="Q152" s="112">
        <f ca="1">IFERROR(__xludf.DUMMYFUNCTION("""COMPUTED_VALUE"""),40409.7055555555)</f>
        <v>40409.705555555498</v>
      </c>
      <c r="R152" s="111">
        <f ca="1">IFERROR(__xludf.DUMMYFUNCTION("""COMPUTED_VALUE"""),29.2)</f>
        <v>29.2</v>
      </c>
      <c r="S152" s="112">
        <f ca="1">IFERROR(__xludf.DUMMYFUNCTION("""COMPUTED_VALUE"""),40409.7055555555)</f>
        <v>40409.705555555498</v>
      </c>
      <c r="T152" s="111">
        <f ca="1">IFERROR(__xludf.DUMMYFUNCTION("""COMPUTED_VALUE"""),8.39)</f>
        <v>8.39</v>
      </c>
    </row>
    <row r="153" spans="1:20" x14ac:dyDescent="0.3">
      <c r="A153" s="112">
        <f ca="1">IFERROR(__xludf.DUMMYFUNCTION("""COMPUTED_VALUE"""),40410.7055555555)</f>
        <v>40410.705555555498</v>
      </c>
      <c r="B153" s="111">
        <f ca="1">IFERROR(__xludf.DUMMYFUNCTION("""COMPUTED_VALUE"""),21.97)</f>
        <v>21.97</v>
      </c>
      <c r="C153" s="112">
        <f ca="1">IFERROR(__xludf.DUMMYFUNCTION("""COMPUTED_VALUE"""),40410.7055555555)</f>
        <v>40410.705555555498</v>
      </c>
      <c r="D153" s="111">
        <f ca="1">IFERROR(__xludf.DUMMYFUNCTION("""COMPUTED_VALUE"""),18.79)</f>
        <v>18.79</v>
      </c>
      <c r="E153" s="112">
        <f ca="1">IFERROR(__xludf.DUMMYFUNCTION("""COMPUTED_VALUE"""),40410.7055555555)</f>
        <v>40410.705555555498</v>
      </c>
      <c r="F153" s="111">
        <f ca="1">IFERROR(__xludf.DUMMYFUNCTION("""COMPUTED_VALUE"""),8)</f>
        <v>8</v>
      </c>
      <c r="G153" s="112">
        <f ca="1">IFERROR(__xludf.DUMMYFUNCTION("""COMPUTED_VALUE"""),40410.7055555555)</f>
        <v>40410.705555555498</v>
      </c>
      <c r="H153" s="111">
        <f ca="1">IFERROR(__xludf.DUMMYFUNCTION("""COMPUTED_VALUE"""),26.78)</f>
        <v>26.78</v>
      </c>
      <c r="I153" s="112">
        <f ca="1">IFERROR(__xludf.DUMMYFUNCTION("""COMPUTED_VALUE"""),44760.7055555555)</f>
        <v>44760.705555555498</v>
      </c>
      <c r="J153" s="111">
        <f ca="1">IFERROR(__xludf.DUMMYFUNCTION("""COMPUTED_VALUE"""),3.48)</f>
        <v>3.48</v>
      </c>
      <c r="K153" s="112">
        <f ca="1">IFERROR(__xludf.DUMMYFUNCTION("""COMPUTED_VALUE"""),40904.7055555555)</f>
        <v>40904.705555555498</v>
      </c>
      <c r="L153" s="111">
        <f ca="1">IFERROR(__xludf.DUMMYFUNCTION("""COMPUTED_VALUE"""),0.29)</f>
        <v>0.28999999999999998</v>
      </c>
      <c r="M153" s="112">
        <f ca="1">IFERROR(__xludf.DUMMYFUNCTION("""COMPUTED_VALUE"""),40401.7055555555)</f>
        <v>40401.705555555498</v>
      </c>
      <c r="N153" s="111">
        <f ca="1">IFERROR(__xludf.DUMMYFUNCTION("""COMPUTED_VALUE"""),12.08)</f>
        <v>12.08</v>
      </c>
      <c r="O153" s="112">
        <f ca="1">IFERROR(__xludf.DUMMYFUNCTION("""COMPUTED_VALUE"""),40410.7055555555)</f>
        <v>40410.705555555498</v>
      </c>
      <c r="P153" s="111">
        <f ca="1">IFERROR(__xludf.DUMMYFUNCTION("""COMPUTED_VALUE"""),49.24)</f>
        <v>49.24</v>
      </c>
      <c r="Q153" s="112">
        <f ca="1">IFERROR(__xludf.DUMMYFUNCTION("""COMPUTED_VALUE"""),40410.7055555555)</f>
        <v>40410.705555555498</v>
      </c>
      <c r="R153" s="111">
        <f ca="1">IFERROR(__xludf.DUMMYFUNCTION("""COMPUTED_VALUE"""),29.63)</f>
        <v>29.63</v>
      </c>
      <c r="S153" s="112">
        <f ca="1">IFERROR(__xludf.DUMMYFUNCTION("""COMPUTED_VALUE"""),40410.7055555555)</f>
        <v>40410.705555555498</v>
      </c>
      <c r="T153" s="111">
        <f ca="1">IFERROR(__xludf.DUMMYFUNCTION("""COMPUTED_VALUE"""),8.52)</f>
        <v>8.52</v>
      </c>
    </row>
    <row r="154" spans="1:20" x14ac:dyDescent="0.3">
      <c r="A154" s="112">
        <f ca="1">IFERROR(__xludf.DUMMYFUNCTION("""COMPUTED_VALUE"""),40413.7055555555)</f>
        <v>40413.705555555498</v>
      </c>
      <c r="B154" s="111">
        <f ca="1">IFERROR(__xludf.DUMMYFUNCTION("""COMPUTED_VALUE"""),21.76)</f>
        <v>21.76</v>
      </c>
      <c r="C154" s="112">
        <f ca="1">IFERROR(__xludf.DUMMYFUNCTION("""COMPUTED_VALUE"""),40413.7055555555)</f>
        <v>40413.705555555498</v>
      </c>
      <c r="D154" s="111">
        <f ca="1">IFERROR(__xludf.DUMMYFUNCTION("""COMPUTED_VALUE"""),18.66)</f>
        <v>18.66</v>
      </c>
      <c r="E154" s="112">
        <f ca="1">IFERROR(__xludf.DUMMYFUNCTION("""COMPUTED_VALUE"""),40413.7055555555)</f>
        <v>40413.705555555498</v>
      </c>
      <c r="F154" s="111">
        <f ca="1">IFERROR(__xludf.DUMMYFUNCTION("""COMPUTED_VALUE"""),7.94)</f>
        <v>7.94</v>
      </c>
      <c r="G154" s="112">
        <f ca="1">IFERROR(__xludf.DUMMYFUNCTION("""COMPUTED_VALUE"""),40413.7055555555)</f>
        <v>40413.705555555498</v>
      </c>
      <c r="H154" s="111">
        <f ca="1">IFERROR(__xludf.DUMMYFUNCTION("""COMPUTED_VALUE"""),26.66)</f>
        <v>26.66</v>
      </c>
      <c r="I154" s="112">
        <f ca="1">IFERROR(__xludf.DUMMYFUNCTION("""COMPUTED_VALUE"""),44761.7055555555)</f>
        <v>44761.705555555498</v>
      </c>
      <c r="J154" s="111">
        <f ca="1">IFERROR(__xludf.DUMMYFUNCTION("""COMPUTED_VALUE"""),3.65)</f>
        <v>3.65</v>
      </c>
      <c r="K154" s="112">
        <f ca="1">IFERROR(__xludf.DUMMYFUNCTION("""COMPUTED_VALUE"""),40905.7055555555)</f>
        <v>40905.705555555498</v>
      </c>
      <c r="L154" s="111">
        <f ca="1">IFERROR(__xludf.DUMMYFUNCTION("""COMPUTED_VALUE"""),0.29)</f>
        <v>0.28999999999999998</v>
      </c>
      <c r="M154" s="112">
        <f ca="1">IFERROR(__xludf.DUMMYFUNCTION("""COMPUTED_VALUE"""),40402.7055555555)</f>
        <v>40402.705555555498</v>
      </c>
      <c r="N154" s="111">
        <f ca="1">IFERROR(__xludf.DUMMYFUNCTION("""COMPUTED_VALUE"""),12.1)</f>
        <v>12.1</v>
      </c>
      <c r="O154" s="112">
        <f ca="1">IFERROR(__xludf.DUMMYFUNCTION("""COMPUTED_VALUE"""),40413.7055555555)</f>
        <v>40413.705555555498</v>
      </c>
      <c r="P154" s="111">
        <f ca="1">IFERROR(__xludf.DUMMYFUNCTION("""COMPUTED_VALUE"""),47.83)</f>
        <v>47.83</v>
      </c>
      <c r="Q154" s="112">
        <f ca="1">IFERROR(__xludf.DUMMYFUNCTION("""COMPUTED_VALUE"""),40413.7055555555)</f>
        <v>40413.705555555498</v>
      </c>
      <c r="R154" s="111">
        <f ca="1">IFERROR(__xludf.DUMMYFUNCTION("""COMPUTED_VALUE"""),29.4)</f>
        <v>29.4</v>
      </c>
      <c r="S154" s="112">
        <f ca="1">IFERROR(__xludf.DUMMYFUNCTION("""COMPUTED_VALUE"""),40413.7055555555)</f>
        <v>40413.705555555498</v>
      </c>
      <c r="T154" s="111">
        <f ca="1">IFERROR(__xludf.DUMMYFUNCTION("""COMPUTED_VALUE"""),8.44)</f>
        <v>8.44</v>
      </c>
    </row>
    <row r="155" spans="1:20" x14ac:dyDescent="0.3">
      <c r="A155" s="112">
        <f ca="1">IFERROR(__xludf.DUMMYFUNCTION("""COMPUTED_VALUE"""),40414.7055555555)</f>
        <v>40414.705555555498</v>
      </c>
      <c r="B155" s="111">
        <f ca="1">IFERROR(__xludf.DUMMYFUNCTION("""COMPUTED_VALUE"""),21.93)</f>
        <v>21.93</v>
      </c>
      <c r="C155" s="112">
        <f ca="1">IFERROR(__xludf.DUMMYFUNCTION("""COMPUTED_VALUE"""),40414.7055555555)</f>
        <v>40414.705555555498</v>
      </c>
      <c r="D155" s="111">
        <f ca="1">IFERROR(__xludf.DUMMYFUNCTION("""COMPUTED_VALUE"""),18.34)</f>
        <v>18.34</v>
      </c>
      <c r="E155" s="112">
        <f ca="1">IFERROR(__xludf.DUMMYFUNCTION("""COMPUTED_VALUE"""),40414.7055555555)</f>
        <v>40414.705555555498</v>
      </c>
      <c r="F155" s="111">
        <f ca="1">IFERROR(__xludf.DUMMYFUNCTION("""COMPUTED_VALUE"""),7.81)</f>
        <v>7.81</v>
      </c>
      <c r="G155" s="112">
        <f ca="1">IFERROR(__xludf.DUMMYFUNCTION("""COMPUTED_VALUE"""),40414.7055555555)</f>
        <v>40414.705555555498</v>
      </c>
      <c r="H155" s="111">
        <f ca="1">IFERROR(__xludf.DUMMYFUNCTION("""COMPUTED_VALUE"""),26.14)</f>
        <v>26.14</v>
      </c>
      <c r="I155" s="112">
        <f ca="1">IFERROR(__xludf.DUMMYFUNCTION("""COMPUTED_VALUE"""),44762.7055555555)</f>
        <v>44762.705555555498</v>
      </c>
      <c r="J155" s="111">
        <f ca="1">IFERROR(__xludf.DUMMYFUNCTION("""COMPUTED_VALUE"""),4.18)</f>
        <v>4.18</v>
      </c>
      <c r="K155" s="112">
        <f ca="1">IFERROR(__xludf.DUMMYFUNCTION("""COMPUTED_VALUE"""),40906.7055555555)</f>
        <v>40906.705555555498</v>
      </c>
      <c r="L155" s="111">
        <f ca="1">IFERROR(__xludf.DUMMYFUNCTION("""COMPUTED_VALUE"""),0.3)</f>
        <v>0.3</v>
      </c>
      <c r="M155" s="112">
        <f ca="1">IFERROR(__xludf.DUMMYFUNCTION("""COMPUTED_VALUE"""),40403.7055555555)</f>
        <v>40403.705555555498</v>
      </c>
      <c r="N155" s="111">
        <f ca="1">IFERROR(__xludf.DUMMYFUNCTION("""COMPUTED_VALUE"""),12.06)</f>
        <v>12.06</v>
      </c>
      <c r="O155" s="112">
        <f ca="1">IFERROR(__xludf.DUMMYFUNCTION("""COMPUTED_VALUE"""),40414.7055555555)</f>
        <v>40414.705555555498</v>
      </c>
      <c r="P155" s="111">
        <f ca="1">IFERROR(__xludf.DUMMYFUNCTION("""COMPUTED_VALUE"""),46.8)</f>
        <v>46.8</v>
      </c>
      <c r="Q155" s="112">
        <f ca="1">IFERROR(__xludf.DUMMYFUNCTION("""COMPUTED_VALUE"""),40414.7055555555)</f>
        <v>40414.705555555498</v>
      </c>
      <c r="R155" s="111">
        <f ca="1">IFERROR(__xludf.DUMMYFUNCTION("""COMPUTED_VALUE"""),28.99)</f>
        <v>28.99</v>
      </c>
      <c r="S155" s="112">
        <f ca="1">IFERROR(__xludf.DUMMYFUNCTION("""COMPUTED_VALUE"""),40414.7055555555)</f>
        <v>40414.705555555498</v>
      </c>
      <c r="T155" s="111">
        <f ca="1">IFERROR(__xludf.DUMMYFUNCTION("""COMPUTED_VALUE"""),8.49)</f>
        <v>8.49</v>
      </c>
    </row>
    <row r="156" spans="1:20" x14ac:dyDescent="0.3">
      <c r="A156" s="112">
        <f ca="1">IFERROR(__xludf.DUMMYFUNCTION("""COMPUTED_VALUE"""),40415.7055555555)</f>
        <v>40415.705555555498</v>
      </c>
      <c r="B156" s="111">
        <f ca="1">IFERROR(__xludf.DUMMYFUNCTION("""COMPUTED_VALUE"""),21.62)</f>
        <v>21.62</v>
      </c>
      <c r="C156" s="112">
        <f ca="1">IFERROR(__xludf.DUMMYFUNCTION("""COMPUTED_VALUE"""),40415.7055555555)</f>
        <v>40415.705555555498</v>
      </c>
      <c r="D156" s="111">
        <f ca="1">IFERROR(__xludf.DUMMYFUNCTION("""COMPUTED_VALUE"""),18.33)</f>
        <v>18.329999999999998</v>
      </c>
      <c r="E156" s="112">
        <f ca="1">IFERROR(__xludf.DUMMYFUNCTION("""COMPUTED_VALUE"""),40415.7055555555)</f>
        <v>40415.705555555498</v>
      </c>
      <c r="F156" s="111">
        <f ca="1">IFERROR(__xludf.DUMMYFUNCTION("""COMPUTED_VALUE"""),7.81)</f>
        <v>7.81</v>
      </c>
      <c r="G156" s="112">
        <f ca="1">IFERROR(__xludf.DUMMYFUNCTION("""COMPUTED_VALUE"""),40415.7055555555)</f>
        <v>40415.705555555498</v>
      </c>
      <c r="H156" s="111">
        <f ca="1">IFERROR(__xludf.DUMMYFUNCTION("""COMPUTED_VALUE"""),26.08)</f>
        <v>26.08</v>
      </c>
      <c r="I156" s="112">
        <f ca="1">IFERROR(__xludf.DUMMYFUNCTION("""COMPUTED_VALUE"""),44763.7055555555)</f>
        <v>44763.705555555498</v>
      </c>
      <c r="J156" s="111">
        <f ca="1">IFERROR(__xludf.DUMMYFUNCTION("""COMPUTED_VALUE"""),4.12)</f>
        <v>4.12</v>
      </c>
      <c r="K156" s="112">
        <f ca="1">IFERROR(__xludf.DUMMYFUNCTION("""COMPUTED_VALUE"""),40910.7055555555)</f>
        <v>40910.705555555498</v>
      </c>
      <c r="L156" s="111">
        <f ca="1">IFERROR(__xludf.DUMMYFUNCTION("""COMPUTED_VALUE"""),0.29)</f>
        <v>0.28999999999999998</v>
      </c>
      <c r="M156" s="112">
        <f ca="1">IFERROR(__xludf.DUMMYFUNCTION("""COMPUTED_VALUE"""),40406.7055555555)</f>
        <v>40406.705555555498</v>
      </c>
      <c r="N156" s="111">
        <f ca="1">IFERROR(__xludf.DUMMYFUNCTION("""COMPUTED_VALUE"""),12.21)</f>
        <v>12.21</v>
      </c>
      <c r="O156" s="112">
        <f ca="1">IFERROR(__xludf.DUMMYFUNCTION("""COMPUTED_VALUE"""),40415.7055555555)</f>
        <v>40415.705555555498</v>
      </c>
      <c r="P156" s="111">
        <f ca="1">IFERROR(__xludf.DUMMYFUNCTION("""COMPUTED_VALUE"""),46.38)</f>
        <v>46.38</v>
      </c>
      <c r="Q156" s="112">
        <f ca="1">IFERROR(__xludf.DUMMYFUNCTION("""COMPUTED_VALUE"""),40415.7055555555)</f>
        <v>40415.705555555498</v>
      </c>
      <c r="R156" s="111">
        <f ca="1">IFERROR(__xludf.DUMMYFUNCTION("""COMPUTED_VALUE"""),28.99)</f>
        <v>28.99</v>
      </c>
      <c r="S156" s="112">
        <f ca="1">IFERROR(__xludf.DUMMYFUNCTION("""COMPUTED_VALUE"""),40415.7055555555)</f>
        <v>40415.705555555498</v>
      </c>
      <c r="T156" s="111">
        <f ca="1">IFERROR(__xludf.DUMMYFUNCTION("""COMPUTED_VALUE"""),8.2)</f>
        <v>8.1999999999999993</v>
      </c>
    </row>
    <row r="157" spans="1:20" x14ac:dyDescent="0.3">
      <c r="A157" s="112">
        <f ca="1">IFERROR(__xludf.DUMMYFUNCTION("""COMPUTED_VALUE"""),40416.7055555555)</f>
        <v>40416.705555555498</v>
      </c>
      <c r="B157" s="111">
        <f ca="1">IFERROR(__xludf.DUMMYFUNCTION("""COMPUTED_VALUE"""),21.26)</f>
        <v>21.26</v>
      </c>
      <c r="C157" s="112">
        <f ca="1">IFERROR(__xludf.DUMMYFUNCTION("""COMPUTED_VALUE"""),40416.7055555555)</f>
        <v>40416.705555555498</v>
      </c>
      <c r="D157" s="111">
        <f ca="1">IFERROR(__xludf.DUMMYFUNCTION("""COMPUTED_VALUE"""),17.88)</f>
        <v>17.88</v>
      </c>
      <c r="E157" s="112">
        <f ca="1">IFERROR(__xludf.DUMMYFUNCTION("""COMPUTED_VALUE"""),40416.7055555555)</f>
        <v>40416.705555555498</v>
      </c>
      <c r="F157" s="111">
        <f ca="1">IFERROR(__xludf.DUMMYFUNCTION("""COMPUTED_VALUE"""),7.68)</f>
        <v>7.68</v>
      </c>
      <c r="G157" s="112">
        <f ca="1">IFERROR(__xludf.DUMMYFUNCTION("""COMPUTED_VALUE"""),40416.7055555555)</f>
        <v>40416.705555555498</v>
      </c>
      <c r="H157" s="111">
        <f ca="1">IFERROR(__xludf.DUMMYFUNCTION("""COMPUTED_VALUE"""),25.7)</f>
        <v>25.7</v>
      </c>
      <c r="I157" s="112">
        <f ca="1">IFERROR(__xludf.DUMMYFUNCTION("""COMPUTED_VALUE"""),44764.7055555555)</f>
        <v>44764.705555555498</v>
      </c>
      <c r="J157" s="111">
        <f ca="1">IFERROR(__xludf.DUMMYFUNCTION("""COMPUTED_VALUE"""),3.83)</f>
        <v>3.83</v>
      </c>
      <c r="K157" s="112">
        <f ca="1">IFERROR(__xludf.DUMMYFUNCTION("""COMPUTED_VALUE"""),40911.7055555555)</f>
        <v>40911.705555555498</v>
      </c>
      <c r="L157" s="111">
        <f ca="1">IFERROR(__xludf.DUMMYFUNCTION("""COMPUTED_VALUE"""),0.29)</f>
        <v>0.28999999999999998</v>
      </c>
      <c r="M157" s="112">
        <f ca="1">IFERROR(__xludf.DUMMYFUNCTION("""COMPUTED_VALUE"""),40407.7055555555)</f>
        <v>40407.705555555498</v>
      </c>
      <c r="N157" s="111">
        <f ca="1">IFERROR(__xludf.DUMMYFUNCTION("""COMPUTED_VALUE"""),12.28)</f>
        <v>12.28</v>
      </c>
      <c r="O157" s="112">
        <f ca="1">IFERROR(__xludf.DUMMYFUNCTION("""COMPUTED_VALUE"""),40416.7055555555)</f>
        <v>40416.705555555498</v>
      </c>
      <c r="P157" s="111">
        <f ca="1">IFERROR(__xludf.DUMMYFUNCTION("""COMPUTED_VALUE"""),45.86)</f>
        <v>45.86</v>
      </c>
      <c r="Q157" s="112">
        <f ca="1">IFERROR(__xludf.DUMMYFUNCTION("""COMPUTED_VALUE"""),40416.7055555555)</f>
        <v>40416.705555555498</v>
      </c>
      <c r="R157" s="111">
        <f ca="1">IFERROR(__xludf.DUMMYFUNCTION("""COMPUTED_VALUE"""),28.2)</f>
        <v>28.2</v>
      </c>
      <c r="S157" s="112">
        <f ca="1">IFERROR(__xludf.DUMMYFUNCTION("""COMPUTED_VALUE"""),40416.7055555555)</f>
        <v>40416.705555555498</v>
      </c>
      <c r="T157" s="111">
        <f ca="1">IFERROR(__xludf.DUMMYFUNCTION("""COMPUTED_VALUE"""),8.05)</f>
        <v>8.0500000000000007</v>
      </c>
    </row>
    <row r="158" spans="1:20" x14ac:dyDescent="0.3">
      <c r="A158" s="112">
        <f ca="1">IFERROR(__xludf.DUMMYFUNCTION("""COMPUTED_VALUE"""),40417.7055555555)</f>
        <v>40417.705555555498</v>
      </c>
      <c r="B158" s="111">
        <f ca="1">IFERROR(__xludf.DUMMYFUNCTION("""COMPUTED_VALUE"""),21.49)</f>
        <v>21.49</v>
      </c>
      <c r="C158" s="112">
        <f ca="1">IFERROR(__xludf.DUMMYFUNCTION("""COMPUTED_VALUE"""),40417.7055555555)</f>
        <v>40417.705555555498</v>
      </c>
      <c r="D158" s="111">
        <f ca="1">IFERROR(__xludf.DUMMYFUNCTION("""COMPUTED_VALUE"""),18.63)</f>
        <v>18.63</v>
      </c>
      <c r="E158" s="112">
        <f ca="1">IFERROR(__xludf.DUMMYFUNCTION("""COMPUTED_VALUE"""),40417.7055555555)</f>
        <v>40417.705555555498</v>
      </c>
      <c r="F158" s="111">
        <f ca="1">IFERROR(__xludf.DUMMYFUNCTION("""COMPUTED_VALUE"""),7.93)</f>
        <v>7.93</v>
      </c>
      <c r="G158" s="112">
        <f ca="1">IFERROR(__xludf.DUMMYFUNCTION("""COMPUTED_VALUE"""),40417.7055555555)</f>
        <v>40417.705555555498</v>
      </c>
      <c r="H158" s="111">
        <f ca="1">IFERROR(__xludf.DUMMYFUNCTION("""COMPUTED_VALUE"""),26.56)</f>
        <v>26.56</v>
      </c>
      <c r="I158" s="112">
        <f ca="1">IFERROR(__xludf.DUMMYFUNCTION("""COMPUTED_VALUE"""),44767.7055555555)</f>
        <v>44767.705555555498</v>
      </c>
      <c r="J158" s="111">
        <f ca="1">IFERROR(__xludf.DUMMYFUNCTION("""COMPUTED_VALUE"""),3.69)</f>
        <v>3.69</v>
      </c>
      <c r="K158" s="112">
        <f ca="1">IFERROR(__xludf.DUMMYFUNCTION("""COMPUTED_VALUE"""),40912.7055555555)</f>
        <v>40912.705555555498</v>
      </c>
      <c r="L158" s="111">
        <f ca="1">IFERROR(__xludf.DUMMYFUNCTION("""COMPUTED_VALUE"""),0.29)</f>
        <v>0.28999999999999998</v>
      </c>
      <c r="M158" s="112">
        <f ca="1">IFERROR(__xludf.DUMMYFUNCTION("""COMPUTED_VALUE"""),40408.7055555555)</f>
        <v>40408.705555555498</v>
      </c>
      <c r="N158" s="111">
        <f ca="1">IFERROR(__xludf.DUMMYFUNCTION("""COMPUTED_VALUE"""),12.42)</f>
        <v>12.42</v>
      </c>
      <c r="O158" s="112">
        <f ca="1">IFERROR(__xludf.DUMMYFUNCTION("""COMPUTED_VALUE"""),40417.7055555555)</f>
        <v>40417.705555555498</v>
      </c>
      <c r="P158" s="111">
        <f ca="1">IFERROR(__xludf.DUMMYFUNCTION("""COMPUTED_VALUE"""),47.45)</f>
        <v>47.45</v>
      </c>
      <c r="Q158" s="112">
        <f ca="1">IFERROR(__xludf.DUMMYFUNCTION("""COMPUTED_VALUE"""),40417.7055555555)</f>
        <v>40417.705555555498</v>
      </c>
      <c r="R158" s="111">
        <f ca="1">IFERROR(__xludf.DUMMYFUNCTION("""COMPUTED_VALUE"""),28.25)</f>
        <v>28.25</v>
      </c>
      <c r="S158" s="112">
        <f ca="1">IFERROR(__xludf.DUMMYFUNCTION("""COMPUTED_VALUE"""),40417.7055555555)</f>
        <v>40417.705555555498</v>
      </c>
      <c r="T158" s="111">
        <f ca="1">IFERROR(__xludf.DUMMYFUNCTION("""COMPUTED_VALUE"""),8.09)</f>
        <v>8.09</v>
      </c>
    </row>
    <row r="159" spans="1:20" x14ac:dyDescent="0.3">
      <c r="A159" s="112">
        <f ca="1">IFERROR(__xludf.DUMMYFUNCTION("""COMPUTED_VALUE"""),40421.7055555555)</f>
        <v>40421.705555555498</v>
      </c>
      <c r="B159" s="111">
        <f ca="1">IFERROR(__xludf.DUMMYFUNCTION("""COMPUTED_VALUE"""),21.13)</f>
        <v>21.13</v>
      </c>
      <c r="C159" s="112">
        <f ca="1">IFERROR(__xludf.DUMMYFUNCTION("""COMPUTED_VALUE"""),40421.7055555555)</f>
        <v>40421.705555555498</v>
      </c>
      <c r="D159" s="111">
        <f ca="1">IFERROR(__xludf.DUMMYFUNCTION("""COMPUTED_VALUE"""),18.94)</f>
        <v>18.940000000000001</v>
      </c>
      <c r="E159" s="112">
        <f ca="1">IFERROR(__xludf.DUMMYFUNCTION("""COMPUTED_VALUE"""),40421.7055555555)</f>
        <v>40421.705555555498</v>
      </c>
      <c r="F159" s="111">
        <f ca="1">IFERROR(__xludf.DUMMYFUNCTION("""COMPUTED_VALUE"""),8)</f>
        <v>8</v>
      </c>
      <c r="G159" s="112">
        <f ca="1">IFERROR(__xludf.DUMMYFUNCTION("""COMPUTED_VALUE"""),40421.7055555555)</f>
        <v>40421.705555555498</v>
      </c>
      <c r="H159" s="111">
        <f ca="1">IFERROR(__xludf.DUMMYFUNCTION("""COMPUTED_VALUE"""),26.06)</f>
        <v>26.06</v>
      </c>
      <c r="I159" s="112">
        <f ca="1">IFERROR(__xludf.DUMMYFUNCTION("""COMPUTED_VALUE"""),44768.7055555555)</f>
        <v>44768.705555555498</v>
      </c>
      <c r="J159" s="111">
        <f ca="1">IFERROR(__xludf.DUMMYFUNCTION("""COMPUTED_VALUE"""),3.38)</f>
        <v>3.38</v>
      </c>
      <c r="K159" s="112">
        <f ca="1">IFERROR(__xludf.DUMMYFUNCTION("""COMPUTED_VALUE"""),40913.7055555555)</f>
        <v>40913.705555555498</v>
      </c>
      <c r="L159" s="111">
        <f ca="1">IFERROR(__xludf.DUMMYFUNCTION("""COMPUTED_VALUE"""),0.28)</f>
        <v>0.28000000000000003</v>
      </c>
      <c r="M159" s="112">
        <f ca="1">IFERROR(__xludf.DUMMYFUNCTION("""COMPUTED_VALUE"""),40409.7055555555)</f>
        <v>40409.705555555498</v>
      </c>
      <c r="N159" s="111">
        <f ca="1">IFERROR(__xludf.DUMMYFUNCTION("""COMPUTED_VALUE"""),12.2)</f>
        <v>12.2</v>
      </c>
      <c r="O159" s="112">
        <f ca="1">IFERROR(__xludf.DUMMYFUNCTION("""COMPUTED_VALUE"""),40421.7055555555)</f>
        <v>40421.705555555498</v>
      </c>
      <c r="P159" s="111">
        <f ca="1">IFERROR(__xludf.DUMMYFUNCTION("""COMPUTED_VALUE"""),46.88)</f>
        <v>46.88</v>
      </c>
      <c r="Q159" s="112">
        <f ca="1">IFERROR(__xludf.DUMMYFUNCTION("""COMPUTED_VALUE"""),40421.7055555555)</f>
        <v>40421.705555555498</v>
      </c>
      <c r="R159" s="111">
        <f ca="1">IFERROR(__xludf.DUMMYFUNCTION("""COMPUTED_VALUE"""),28.48)</f>
        <v>28.48</v>
      </c>
      <c r="S159" s="112">
        <f ca="1">IFERROR(__xludf.DUMMYFUNCTION("""COMPUTED_VALUE"""),40421.7055555555)</f>
        <v>40421.705555555498</v>
      </c>
      <c r="T159" s="111">
        <f ca="1">IFERROR(__xludf.DUMMYFUNCTION("""COMPUTED_VALUE"""),8.52)</f>
        <v>8.52</v>
      </c>
    </row>
    <row r="160" spans="1:20" x14ac:dyDescent="0.3">
      <c r="A160" s="112">
        <f ca="1">IFERROR(__xludf.DUMMYFUNCTION("""COMPUTED_VALUE"""),40423.7055555555)</f>
        <v>40423.705555555498</v>
      </c>
      <c r="B160" s="111">
        <f ca="1">IFERROR(__xludf.DUMMYFUNCTION("""COMPUTED_VALUE"""),21.34)</f>
        <v>21.34</v>
      </c>
      <c r="C160" s="112">
        <f ca="1">IFERROR(__xludf.DUMMYFUNCTION("""COMPUTED_VALUE"""),40423.7055555555)</f>
        <v>40423.705555555498</v>
      </c>
      <c r="D160" s="111">
        <f ca="1">IFERROR(__xludf.DUMMYFUNCTION("""COMPUTED_VALUE"""),18.98)</f>
        <v>18.98</v>
      </c>
      <c r="E160" s="112">
        <f ca="1">IFERROR(__xludf.DUMMYFUNCTION("""COMPUTED_VALUE"""),40423.7055555555)</f>
        <v>40423.705555555498</v>
      </c>
      <c r="F160" s="111">
        <f ca="1">IFERROR(__xludf.DUMMYFUNCTION("""COMPUTED_VALUE"""),7.97)</f>
        <v>7.97</v>
      </c>
      <c r="G160" s="112">
        <f ca="1">IFERROR(__xludf.DUMMYFUNCTION("""COMPUTED_VALUE"""),40423.7055555555)</f>
        <v>40423.705555555498</v>
      </c>
      <c r="H160" s="111">
        <f ca="1">IFERROR(__xludf.DUMMYFUNCTION("""COMPUTED_VALUE"""),27.6)</f>
        <v>27.6</v>
      </c>
      <c r="I160" s="112">
        <f ca="1">IFERROR(__xludf.DUMMYFUNCTION("""COMPUTED_VALUE"""),44769.7055555555)</f>
        <v>44769.705555555498</v>
      </c>
      <c r="J160" s="111">
        <f ca="1">IFERROR(__xludf.DUMMYFUNCTION("""COMPUTED_VALUE"""),3.51)</f>
        <v>3.51</v>
      </c>
      <c r="K160" s="112">
        <f ca="1">IFERROR(__xludf.DUMMYFUNCTION("""COMPUTED_VALUE"""),40914.7055555555)</f>
        <v>40914.705555555498</v>
      </c>
      <c r="L160" s="111">
        <f ca="1">IFERROR(__xludf.DUMMYFUNCTION("""COMPUTED_VALUE"""),0.29)</f>
        <v>0.28999999999999998</v>
      </c>
      <c r="M160" s="112">
        <f ca="1">IFERROR(__xludf.DUMMYFUNCTION("""COMPUTED_VALUE"""),40410.7055555555)</f>
        <v>40410.705555555498</v>
      </c>
      <c r="N160" s="111">
        <f ca="1">IFERROR(__xludf.DUMMYFUNCTION("""COMPUTED_VALUE"""),12.16)</f>
        <v>12.16</v>
      </c>
      <c r="O160" s="112">
        <f ca="1">IFERROR(__xludf.DUMMYFUNCTION("""COMPUTED_VALUE"""),40423.7055555555)</f>
        <v>40423.705555555498</v>
      </c>
      <c r="P160" s="111">
        <f ca="1">IFERROR(__xludf.DUMMYFUNCTION("""COMPUTED_VALUE"""),48.58)</f>
        <v>48.58</v>
      </c>
      <c r="Q160" s="112">
        <f ca="1">IFERROR(__xludf.DUMMYFUNCTION("""COMPUTED_VALUE"""),40423.7055555555)</f>
        <v>40423.705555555498</v>
      </c>
      <c r="R160" s="111">
        <f ca="1">IFERROR(__xludf.DUMMYFUNCTION("""COMPUTED_VALUE"""),28.95)</f>
        <v>28.95</v>
      </c>
      <c r="S160" s="112">
        <f ca="1">IFERROR(__xludf.DUMMYFUNCTION("""COMPUTED_VALUE"""),40423.7055555555)</f>
        <v>40423.705555555498</v>
      </c>
      <c r="T160" s="111">
        <f ca="1">IFERROR(__xludf.DUMMYFUNCTION("""COMPUTED_VALUE"""),8.5)</f>
        <v>8.5</v>
      </c>
    </row>
    <row r="161" spans="1:20" x14ac:dyDescent="0.3">
      <c r="A161" s="112">
        <f ca="1">IFERROR(__xludf.DUMMYFUNCTION("""COMPUTED_VALUE"""),40424.7055555555)</f>
        <v>40424.705555555498</v>
      </c>
      <c r="B161" s="111">
        <f ca="1">IFERROR(__xludf.DUMMYFUNCTION("""COMPUTED_VALUE"""),21.16)</f>
        <v>21.16</v>
      </c>
      <c r="C161" s="112">
        <f ca="1">IFERROR(__xludf.DUMMYFUNCTION("""COMPUTED_VALUE"""),40424.7055555555)</f>
        <v>40424.705555555498</v>
      </c>
      <c r="D161" s="111">
        <f ca="1">IFERROR(__xludf.DUMMYFUNCTION("""COMPUTED_VALUE"""),18.96)</f>
        <v>18.96</v>
      </c>
      <c r="E161" s="112">
        <f ca="1">IFERROR(__xludf.DUMMYFUNCTION("""COMPUTED_VALUE"""),40424.7055555555)</f>
        <v>40424.705555555498</v>
      </c>
      <c r="F161" s="111">
        <f ca="1">IFERROR(__xludf.DUMMYFUNCTION("""COMPUTED_VALUE"""),7.97)</f>
        <v>7.97</v>
      </c>
      <c r="G161" s="112">
        <f ca="1">IFERROR(__xludf.DUMMYFUNCTION("""COMPUTED_VALUE"""),40424.7055555555)</f>
        <v>40424.705555555498</v>
      </c>
      <c r="H161" s="111">
        <f ca="1">IFERROR(__xludf.DUMMYFUNCTION("""COMPUTED_VALUE"""),28.8)</f>
        <v>28.8</v>
      </c>
      <c r="I161" s="112">
        <f ca="1">IFERROR(__xludf.DUMMYFUNCTION("""COMPUTED_VALUE"""),44770.7055555555)</f>
        <v>44770.705555555498</v>
      </c>
      <c r="J161" s="111">
        <f ca="1">IFERROR(__xludf.DUMMYFUNCTION("""COMPUTED_VALUE"""),3.6)</f>
        <v>3.6</v>
      </c>
      <c r="K161" s="112">
        <f ca="1">IFERROR(__xludf.DUMMYFUNCTION("""COMPUTED_VALUE"""),40917.7055555555)</f>
        <v>40917.705555555498</v>
      </c>
      <c r="L161" s="111">
        <f ca="1">IFERROR(__xludf.DUMMYFUNCTION("""COMPUTED_VALUE"""),0.29)</f>
        <v>0.28999999999999998</v>
      </c>
      <c r="M161" s="112">
        <f ca="1">IFERROR(__xludf.DUMMYFUNCTION("""COMPUTED_VALUE"""),40413.7055555555)</f>
        <v>40413.705555555498</v>
      </c>
      <c r="N161" s="111">
        <f ca="1">IFERROR(__xludf.DUMMYFUNCTION("""COMPUTED_VALUE"""),12.16)</f>
        <v>12.16</v>
      </c>
      <c r="O161" s="112">
        <f ca="1">IFERROR(__xludf.DUMMYFUNCTION("""COMPUTED_VALUE"""),40424.7055555555)</f>
        <v>40424.705555555498</v>
      </c>
      <c r="P161" s="111">
        <f ca="1">IFERROR(__xludf.DUMMYFUNCTION("""COMPUTED_VALUE"""),48.4)</f>
        <v>48.4</v>
      </c>
      <c r="Q161" s="112">
        <f ca="1">IFERROR(__xludf.DUMMYFUNCTION("""COMPUTED_VALUE"""),40424.7055555555)</f>
        <v>40424.705555555498</v>
      </c>
      <c r="R161" s="111">
        <f ca="1">IFERROR(__xludf.DUMMYFUNCTION("""COMPUTED_VALUE"""),28.49)</f>
        <v>28.49</v>
      </c>
      <c r="S161" s="112">
        <f ca="1">IFERROR(__xludf.DUMMYFUNCTION("""COMPUTED_VALUE"""),40424.7055555555)</f>
        <v>40424.705555555498</v>
      </c>
      <c r="T161" s="111">
        <f ca="1">IFERROR(__xludf.DUMMYFUNCTION("""COMPUTED_VALUE"""),8.31)</f>
        <v>8.31</v>
      </c>
    </row>
    <row r="162" spans="1:20" x14ac:dyDescent="0.3">
      <c r="A162" s="112">
        <f ca="1">IFERROR(__xludf.DUMMYFUNCTION("""COMPUTED_VALUE"""),40427.7055555555)</f>
        <v>40427.705555555498</v>
      </c>
      <c r="B162" s="111">
        <f ca="1">IFERROR(__xludf.DUMMYFUNCTION("""COMPUTED_VALUE"""),20.95)</f>
        <v>20.95</v>
      </c>
      <c r="C162" s="112">
        <f ca="1">IFERROR(__xludf.DUMMYFUNCTION("""COMPUTED_VALUE"""),40427.7055555555)</f>
        <v>40427.705555555498</v>
      </c>
      <c r="D162" s="111">
        <f ca="1">IFERROR(__xludf.DUMMYFUNCTION("""COMPUTED_VALUE"""),18.78)</f>
        <v>18.78</v>
      </c>
      <c r="E162" s="112">
        <f ca="1">IFERROR(__xludf.DUMMYFUNCTION("""COMPUTED_VALUE"""),40427.7055555555)</f>
        <v>40427.705555555498</v>
      </c>
      <c r="F162" s="111">
        <f ca="1">IFERROR(__xludf.DUMMYFUNCTION("""COMPUTED_VALUE"""),7.92)</f>
        <v>7.92</v>
      </c>
      <c r="G162" s="112">
        <f ca="1">IFERROR(__xludf.DUMMYFUNCTION("""COMPUTED_VALUE"""),40427.7055555555)</f>
        <v>40427.705555555498</v>
      </c>
      <c r="H162" s="111">
        <f ca="1">IFERROR(__xludf.DUMMYFUNCTION("""COMPUTED_VALUE"""),29.09)</f>
        <v>29.09</v>
      </c>
      <c r="I162" s="112">
        <f ca="1">IFERROR(__xludf.DUMMYFUNCTION("""COMPUTED_VALUE"""),44771.7055555555)</f>
        <v>44771.705555555498</v>
      </c>
      <c r="J162" s="111">
        <f ca="1">IFERROR(__xludf.DUMMYFUNCTION("""COMPUTED_VALUE"""),3.6)</f>
        <v>3.6</v>
      </c>
      <c r="K162" s="112">
        <f ca="1">IFERROR(__xludf.DUMMYFUNCTION("""COMPUTED_VALUE"""),40918.7055555555)</f>
        <v>40918.705555555498</v>
      </c>
      <c r="L162" s="111">
        <f ca="1">IFERROR(__xludf.DUMMYFUNCTION("""COMPUTED_VALUE"""),0.28)</f>
        <v>0.28000000000000003</v>
      </c>
      <c r="M162" s="112">
        <f ca="1">IFERROR(__xludf.DUMMYFUNCTION("""COMPUTED_VALUE"""),40414.7055555555)</f>
        <v>40414.705555555498</v>
      </c>
      <c r="N162" s="111">
        <f ca="1">IFERROR(__xludf.DUMMYFUNCTION("""COMPUTED_VALUE"""),11.89)</f>
        <v>11.89</v>
      </c>
      <c r="O162" s="112">
        <f ca="1">IFERROR(__xludf.DUMMYFUNCTION("""COMPUTED_VALUE"""),40427.7055555555)</f>
        <v>40427.705555555498</v>
      </c>
      <c r="P162" s="111">
        <f ca="1">IFERROR(__xludf.DUMMYFUNCTION("""COMPUTED_VALUE"""),48)</f>
        <v>48</v>
      </c>
      <c r="Q162" s="112">
        <f ca="1">IFERROR(__xludf.DUMMYFUNCTION("""COMPUTED_VALUE"""),40427.7055555555)</f>
        <v>40427.705555555498</v>
      </c>
      <c r="R162" s="111">
        <f ca="1">IFERROR(__xludf.DUMMYFUNCTION("""COMPUTED_VALUE"""),28.23)</f>
        <v>28.23</v>
      </c>
      <c r="S162" s="112">
        <f ca="1">IFERROR(__xludf.DUMMYFUNCTION("""COMPUTED_VALUE"""),40427.7055555555)</f>
        <v>40427.705555555498</v>
      </c>
      <c r="T162" s="111">
        <f ca="1">IFERROR(__xludf.DUMMYFUNCTION("""COMPUTED_VALUE"""),8.31)</f>
        <v>8.31</v>
      </c>
    </row>
    <row r="163" spans="1:20" x14ac:dyDescent="0.3">
      <c r="A163" s="112">
        <f ca="1">IFERROR(__xludf.DUMMYFUNCTION("""COMPUTED_VALUE"""),40429.7055555555)</f>
        <v>40429.705555555498</v>
      </c>
      <c r="B163" s="111">
        <f ca="1">IFERROR(__xludf.DUMMYFUNCTION("""COMPUTED_VALUE"""),21.03)</f>
        <v>21.03</v>
      </c>
      <c r="C163" s="112">
        <f ca="1">IFERROR(__xludf.DUMMYFUNCTION("""COMPUTED_VALUE"""),40429.7055555555)</f>
        <v>40429.705555555498</v>
      </c>
      <c r="D163" s="111">
        <f ca="1">IFERROR(__xludf.DUMMYFUNCTION("""COMPUTED_VALUE"""),18.76)</f>
        <v>18.760000000000002</v>
      </c>
      <c r="E163" s="112">
        <f ca="1">IFERROR(__xludf.DUMMYFUNCTION("""COMPUTED_VALUE"""),40429.7055555555)</f>
        <v>40429.705555555498</v>
      </c>
      <c r="F163" s="111">
        <f ca="1">IFERROR(__xludf.DUMMYFUNCTION("""COMPUTED_VALUE"""),7.91)</f>
        <v>7.91</v>
      </c>
      <c r="G163" s="112">
        <f ca="1">IFERROR(__xludf.DUMMYFUNCTION("""COMPUTED_VALUE"""),40429.7055555555)</f>
        <v>40429.705555555498</v>
      </c>
      <c r="H163" s="111">
        <f ca="1">IFERROR(__xludf.DUMMYFUNCTION("""COMPUTED_VALUE"""),27.83)</f>
        <v>27.83</v>
      </c>
      <c r="I163" s="112">
        <f ca="1">IFERROR(__xludf.DUMMYFUNCTION("""COMPUTED_VALUE"""),44774.7055555555)</f>
        <v>44774.705555555498</v>
      </c>
      <c r="J163" s="111">
        <f ca="1">IFERROR(__xludf.DUMMYFUNCTION("""COMPUTED_VALUE"""),3.49)</f>
        <v>3.49</v>
      </c>
      <c r="K163" s="112">
        <f ca="1">IFERROR(__xludf.DUMMYFUNCTION("""COMPUTED_VALUE"""),40919.7055555555)</f>
        <v>40919.705555555498</v>
      </c>
      <c r="L163" s="111">
        <f ca="1">IFERROR(__xludf.DUMMYFUNCTION("""COMPUTED_VALUE"""),0.29)</f>
        <v>0.28999999999999998</v>
      </c>
      <c r="M163" s="112">
        <f ca="1">IFERROR(__xludf.DUMMYFUNCTION("""COMPUTED_VALUE"""),40415.7055555555)</f>
        <v>40415.705555555498</v>
      </c>
      <c r="N163" s="111">
        <f ca="1">IFERROR(__xludf.DUMMYFUNCTION("""COMPUTED_VALUE"""),11.71)</f>
        <v>11.71</v>
      </c>
      <c r="O163" s="112">
        <f ca="1">IFERROR(__xludf.DUMMYFUNCTION("""COMPUTED_VALUE"""),40429.7055555555)</f>
        <v>40429.705555555498</v>
      </c>
      <c r="P163" s="111">
        <f ca="1">IFERROR(__xludf.DUMMYFUNCTION("""COMPUTED_VALUE"""),47.19)</f>
        <v>47.19</v>
      </c>
      <c r="Q163" s="112">
        <f ca="1">IFERROR(__xludf.DUMMYFUNCTION("""COMPUTED_VALUE"""),40429.7055555555)</f>
        <v>40429.705555555498</v>
      </c>
      <c r="R163" s="111">
        <f ca="1">IFERROR(__xludf.DUMMYFUNCTION("""COMPUTED_VALUE"""),28.26)</f>
        <v>28.26</v>
      </c>
      <c r="S163" s="112">
        <f ca="1">IFERROR(__xludf.DUMMYFUNCTION("""COMPUTED_VALUE"""),40429.7055555555)</f>
        <v>40429.705555555498</v>
      </c>
      <c r="T163" s="111">
        <f ca="1">IFERROR(__xludf.DUMMYFUNCTION("""COMPUTED_VALUE"""),8.11)</f>
        <v>8.11</v>
      </c>
    </row>
    <row r="164" spans="1:20" x14ac:dyDescent="0.3">
      <c r="A164" s="112">
        <f ca="1">IFERROR(__xludf.DUMMYFUNCTION("""COMPUTED_VALUE"""),40431.7055555555)</f>
        <v>40431.705555555498</v>
      </c>
      <c r="B164" s="111">
        <f ca="1">IFERROR(__xludf.DUMMYFUNCTION("""COMPUTED_VALUE"""),21.31)</f>
        <v>21.31</v>
      </c>
      <c r="C164" s="112">
        <f ca="1">IFERROR(__xludf.DUMMYFUNCTION("""COMPUTED_VALUE"""),40431.7055555555)</f>
        <v>40431.705555555498</v>
      </c>
      <c r="D164" s="111">
        <f ca="1">IFERROR(__xludf.DUMMYFUNCTION("""COMPUTED_VALUE"""),18.63)</f>
        <v>18.63</v>
      </c>
      <c r="E164" s="112">
        <f ca="1">IFERROR(__xludf.DUMMYFUNCTION("""COMPUTED_VALUE"""),40431.7055555555)</f>
        <v>40431.705555555498</v>
      </c>
      <c r="F164" s="111">
        <f ca="1">IFERROR(__xludf.DUMMYFUNCTION("""COMPUTED_VALUE"""),7.9)</f>
        <v>7.9</v>
      </c>
      <c r="G164" s="112">
        <f ca="1">IFERROR(__xludf.DUMMYFUNCTION("""COMPUTED_VALUE"""),40431.7055555555)</f>
        <v>40431.705555555498</v>
      </c>
      <c r="H164" s="111">
        <f ca="1">IFERROR(__xludf.DUMMYFUNCTION("""COMPUTED_VALUE"""),27.52)</f>
        <v>27.52</v>
      </c>
      <c r="I164" s="112">
        <f ca="1">IFERROR(__xludf.DUMMYFUNCTION("""COMPUTED_VALUE"""),44775.7055555555)</f>
        <v>44775.705555555498</v>
      </c>
      <c r="J164" s="111">
        <f ca="1">IFERROR(__xludf.DUMMYFUNCTION("""COMPUTED_VALUE"""),3.57)</f>
        <v>3.57</v>
      </c>
      <c r="K164" s="112">
        <f ca="1">IFERROR(__xludf.DUMMYFUNCTION("""COMPUTED_VALUE"""),40920.7055555555)</f>
        <v>40920.705555555498</v>
      </c>
      <c r="L164" s="111">
        <f ca="1">IFERROR(__xludf.DUMMYFUNCTION("""COMPUTED_VALUE"""),0.29)</f>
        <v>0.28999999999999998</v>
      </c>
      <c r="M164" s="112">
        <f ca="1">IFERROR(__xludf.DUMMYFUNCTION("""COMPUTED_VALUE"""),40416.7055555555)</f>
        <v>40416.705555555498</v>
      </c>
      <c r="N164" s="111">
        <f ca="1">IFERROR(__xludf.DUMMYFUNCTION("""COMPUTED_VALUE"""),11.54)</f>
        <v>11.54</v>
      </c>
      <c r="O164" s="112">
        <f ca="1">IFERROR(__xludf.DUMMYFUNCTION("""COMPUTED_VALUE"""),40431.7055555555)</f>
        <v>40431.705555555498</v>
      </c>
      <c r="P164" s="111">
        <f ca="1">IFERROR(__xludf.DUMMYFUNCTION("""COMPUTED_VALUE"""),46.86)</f>
        <v>46.86</v>
      </c>
      <c r="Q164" s="112">
        <f ca="1">IFERROR(__xludf.DUMMYFUNCTION("""COMPUTED_VALUE"""),40431.7055555555)</f>
        <v>40431.705555555498</v>
      </c>
      <c r="R164" s="111">
        <f ca="1">IFERROR(__xludf.DUMMYFUNCTION("""COMPUTED_VALUE"""),28)</f>
        <v>28</v>
      </c>
      <c r="S164" s="112">
        <f ca="1">IFERROR(__xludf.DUMMYFUNCTION("""COMPUTED_VALUE"""),40431.7055555555)</f>
        <v>40431.705555555498</v>
      </c>
      <c r="T164" s="111">
        <f ca="1">IFERROR(__xludf.DUMMYFUNCTION("""COMPUTED_VALUE"""),8.29)</f>
        <v>8.2899999999999991</v>
      </c>
    </row>
    <row r="165" spans="1:20" x14ac:dyDescent="0.3">
      <c r="A165" s="112">
        <f ca="1">IFERROR(__xludf.DUMMYFUNCTION("""COMPUTED_VALUE"""),40434.7055555555)</f>
        <v>40434.705555555498</v>
      </c>
      <c r="B165" s="111">
        <f ca="1">IFERROR(__xludf.DUMMYFUNCTION("""COMPUTED_VALUE"""),21.59)</f>
        <v>21.59</v>
      </c>
      <c r="C165" s="112">
        <f ca="1">IFERROR(__xludf.DUMMYFUNCTION("""COMPUTED_VALUE"""),40434.7055555555)</f>
        <v>40434.705555555498</v>
      </c>
      <c r="D165" s="111">
        <f ca="1">IFERROR(__xludf.DUMMYFUNCTION("""COMPUTED_VALUE"""),19.28)</f>
        <v>19.28</v>
      </c>
      <c r="E165" s="112">
        <f ca="1">IFERROR(__xludf.DUMMYFUNCTION("""COMPUTED_VALUE"""),40434.7055555555)</f>
        <v>40434.705555555498</v>
      </c>
      <c r="F165" s="111">
        <f ca="1">IFERROR(__xludf.DUMMYFUNCTION("""COMPUTED_VALUE"""),8.07)</f>
        <v>8.07</v>
      </c>
      <c r="G165" s="112">
        <f ca="1">IFERROR(__xludf.DUMMYFUNCTION("""COMPUTED_VALUE"""),40434.7055555555)</f>
        <v>40434.705555555498</v>
      </c>
      <c r="H165" s="111">
        <f ca="1">IFERROR(__xludf.DUMMYFUNCTION("""COMPUTED_VALUE"""),28.3)</f>
        <v>28.3</v>
      </c>
      <c r="I165" s="112">
        <f ca="1">IFERROR(__xludf.DUMMYFUNCTION("""COMPUTED_VALUE"""),44776.7055555555)</f>
        <v>44776.705555555498</v>
      </c>
      <c r="J165" s="111">
        <f ca="1">IFERROR(__xludf.DUMMYFUNCTION("""COMPUTED_VALUE"""),3.85)</f>
        <v>3.85</v>
      </c>
      <c r="K165" s="112">
        <f ca="1">IFERROR(__xludf.DUMMYFUNCTION("""COMPUTED_VALUE"""),40921.7055555555)</f>
        <v>40921.705555555498</v>
      </c>
      <c r="L165" s="111">
        <f ca="1">IFERROR(__xludf.DUMMYFUNCTION("""COMPUTED_VALUE"""),0.3)</f>
        <v>0.3</v>
      </c>
      <c r="M165" s="112">
        <f ca="1">IFERROR(__xludf.DUMMYFUNCTION("""COMPUTED_VALUE"""),40417.7055555555)</f>
        <v>40417.705555555498</v>
      </c>
      <c r="N165" s="111">
        <f ca="1">IFERROR(__xludf.DUMMYFUNCTION("""COMPUTED_VALUE"""),11.85)</f>
        <v>11.85</v>
      </c>
      <c r="O165" s="112">
        <f ca="1">IFERROR(__xludf.DUMMYFUNCTION("""COMPUTED_VALUE"""),40434.7055555555)</f>
        <v>40434.705555555498</v>
      </c>
      <c r="P165" s="111">
        <f ca="1">IFERROR(__xludf.DUMMYFUNCTION("""COMPUTED_VALUE"""),48.2)</f>
        <v>48.2</v>
      </c>
      <c r="Q165" s="112">
        <f ca="1">IFERROR(__xludf.DUMMYFUNCTION("""COMPUTED_VALUE"""),40434.7055555555)</f>
        <v>40434.705555555498</v>
      </c>
      <c r="R165" s="111">
        <f ca="1">IFERROR(__xludf.DUMMYFUNCTION("""COMPUTED_VALUE"""),29)</f>
        <v>29</v>
      </c>
      <c r="S165" s="112">
        <f ca="1">IFERROR(__xludf.DUMMYFUNCTION("""COMPUTED_VALUE"""),40434.7055555555)</f>
        <v>40434.705555555498</v>
      </c>
      <c r="T165" s="111">
        <f ca="1">IFERROR(__xludf.DUMMYFUNCTION("""COMPUTED_VALUE"""),8.2)</f>
        <v>8.1999999999999993</v>
      </c>
    </row>
    <row r="166" spans="1:20" x14ac:dyDescent="0.3">
      <c r="A166" s="112">
        <f ca="1">IFERROR(__xludf.DUMMYFUNCTION("""COMPUTED_VALUE"""),40435.7055555555)</f>
        <v>40435.705555555498</v>
      </c>
      <c r="B166" s="111">
        <f ca="1">IFERROR(__xludf.DUMMYFUNCTION("""COMPUTED_VALUE"""),21.21)</f>
        <v>21.21</v>
      </c>
      <c r="C166" s="112">
        <f ca="1">IFERROR(__xludf.DUMMYFUNCTION("""COMPUTED_VALUE"""),40435.7055555555)</f>
        <v>40435.705555555498</v>
      </c>
      <c r="D166" s="111">
        <f ca="1">IFERROR(__xludf.DUMMYFUNCTION("""COMPUTED_VALUE"""),19.56)</f>
        <v>19.559999999999999</v>
      </c>
      <c r="E166" s="112">
        <f ca="1">IFERROR(__xludf.DUMMYFUNCTION("""COMPUTED_VALUE"""),40435.7055555555)</f>
        <v>40435.705555555498</v>
      </c>
      <c r="F166" s="111">
        <f ca="1">IFERROR(__xludf.DUMMYFUNCTION("""COMPUTED_VALUE"""),8.18)</f>
        <v>8.18</v>
      </c>
      <c r="G166" s="112">
        <f ca="1">IFERROR(__xludf.DUMMYFUNCTION("""COMPUTED_VALUE"""),40435.7055555555)</f>
        <v>40435.705555555498</v>
      </c>
      <c r="H166" s="111">
        <f ca="1">IFERROR(__xludf.DUMMYFUNCTION("""COMPUTED_VALUE"""),26.85)</f>
        <v>26.85</v>
      </c>
      <c r="I166" s="112">
        <f ca="1">IFERROR(__xludf.DUMMYFUNCTION("""COMPUTED_VALUE"""),44777.7055555555)</f>
        <v>44777.705555555498</v>
      </c>
      <c r="J166" s="111">
        <f ca="1">IFERROR(__xludf.DUMMYFUNCTION("""COMPUTED_VALUE"""),4.02)</f>
        <v>4.0199999999999996</v>
      </c>
      <c r="K166" s="112">
        <f ca="1">IFERROR(__xludf.DUMMYFUNCTION("""COMPUTED_VALUE"""),40926.7055555555)</f>
        <v>40926.705555555498</v>
      </c>
      <c r="L166" s="111">
        <f ca="1">IFERROR(__xludf.DUMMYFUNCTION("""COMPUTED_VALUE"""),0.3)</f>
        <v>0.3</v>
      </c>
      <c r="M166" s="112">
        <f ca="1">IFERROR(__xludf.DUMMYFUNCTION("""COMPUTED_VALUE"""),40420.7055555555)</f>
        <v>40420.705555555498</v>
      </c>
      <c r="N166" s="111">
        <f ca="1">IFERROR(__xludf.DUMMYFUNCTION("""COMPUTED_VALUE"""),11.57)</f>
        <v>11.57</v>
      </c>
      <c r="O166" s="112">
        <f ca="1">IFERROR(__xludf.DUMMYFUNCTION("""COMPUTED_VALUE"""),40435.7055555555)</f>
        <v>40435.705555555498</v>
      </c>
      <c r="P166" s="111">
        <f ca="1">IFERROR(__xludf.DUMMYFUNCTION("""COMPUTED_VALUE"""),47.8)</f>
        <v>47.8</v>
      </c>
      <c r="Q166" s="112">
        <f ca="1">IFERROR(__xludf.DUMMYFUNCTION("""COMPUTED_VALUE"""),40435.7055555555)</f>
        <v>40435.705555555498</v>
      </c>
      <c r="R166" s="111">
        <f ca="1">IFERROR(__xludf.DUMMYFUNCTION("""COMPUTED_VALUE"""),29.35)</f>
        <v>29.35</v>
      </c>
      <c r="S166" s="112">
        <f ca="1">IFERROR(__xludf.DUMMYFUNCTION("""COMPUTED_VALUE"""),40435.7055555555)</f>
        <v>40435.705555555498</v>
      </c>
      <c r="T166" s="111">
        <f ca="1">IFERROR(__xludf.DUMMYFUNCTION("""COMPUTED_VALUE"""),8.1)</f>
        <v>8.1</v>
      </c>
    </row>
    <row r="167" spans="1:20" x14ac:dyDescent="0.3">
      <c r="A167" s="112">
        <f ca="1">IFERROR(__xludf.DUMMYFUNCTION("""COMPUTED_VALUE"""),40436.7055555555)</f>
        <v>40436.705555555498</v>
      </c>
      <c r="B167" s="111">
        <f ca="1">IFERROR(__xludf.DUMMYFUNCTION("""COMPUTED_VALUE"""),21.5)</f>
        <v>21.5</v>
      </c>
      <c r="C167" s="112">
        <f ca="1">IFERROR(__xludf.DUMMYFUNCTION("""COMPUTED_VALUE"""),40436.7055555555)</f>
        <v>40436.705555555498</v>
      </c>
      <c r="D167" s="111">
        <f ca="1">IFERROR(__xludf.DUMMYFUNCTION("""COMPUTED_VALUE"""),19.67)</f>
        <v>19.670000000000002</v>
      </c>
      <c r="E167" s="112">
        <f ca="1">IFERROR(__xludf.DUMMYFUNCTION("""COMPUTED_VALUE"""),40436.7055555555)</f>
        <v>40436.705555555498</v>
      </c>
      <c r="F167" s="111">
        <f ca="1">IFERROR(__xludf.DUMMYFUNCTION("""COMPUTED_VALUE"""),8.21)</f>
        <v>8.2100000000000009</v>
      </c>
      <c r="G167" s="112">
        <f ca="1">IFERROR(__xludf.DUMMYFUNCTION("""COMPUTED_VALUE"""),40436.7055555555)</f>
        <v>40436.705555555498</v>
      </c>
      <c r="H167" s="111">
        <f ca="1">IFERROR(__xludf.DUMMYFUNCTION("""COMPUTED_VALUE"""),26.45)</f>
        <v>26.45</v>
      </c>
      <c r="I167" s="112">
        <f ca="1">IFERROR(__xludf.DUMMYFUNCTION("""COMPUTED_VALUE"""),44778.7055555555)</f>
        <v>44778.705555555498</v>
      </c>
      <c r="J167" s="111">
        <f ca="1">IFERROR(__xludf.DUMMYFUNCTION("""COMPUTED_VALUE"""),3.85)</f>
        <v>3.85</v>
      </c>
      <c r="K167" s="112">
        <f ca="1">IFERROR(__xludf.DUMMYFUNCTION("""COMPUTED_VALUE"""),40927.7055555555)</f>
        <v>40927.705555555498</v>
      </c>
      <c r="L167" s="111">
        <f ca="1">IFERROR(__xludf.DUMMYFUNCTION("""COMPUTED_VALUE"""),0.3)</f>
        <v>0.3</v>
      </c>
      <c r="M167" s="112">
        <f ca="1">IFERROR(__xludf.DUMMYFUNCTION("""COMPUTED_VALUE"""),40421.7055555555)</f>
        <v>40421.705555555498</v>
      </c>
      <c r="N167" s="111">
        <f ca="1">IFERROR(__xludf.DUMMYFUNCTION("""COMPUTED_VALUE"""),11.89)</f>
        <v>11.89</v>
      </c>
      <c r="O167" s="112">
        <f ca="1">IFERROR(__xludf.DUMMYFUNCTION("""COMPUTED_VALUE"""),40436.7055555555)</f>
        <v>40436.705555555498</v>
      </c>
      <c r="P167" s="111">
        <f ca="1">IFERROR(__xludf.DUMMYFUNCTION("""COMPUTED_VALUE"""),48.08)</f>
        <v>48.08</v>
      </c>
      <c r="Q167" s="112">
        <f ca="1">IFERROR(__xludf.DUMMYFUNCTION("""COMPUTED_VALUE"""),40436.7055555555)</f>
        <v>40436.705555555498</v>
      </c>
      <c r="R167" s="111">
        <f ca="1">IFERROR(__xludf.DUMMYFUNCTION("""COMPUTED_VALUE"""),29.61)</f>
        <v>29.61</v>
      </c>
      <c r="S167" s="112">
        <f ca="1">IFERROR(__xludf.DUMMYFUNCTION("""COMPUTED_VALUE"""),40436.7055555555)</f>
        <v>40436.705555555498</v>
      </c>
      <c r="T167" s="111">
        <f ca="1">IFERROR(__xludf.DUMMYFUNCTION("""COMPUTED_VALUE"""),8.13)</f>
        <v>8.1300000000000008</v>
      </c>
    </row>
    <row r="168" spans="1:20" x14ac:dyDescent="0.3">
      <c r="A168" s="112">
        <f ca="1">IFERROR(__xludf.DUMMYFUNCTION("""COMPUTED_VALUE"""),40437.7055555555)</f>
        <v>40437.705555555498</v>
      </c>
      <c r="B168" s="111">
        <f ca="1">IFERROR(__xludf.DUMMYFUNCTION("""COMPUTED_VALUE"""),21.34)</f>
        <v>21.34</v>
      </c>
      <c r="C168" s="112">
        <f ca="1">IFERROR(__xludf.DUMMYFUNCTION("""COMPUTED_VALUE"""),40437.7055555555)</f>
        <v>40437.705555555498</v>
      </c>
      <c r="D168" s="111">
        <f ca="1">IFERROR(__xludf.DUMMYFUNCTION("""COMPUTED_VALUE"""),19.48)</f>
        <v>19.48</v>
      </c>
      <c r="E168" s="112">
        <f ca="1">IFERROR(__xludf.DUMMYFUNCTION("""COMPUTED_VALUE"""),40437.7055555555)</f>
        <v>40437.705555555498</v>
      </c>
      <c r="F168" s="111">
        <f ca="1">IFERROR(__xludf.DUMMYFUNCTION("""COMPUTED_VALUE"""),8.2)</f>
        <v>8.1999999999999993</v>
      </c>
      <c r="G168" s="112">
        <f ca="1">IFERROR(__xludf.DUMMYFUNCTION("""COMPUTED_VALUE"""),40437.7055555555)</f>
        <v>40437.705555555498</v>
      </c>
      <c r="H168" s="111">
        <f ca="1">IFERROR(__xludf.DUMMYFUNCTION("""COMPUTED_VALUE"""),26.36)</f>
        <v>26.36</v>
      </c>
      <c r="I168" s="112">
        <f ca="1">IFERROR(__xludf.DUMMYFUNCTION("""COMPUTED_VALUE"""),44781.7055555555)</f>
        <v>44781.705555555498</v>
      </c>
      <c r="J168" s="111">
        <f ca="1">IFERROR(__xludf.DUMMYFUNCTION("""COMPUTED_VALUE"""),3.98)</f>
        <v>3.98</v>
      </c>
      <c r="K168" s="112">
        <f ca="1">IFERROR(__xludf.DUMMYFUNCTION("""COMPUTED_VALUE"""),40928.7055555555)</f>
        <v>40928.705555555498</v>
      </c>
      <c r="L168" s="111">
        <f ca="1">IFERROR(__xludf.DUMMYFUNCTION("""COMPUTED_VALUE"""),0.3)</f>
        <v>0.3</v>
      </c>
      <c r="M168" s="112">
        <f ca="1">IFERROR(__xludf.DUMMYFUNCTION("""COMPUTED_VALUE"""),40422.7055555555)</f>
        <v>40422.705555555498</v>
      </c>
      <c r="N168" s="111">
        <f ca="1">IFERROR(__xludf.DUMMYFUNCTION("""COMPUTED_VALUE"""),12.31)</f>
        <v>12.31</v>
      </c>
      <c r="O168" s="112">
        <f ca="1">IFERROR(__xludf.DUMMYFUNCTION("""COMPUTED_VALUE"""),40437.7055555555)</f>
        <v>40437.705555555498</v>
      </c>
      <c r="P168" s="111">
        <f ca="1">IFERROR(__xludf.DUMMYFUNCTION("""COMPUTED_VALUE"""),47.77)</f>
        <v>47.77</v>
      </c>
      <c r="Q168" s="112">
        <f ca="1">IFERROR(__xludf.DUMMYFUNCTION("""COMPUTED_VALUE"""),40437.7055555555)</f>
        <v>40437.705555555498</v>
      </c>
      <c r="R168" s="111">
        <f ca="1">IFERROR(__xludf.DUMMYFUNCTION("""COMPUTED_VALUE"""),29.5)</f>
        <v>29.5</v>
      </c>
      <c r="S168" s="112">
        <f ca="1">IFERROR(__xludf.DUMMYFUNCTION("""COMPUTED_VALUE"""),40437.7055555555)</f>
        <v>40437.705555555498</v>
      </c>
      <c r="T168" s="111">
        <f ca="1">IFERROR(__xludf.DUMMYFUNCTION("""COMPUTED_VALUE"""),8.33)</f>
        <v>8.33</v>
      </c>
    </row>
    <row r="169" spans="1:20" x14ac:dyDescent="0.3">
      <c r="A169" s="112">
        <f ca="1">IFERROR(__xludf.DUMMYFUNCTION("""COMPUTED_VALUE"""),40438.7055555555)</f>
        <v>40438.705555555498</v>
      </c>
      <c r="B169" s="111">
        <f ca="1">IFERROR(__xludf.DUMMYFUNCTION("""COMPUTED_VALUE"""),21.09)</f>
        <v>21.09</v>
      </c>
      <c r="C169" s="112">
        <f ca="1">IFERROR(__xludf.DUMMYFUNCTION("""COMPUTED_VALUE"""),40438.7055555555)</f>
        <v>40438.705555555498</v>
      </c>
      <c r="D169" s="111">
        <f ca="1">IFERROR(__xludf.DUMMYFUNCTION("""COMPUTED_VALUE"""),19.38)</f>
        <v>19.38</v>
      </c>
      <c r="E169" s="112">
        <f ca="1">IFERROR(__xludf.DUMMYFUNCTION("""COMPUTED_VALUE"""),40438.7055555555)</f>
        <v>40438.705555555498</v>
      </c>
      <c r="F169" s="111">
        <f ca="1">IFERROR(__xludf.DUMMYFUNCTION("""COMPUTED_VALUE"""),8.15)</f>
        <v>8.15</v>
      </c>
      <c r="G169" s="112">
        <f ca="1">IFERROR(__xludf.DUMMYFUNCTION("""COMPUTED_VALUE"""),40438.7055555555)</f>
        <v>40438.705555555498</v>
      </c>
      <c r="H169" s="111">
        <f ca="1">IFERROR(__xludf.DUMMYFUNCTION("""COMPUTED_VALUE"""),26.44)</f>
        <v>26.44</v>
      </c>
      <c r="I169" s="112">
        <f ca="1">IFERROR(__xludf.DUMMYFUNCTION("""COMPUTED_VALUE"""),44782.7055555555)</f>
        <v>44782.705555555498</v>
      </c>
      <c r="J169" s="111">
        <f ca="1">IFERROR(__xludf.DUMMYFUNCTION("""COMPUTED_VALUE"""),3.6)</f>
        <v>3.6</v>
      </c>
      <c r="K169" s="112">
        <f ca="1">IFERROR(__xludf.DUMMYFUNCTION("""COMPUTED_VALUE"""),40931.7055555555)</f>
        <v>40931.705555555498</v>
      </c>
      <c r="L169" s="111">
        <f ca="1">IFERROR(__xludf.DUMMYFUNCTION("""COMPUTED_VALUE"""),0.3)</f>
        <v>0.3</v>
      </c>
      <c r="M169" s="112">
        <f ca="1">IFERROR(__xludf.DUMMYFUNCTION("""COMPUTED_VALUE"""),40423.7055555555)</f>
        <v>40423.705555555498</v>
      </c>
      <c r="N169" s="111">
        <f ca="1">IFERROR(__xludf.DUMMYFUNCTION("""COMPUTED_VALUE"""),12.03)</f>
        <v>12.03</v>
      </c>
      <c r="O169" s="112">
        <f ca="1">IFERROR(__xludf.DUMMYFUNCTION("""COMPUTED_VALUE"""),40438.7055555555)</f>
        <v>40438.705555555498</v>
      </c>
      <c r="P169" s="111">
        <f ca="1">IFERROR(__xludf.DUMMYFUNCTION("""COMPUTED_VALUE"""),47.13)</f>
        <v>47.13</v>
      </c>
      <c r="Q169" s="112">
        <f ca="1">IFERROR(__xludf.DUMMYFUNCTION("""COMPUTED_VALUE"""),40438.7055555555)</f>
        <v>40438.705555555498</v>
      </c>
      <c r="R169" s="111">
        <f ca="1">IFERROR(__xludf.DUMMYFUNCTION("""COMPUTED_VALUE"""),29.16)</f>
        <v>29.16</v>
      </c>
      <c r="S169" s="112">
        <f ca="1">IFERROR(__xludf.DUMMYFUNCTION("""COMPUTED_VALUE"""),40438.7055555555)</f>
        <v>40438.705555555498</v>
      </c>
      <c r="T169" s="111">
        <f ca="1">IFERROR(__xludf.DUMMYFUNCTION("""COMPUTED_VALUE"""),8.23)</f>
        <v>8.23</v>
      </c>
    </row>
    <row r="170" spans="1:20" x14ac:dyDescent="0.3">
      <c r="A170" s="112">
        <f ca="1">IFERROR(__xludf.DUMMYFUNCTION("""COMPUTED_VALUE"""),40442.7055555555)</f>
        <v>40442.705555555498</v>
      </c>
      <c r="B170" s="111">
        <f ca="1">IFERROR(__xludf.DUMMYFUNCTION("""COMPUTED_VALUE"""),21.46)</f>
        <v>21.46</v>
      </c>
      <c r="C170" s="112">
        <f ca="1">IFERROR(__xludf.DUMMYFUNCTION("""COMPUTED_VALUE"""),40442.7055555555)</f>
        <v>40442.705555555498</v>
      </c>
      <c r="D170" s="111">
        <f ca="1">IFERROR(__xludf.DUMMYFUNCTION("""COMPUTED_VALUE"""),19.23)</f>
        <v>19.23</v>
      </c>
      <c r="E170" s="112">
        <f ca="1">IFERROR(__xludf.DUMMYFUNCTION("""COMPUTED_VALUE"""),40442.7055555555)</f>
        <v>40442.705555555498</v>
      </c>
      <c r="F170" s="111">
        <f ca="1">IFERROR(__xludf.DUMMYFUNCTION("""COMPUTED_VALUE"""),8.1)</f>
        <v>8.1</v>
      </c>
      <c r="G170" s="112">
        <f ca="1">IFERROR(__xludf.DUMMYFUNCTION("""COMPUTED_VALUE"""),40442.7055555555)</f>
        <v>40442.705555555498</v>
      </c>
      <c r="H170" s="111">
        <f ca="1">IFERROR(__xludf.DUMMYFUNCTION("""COMPUTED_VALUE"""),26.35)</f>
        <v>26.35</v>
      </c>
      <c r="I170" s="112">
        <f ca="1">IFERROR(__xludf.DUMMYFUNCTION("""COMPUTED_VALUE"""),44783.7055555555)</f>
        <v>44783.705555555498</v>
      </c>
      <c r="J170" s="111">
        <f ca="1">IFERROR(__xludf.DUMMYFUNCTION("""COMPUTED_VALUE"""),3.73)</f>
        <v>3.73</v>
      </c>
      <c r="K170" s="112">
        <f ca="1">IFERROR(__xludf.DUMMYFUNCTION("""COMPUTED_VALUE"""),40932.7055555555)</f>
        <v>40932.705555555498</v>
      </c>
      <c r="L170" s="111">
        <f ca="1">IFERROR(__xludf.DUMMYFUNCTION("""COMPUTED_VALUE"""),0.3)</f>
        <v>0.3</v>
      </c>
      <c r="M170" s="112">
        <f ca="1">IFERROR(__xludf.DUMMYFUNCTION("""COMPUTED_VALUE"""),40424.7055555555)</f>
        <v>40424.705555555498</v>
      </c>
      <c r="N170" s="111">
        <f ca="1">IFERROR(__xludf.DUMMYFUNCTION("""COMPUTED_VALUE"""),11.92)</f>
        <v>11.92</v>
      </c>
      <c r="O170" s="112">
        <f ca="1">IFERROR(__xludf.DUMMYFUNCTION("""COMPUTED_VALUE"""),40442.7055555555)</f>
        <v>40442.705555555498</v>
      </c>
      <c r="P170" s="111">
        <f ca="1">IFERROR(__xludf.DUMMYFUNCTION("""COMPUTED_VALUE"""),48.25)</f>
        <v>48.25</v>
      </c>
      <c r="Q170" s="112">
        <f ca="1">IFERROR(__xludf.DUMMYFUNCTION("""COMPUTED_VALUE"""),40442.7055555555)</f>
        <v>40442.705555555498</v>
      </c>
      <c r="R170" s="111">
        <f ca="1">IFERROR(__xludf.DUMMYFUNCTION("""COMPUTED_VALUE"""),30)</f>
        <v>30</v>
      </c>
      <c r="S170" s="112">
        <f ca="1">IFERROR(__xludf.DUMMYFUNCTION("""COMPUTED_VALUE"""),40442.7055555555)</f>
        <v>40442.705555555498</v>
      </c>
      <c r="T170" s="111">
        <f ca="1">IFERROR(__xludf.DUMMYFUNCTION("""COMPUTED_VALUE"""),8.24)</f>
        <v>8.24</v>
      </c>
    </row>
    <row r="171" spans="1:20" x14ac:dyDescent="0.3">
      <c r="A171" s="112">
        <f ca="1">IFERROR(__xludf.DUMMYFUNCTION("""COMPUTED_VALUE"""),40444.7055555555)</f>
        <v>40444.705555555498</v>
      </c>
      <c r="B171" s="111">
        <f ca="1">IFERROR(__xludf.DUMMYFUNCTION("""COMPUTED_VALUE"""),21.32)</f>
        <v>21.32</v>
      </c>
      <c r="C171" s="112">
        <f ca="1">IFERROR(__xludf.DUMMYFUNCTION("""COMPUTED_VALUE"""),40444.7055555555)</f>
        <v>40444.705555555498</v>
      </c>
      <c r="D171" s="111">
        <f ca="1">IFERROR(__xludf.DUMMYFUNCTION("""COMPUTED_VALUE"""),19.51)</f>
        <v>19.510000000000002</v>
      </c>
      <c r="E171" s="112">
        <f ca="1">IFERROR(__xludf.DUMMYFUNCTION("""COMPUTED_VALUE"""),40444.7055555555)</f>
        <v>40444.705555555498</v>
      </c>
      <c r="F171" s="111">
        <f ca="1">IFERROR(__xludf.DUMMYFUNCTION("""COMPUTED_VALUE"""),8.16)</f>
        <v>8.16</v>
      </c>
      <c r="G171" s="112">
        <f ca="1">IFERROR(__xludf.DUMMYFUNCTION("""COMPUTED_VALUE"""),40444.7055555555)</f>
        <v>40444.705555555498</v>
      </c>
      <c r="H171" s="111">
        <f ca="1">IFERROR(__xludf.DUMMYFUNCTION("""COMPUTED_VALUE"""),26.8)</f>
        <v>26.8</v>
      </c>
      <c r="I171" s="112">
        <f ca="1">IFERROR(__xludf.DUMMYFUNCTION("""COMPUTED_VALUE"""),44784.7055555555)</f>
        <v>44784.705555555498</v>
      </c>
      <c r="J171" s="111">
        <f ca="1">IFERROR(__xludf.DUMMYFUNCTION("""COMPUTED_VALUE"""),3.53)</f>
        <v>3.53</v>
      </c>
      <c r="K171" s="112">
        <f ca="1">IFERROR(__xludf.DUMMYFUNCTION("""COMPUTED_VALUE"""),40934.7055555555)</f>
        <v>40934.705555555498</v>
      </c>
      <c r="L171" s="111">
        <f ca="1">IFERROR(__xludf.DUMMYFUNCTION("""COMPUTED_VALUE"""),0.32)</f>
        <v>0.32</v>
      </c>
      <c r="M171" s="112">
        <f ca="1">IFERROR(__xludf.DUMMYFUNCTION("""COMPUTED_VALUE"""),40427.7055555555)</f>
        <v>40427.705555555498</v>
      </c>
      <c r="N171" s="111">
        <f ca="1">IFERROR(__xludf.DUMMYFUNCTION("""COMPUTED_VALUE"""),11.85)</f>
        <v>11.85</v>
      </c>
      <c r="O171" s="112">
        <f ca="1">IFERROR(__xludf.DUMMYFUNCTION("""COMPUTED_VALUE"""),40444.7055555555)</f>
        <v>40444.705555555498</v>
      </c>
      <c r="P171" s="111">
        <f ca="1">IFERROR(__xludf.DUMMYFUNCTION("""COMPUTED_VALUE"""),49.14)</f>
        <v>49.14</v>
      </c>
      <c r="Q171" s="112">
        <f ca="1">IFERROR(__xludf.DUMMYFUNCTION("""COMPUTED_VALUE"""),40444.7055555555)</f>
        <v>40444.705555555498</v>
      </c>
      <c r="R171" s="111">
        <f ca="1">IFERROR(__xludf.DUMMYFUNCTION("""COMPUTED_VALUE"""),30.95)</f>
        <v>30.95</v>
      </c>
      <c r="S171" s="112">
        <f ca="1">IFERROR(__xludf.DUMMYFUNCTION("""COMPUTED_VALUE"""),40444.7055555555)</f>
        <v>40444.705555555498</v>
      </c>
      <c r="T171" s="111">
        <f ca="1">IFERROR(__xludf.DUMMYFUNCTION("""COMPUTED_VALUE"""),8.52)</f>
        <v>8.52</v>
      </c>
    </row>
    <row r="172" spans="1:20" x14ac:dyDescent="0.3">
      <c r="A172" s="112">
        <f ca="1">IFERROR(__xludf.DUMMYFUNCTION("""COMPUTED_VALUE"""),40445.7055555555)</f>
        <v>40445.705555555498</v>
      </c>
      <c r="B172" s="111">
        <f ca="1">IFERROR(__xludf.DUMMYFUNCTION("""COMPUTED_VALUE"""),21.47)</f>
        <v>21.47</v>
      </c>
      <c r="C172" s="112">
        <f ca="1">IFERROR(__xludf.DUMMYFUNCTION("""COMPUTED_VALUE"""),40445.7055555555)</f>
        <v>40445.705555555498</v>
      </c>
      <c r="D172" s="111">
        <f ca="1">IFERROR(__xludf.DUMMYFUNCTION("""COMPUTED_VALUE"""),19.36)</f>
        <v>19.36</v>
      </c>
      <c r="E172" s="112">
        <f ca="1">IFERROR(__xludf.DUMMYFUNCTION("""COMPUTED_VALUE"""),40445.7055555555)</f>
        <v>40445.705555555498</v>
      </c>
      <c r="F172" s="111">
        <f ca="1">IFERROR(__xludf.DUMMYFUNCTION("""COMPUTED_VALUE"""),8.1)</f>
        <v>8.1</v>
      </c>
      <c r="G172" s="112">
        <f ca="1">IFERROR(__xludf.DUMMYFUNCTION("""COMPUTED_VALUE"""),40445.7055555555)</f>
        <v>40445.705555555498</v>
      </c>
      <c r="H172" s="111">
        <f ca="1">IFERROR(__xludf.DUMMYFUNCTION("""COMPUTED_VALUE"""),26.3)</f>
        <v>26.3</v>
      </c>
      <c r="I172" s="112">
        <f ca="1">IFERROR(__xludf.DUMMYFUNCTION("""COMPUTED_VALUE"""),44785.7055555555)</f>
        <v>44785.705555555498</v>
      </c>
      <c r="J172" s="111">
        <f ca="1">IFERROR(__xludf.DUMMYFUNCTION("""COMPUTED_VALUE"""),3.59)</f>
        <v>3.59</v>
      </c>
      <c r="K172" s="112">
        <f ca="1">IFERROR(__xludf.DUMMYFUNCTION("""COMPUTED_VALUE"""),40935.7055555555)</f>
        <v>40935.705555555498</v>
      </c>
      <c r="L172" s="111">
        <f ca="1">IFERROR(__xludf.DUMMYFUNCTION("""COMPUTED_VALUE"""),0.32)</f>
        <v>0.32</v>
      </c>
      <c r="M172" s="112">
        <f ca="1">IFERROR(__xludf.DUMMYFUNCTION("""COMPUTED_VALUE"""),40429.7055555555)</f>
        <v>40429.705555555498</v>
      </c>
      <c r="N172" s="111">
        <f ca="1">IFERROR(__xludf.DUMMYFUNCTION("""COMPUTED_VALUE"""),12)</f>
        <v>12</v>
      </c>
      <c r="O172" s="112">
        <f ca="1">IFERROR(__xludf.DUMMYFUNCTION("""COMPUTED_VALUE"""),40445.7055555555)</f>
        <v>40445.705555555498</v>
      </c>
      <c r="P172" s="111">
        <f ca="1">IFERROR(__xludf.DUMMYFUNCTION("""COMPUTED_VALUE"""),50.83)</f>
        <v>50.83</v>
      </c>
      <c r="Q172" s="112">
        <f ca="1">IFERROR(__xludf.DUMMYFUNCTION("""COMPUTED_VALUE"""),40445.7055555555)</f>
        <v>40445.705555555498</v>
      </c>
      <c r="R172" s="111">
        <f ca="1">IFERROR(__xludf.DUMMYFUNCTION("""COMPUTED_VALUE"""),30.3)</f>
        <v>30.3</v>
      </c>
      <c r="S172" s="112">
        <f ca="1">IFERROR(__xludf.DUMMYFUNCTION("""COMPUTED_VALUE"""),40445.7055555555)</f>
        <v>40445.705555555498</v>
      </c>
      <c r="T172" s="111">
        <f ca="1">IFERROR(__xludf.DUMMYFUNCTION("""COMPUTED_VALUE"""),8.62)</f>
        <v>8.6199999999999992</v>
      </c>
    </row>
    <row r="173" spans="1:20" x14ac:dyDescent="0.3">
      <c r="A173" s="112">
        <f ca="1">IFERROR(__xludf.DUMMYFUNCTION("""COMPUTED_VALUE"""),40448.7055555555)</f>
        <v>40448.705555555498</v>
      </c>
      <c r="B173" s="111">
        <f ca="1">IFERROR(__xludf.DUMMYFUNCTION("""COMPUTED_VALUE"""),21.44)</f>
        <v>21.44</v>
      </c>
      <c r="C173" s="112">
        <f ca="1">IFERROR(__xludf.DUMMYFUNCTION("""COMPUTED_VALUE"""),40448.7055555555)</f>
        <v>40448.705555555498</v>
      </c>
      <c r="D173" s="111">
        <f ca="1">IFERROR(__xludf.DUMMYFUNCTION("""COMPUTED_VALUE"""),19.38)</f>
        <v>19.38</v>
      </c>
      <c r="E173" s="112">
        <f ca="1">IFERROR(__xludf.DUMMYFUNCTION("""COMPUTED_VALUE"""),40448.7055555555)</f>
        <v>40448.705555555498</v>
      </c>
      <c r="F173" s="111">
        <f ca="1">IFERROR(__xludf.DUMMYFUNCTION("""COMPUTED_VALUE"""),8.12)</f>
        <v>8.1199999999999992</v>
      </c>
      <c r="G173" s="112">
        <f ca="1">IFERROR(__xludf.DUMMYFUNCTION("""COMPUTED_VALUE"""),40448.7055555555)</f>
        <v>40448.705555555498</v>
      </c>
      <c r="H173" s="111">
        <f ca="1">IFERROR(__xludf.DUMMYFUNCTION("""COMPUTED_VALUE"""),26.5)</f>
        <v>26.5</v>
      </c>
      <c r="I173" s="112">
        <f ca="1">IFERROR(__xludf.DUMMYFUNCTION("""COMPUTED_VALUE"""),44788.7055555555)</f>
        <v>44788.705555555498</v>
      </c>
      <c r="J173" s="111">
        <f ca="1">IFERROR(__xludf.DUMMYFUNCTION("""COMPUTED_VALUE"""),3.94)</f>
        <v>3.94</v>
      </c>
      <c r="K173" s="112">
        <f ca="1">IFERROR(__xludf.DUMMYFUNCTION("""COMPUTED_VALUE"""),40938.7055555555)</f>
        <v>40938.705555555498</v>
      </c>
      <c r="L173" s="111">
        <f ca="1">IFERROR(__xludf.DUMMYFUNCTION("""COMPUTED_VALUE"""),0.31)</f>
        <v>0.31</v>
      </c>
      <c r="M173" s="112">
        <f ca="1">IFERROR(__xludf.DUMMYFUNCTION("""COMPUTED_VALUE"""),40430.7055555555)</f>
        <v>40430.705555555498</v>
      </c>
      <c r="N173" s="111">
        <f ca="1">IFERROR(__xludf.DUMMYFUNCTION("""COMPUTED_VALUE"""),12.09)</f>
        <v>12.09</v>
      </c>
      <c r="O173" s="112">
        <f ca="1">IFERROR(__xludf.DUMMYFUNCTION("""COMPUTED_VALUE"""),40448.7055555555)</f>
        <v>40448.705555555498</v>
      </c>
      <c r="P173" s="111">
        <f ca="1">IFERROR(__xludf.DUMMYFUNCTION("""COMPUTED_VALUE"""),51.76)</f>
        <v>51.76</v>
      </c>
      <c r="Q173" s="112">
        <f ca="1">IFERROR(__xludf.DUMMYFUNCTION("""COMPUTED_VALUE"""),40448.7055555555)</f>
        <v>40448.705555555498</v>
      </c>
      <c r="R173" s="111">
        <f ca="1">IFERROR(__xludf.DUMMYFUNCTION("""COMPUTED_VALUE"""),30.9)</f>
        <v>30.9</v>
      </c>
      <c r="S173" s="112">
        <f ca="1">IFERROR(__xludf.DUMMYFUNCTION("""COMPUTED_VALUE"""),40448.7055555555)</f>
        <v>40448.705555555498</v>
      </c>
      <c r="T173" s="111">
        <f ca="1">IFERROR(__xludf.DUMMYFUNCTION("""COMPUTED_VALUE"""),8.59)</f>
        <v>8.59</v>
      </c>
    </row>
    <row r="174" spans="1:20" x14ac:dyDescent="0.3">
      <c r="A174" s="112">
        <f ca="1">IFERROR(__xludf.DUMMYFUNCTION("""COMPUTED_VALUE"""),40449.7055555555)</f>
        <v>40449.705555555498</v>
      </c>
      <c r="B174" s="111">
        <f ca="1">IFERROR(__xludf.DUMMYFUNCTION("""COMPUTED_VALUE"""),21.26)</f>
        <v>21.26</v>
      </c>
      <c r="C174" s="112">
        <f ca="1">IFERROR(__xludf.DUMMYFUNCTION("""COMPUTED_VALUE"""),40449.7055555555)</f>
        <v>40449.705555555498</v>
      </c>
      <c r="D174" s="111">
        <f ca="1">IFERROR(__xludf.DUMMYFUNCTION("""COMPUTED_VALUE"""),19.56)</f>
        <v>19.559999999999999</v>
      </c>
      <c r="E174" s="112">
        <f ca="1">IFERROR(__xludf.DUMMYFUNCTION("""COMPUTED_VALUE"""),40449.7055555555)</f>
        <v>40449.705555555498</v>
      </c>
      <c r="F174" s="111">
        <f ca="1">IFERROR(__xludf.DUMMYFUNCTION("""COMPUTED_VALUE"""),8.18)</f>
        <v>8.18</v>
      </c>
      <c r="G174" s="112">
        <f ca="1">IFERROR(__xludf.DUMMYFUNCTION("""COMPUTED_VALUE"""),40449.7055555555)</f>
        <v>40449.705555555498</v>
      </c>
      <c r="H174" s="111">
        <f ca="1">IFERROR(__xludf.DUMMYFUNCTION("""COMPUTED_VALUE"""),26.7)</f>
        <v>26.7</v>
      </c>
      <c r="I174" s="112">
        <f ca="1">IFERROR(__xludf.DUMMYFUNCTION("""COMPUTED_VALUE"""),44789.7055555555)</f>
        <v>44789.705555555498</v>
      </c>
      <c r="J174" s="111">
        <f ca="1">IFERROR(__xludf.DUMMYFUNCTION("""COMPUTED_VALUE"""),4.71)</f>
        <v>4.71</v>
      </c>
      <c r="K174" s="112">
        <f ca="1">IFERROR(__xludf.DUMMYFUNCTION("""COMPUTED_VALUE"""),40939.7055555555)</f>
        <v>40939.705555555498</v>
      </c>
      <c r="L174" s="111">
        <f ca="1">IFERROR(__xludf.DUMMYFUNCTION("""COMPUTED_VALUE"""),0.31)</f>
        <v>0.31</v>
      </c>
      <c r="M174" s="112">
        <f ca="1">IFERROR(__xludf.DUMMYFUNCTION("""COMPUTED_VALUE"""),40431.7055555555)</f>
        <v>40431.705555555498</v>
      </c>
      <c r="N174" s="111">
        <f ca="1">IFERROR(__xludf.DUMMYFUNCTION("""COMPUTED_VALUE"""),12.05)</f>
        <v>12.05</v>
      </c>
      <c r="O174" s="112">
        <f ca="1">IFERROR(__xludf.DUMMYFUNCTION("""COMPUTED_VALUE"""),40449.7055555555)</f>
        <v>40449.705555555498</v>
      </c>
      <c r="P174" s="111">
        <f ca="1">IFERROR(__xludf.DUMMYFUNCTION("""COMPUTED_VALUE"""),52.16)</f>
        <v>52.16</v>
      </c>
      <c r="Q174" s="112">
        <f ca="1">IFERROR(__xludf.DUMMYFUNCTION("""COMPUTED_VALUE"""),40449.7055555555)</f>
        <v>40449.705555555498</v>
      </c>
      <c r="R174" s="111">
        <f ca="1">IFERROR(__xludf.DUMMYFUNCTION("""COMPUTED_VALUE"""),31)</f>
        <v>31</v>
      </c>
      <c r="S174" s="112">
        <f ca="1">IFERROR(__xludf.DUMMYFUNCTION("""COMPUTED_VALUE"""),40449.7055555555)</f>
        <v>40449.705555555498</v>
      </c>
      <c r="T174" s="111">
        <f ca="1">IFERROR(__xludf.DUMMYFUNCTION("""COMPUTED_VALUE"""),8.48)</f>
        <v>8.48</v>
      </c>
    </row>
    <row r="175" spans="1:20" x14ac:dyDescent="0.3">
      <c r="A175" s="112">
        <f ca="1">IFERROR(__xludf.DUMMYFUNCTION("""COMPUTED_VALUE"""),40450.7055555555)</f>
        <v>40450.705555555498</v>
      </c>
      <c r="B175" s="111">
        <f ca="1">IFERROR(__xludf.DUMMYFUNCTION("""COMPUTED_VALUE"""),21.09)</f>
        <v>21.09</v>
      </c>
      <c r="C175" s="112">
        <f ca="1">IFERROR(__xludf.DUMMYFUNCTION("""COMPUTED_VALUE"""),40450.7055555555)</f>
        <v>40450.705555555498</v>
      </c>
      <c r="D175" s="111">
        <f ca="1">IFERROR(__xludf.DUMMYFUNCTION("""COMPUTED_VALUE"""),19.91)</f>
        <v>19.91</v>
      </c>
      <c r="E175" s="112">
        <f ca="1">IFERROR(__xludf.DUMMYFUNCTION("""COMPUTED_VALUE"""),40450.7055555555)</f>
        <v>40450.705555555498</v>
      </c>
      <c r="F175" s="111">
        <f ca="1">IFERROR(__xludf.DUMMYFUNCTION("""COMPUTED_VALUE"""),8.26)</f>
        <v>8.26</v>
      </c>
      <c r="G175" s="112">
        <f ca="1">IFERROR(__xludf.DUMMYFUNCTION("""COMPUTED_VALUE"""),40450.7055555555)</f>
        <v>40450.705555555498</v>
      </c>
      <c r="H175" s="111">
        <f ca="1">IFERROR(__xludf.DUMMYFUNCTION("""COMPUTED_VALUE"""),27.5)</f>
        <v>27.5</v>
      </c>
      <c r="I175" s="112">
        <f ca="1">IFERROR(__xludf.DUMMYFUNCTION("""COMPUTED_VALUE"""),44790.7055555555)</f>
        <v>44790.705555555498</v>
      </c>
      <c r="J175" s="111">
        <f ca="1">IFERROR(__xludf.DUMMYFUNCTION("""COMPUTED_VALUE"""),4.38)</f>
        <v>4.38</v>
      </c>
      <c r="K175" s="112">
        <f ca="1">IFERROR(__xludf.DUMMYFUNCTION("""COMPUTED_VALUE"""),40940.7055555555)</f>
        <v>40940.705555555498</v>
      </c>
      <c r="L175" s="111">
        <f ca="1">IFERROR(__xludf.DUMMYFUNCTION("""COMPUTED_VALUE"""),0.32)</f>
        <v>0.32</v>
      </c>
      <c r="M175" s="112">
        <f ca="1">IFERROR(__xludf.DUMMYFUNCTION("""COMPUTED_VALUE"""),40434.7055555555)</f>
        <v>40434.705555555498</v>
      </c>
      <c r="N175" s="111">
        <f ca="1">IFERROR(__xludf.DUMMYFUNCTION("""COMPUTED_VALUE"""),12.53)</f>
        <v>12.53</v>
      </c>
      <c r="O175" s="112">
        <f ca="1">IFERROR(__xludf.DUMMYFUNCTION("""COMPUTED_VALUE"""),40450.7055555555)</f>
        <v>40450.705555555498</v>
      </c>
      <c r="P175" s="111">
        <f ca="1">IFERROR(__xludf.DUMMYFUNCTION("""COMPUTED_VALUE"""),52.19)</f>
        <v>52.19</v>
      </c>
      <c r="Q175" s="112">
        <f ca="1">IFERROR(__xludf.DUMMYFUNCTION("""COMPUTED_VALUE"""),40450.7055555555)</f>
        <v>40450.705555555498</v>
      </c>
      <c r="R175" s="111">
        <f ca="1">IFERROR(__xludf.DUMMYFUNCTION("""COMPUTED_VALUE"""),31.58)</f>
        <v>31.58</v>
      </c>
      <c r="S175" s="112">
        <f ca="1">IFERROR(__xludf.DUMMYFUNCTION("""COMPUTED_VALUE"""),40450.7055555555)</f>
        <v>40450.705555555498</v>
      </c>
      <c r="T175" s="111">
        <f ca="1">IFERROR(__xludf.DUMMYFUNCTION("""COMPUTED_VALUE"""),8.54)</f>
        <v>8.5399999999999991</v>
      </c>
    </row>
    <row r="176" spans="1:20" x14ac:dyDescent="0.3">
      <c r="A176" s="112">
        <f ca="1">IFERROR(__xludf.DUMMYFUNCTION("""COMPUTED_VALUE"""),40451.7055555555)</f>
        <v>40451.705555555498</v>
      </c>
      <c r="B176" s="111">
        <f ca="1">IFERROR(__xludf.DUMMYFUNCTION("""COMPUTED_VALUE"""),21.32)</f>
        <v>21.32</v>
      </c>
      <c r="C176" s="112">
        <f ca="1">IFERROR(__xludf.DUMMYFUNCTION("""COMPUTED_VALUE"""),40451.7055555555)</f>
        <v>40451.705555555498</v>
      </c>
      <c r="D176" s="111">
        <f ca="1">IFERROR(__xludf.DUMMYFUNCTION("""COMPUTED_VALUE"""),20.27)</f>
        <v>20.27</v>
      </c>
      <c r="E176" s="112">
        <f ca="1">IFERROR(__xludf.DUMMYFUNCTION("""COMPUTED_VALUE"""),40451.7055555555)</f>
        <v>40451.705555555498</v>
      </c>
      <c r="F176" s="111">
        <f ca="1">IFERROR(__xludf.DUMMYFUNCTION("""COMPUTED_VALUE"""),8.4)</f>
        <v>8.4</v>
      </c>
      <c r="G176" s="112">
        <f ca="1">IFERROR(__xludf.DUMMYFUNCTION("""COMPUTED_VALUE"""),40451.7055555555)</f>
        <v>40451.705555555498</v>
      </c>
      <c r="H176" s="111">
        <f ca="1">IFERROR(__xludf.DUMMYFUNCTION("""COMPUTED_VALUE"""),27.29)</f>
        <v>27.29</v>
      </c>
      <c r="I176" s="112">
        <f ca="1">IFERROR(__xludf.DUMMYFUNCTION("""COMPUTED_VALUE"""),44791.7055555555)</f>
        <v>44791.705555555498</v>
      </c>
      <c r="J176" s="111">
        <f ca="1">IFERROR(__xludf.DUMMYFUNCTION("""COMPUTED_VALUE"""),4.3)</f>
        <v>4.3</v>
      </c>
      <c r="K176" s="112">
        <f ca="1">IFERROR(__xludf.DUMMYFUNCTION("""COMPUTED_VALUE"""),40941.7055555555)</f>
        <v>40941.705555555498</v>
      </c>
      <c r="L176" s="111">
        <f ca="1">IFERROR(__xludf.DUMMYFUNCTION("""COMPUTED_VALUE"""),0.33)</f>
        <v>0.33</v>
      </c>
      <c r="M176" s="112">
        <f ca="1">IFERROR(__xludf.DUMMYFUNCTION("""COMPUTED_VALUE"""),40435.7055555555)</f>
        <v>40435.705555555498</v>
      </c>
      <c r="N176" s="111">
        <f ca="1">IFERROR(__xludf.DUMMYFUNCTION("""COMPUTED_VALUE"""),12.59)</f>
        <v>12.59</v>
      </c>
      <c r="O176" s="112">
        <f ca="1">IFERROR(__xludf.DUMMYFUNCTION("""COMPUTED_VALUE"""),40451.7055555555)</f>
        <v>40451.705555555498</v>
      </c>
      <c r="P176" s="111">
        <f ca="1">IFERROR(__xludf.DUMMYFUNCTION("""COMPUTED_VALUE"""),52.3)</f>
        <v>52.3</v>
      </c>
      <c r="Q176" s="112">
        <f ca="1">IFERROR(__xludf.DUMMYFUNCTION("""COMPUTED_VALUE"""),40451.7055555555)</f>
        <v>40451.705555555498</v>
      </c>
      <c r="R176" s="111">
        <f ca="1">IFERROR(__xludf.DUMMYFUNCTION("""COMPUTED_VALUE"""),32.13)</f>
        <v>32.130000000000003</v>
      </c>
      <c r="S176" s="112">
        <f ca="1">IFERROR(__xludf.DUMMYFUNCTION("""COMPUTED_VALUE"""),40451.7055555555)</f>
        <v>40451.705555555498</v>
      </c>
      <c r="T176" s="111">
        <f ca="1">IFERROR(__xludf.DUMMYFUNCTION("""COMPUTED_VALUE"""),8.71)</f>
        <v>8.7100000000000009</v>
      </c>
    </row>
    <row r="177" spans="1:20" x14ac:dyDescent="0.3">
      <c r="A177" s="112">
        <f ca="1">IFERROR(__xludf.DUMMYFUNCTION("""COMPUTED_VALUE"""),40452.7055555555)</f>
        <v>40452.705555555498</v>
      </c>
      <c r="B177" s="111">
        <f ca="1">IFERROR(__xludf.DUMMYFUNCTION("""COMPUTED_VALUE"""),21.44)</f>
        <v>21.44</v>
      </c>
      <c r="C177" s="112">
        <f ca="1">IFERROR(__xludf.DUMMYFUNCTION("""COMPUTED_VALUE"""),40452.7055555555)</f>
        <v>40452.705555555498</v>
      </c>
      <c r="D177" s="111">
        <f ca="1">IFERROR(__xludf.DUMMYFUNCTION("""COMPUTED_VALUE"""),20.44)</f>
        <v>20.440000000000001</v>
      </c>
      <c r="E177" s="112">
        <f ca="1">IFERROR(__xludf.DUMMYFUNCTION("""COMPUTED_VALUE"""),40452.7055555555)</f>
        <v>40452.705555555498</v>
      </c>
      <c r="F177" s="111">
        <f ca="1">IFERROR(__xludf.DUMMYFUNCTION("""COMPUTED_VALUE"""),8.5)</f>
        <v>8.5</v>
      </c>
      <c r="G177" s="112">
        <f ca="1">IFERROR(__xludf.DUMMYFUNCTION("""COMPUTED_VALUE"""),40452.7055555555)</f>
        <v>40452.705555555498</v>
      </c>
      <c r="H177" s="111">
        <f ca="1">IFERROR(__xludf.DUMMYFUNCTION("""COMPUTED_VALUE"""),27.5)</f>
        <v>27.5</v>
      </c>
      <c r="I177" s="112">
        <f ca="1">IFERROR(__xludf.DUMMYFUNCTION("""COMPUTED_VALUE"""),44792.7055555555)</f>
        <v>44792.705555555498</v>
      </c>
      <c r="J177" s="111">
        <f ca="1">IFERROR(__xludf.DUMMYFUNCTION("""COMPUTED_VALUE"""),3.99)</f>
        <v>3.99</v>
      </c>
      <c r="K177" s="112">
        <f ca="1">IFERROR(__xludf.DUMMYFUNCTION("""COMPUTED_VALUE"""),40942.7055555555)</f>
        <v>40942.705555555498</v>
      </c>
      <c r="L177" s="111">
        <f ca="1">IFERROR(__xludf.DUMMYFUNCTION("""COMPUTED_VALUE"""),0.32)</f>
        <v>0.32</v>
      </c>
      <c r="M177" s="112">
        <f ca="1">IFERROR(__xludf.DUMMYFUNCTION("""COMPUTED_VALUE"""),40436.7055555555)</f>
        <v>40436.705555555498</v>
      </c>
      <c r="N177" s="111">
        <f ca="1">IFERROR(__xludf.DUMMYFUNCTION("""COMPUTED_VALUE"""),12.67)</f>
        <v>12.67</v>
      </c>
      <c r="O177" s="112">
        <f ca="1">IFERROR(__xludf.DUMMYFUNCTION("""COMPUTED_VALUE"""),40452.7055555555)</f>
        <v>40452.705555555498</v>
      </c>
      <c r="P177" s="111">
        <f ca="1">IFERROR(__xludf.DUMMYFUNCTION("""COMPUTED_VALUE"""),52.8)</f>
        <v>52.8</v>
      </c>
      <c r="Q177" s="112">
        <f ca="1">IFERROR(__xludf.DUMMYFUNCTION("""COMPUTED_VALUE"""),40452.7055555555)</f>
        <v>40452.705555555498</v>
      </c>
      <c r="R177" s="111">
        <f ca="1">IFERROR(__xludf.DUMMYFUNCTION("""COMPUTED_VALUE"""),32.72)</f>
        <v>32.72</v>
      </c>
      <c r="S177" s="112">
        <f ca="1">IFERROR(__xludf.DUMMYFUNCTION("""COMPUTED_VALUE"""),40452.7055555555)</f>
        <v>40452.705555555498</v>
      </c>
      <c r="T177" s="111">
        <f ca="1">IFERROR(__xludf.DUMMYFUNCTION("""COMPUTED_VALUE"""),8.9)</f>
        <v>8.9</v>
      </c>
    </row>
    <row r="178" spans="1:20" x14ac:dyDescent="0.3">
      <c r="A178" s="112">
        <f ca="1">IFERROR(__xludf.DUMMYFUNCTION("""COMPUTED_VALUE"""),40455.7055555555)</f>
        <v>40455.705555555498</v>
      </c>
      <c r="B178" s="111">
        <f ca="1">IFERROR(__xludf.DUMMYFUNCTION("""COMPUTED_VALUE"""),22.01)</f>
        <v>22.01</v>
      </c>
      <c r="C178" s="112">
        <f ca="1">IFERROR(__xludf.DUMMYFUNCTION("""COMPUTED_VALUE"""),40455.7055555555)</f>
        <v>40455.705555555498</v>
      </c>
      <c r="D178" s="111">
        <f ca="1">IFERROR(__xludf.DUMMYFUNCTION("""COMPUTED_VALUE"""),20.46)</f>
        <v>20.46</v>
      </c>
      <c r="E178" s="112">
        <f ca="1">IFERROR(__xludf.DUMMYFUNCTION("""COMPUTED_VALUE"""),40455.7055555555)</f>
        <v>40455.705555555498</v>
      </c>
      <c r="F178" s="111">
        <f ca="1">IFERROR(__xludf.DUMMYFUNCTION("""COMPUTED_VALUE"""),8.57)</f>
        <v>8.57</v>
      </c>
      <c r="G178" s="112">
        <f ca="1">IFERROR(__xludf.DUMMYFUNCTION("""COMPUTED_VALUE"""),40455.7055555555)</f>
        <v>40455.705555555498</v>
      </c>
      <c r="H178" s="111">
        <f ca="1">IFERROR(__xludf.DUMMYFUNCTION("""COMPUTED_VALUE"""),27.38)</f>
        <v>27.38</v>
      </c>
      <c r="I178" s="112">
        <f ca="1">IFERROR(__xludf.DUMMYFUNCTION("""COMPUTED_VALUE"""),44795.7055555555)</f>
        <v>44795.705555555498</v>
      </c>
      <c r="J178" s="111">
        <f ca="1">IFERROR(__xludf.DUMMYFUNCTION("""COMPUTED_VALUE"""),3.86)</f>
        <v>3.86</v>
      </c>
      <c r="K178" s="112">
        <f ca="1">IFERROR(__xludf.DUMMYFUNCTION("""COMPUTED_VALUE"""),40945.7055555555)</f>
        <v>40945.705555555498</v>
      </c>
      <c r="L178" s="111">
        <f ca="1">IFERROR(__xludf.DUMMYFUNCTION("""COMPUTED_VALUE"""),0.3)</f>
        <v>0.3</v>
      </c>
      <c r="M178" s="112">
        <f ca="1">IFERROR(__xludf.DUMMYFUNCTION("""COMPUTED_VALUE"""),40437.7055555555)</f>
        <v>40437.705555555498</v>
      </c>
      <c r="N178" s="111">
        <f ca="1">IFERROR(__xludf.DUMMYFUNCTION("""COMPUTED_VALUE"""),12.57)</f>
        <v>12.57</v>
      </c>
      <c r="O178" s="112">
        <f ca="1">IFERROR(__xludf.DUMMYFUNCTION("""COMPUTED_VALUE"""),40455.7055555555)</f>
        <v>40455.705555555498</v>
      </c>
      <c r="P178" s="111">
        <f ca="1">IFERROR(__xludf.DUMMYFUNCTION("""COMPUTED_VALUE"""),52.84)</f>
        <v>52.84</v>
      </c>
      <c r="Q178" s="112">
        <f ca="1">IFERROR(__xludf.DUMMYFUNCTION("""COMPUTED_VALUE"""),40455.7055555555)</f>
        <v>40455.705555555498</v>
      </c>
      <c r="R178" s="111">
        <f ca="1">IFERROR(__xludf.DUMMYFUNCTION("""COMPUTED_VALUE"""),32.89)</f>
        <v>32.89</v>
      </c>
      <c r="S178" s="112">
        <f ca="1">IFERROR(__xludf.DUMMYFUNCTION("""COMPUTED_VALUE"""),40455.7055555555)</f>
        <v>40455.705555555498</v>
      </c>
      <c r="T178" s="111">
        <f ca="1">IFERROR(__xludf.DUMMYFUNCTION("""COMPUTED_VALUE"""),8.93)</f>
        <v>8.93</v>
      </c>
    </row>
    <row r="179" spans="1:20" x14ac:dyDescent="0.3">
      <c r="A179" s="112">
        <f ca="1">IFERROR(__xludf.DUMMYFUNCTION("""COMPUTED_VALUE"""),40456.7055555555)</f>
        <v>40456.705555555498</v>
      </c>
      <c r="B179" s="111">
        <f ca="1">IFERROR(__xludf.DUMMYFUNCTION("""COMPUTED_VALUE"""),22.6)</f>
        <v>22.6</v>
      </c>
      <c r="C179" s="112">
        <f ca="1">IFERROR(__xludf.DUMMYFUNCTION("""COMPUTED_VALUE"""),40456.7055555555)</f>
        <v>40456.705555555498</v>
      </c>
      <c r="D179" s="111">
        <f ca="1">IFERROR(__xludf.DUMMYFUNCTION("""COMPUTED_VALUE"""),20.97)</f>
        <v>20.97</v>
      </c>
      <c r="E179" s="112">
        <f ca="1">IFERROR(__xludf.DUMMYFUNCTION("""COMPUTED_VALUE"""),40456.7055555555)</f>
        <v>40456.705555555498</v>
      </c>
      <c r="F179" s="111">
        <f ca="1">IFERROR(__xludf.DUMMYFUNCTION("""COMPUTED_VALUE"""),8.81)</f>
        <v>8.81</v>
      </c>
      <c r="G179" s="112">
        <f ca="1">IFERROR(__xludf.DUMMYFUNCTION("""COMPUTED_VALUE"""),40456.7055555555)</f>
        <v>40456.705555555498</v>
      </c>
      <c r="H179" s="111">
        <f ca="1">IFERROR(__xludf.DUMMYFUNCTION("""COMPUTED_VALUE"""),26.98)</f>
        <v>26.98</v>
      </c>
      <c r="I179" s="112">
        <f ca="1">IFERROR(__xludf.DUMMYFUNCTION("""COMPUTED_VALUE"""),44796.7055555555)</f>
        <v>44796.705555555498</v>
      </c>
      <c r="J179" s="111">
        <f ca="1">IFERROR(__xludf.DUMMYFUNCTION("""COMPUTED_VALUE"""),3.85)</f>
        <v>3.85</v>
      </c>
      <c r="K179" s="112">
        <f ca="1">IFERROR(__xludf.DUMMYFUNCTION("""COMPUTED_VALUE"""),40946.7055555555)</f>
        <v>40946.705555555498</v>
      </c>
      <c r="L179" s="111">
        <f ca="1">IFERROR(__xludf.DUMMYFUNCTION("""COMPUTED_VALUE"""),0.31)</f>
        <v>0.31</v>
      </c>
      <c r="M179" s="112">
        <f ca="1">IFERROR(__xludf.DUMMYFUNCTION("""COMPUTED_VALUE"""),40438.7055555555)</f>
        <v>40438.705555555498</v>
      </c>
      <c r="N179" s="111">
        <f ca="1">IFERROR(__xludf.DUMMYFUNCTION("""COMPUTED_VALUE"""),12.44)</f>
        <v>12.44</v>
      </c>
      <c r="O179" s="112">
        <f ca="1">IFERROR(__xludf.DUMMYFUNCTION("""COMPUTED_VALUE"""),40456.7055555555)</f>
        <v>40456.705555555498</v>
      </c>
      <c r="P179" s="111">
        <f ca="1">IFERROR(__xludf.DUMMYFUNCTION("""COMPUTED_VALUE"""),53.51)</f>
        <v>53.51</v>
      </c>
      <c r="Q179" s="112">
        <f ca="1">IFERROR(__xludf.DUMMYFUNCTION("""COMPUTED_VALUE"""),40456.7055555555)</f>
        <v>40456.705555555498</v>
      </c>
      <c r="R179" s="111">
        <f ca="1">IFERROR(__xludf.DUMMYFUNCTION("""COMPUTED_VALUE"""),33.17)</f>
        <v>33.17</v>
      </c>
      <c r="S179" s="112">
        <f ca="1">IFERROR(__xludf.DUMMYFUNCTION("""COMPUTED_VALUE"""),40456.7055555555)</f>
        <v>40456.705555555498</v>
      </c>
      <c r="T179" s="111">
        <f ca="1">IFERROR(__xludf.DUMMYFUNCTION("""COMPUTED_VALUE"""),9.21)</f>
        <v>9.2100000000000009</v>
      </c>
    </row>
    <row r="180" spans="1:20" x14ac:dyDescent="0.3">
      <c r="A180" s="112">
        <f ca="1">IFERROR(__xludf.DUMMYFUNCTION("""COMPUTED_VALUE"""),40457.7055555555)</f>
        <v>40457.705555555498</v>
      </c>
      <c r="B180" s="111">
        <f ca="1">IFERROR(__xludf.DUMMYFUNCTION("""COMPUTED_VALUE"""),22.84)</f>
        <v>22.84</v>
      </c>
      <c r="C180" s="112">
        <f ca="1">IFERROR(__xludf.DUMMYFUNCTION("""COMPUTED_VALUE"""),40457.7055555555)</f>
        <v>40457.705555555498</v>
      </c>
      <c r="D180" s="111">
        <f ca="1">IFERROR(__xludf.DUMMYFUNCTION("""COMPUTED_VALUE"""),20.79)</f>
        <v>20.79</v>
      </c>
      <c r="E180" s="112">
        <f ca="1">IFERROR(__xludf.DUMMYFUNCTION("""COMPUTED_VALUE"""),40457.7055555555)</f>
        <v>40457.705555555498</v>
      </c>
      <c r="F180" s="111">
        <f ca="1">IFERROR(__xludf.DUMMYFUNCTION("""COMPUTED_VALUE"""),8.74)</f>
        <v>8.74</v>
      </c>
      <c r="G180" s="112">
        <f ca="1">IFERROR(__xludf.DUMMYFUNCTION("""COMPUTED_VALUE"""),40457.7055555555)</f>
        <v>40457.705555555498</v>
      </c>
      <c r="H180" s="111">
        <f ca="1">IFERROR(__xludf.DUMMYFUNCTION("""COMPUTED_VALUE"""),25.86)</f>
        <v>25.86</v>
      </c>
      <c r="I180" s="112">
        <f ca="1">IFERROR(__xludf.DUMMYFUNCTION("""COMPUTED_VALUE"""),44797.7055555555)</f>
        <v>44797.705555555498</v>
      </c>
      <c r="J180" s="111">
        <f ca="1">IFERROR(__xludf.DUMMYFUNCTION("""COMPUTED_VALUE"""),4.23)</f>
        <v>4.2300000000000004</v>
      </c>
      <c r="K180" s="112">
        <f ca="1">IFERROR(__xludf.DUMMYFUNCTION("""COMPUTED_VALUE"""),40947.7055555555)</f>
        <v>40947.705555555498</v>
      </c>
      <c r="L180" s="111">
        <f ca="1">IFERROR(__xludf.DUMMYFUNCTION("""COMPUTED_VALUE"""),0.31)</f>
        <v>0.31</v>
      </c>
      <c r="M180" s="112">
        <f ca="1">IFERROR(__xludf.DUMMYFUNCTION("""COMPUTED_VALUE"""),40441.7055555555)</f>
        <v>40441.705555555498</v>
      </c>
      <c r="N180" s="111">
        <f ca="1">IFERROR(__xludf.DUMMYFUNCTION("""COMPUTED_VALUE"""),12.65)</f>
        <v>12.65</v>
      </c>
      <c r="O180" s="112">
        <f ca="1">IFERROR(__xludf.DUMMYFUNCTION("""COMPUTED_VALUE"""),40457.7055555555)</f>
        <v>40457.705555555498</v>
      </c>
      <c r="P180" s="111">
        <f ca="1">IFERROR(__xludf.DUMMYFUNCTION("""COMPUTED_VALUE"""),53.67)</f>
        <v>53.67</v>
      </c>
      <c r="Q180" s="112">
        <f ca="1">IFERROR(__xludf.DUMMYFUNCTION("""COMPUTED_VALUE"""),40457.7055555555)</f>
        <v>40457.705555555498</v>
      </c>
      <c r="R180" s="111">
        <f ca="1">IFERROR(__xludf.DUMMYFUNCTION("""COMPUTED_VALUE"""),33.05)</f>
        <v>33.049999999999997</v>
      </c>
      <c r="S180" s="112">
        <f ca="1">IFERROR(__xludf.DUMMYFUNCTION("""COMPUTED_VALUE"""),40457.7055555555)</f>
        <v>40457.705555555498</v>
      </c>
      <c r="T180" s="111">
        <f ca="1">IFERROR(__xludf.DUMMYFUNCTION("""COMPUTED_VALUE"""),9.32)</f>
        <v>9.32</v>
      </c>
    </row>
    <row r="181" spans="1:20" x14ac:dyDescent="0.3">
      <c r="A181" s="112">
        <f ca="1">IFERROR(__xludf.DUMMYFUNCTION("""COMPUTED_VALUE"""),40458.7055555555)</f>
        <v>40458.705555555498</v>
      </c>
      <c r="B181" s="111">
        <f ca="1">IFERROR(__xludf.DUMMYFUNCTION("""COMPUTED_VALUE"""),22.51)</f>
        <v>22.51</v>
      </c>
      <c r="C181" s="112">
        <f ca="1">IFERROR(__xludf.DUMMYFUNCTION("""COMPUTED_VALUE"""),40458.7055555555)</f>
        <v>40458.705555555498</v>
      </c>
      <c r="D181" s="111">
        <f ca="1">IFERROR(__xludf.DUMMYFUNCTION("""COMPUTED_VALUE"""),20.83)</f>
        <v>20.83</v>
      </c>
      <c r="E181" s="112">
        <f ca="1">IFERROR(__xludf.DUMMYFUNCTION("""COMPUTED_VALUE"""),40458.7055555555)</f>
        <v>40458.705555555498</v>
      </c>
      <c r="F181" s="111">
        <f ca="1">IFERROR(__xludf.DUMMYFUNCTION("""COMPUTED_VALUE"""),8.72)</f>
        <v>8.7200000000000006</v>
      </c>
      <c r="G181" s="112">
        <f ca="1">IFERROR(__xludf.DUMMYFUNCTION("""COMPUTED_VALUE"""),40458.7055555555)</f>
        <v>40458.705555555498</v>
      </c>
      <c r="H181" s="111">
        <f ca="1">IFERROR(__xludf.DUMMYFUNCTION("""COMPUTED_VALUE"""),25.3)</f>
        <v>25.3</v>
      </c>
      <c r="I181" s="112">
        <f ca="1">IFERROR(__xludf.DUMMYFUNCTION("""COMPUTED_VALUE"""),44798.7055555555)</f>
        <v>44798.705555555498</v>
      </c>
      <c r="J181" s="111">
        <f ca="1">IFERROR(__xludf.DUMMYFUNCTION("""COMPUTED_VALUE"""),4.25)</f>
        <v>4.25</v>
      </c>
      <c r="K181" s="112">
        <f ca="1">IFERROR(__xludf.DUMMYFUNCTION("""COMPUTED_VALUE"""),40948.7055555555)</f>
        <v>40948.705555555498</v>
      </c>
      <c r="L181" s="111">
        <f ca="1">IFERROR(__xludf.DUMMYFUNCTION("""COMPUTED_VALUE"""),0.31)</f>
        <v>0.31</v>
      </c>
      <c r="M181" s="112">
        <f ca="1">IFERROR(__xludf.DUMMYFUNCTION("""COMPUTED_VALUE"""),40442.7055555555)</f>
        <v>40442.705555555498</v>
      </c>
      <c r="N181" s="111">
        <f ca="1">IFERROR(__xludf.DUMMYFUNCTION("""COMPUTED_VALUE"""),12.53)</f>
        <v>12.53</v>
      </c>
      <c r="O181" s="112">
        <f ca="1">IFERROR(__xludf.DUMMYFUNCTION("""COMPUTED_VALUE"""),40458.7055555555)</f>
        <v>40458.705555555498</v>
      </c>
      <c r="P181" s="111">
        <f ca="1">IFERROR(__xludf.DUMMYFUNCTION("""COMPUTED_VALUE"""),53.48)</f>
        <v>53.48</v>
      </c>
      <c r="Q181" s="112">
        <f ca="1">IFERROR(__xludf.DUMMYFUNCTION("""COMPUTED_VALUE"""),40458.7055555555)</f>
        <v>40458.705555555498</v>
      </c>
      <c r="R181" s="111">
        <f ca="1">IFERROR(__xludf.DUMMYFUNCTION("""COMPUTED_VALUE"""),32.61)</f>
        <v>32.61</v>
      </c>
      <c r="S181" s="112">
        <f ca="1">IFERROR(__xludf.DUMMYFUNCTION("""COMPUTED_VALUE"""),40458.7055555555)</f>
        <v>40458.705555555498</v>
      </c>
      <c r="T181" s="111">
        <f ca="1">IFERROR(__xludf.DUMMYFUNCTION("""COMPUTED_VALUE"""),9.32)</f>
        <v>9.32</v>
      </c>
    </row>
    <row r="182" spans="1:20" x14ac:dyDescent="0.3">
      <c r="A182" s="112">
        <f ca="1">IFERROR(__xludf.DUMMYFUNCTION("""COMPUTED_VALUE"""),40459.7055555555)</f>
        <v>40459.705555555498</v>
      </c>
      <c r="B182" s="111">
        <f ca="1">IFERROR(__xludf.DUMMYFUNCTION("""COMPUTED_VALUE"""),22.69)</f>
        <v>22.69</v>
      </c>
      <c r="C182" s="112">
        <f ca="1">IFERROR(__xludf.DUMMYFUNCTION("""COMPUTED_VALUE"""),40459.7055555555)</f>
        <v>40459.705555555498</v>
      </c>
      <c r="D182" s="111">
        <f ca="1">IFERROR(__xludf.DUMMYFUNCTION("""COMPUTED_VALUE"""),21.28)</f>
        <v>21.28</v>
      </c>
      <c r="E182" s="112">
        <f ca="1">IFERROR(__xludf.DUMMYFUNCTION("""COMPUTED_VALUE"""),40459.7055555555)</f>
        <v>40459.705555555498</v>
      </c>
      <c r="F182" s="111">
        <f ca="1">IFERROR(__xludf.DUMMYFUNCTION("""COMPUTED_VALUE"""),8.91)</f>
        <v>8.91</v>
      </c>
      <c r="G182" s="112">
        <f ca="1">IFERROR(__xludf.DUMMYFUNCTION("""COMPUTED_VALUE"""),40459.7055555555)</f>
        <v>40459.705555555498</v>
      </c>
      <c r="H182" s="111">
        <f ca="1">IFERROR(__xludf.DUMMYFUNCTION("""COMPUTED_VALUE"""),26)</f>
        <v>26</v>
      </c>
      <c r="I182" s="112">
        <f ca="1">IFERROR(__xludf.DUMMYFUNCTION("""COMPUTED_VALUE"""),44799.7055555555)</f>
        <v>44799.705555555498</v>
      </c>
      <c r="J182" s="111">
        <f ca="1">IFERROR(__xludf.DUMMYFUNCTION("""COMPUTED_VALUE"""),4.14)</f>
        <v>4.1399999999999997</v>
      </c>
      <c r="K182" s="112">
        <f ca="1">IFERROR(__xludf.DUMMYFUNCTION("""COMPUTED_VALUE"""),40949.7055555555)</f>
        <v>40949.705555555498</v>
      </c>
      <c r="L182" s="111">
        <f ca="1">IFERROR(__xludf.DUMMYFUNCTION("""COMPUTED_VALUE"""),0.31)</f>
        <v>0.31</v>
      </c>
      <c r="M182" s="112">
        <f ca="1">IFERROR(__xludf.DUMMYFUNCTION("""COMPUTED_VALUE"""),40443.7055555555)</f>
        <v>40443.705555555498</v>
      </c>
      <c r="N182" s="111">
        <f ca="1">IFERROR(__xludf.DUMMYFUNCTION("""COMPUTED_VALUE"""),12.61)</f>
        <v>12.61</v>
      </c>
      <c r="O182" s="112">
        <f ca="1">IFERROR(__xludf.DUMMYFUNCTION("""COMPUTED_VALUE"""),40459.7055555555)</f>
        <v>40459.705555555498</v>
      </c>
      <c r="P182" s="111">
        <f ca="1">IFERROR(__xludf.DUMMYFUNCTION("""COMPUTED_VALUE"""),53.3)</f>
        <v>53.3</v>
      </c>
      <c r="Q182" s="112">
        <f ca="1">IFERROR(__xludf.DUMMYFUNCTION("""COMPUTED_VALUE"""),40459.7055555555)</f>
        <v>40459.705555555498</v>
      </c>
      <c r="R182" s="111">
        <f ca="1">IFERROR(__xludf.DUMMYFUNCTION("""COMPUTED_VALUE"""),33.25)</f>
        <v>33.25</v>
      </c>
      <c r="S182" s="112">
        <f ca="1">IFERROR(__xludf.DUMMYFUNCTION("""COMPUTED_VALUE"""),40459.7055555555)</f>
        <v>40459.705555555498</v>
      </c>
      <c r="T182" s="111">
        <f ca="1">IFERROR(__xludf.DUMMYFUNCTION("""COMPUTED_VALUE"""),9.59)</f>
        <v>9.59</v>
      </c>
    </row>
    <row r="183" spans="1:20" x14ac:dyDescent="0.3">
      <c r="A183" s="112">
        <f ca="1">IFERROR(__xludf.DUMMYFUNCTION("""COMPUTED_VALUE"""),40462.7055555555)</f>
        <v>40462.705555555498</v>
      </c>
      <c r="B183" s="111">
        <f ca="1">IFERROR(__xludf.DUMMYFUNCTION("""COMPUTED_VALUE"""),22.94)</f>
        <v>22.94</v>
      </c>
      <c r="C183" s="112">
        <f ca="1">IFERROR(__xludf.DUMMYFUNCTION("""COMPUTED_VALUE"""),40462.7055555555)</f>
        <v>40462.705555555498</v>
      </c>
      <c r="D183" s="111">
        <f ca="1">IFERROR(__xludf.DUMMYFUNCTION("""COMPUTED_VALUE"""),21.12)</f>
        <v>21.12</v>
      </c>
      <c r="E183" s="112">
        <f ca="1">IFERROR(__xludf.DUMMYFUNCTION("""COMPUTED_VALUE"""),40462.7055555555)</f>
        <v>40462.705555555498</v>
      </c>
      <c r="F183" s="111">
        <f ca="1">IFERROR(__xludf.DUMMYFUNCTION("""COMPUTED_VALUE"""),8.85)</f>
        <v>8.85</v>
      </c>
      <c r="G183" s="112">
        <f ca="1">IFERROR(__xludf.DUMMYFUNCTION("""COMPUTED_VALUE"""),40462.7055555555)</f>
        <v>40462.705555555498</v>
      </c>
      <c r="H183" s="111">
        <f ca="1">IFERROR(__xludf.DUMMYFUNCTION("""COMPUTED_VALUE"""),25.85)</f>
        <v>25.85</v>
      </c>
      <c r="I183" s="112">
        <f ca="1">IFERROR(__xludf.DUMMYFUNCTION("""COMPUTED_VALUE"""),44802.7055555555)</f>
        <v>44802.705555555498</v>
      </c>
      <c r="J183" s="111">
        <f ca="1">IFERROR(__xludf.DUMMYFUNCTION("""COMPUTED_VALUE"""),4.14)</f>
        <v>4.1399999999999997</v>
      </c>
      <c r="K183" s="112">
        <f ca="1">IFERROR(__xludf.DUMMYFUNCTION("""COMPUTED_VALUE"""),40953.7055555555)</f>
        <v>40953.705555555498</v>
      </c>
      <c r="L183" s="111">
        <f ca="1">IFERROR(__xludf.DUMMYFUNCTION("""COMPUTED_VALUE"""),0.31)</f>
        <v>0.31</v>
      </c>
      <c r="M183" s="112">
        <f ca="1">IFERROR(__xludf.DUMMYFUNCTION("""COMPUTED_VALUE"""),40444.7055555555)</f>
        <v>40444.705555555498</v>
      </c>
      <c r="N183" s="111">
        <f ca="1">IFERROR(__xludf.DUMMYFUNCTION("""COMPUTED_VALUE"""),12.76)</f>
        <v>12.76</v>
      </c>
      <c r="O183" s="112">
        <f ca="1">IFERROR(__xludf.DUMMYFUNCTION("""COMPUTED_VALUE"""),40462.7055555555)</f>
        <v>40462.705555555498</v>
      </c>
      <c r="P183" s="111">
        <f ca="1">IFERROR(__xludf.DUMMYFUNCTION("""COMPUTED_VALUE"""),53.6)</f>
        <v>53.6</v>
      </c>
      <c r="Q183" s="112">
        <f ca="1">IFERROR(__xludf.DUMMYFUNCTION("""COMPUTED_VALUE"""),40462.7055555555)</f>
        <v>40462.705555555498</v>
      </c>
      <c r="R183" s="111">
        <f ca="1">IFERROR(__xludf.DUMMYFUNCTION("""COMPUTED_VALUE"""),33.4)</f>
        <v>33.4</v>
      </c>
      <c r="S183" s="112">
        <f ca="1">IFERROR(__xludf.DUMMYFUNCTION("""COMPUTED_VALUE"""),40462.7055555555)</f>
        <v>40462.705555555498</v>
      </c>
      <c r="T183" s="111">
        <f ca="1">IFERROR(__xludf.DUMMYFUNCTION("""COMPUTED_VALUE"""),9.62)</f>
        <v>9.6199999999999992</v>
      </c>
    </row>
    <row r="184" spans="1:20" x14ac:dyDescent="0.3">
      <c r="A184" s="112">
        <f ca="1">IFERROR(__xludf.DUMMYFUNCTION("""COMPUTED_VALUE"""),40464.7055555555)</f>
        <v>40464.705555555498</v>
      </c>
      <c r="B184" s="111">
        <f ca="1">IFERROR(__xludf.DUMMYFUNCTION("""COMPUTED_VALUE"""),24.35)</f>
        <v>24.35</v>
      </c>
      <c r="C184" s="112">
        <f ca="1">IFERROR(__xludf.DUMMYFUNCTION("""COMPUTED_VALUE"""),40464.7055555555)</f>
        <v>40464.705555555498</v>
      </c>
      <c r="D184" s="111">
        <f ca="1">IFERROR(__xludf.DUMMYFUNCTION("""COMPUTED_VALUE"""),21.37)</f>
        <v>21.37</v>
      </c>
      <c r="E184" s="112">
        <f ca="1">IFERROR(__xludf.DUMMYFUNCTION("""COMPUTED_VALUE"""),40464.7055555555)</f>
        <v>40464.705555555498</v>
      </c>
      <c r="F184" s="111">
        <f ca="1">IFERROR(__xludf.DUMMYFUNCTION("""COMPUTED_VALUE"""),8.85)</f>
        <v>8.85</v>
      </c>
      <c r="G184" s="112">
        <f ca="1">IFERROR(__xludf.DUMMYFUNCTION("""COMPUTED_VALUE"""),40464.7055555555)</f>
        <v>40464.705555555498</v>
      </c>
      <c r="H184" s="111">
        <f ca="1">IFERROR(__xludf.DUMMYFUNCTION("""COMPUTED_VALUE"""),25.71)</f>
        <v>25.71</v>
      </c>
      <c r="I184" s="112">
        <f ca="1">IFERROR(__xludf.DUMMYFUNCTION("""COMPUTED_VALUE"""),44803.7055555555)</f>
        <v>44803.705555555498</v>
      </c>
      <c r="J184" s="111">
        <f ca="1">IFERROR(__xludf.DUMMYFUNCTION("""COMPUTED_VALUE"""),4.11)</f>
        <v>4.1100000000000003</v>
      </c>
      <c r="K184" s="112">
        <f ca="1">IFERROR(__xludf.DUMMYFUNCTION("""COMPUTED_VALUE"""),40954.7055555555)</f>
        <v>40954.705555555498</v>
      </c>
      <c r="L184" s="111">
        <f ca="1">IFERROR(__xludf.DUMMYFUNCTION("""COMPUTED_VALUE"""),0.32)</f>
        <v>0.32</v>
      </c>
      <c r="M184" s="112">
        <f ca="1">IFERROR(__xludf.DUMMYFUNCTION("""COMPUTED_VALUE"""),40445.7055555555)</f>
        <v>40445.705555555498</v>
      </c>
      <c r="N184" s="111">
        <f ca="1">IFERROR(__xludf.DUMMYFUNCTION("""COMPUTED_VALUE"""),12.61)</f>
        <v>12.61</v>
      </c>
      <c r="O184" s="112">
        <f ca="1">IFERROR(__xludf.DUMMYFUNCTION("""COMPUTED_VALUE"""),40464.7055555555)</f>
        <v>40464.705555555498</v>
      </c>
      <c r="P184" s="111">
        <f ca="1">IFERROR(__xludf.DUMMYFUNCTION("""COMPUTED_VALUE"""),53.55)</f>
        <v>53.55</v>
      </c>
      <c r="Q184" s="112">
        <f ca="1">IFERROR(__xludf.DUMMYFUNCTION("""COMPUTED_VALUE"""),40464.7055555555)</f>
        <v>40464.705555555498</v>
      </c>
      <c r="R184" s="111">
        <f ca="1">IFERROR(__xludf.DUMMYFUNCTION("""COMPUTED_VALUE"""),34.85)</f>
        <v>34.85</v>
      </c>
      <c r="S184" s="112">
        <f ca="1">IFERROR(__xludf.DUMMYFUNCTION("""COMPUTED_VALUE"""),40464.7055555555)</f>
        <v>40464.705555555498</v>
      </c>
      <c r="T184" s="111">
        <f ca="1">IFERROR(__xludf.DUMMYFUNCTION("""COMPUTED_VALUE"""),9.73)</f>
        <v>9.73</v>
      </c>
    </row>
    <row r="185" spans="1:20" x14ac:dyDescent="0.3">
      <c r="A185" s="112">
        <f ca="1">IFERROR(__xludf.DUMMYFUNCTION("""COMPUTED_VALUE"""),40465.7055555555)</f>
        <v>40465.705555555498</v>
      </c>
      <c r="B185" s="111">
        <f ca="1">IFERROR(__xludf.DUMMYFUNCTION("""COMPUTED_VALUE"""),24.67)</f>
        <v>24.67</v>
      </c>
      <c r="C185" s="112">
        <f ca="1">IFERROR(__xludf.DUMMYFUNCTION("""COMPUTED_VALUE"""),40465.7055555555)</f>
        <v>40465.705555555498</v>
      </c>
      <c r="D185" s="111">
        <f ca="1">IFERROR(__xludf.DUMMYFUNCTION("""COMPUTED_VALUE"""),21.21)</f>
        <v>21.21</v>
      </c>
      <c r="E185" s="112">
        <f ca="1">IFERROR(__xludf.DUMMYFUNCTION("""COMPUTED_VALUE"""),40465.7055555555)</f>
        <v>40465.705555555498</v>
      </c>
      <c r="F185" s="111">
        <f ca="1">IFERROR(__xludf.DUMMYFUNCTION("""COMPUTED_VALUE"""),8.85)</f>
        <v>8.85</v>
      </c>
      <c r="G185" s="112">
        <f ca="1">IFERROR(__xludf.DUMMYFUNCTION("""COMPUTED_VALUE"""),40465.7055555555)</f>
        <v>40465.705555555498</v>
      </c>
      <c r="H185" s="111">
        <f ca="1">IFERROR(__xludf.DUMMYFUNCTION("""COMPUTED_VALUE"""),26.44)</f>
        <v>26.44</v>
      </c>
      <c r="I185" s="112">
        <f ca="1">IFERROR(__xludf.DUMMYFUNCTION("""COMPUTED_VALUE"""),44804.7055555555)</f>
        <v>44804.705555555498</v>
      </c>
      <c r="J185" s="111">
        <f ca="1">IFERROR(__xludf.DUMMYFUNCTION("""COMPUTED_VALUE"""),4.18)</f>
        <v>4.18</v>
      </c>
      <c r="K185" s="112">
        <f ca="1">IFERROR(__xludf.DUMMYFUNCTION("""COMPUTED_VALUE"""),40955.7055555555)</f>
        <v>40955.705555555498</v>
      </c>
      <c r="L185" s="111">
        <f ca="1">IFERROR(__xludf.DUMMYFUNCTION("""COMPUTED_VALUE"""),0.31)</f>
        <v>0.31</v>
      </c>
      <c r="M185" s="112">
        <f ca="1">IFERROR(__xludf.DUMMYFUNCTION("""COMPUTED_VALUE"""),40448.7055555555)</f>
        <v>40448.705555555498</v>
      </c>
      <c r="N185" s="111">
        <f ca="1">IFERROR(__xludf.DUMMYFUNCTION("""COMPUTED_VALUE"""),12.75)</f>
        <v>12.75</v>
      </c>
      <c r="O185" s="112">
        <f ca="1">IFERROR(__xludf.DUMMYFUNCTION("""COMPUTED_VALUE"""),40465.7055555555)</f>
        <v>40465.705555555498</v>
      </c>
      <c r="P185" s="111">
        <f ca="1">IFERROR(__xludf.DUMMYFUNCTION("""COMPUTED_VALUE"""),53.75)</f>
        <v>53.75</v>
      </c>
      <c r="Q185" s="112">
        <f ca="1">IFERROR(__xludf.DUMMYFUNCTION("""COMPUTED_VALUE"""),40465.7055555555)</f>
        <v>40465.705555555498</v>
      </c>
      <c r="R185" s="111">
        <f ca="1">IFERROR(__xludf.DUMMYFUNCTION("""COMPUTED_VALUE"""),34.33)</f>
        <v>34.33</v>
      </c>
      <c r="S185" s="112">
        <f ca="1">IFERROR(__xludf.DUMMYFUNCTION("""COMPUTED_VALUE"""),40465.7055555555)</f>
        <v>40465.705555555498</v>
      </c>
      <c r="T185" s="111">
        <f ca="1">IFERROR(__xludf.DUMMYFUNCTION("""COMPUTED_VALUE"""),9.74)</f>
        <v>9.74</v>
      </c>
    </row>
    <row r="186" spans="1:20" x14ac:dyDescent="0.3">
      <c r="A186" s="112">
        <f ca="1">IFERROR(__xludf.DUMMYFUNCTION("""COMPUTED_VALUE"""),40466.7055555555)</f>
        <v>40466.705555555498</v>
      </c>
      <c r="B186" s="111">
        <f ca="1">IFERROR(__xludf.DUMMYFUNCTION("""COMPUTED_VALUE"""),25.76)</f>
        <v>25.76</v>
      </c>
      <c r="C186" s="112">
        <f ca="1">IFERROR(__xludf.DUMMYFUNCTION("""COMPUTED_VALUE"""),40466.7055555555)</f>
        <v>40466.705555555498</v>
      </c>
      <c r="D186" s="111">
        <f ca="1">IFERROR(__xludf.DUMMYFUNCTION("""COMPUTED_VALUE"""),21.42)</f>
        <v>21.42</v>
      </c>
      <c r="E186" s="112">
        <f ca="1">IFERROR(__xludf.DUMMYFUNCTION("""COMPUTED_VALUE"""),40466.7055555555)</f>
        <v>40466.705555555498</v>
      </c>
      <c r="F186" s="111">
        <f ca="1">IFERROR(__xludf.DUMMYFUNCTION("""COMPUTED_VALUE"""),8.91)</f>
        <v>8.91</v>
      </c>
      <c r="G186" s="112">
        <f ca="1">IFERROR(__xludf.DUMMYFUNCTION("""COMPUTED_VALUE"""),40466.7055555555)</f>
        <v>40466.705555555498</v>
      </c>
      <c r="H186" s="111">
        <f ca="1">IFERROR(__xludf.DUMMYFUNCTION("""COMPUTED_VALUE"""),26.29)</f>
        <v>26.29</v>
      </c>
      <c r="I186" s="112">
        <f ca="1">IFERROR(__xludf.DUMMYFUNCTION("""COMPUTED_VALUE"""),44805.7055555555)</f>
        <v>44805.705555555498</v>
      </c>
      <c r="J186" s="111">
        <f ca="1">IFERROR(__xludf.DUMMYFUNCTION("""COMPUTED_VALUE"""),4.21)</f>
        <v>4.21</v>
      </c>
      <c r="K186" s="112">
        <f ca="1">IFERROR(__xludf.DUMMYFUNCTION("""COMPUTED_VALUE"""),40956.7055555555)</f>
        <v>40956.705555555498</v>
      </c>
      <c r="L186" s="111">
        <f ca="1">IFERROR(__xludf.DUMMYFUNCTION("""COMPUTED_VALUE"""),0.32)</f>
        <v>0.32</v>
      </c>
      <c r="M186" s="112">
        <f ca="1">IFERROR(__xludf.DUMMYFUNCTION("""COMPUTED_VALUE"""),40449.7055555555)</f>
        <v>40449.705555555498</v>
      </c>
      <c r="N186" s="111">
        <f ca="1">IFERROR(__xludf.DUMMYFUNCTION("""COMPUTED_VALUE"""),12.76)</f>
        <v>12.76</v>
      </c>
      <c r="O186" s="112">
        <f ca="1">IFERROR(__xludf.DUMMYFUNCTION("""COMPUTED_VALUE"""),40466.7055555555)</f>
        <v>40466.705555555498</v>
      </c>
      <c r="P186" s="111">
        <f ca="1">IFERROR(__xludf.DUMMYFUNCTION("""COMPUTED_VALUE"""),53.35)</f>
        <v>53.35</v>
      </c>
      <c r="Q186" s="112">
        <f ca="1">IFERROR(__xludf.DUMMYFUNCTION("""COMPUTED_VALUE"""),40466.7055555555)</f>
        <v>40466.705555555498</v>
      </c>
      <c r="R186" s="111">
        <f ca="1">IFERROR(__xludf.DUMMYFUNCTION("""COMPUTED_VALUE"""),34.8)</f>
        <v>34.799999999999997</v>
      </c>
      <c r="S186" s="112">
        <f ca="1">IFERROR(__xludf.DUMMYFUNCTION("""COMPUTED_VALUE"""),40466.7055555555)</f>
        <v>40466.705555555498</v>
      </c>
      <c r="T186" s="111">
        <f ca="1">IFERROR(__xludf.DUMMYFUNCTION("""COMPUTED_VALUE"""),9.56)</f>
        <v>9.56</v>
      </c>
    </row>
    <row r="187" spans="1:20" x14ac:dyDescent="0.3">
      <c r="A187" s="112">
        <f ca="1">IFERROR(__xludf.DUMMYFUNCTION("""COMPUTED_VALUE"""),40469.7055555555)</f>
        <v>40469.705555555498</v>
      </c>
      <c r="B187" s="111">
        <f ca="1">IFERROR(__xludf.DUMMYFUNCTION("""COMPUTED_VALUE"""),24.13)</f>
        <v>24.13</v>
      </c>
      <c r="C187" s="112">
        <f ca="1">IFERROR(__xludf.DUMMYFUNCTION("""COMPUTED_VALUE"""),40469.7055555555)</f>
        <v>40469.705555555498</v>
      </c>
      <c r="D187" s="111">
        <f ca="1">IFERROR(__xludf.DUMMYFUNCTION("""COMPUTED_VALUE"""),21.54)</f>
        <v>21.54</v>
      </c>
      <c r="E187" s="112">
        <f ca="1">IFERROR(__xludf.DUMMYFUNCTION("""COMPUTED_VALUE"""),40469.7055555555)</f>
        <v>40469.705555555498</v>
      </c>
      <c r="F187" s="111">
        <f ca="1">IFERROR(__xludf.DUMMYFUNCTION("""COMPUTED_VALUE"""),8.91)</f>
        <v>8.91</v>
      </c>
      <c r="G187" s="112">
        <f ca="1">IFERROR(__xludf.DUMMYFUNCTION("""COMPUTED_VALUE"""),40469.7055555555)</f>
        <v>40469.705555555498</v>
      </c>
      <c r="H187" s="111">
        <f ca="1">IFERROR(__xludf.DUMMYFUNCTION("""COMPUTED_VALUE"""),26.4)</f>
        <v>26.4</v>
      </c>
      <c r="I187" s="112">
        <f ca="1">IFERROR(__xludf.DUMMYFUNCTION("""COMPUTED_VALUE"""),44806.7055555555)</f>
        <v>44806.705555555498</v>
      </c>
      <c r="J187" s="111">
        <f ca="1">IFERROR(__xludf.DUMMYFUNCTION("""COMPUTED_VALUE"""),4.2)</f>
        <v>4.2</v>
      </c>
      <c r="K187" s="112">
        <f ca="1">IFERROR(__xludf.DUMMYFUNCTION("""COMPUTED_VALUE"""),40961.7055555555)</f>
        <v>40961.705555555498</v>
      </c>
      <c r="L187" s="111">
        <f ca="1">IFERROR(__xludf.DUMMYFUNCTION("""COMPUTED_VALUE"""),0.33)</f>
        <v>0.33</v>
      </c>
      <c r="M187" s="112">
        <f ca="1">IFERROR(__xludf.DUMMYFUNCTION("""COMPUTED_VALUE"""),40450.7055555555)</f>
        <v>40450.705555555498</v>
      </c>
      <c r="N187" s="111">
        <f ca="1">IFERROR(__xludf.DUMMYFUNCTION("""COMPUTED_VALUE"""),13.12)</f>
        <v>13.12</v>
      </c>
      <c r="O187" s="112">
        <f ca="1">IFERROR(__xludf.DUMMYFUNCTION("""COMPUTED_VALUE"""),40469.7055555555)</f>
        <v>40469.705555555498</v>
      </c>
      <c r="P187" s="111">
        <f ca="1">IFERROR(__xludf.DUMMYFUNCTION("""COMPUTED_VALUE"""),54.5)</f>
        <v>54.5</v>
      </c>
      <c r="Q187" s="112">
        <f ca="1">IFERROR(__xludf.DUMMYFUNCTION("""COMPUTED_VALUE"""),40469.7055555555)</f>
        <v>40469.705555555498</v>
      </c>
      <c r="R187" s="111">
        <f ca="1">IFERROR(__xludf.DUMMYFUNCTION("""COMPUTED_VALUE"""),34.5)</f>
        <v>34.5</v>
      </c>
      <c r="S187" s="112">
        <f ca="1">IFERROR(__xludf.DUMMYFUNCTION("""COMPUTED_VALUE"""),40469.7055555555)</f>
        <v>40469.705555555498</v>
      </c>
      <c r="T187" s="111">
        <f ca="1">IFERROR(__xludf.DUMMYFUNCTION("""COMPUTED_VALUE"""),9.32)</f>
        <v>9.32</v>
      </c>
    </row>
    <row r="188" spans="1:20" x14ac:dyDescent="0.3">
      <c r="A188" s="112">
        <f ca="1">IFERROR(__xludf.DUMMYFUNCTION("""COMPUTED_VALUE"""),40470.7055555555)</f>
        <v>40470.705555555498</v>
      </c>
      <c r="B188" s="111">
        <f ca="1">IFERROR(__xludf.DUMMYFUNCTION("""COMPUTED_VALUE"""),23.94)</f>
        <v>23.94</v>
      </c>
      <c r="C188" s="112">
        <f ca="1">IFERROR(__xludf.DUMMYFUNCTION("""COMPUTED_VALUE"""),40470.7055555555)</f>
        <v>40470.705555555498</v>
      </c>
      <c r="D188" s="111">
        <f ca="1">IFERROR(__xludf.DUMMYFUNCTION("""COMPUTED_VALUE"""),21.11)</f>
        <v>21.11</v>
      </c>
      <c r="E188" s="112">
        <f ca="1">IFERROR(__xludf.DUMMYFUNCTION("""COMPUTED_VALUE"""),40470.7055555555)</f>
        <v>40470.705555555498</v>
      </c>
      <c r="F188" s="111">
        <f ca="1">IFERROR(__xludf.DUMMYFUNCTION("""COMPUTED_VALUE"""),8.8)</f>
        <v>8.8000000000000007</v>
      </c>
      <c r="G188" s="112">
        <f ca="1">IFERROR(__xludf.DUMMYFUNCTION("""COMPUTED_VALUE"""),40470.7055555555)</f>
        <v>40470.705555555498</v>
      </c>
      <c r="H188" s="111">
        <f ca="1">IFERROR(__xludf.DUMMYFUNCTION("""COMPUTED_VALUE"""),25.28)</f>
        <v>25.28</v>
      </c>
      <c r="I188" s="112">
        <f ca="1">IFERROR(__xludf.DUMMYFUNCTION("""COMPUTED_VALUE"""),44809.7055555555)</f>
        <v>44809.705555555498</v>
      </c>
      <c r="J188" s="111">
        <f ca="1">IFERROR(__xludf.DUMMYFUNCTION("""COMPUTED_VALUE"""),4.3)</f>
        <v>4.3</v>
      </c>
      <c r="K188" s="112">
        <f ca="1">IFERROR(__xludf.DUMMYFUNCTION("""COMPUTED_VALUE"""),40962.7055555555)</f>
        <v>40962.705555555498</v>
      </c>
      <c r="L188" s="111">
        <f ca="1">IFERROR(__xludf.DUMMYFUNCTION("""COMPUTED_VALUE"""),0.35)</f>
        <v>0.35</v>
      </c>
      <c r="M188" s="112">
        <f ca="1">IFERROR(__xludf.DUMMYFUNCTION("""COMPUTED_VALUE"""),40451.7055555555)</f>
        <v>40451.705555555498</v>
      </c>
      <c r="N188" s="111">
        <f ca="1">IFERROR(__xludf.DUMMYFUNCTION("""COMPUTED_VALUE"""),13.25)</f>
        <v>13.25</v>
      </c>
      <c r="O188" s="112">
        <f ca="1">IFERROR(__xludf.DUMMYFUNCTION("""COMPUTED_VALUE"""),40470.7055555555)</f>
        <v>40470.705555555498</v>
      </c>
      <c r="P188" s="111">
        <f ca="1">IFERROR(__xludf.DUMMYFUNCTION("""COMPUTED_VALUE"""),53.2)</f>
        <v>53.2</v>
      </c>
      <c r="Q188" s="112">
        <f ca="1">IFERROR(__xludf.DUMMYFUNCTION("""COMPUTED_VALUE"""),40470.7055555555)</f>
        <v>40470.705555555498</v>
      </c>
      <c r="R188" s="111">
        <f ca="1">IFERROR(__xludf.DUMMYFUNCTION("""COMPUTED_VALUE"""),33.91)</f>
        <v>33.909999999999997</v>
      </c>
      <c r="S188" s="112">
        <f ca="1">IFERROR(__xludf.DUMMYFUNCTION("""COMPUTED_VALUE"""),40470.7055555555)</f>
        <v>40470.705555555498</v>
      </c>
      <c r="T188" s="111">
        <f ca="1">IFERROR(__xludf.DUMMYFUNCTION("""COMPUTED_VALUE"""),9.29)</f>
        <v>9.2899999999999991</v>
      </c>
    </row>
    <row r="189" spans="1:20" x14ac:dyDescent="0.3">
      <c r="A189" s="112">
        <f ca="1">IFERROR(__xludf.DUMMYFUNCTION("""COMPUTED_VALUE"""),40471.7055555555)</f>
        <v>40471.705555555498</v>
      </c>
      <c r="B189" s="111">
        <f ca="1">IFERROR(__xludf.DUMMYFUNCTION("""COMPUTED_VALUE"""),24.43)</f>
        <v>24.43</v>
      </c>
      <c r="C189" s="112">
        <f ca="1">IFERROR(__xludf.DUMMYFUNCTION("""COMPUTED_VALUE"""),40471.7055555555)</f>
        <v>40471.705555555498</v>
      </c>
      <c r="D189" s="111">
        <f ca="1">IFERROR(__xludf.DUMMYFUNCTION("""COMPUTED_VALUE"""),21.31)</f>
        <v>21.31</v>
      </c>
      <c r="E189" s="112">
        <f ca="1">IFERROR(__xludf.DUMMYFUNCTION("""COMPUTED_VALUE"""),40471.7055555555)</f>
        <v>40471.705555555498</v>
      </c>
      <c r="F189" s="111">
        <f ca="1">IFERROR(__xludf.DUMMYFUNCTION("""COMPUTED_VALUE"""),8.86)</f>
        <v>8.86</v>
      </c>
      <c r="G189" s="112">
        <f ca="1">IFERROR(__xludf.DUMMYFUNCTION("""COMPUTED_VALUE"""),40471.7055555555)</f>
        <v>40471.705555555498</v>
      </c>
      <c r="H189" s="111">
        <f ca="1">IFERROR(__xludf.DUMMYFUNCTION("""COMPUTED_VALUE"""),24.99)</f>
        <v>24.99</v>
      </c>
      <c r="I189" s="112">
        <f ca="1">IFERROR(__xludf.DUMMYFUNCTION("""COMPUTED_VALUE"""),44810.7055555555)</f>
        <v>44810.705555555498</v>
      </c>
      <c r="J189" s="111">
        <f ca="1">IFERROR(__xludf.DUMMYFUNCTION("""COMPUTED_VALUE"""),4.11)</f>
        <v>4.1100000000000003</v>
      </c>
      <c r="K189" s="112">
        <f ca="1">IFERROR(__xludf.DUMMYFUNCTION("""COMPUTED_VALUE"""),40963.7055555555)</f>
        <v>40963.705555555498</v>
      </c>
      <c r="L189" s="111">
        <f ca="1">IFERROR(__xludf.DUMMYFUNCTION("""COMPUTED_VALUE"""),0.37)</f>
        <v>0.37</v>
      </c>
      <c r="M189" s="112">
        <f ca="1">IFERROR(__xludf.DUMMYFUNCTION("""COMPUTED_VALUE"""),40452.7055555555)</f>
        <v>40452.705555555498</v>
      </c>
      <c r="N189" s="111">
        <f ca="1">IFERROR(__xludf.DUMMYFUNCTION("""COMPUTED_VALUE"""),13.39)</f>
        <v>13.39</v>
      </c>
      <c r="O189" s="112">
        <f ca="1">IFERROR(__xludf.DUMMYFUNCTION("""COMPUTED_VALUE"""),40471.7055555555)</f>
        <v>40471.705555555498</v>
      </c>
      <c r="P189" s="111">
        <f ca="1">IFERROR(__xludf.DUMMYFUNCTION("""COMPUTED_VALUE"""),54.78)</f>
        <v>54.78</v>
      </c>
      <c r="Q189" s="112">
        <f ca="1">IFERROR(__xludf.DUMMYFUNCTION("""COMPUTED_VALUE"""),40471.7055555555)</f>
        <v>40471.705555555498</v>
      </c>
      <c r="R189" s="111">
        <f ca="1">IFERROR(__xludf.DUMMYFUNCTION("""COMPUTED_VALUE"""),34.4)</f>
        <v>34.4</v>
      </c>
      <c r="S189" s="112">
        <f ca="1">IFERROR(__xludf.DUMMYFUNCTION("""COMPUTED_VALUE"""),40471.7055555555)</f>
        <v>40471.705555555498</v>
      </c>
      <c r="T189" s="111">
        <f ca="1">IFERROR(__xludf.DUMMYFUNCTION("""COMPUTED_VALUE"""),9.62)</f>
        <v>9.6199999999999992</v>
      </c>
    </row>
    <row r="190" spans="1:20" x14ac:dyDescent="0.3">
      <c r="A190" s="112">
        <f ca="1">IFERROR(__xludf.DUMMYFUNCTION("""COMPUTED_VALUE"""),40472.7055555555)</f>
        <v>40472.705555555498</v>
      </c>
      <c r="B190" s="111">
        <f ca="1">IFERROR(__xludf.DUMMYFUNCTION("""COMPUTED_VALUE"""),23.47)</f>
        <v>23.47</v>
      </c>
      <c r="C190" s="112">
        <f ca="1">IFERROR(__xludf.DUMMYFUNCTION("""COMPUTED_VALUE"""),40472.7055555555)</f>
        <v>40472.705555555498</v>
      </c>
      <c r="D190" s="111">
        <f ca="1">IFERROR(__xludf.DUMMYFUNCTION("""COMPUTED_VALUE"""),21.04)</f>
        <v>21.04</v>
      </c>
      <c r="E190" s="112">
        <f ca="1">IFERROR(__xludf.DUMMYFUNCTION("""COMPUTED_VALUE"""),40472.7055555555)</f>
        <v>40472.705555555498</v>
      </c>
      <c r="F190" s="111">
        <f ca="1">IFERROR(__xludf.DUMMYFUNCTION("""COMPUTED_VALUE"""),8.82)</f>
        <v>8.82</v>
      </c>
      <c r="G190" s="112">
        <f ca="1">IFERROR(__xludf.DUMMYFUNCTION("""COMPUTED_VALUE"""),40472.7055555555)</f>
        <v>40472.705555555498</v>
      </c>
      <c r="H190" s="111">
        <f ca="1">IFERROR(__xludf.DUMMYFUNCTION("""COMPUTED_VALUE"""),24.16)</f>
        <v>24.16</v>
      </c>
      <c r="I190" s="112">
        <f ca="1">IFERROR(__xludf.DUMMYFUNCTION("""COMPUTED_VALUE"""),44812.7055555555)</f>
        <v>44812.705555555498</v>
      </c>
      <c r="J190" s="111">
        <f ca="1">IFERROR(__xludf.DUMMYFUNCTION("""COMPUTED_VALUE"""),4.4)</f>
        <v>4.4000000000000004</v>
      </c>
      <c r="K190" s="112">
        <f ca="1">IFERROR(__xludf.DUMMYFUNCTION("""COMPUTED_VALUE"""),40966.7055555555)</f>
        <v>40966.705555555498</v>
      </c>
      <c r="L190" s="111">
        <f ca="1">IFERROR(__xludf.DUMMYFUNCTION("""COMPUTED_VALUE"""),0.37)</f>
        <v>0.37</v>
      </c>
      <c r="M190" s="112">
        <f ca="1">IFERROR(__xludf.DUMMYFUNCTION("""COMPUTED_VALUE"""),40455.7055555555)</f>
        <v>40455.705555555498</v>
      </c>
      <c r="N190" s="111">
        <f ca="1">IFERROR(__xludf.DUMMYFUNCTION("""COMPUTED_VALUE"""),13.33)</f>
        <v>13.33</v>
      </c>
      <c r="O190" s="112">
        <f ca="1">IFERROR(__xludf.DUMMYFUNCTION("""COMPUTED_VALUE"""),40472.7055555555)</f>
        <v>40472.705555555498</v>
      </c>
      <c r="P190" s="111">
        <f ca="1">IFERROR(__xludf.DUMMYFUNCTION("""COMPUTED_VALUE"""),53.9)</f>
        <v>53.9</v>
      </c>
      <c r="Q190" s="112">
        <f ca="1">IFERROR(__xludf.DUMMYFUNCTION("""COMPUTED_VALUE"""),40472.7055555555)</f>
        <v>40472.705555555498</v>
      </c>
      <c r="R190" s="111">
        <f ca="1">IFERROR(__xludf.DUMMYFUNCTION("""COMPUTED_VALUE"""),33.52)</f>
        <v>33.520000000000003</v>
      </c>
      <c r="S190" s="112">
        <f ca="1">IFERROR(__xludf.DUMMYFUNCTION("""COMPUTED_VALUE"""),40472.7055555555)</f>
        <v>40472.705555555498</v>
      </c>
      <c r="T190" s="111">
        <f ca="1">IFERROR(__xludf.DUMMYFUNCTION("""COMPUTED_VALUE"""),9.46)</f>
        <v>9.4600000000000009</v>
      </c>
    </row>
    <row r="191" spans="1:20" x14ac:dyDescent="0.3">
      <c r="A191" s="112">
        <f ca="1">IFERROR(__xludf.DUMMYFUNCTION("""COMPUTED_VALUE"""),40473.7055555555)</f>
        <v>40473.705555555498</v>
      </c>
      <c r="B191" s="111">
        <f ca="1">IFERROR(__xludf.DUMMYFUNCTION("""COMPUTED_VALUE"""),23.24)</f>
        <v>23.24</v>
      </c>
      <c r="C191" s="112">
        <f ca="1">IFERROR(__xludf.DUMMYFUNCTION("""COMPUTED_VALUE"""),40473.7055555555)</f>
        <v>40473.705555555498</v>
      </c>
      <c r="D191" s="111">
        <f ca="1">IFERROR(__xludf.DUMMYFUNCTION("""COMPUTED_VALUE"""),21.23)</f>
        <v>21.23</v>
      </c>
      <c r="E191" s="112">
        <f ca="1">IFERROR(__xludf.DUMMYFUNCTION("""COMPUTED_VALUE"""),40473.7055555555)</f>
        <v>40473.705555555498</v>
      </c>
      <c r="F191" s="111">
        <f ca="1">IFERROR(__xludf.DUMMYFUNCTION("""COMPUTED_VALUE"""),8.82)</f>
        <v>8.82</v>
      </c>
      <c r="G191" s="112">
        <f ca="1">IFERROR(__xludf.DUMMYFUNCTION("""COMPUTED_VALUE"""),40473.7055555555)</f>
        <v>40473.705555555498</v>
      </c>
      <c r="H191" s="111">
        <f ca="1">IFERROR(__xludf.DUMMYFUNCTION("""COMPUTED_VALUE"""),24.21)</f>
        <v>24.21</v>
      </c>
      <c r="I191" s="112">
        <f ca="1">IFERROR(__xludf.DUMMYFUNCTION("""COMPUTED_VALUE"""),44813.7055555555)</f>
        <v>44813.705555555498</v>
      </c>
      <c r="J191" s="111">
        <f ca="1">IFERROR(__xludf.DUMMYFUNCTION("""COMPUTED_VALUE"""),4.6)</f>
        <v>4.5999999999999996</v>
      </c>
      <c r="K191" s="112">
        <f ca="1">IFERROR(__xludf.DUMMYFUNCTION("""COMPUTED_VALUE"""),40967.7055555555)</f>
        <v>40967.705555555498</v>
      </c>
      <c r="L191" s="111">
        <f ca="1">IFERROR(__xludf.DUMMYFUNCTION("""COMPUTED_VALUE"""),0.37)</f>
        <v>0.37</v>
      </c>
      <c r="M191" s="112">
        <f ca="1">IFERROR(__xludf.DUMMYFUNCTION("""COMPUTED_VALUE"""),40456.7055555555)</f>
        <v>40456.705555555498</v>
      </c>
      <c r="N191" s="111">
        <f ca="1">IFERROR(__xludf.DUMMYFUNCTION("""COMPUTED_VALUE"""),13.66)</f>
        <v>13.66</v>
      </c>
      <c r="O191" s="112">
        <f ca="1">IFERROR(__xludf.DUMMYFUNCTION("""COMPUTED_VALUE"""),40473.7055555555)</f>
        <v>40473.705555555498</v>
      </c>
      <c r="P191" s="111">
        <f ca="1">IFERROR(__xludf.DUMMYFUNCTION("""COMPUTED_VALUE"""),53.95)</f>
        <v>53.95</v>
      </c>
      <c r="Q191" s="112">
        <f ca="1">IFERROR(__xludf.DUMMYFUNCTION("""COMPUTED_VALUE"""),40473.7055555555)</f>
        <v>40473.705555555498</v>
      </c>
      <c r="R191" s="111">
        <f ca="1">IFERROR(__xludf.DUMMYFUNCTION("""COMPUTED_VALUE"""),33.57)</f>
        <v>33.57</v>
      </c>
      <c r="S191" s="112">
        <f ca="1">IFERROR(__xludf.DUMMYFUNCTION("""COMPUTED_VALUE"""),40473.7055555555)</f>
        <v>40473.705555555498</v>
      </c>
      <c r="T191" s="111">
        <f ca="1">IFERROR(__xludf.DUMMYFUNCTION("""COMPUTED_VALUE"""),9.68)</f>
        <v>9.68</v>
      </c>
    </row>
    <row r="192" spans="1:20" x14ac:dyDescent="0.3">
      <c r="A192" s="112">
        <f ca="1">IFERROR(__xludf.DUMMYFUNCTION("""COMPUTED_VALUE"""),40476.7055555555)</f>
        <v>40476.705555555498</v>
      </c>
      <c r="B192" s="111">
        <f ca="1">IFERROR(__xludf.DUMMYFUNCTION("""COMPUTED_VALUE"""),22.94)</f>
        <v>22.94</v>
      </c>
      <c r="C192" s="112">
        <f ca="1">IFERROR(__xludf.DUMMYFUNCTION("""COMPUTED_VALUE"""),40476.7055555555)</f>
        <v>40476.705555555498</v>
      </c>
      <c r="D192" s="111">
        <f ca="1">IFERROR(__xludf.DUMMYFUNCTION("""COMPUTED_VALUE"""),21.29)</f>
        <v>21.29</v>
      </c>
      <c r="E192" s="112">
        <f ca="1">IFERROR(__xludf.DUMMYFUNCTION("""COMPUTED_VALUE"""),40476.7055555555)</f>
        <v>40476.705555555498</v>
      </c>
      <c r="F192" s="111">
        <f ca="1">IFERROR(__xludf.DUMMYFUNCTION("""COMPUTED_VALUE"""),8.76)</f>
        <v>8.76</v>
      </c>
      <c r="G192" s="112">
        <f ca="1">IFERROR(__xludf.DUMMYFUNCTION("""COMPUTED_VALUE"""),40476.7055555555)</f>
        <v>40476.705555555498</v>
      </c>
      <c r="H192" s="111">
        <f ca="1">IFERROR(__xludf.DUMMYFUNCTION("""COMPUTED_VALUE"""),24.57)</f>
        <v>24.57</v>
      </c>
      <c r="I192" s="112">
        <f ca="1">IFERROR(__xludf.DUMMYFUNCTION("""COMPUTED_VALUE"""),44816.7055555555)</f>
        <v>44816.705555555498</v>
      </c>
      <c r="J192" s="111">
        <f ca="1">IFERROR(__xludf.DUMMYFUNCTION("""COMPUTED_VALUE"""),4.64)</f>
        <v>4.6399999999999997</v>
      </c>
      <c r="K192" s="112">
        <f ca="1">IFERROR(__xludf.DUMMYFUNCTION("""COMPUTED_VALUE"""),40968.7055555555)</f>
        <v>40968.705555555498</v>
      </c>
      <c r="L192" s="111">
        <f ca="1">IFERROR(__xludf.DUMMYFUNCTION("""COMPUTED_VALUE"""),0.37)</f>
        <v>0.37</v>
      </c>
      <c r="M192" s="112">
        <f ca="1">IFERROR(__xludf.DUMMYFUNCTION("""COMPUTED_VALUE"""),40457.7055555555)</f>
        <v>40457.705555555498</v>
      </c>
      <c r="N192" s="111">
        <f ca="1">IFERROR(__xludf.DUMMYFUNCTION("""COMPUTED_VALUE"""),13.61)</f>
        <v>13.61</v>
      </c>
      <c r="O192" s="112">
        <f ca="1">IFERROR(__xludf.DUMMYFUNCTION("""COMPUTED_VALUE"""),40476.7055555555)</f>
        <v>40476.705555555498</v>
      </c>
      <c r="P192" s="111">
        <f ca="1">IFERROR(__xludf.DUMMYFUNCTION("""COMPUTED_VALUE"""),54.4)</f>
        <v>54.4</v>
      </c>
      <c r="Q192" s="112">
        <f ca="1">IFERROR(__xludf.DUMMYFUNCTION("""COMPUTED_VALUE"""),40476.7055555555)</f>
        <v>40476.705555555498</v>
      </c>
      <c r="R192" s="111">
        <f ca="1">IFERROR(__xludf.DUMMYFUNCTION("""COMPUTED_VALUE"""),33.75)</f>
        <v>33.75</v>
      </c>
      <c r="S192" s="112">
        <f ca="1">IFERROR(__xludf.DUMMYFUNCTION("""COMPUTED_VALUE"""),40476.7055555555)</f>
        <v>40476.705555555498</v>
      </c>
      <c r="T192" s="111">
        <f ca="1">IFERROR(__xludf.DUMMYFUNCTION("""COMPUTED_VALUE"""),9.54)</f>
        <v>9.5399999999999991</v>
      </c>
    </row>
    <row r="193" spans="1:20" x14ac:dyDescent="0.3">
      <c r="A193" s="112">
        <f ca="1">IFERROR(__xludf.DUMMYFUNCTION("""COMPUTED_VALUE"""),40477.7055555555)</f>
        <v>40477.705555555498</v>
      </c>
      <c r="B193" s="111">
        <f ca="1">IFERROR(__xludf.DUMMYFUNCTION("""COMPUTED_VALUE"""),24.17)</f>
        <v>24.17</v>
      </c>
      <c r="C193" s="112">
        <f ca="1">IFERROR(__xludf.DUMMYFUNCTION("""COMPUTED_VALUE"""),40477.7055555555)</f>
        <v>40477.705555555498</v>
      </c>
      <c r="D193" s="111">
        <f ca="1">IFERROR(__xludf.DUMMYFUNCTION("""COMPUTED_VALUE"""),21.24)</f>
        <v>21.24</v>
      </c>
      <c r="E193" s="112">
        <f ca="1">IFERROR(__xludf.DUMMYFUNCTION("""COMPUTED_VALUE"""),40477.7055555555)</f>
        <v>40477.705555555498</v>
      </c>
      <c r="F193" s="111">
        <f ca="1">IFERROR(__xludf.DUMMYFUNCTION("""COMPUTED_VALUE"""),8.81)</f>
        <v>8.81</v>
      </c>
      <c r="G193" s="112">
        <f ca="1">IFERROR(__xludf.DUMMYFUNCTION("""COMPUTED_VALUE"""),40477.7055555555)</f>
        <v>40477.705555555498</v>
      </c>
      <c r="H193" s="111">
        <f ca="1">IFERROR(__xludf.DUMMYFUNCTION("""COMPUTED_VALUE"""),25.85)</f>
        <v>25.85</v>
      </c>
      <c r="I193" s="112">
        <f ca="1">IFERROR(__xludf.DUMMYFUNCTION("""COMPUTED_VALUE"""),44817.7055555555)</f>
        <v>44817.705555555498</v>
      </c>
      <c r="J193" s="111">
        <f ca="1">IFERROR(__xludf.DUMMYFUNCTION("""COMPUTED_VALUE"""),4.55)</f>
        <v>4.55</v>
      </c>
      <c r="K193" s="112">
        <f ca="1">IFERROR(__xludf.DUMMYFUNCTION("""COMPUTED_VALUE"""),40970.7055555555)</f>
        <v>40970.705555555498</v>
      </c>
      <c r="L193" s="111">
        <f ca="1">IFERROR(__xludf.DUMMYFUNCTION("""COMPUTED_VALUE"""),0.37)</f>
        <v>0.37</v>
      </c>
      <c r="M193" s="112">
        <f ca="1">IFERROR(__xludf.DUMMYFUNCTION("""COMPUTED_VALUE"""),40458.7055555555)</f>
        <v>40458.705555555498</v>
      </c>
      <c r="N193" s="111">
        <f ca="1">IFERROR(__xludf.DUMMYFUNCTION("""COMPUTED_VALUE"""),13.6)</f>
        <v>13.6</v>
      </c>
      <c r="O193" s="112">
        <f ca="1">IFERROR(__xludf.DUMMYFUNCTION("""COMPUTED_VALUE"""),40477.7055555555)</f>
        <v>40477.705555555498</v>
      </c>
      <c r="P193" s="111">
        <f ca="1">IFERROR(__xludf.DUMMYFUNCTION("""COMPUTED_VALUE"""),55.2)</f>
        <v>55.2</v>
      </c>
      <c r="Q193" s="112">
        <f ca="1">IFERROR(__xludf.DUMMYFUNCTION("""COMPUTED_VALUE"""),40477.7055555555)</f>
        <v>40477.705555555498</v>
      </c>
      <c r="R193" s="111">
        <f ca="1">IFERROR(__xludf.DUMMYFUNCTION("""COMPUTED_VALUE"""),34.1)</f>
        <v>34.1</v>
      </c>
      <c r="S193" s="112">
        <f ca="1">IFERROR(__xludf.DUMMYFUNCTION("""COMPUTED_VALUE"""),40477.7055555555)</f>
        <v>40477.705555555498</v>
      </c>
      <c r="T193" s="111">
        <f ca="1">IFERROR(__xludf.DUMMYFUNCTION("""COMPUTED_VALUE"""),9.35)</f>
        <v>9.35</v>
      </c>
    </row>
    <row r="194" spans="1:20" x14ac:dyDescent="0.3">
      <c r="A194" s="112">
        <f ca="1">IFERROR(__xludf.DUMMYFUNCTION("""COMPUTED_VALUE"""),40478.7055555555)</f>
        <v>40478.705555555498</v>
      </c>
      <c r="B194" s="111">
        <f ca="1">IFERROR(__xludf.DUMMYFUNCTION("""COMPUTED_VALUE"""),23.65)</f>
        <v>23.65</v>
      </c>
      <c r="C194" s="112">
        <f ca="1">IFERROR(__xludf.DUMMYFUNCTION("""COMPUTED_VALUE"""),40478.7055555555)</f>
        <v>40478.705555555498</v>
      </c>
      <c r="D194" s="111">
        <f ca="1">IFERROR(__xludf.DUMMYFUNCTION("""COMPUTED_VALUE"""),20.81)</f>
        <v>20.81</v>
      </c>
      <c r="E194" s="112">
        <f ca="1">IFERROR(__xludf.DUMMYFUNCTION("""COMPUTED_VALUE"""),40478.7055555555)</f>
        <v>40478.705555555498</v>
      </c>
      <c r="F194" s="111">
        <f ca="1">IFERROR(__xludf.DUMMYFUNCTION("""COMPUTED_VALUE"""),8.68)</f>
        <v>8.68</v>
      </c>
      <c r="G194" s="112">
        <f ca="1">IFERROR(__xludf.DUMMYFUNCTION("""COMPUTED_VALUE"""),40478.7055555555)</f>
        <v>40478.705555555498</v>
      </c>
      <c r="H194" s="111">
        <f ca="1">IFERROR(__xludf.DUMMYFUNCTION("""COMPUTED_VALUE"""),26.19)</f>
        <v>26.19</v>
      </c>
      <c r="I194" s="112">
        <f ca="1">IFERROR(__xludf.DUMMYFUNCTION("""COMPUTED_VALUE"""),44818.7055555555)</f>
        <v>44818.705555555498</v>
      </c>
      <c r="J194" s="111">
        <f ca="1">IFERROR(__xludf.DUMMYFUNCTION("""COMPUTED_VALUE"""),4.6)</f>
        <v>4.5999999999999996</v>
      </c>
      <c r="K194" s="112">
        <f ca="1">IFERROR(__xludf.DUMMYFUNCTION("""COMPUTED_VALUE"""),40973.7055555555)</f>
        <v>40973.705555555498</v>
      </c>
      <c r="L194" s="111">
        <f ca="1">IFERROR(__xludf.DUMMYFUNCTION("""COMPUTED_VALUE"""),0.37)</f>
        <v>0.37</v>
      </c>
      <c r="M194" s="112">
        <f ca="1">IFERROR(__xludf.DUMMYFUNCTION("""COMPUTED_VALUE"""),40459.7055555555)</f>
        <v>40459.705555555498</v>
      </c>
      <c r="N194" s="111">
        <f ca="1">IFERROR(__xludf.DUMMYFUNCTION("""COMPUTED_VALUE"""),13.91)</f>
        <v>13.91</v>
      </c>
      <c r="O194" s="112">
        <f ca="1">IFERROR(__xludf.DUMMYFUNCTION("""COMPUTED_VALUE"""),40478.7055555555)</f>
        <v>40478.705555555498</v>
      </c>
      <c r="P194" s="111">
        <f ca="1">IFERROR(__xludf.DUMMYFUNCTION("""COMPUTED_VALUE"""),54.65)</f>
        <v>54.65</v>
      </c>
      <c r="Q194" s="112">
        <f ca="1">IFERROR(__xludf.DUMMYFUNCTION("""COMPUTED_VALUE"""),40478.7055555555)</f>
        <v>40478.705555555498</v>
      </c>
      <c r="R194" s="111">
        <f ca="1">IFERROR(__xludf.DUMMYFUNCTION("""COMPUTED_VALUE"""),33.85)</f>
        <v>33.85</v>
      </c>
      <c r="S194" s="112">
        <f ca="1">IFERROR(__xludf.DUMMYFUNCTION("""COMPUTED_VALUE"""),40478.7055555555)</f>
        <v>40478.705555555498</v>
      </c>
      <c r="T194" s="111">
        <f ca="1">IFERROR(__xludf.DUMMYFUNCTION("""COMPUTED_VALUE"""),9.35)</f>
        <v>9.35</v>
      </c>
    </row>
    <row r="195" spans="1:20" x14ac:dyDescent="0.3">
      <c r="A195" s="112">
        <f ca="1">IFERROR(__xludf.DUMMYFUNCTION("""COMPUTED_VALUE"""),40479.7055555555)</f>
        <v>40479.705555555498</v>
      </c>
      <c r="B195" s="111">
        <f ca="1">IFERROR(__xludf.DUMMYFUNCTION("""COMPUTED_VALUE"""),23.05)</f>
        <v>23.05</v>
      </c>
      <c r="C195" s="112">
        <f ca="1">IFERROR(__xludf.DUMMYFUNCTION("""COMPUTED_VALUE"""),40479.7055555555)</f>
        <v>40479.705555555498</v>
      </c>
      <c r="D195" s="111">
        <f ca="1">IFERROR(__xludf.DUMMYFUNCTION("""COMPUTED_VALUE"""),20.61)</f>
        <v>20.61</v>
      </c>
      <c r="E195" s="112">
        <f ca="1">IFERROR(__xludf.DUMMYFUNCTION("""COMPUTED_VALUE"""),40479.7055555555)</f>
        <v>40479.705555555498</v>
      </c>
      <c r="F195" s="111">
        <f ca="1">IFERROR(__xludf.DUMMYFUNCTION("""COMPUTED_VALUE"""),8.62)</f>
        <v>8.6199999999999992</v>
      </c>
      <c r="G195" s="112">
        <f ca="1">IFERROR(__xludf.DUMMYFUNCTION("""COMPUTED_VALUE"""),40479.7055555555)</f>
        <v>40479.705555555498</v>
      </c>
      <c r="H195" s="111">
        <f ca="1">IFERROR(__xludf.DUMMYFUNCTION("""COMPUTED_VALUE"""),26.26)</f>
        <v>26.26</v>
      </c>
      <c r="I195" s="112">
        <f ca="1">IFERROR(__xludf.DUMMYFUNCTION("""COMPUTED_VALUE"""),44819.7055555555)</f>
        <v>44819.705555555498</v>
      </c>
      <c r="J195" s="111">
        <f ca="1">IFERROR(__xludf.DUMMYFUNCTION("""COMPUTED_VALUE"""),4.76)</f>
        <v>4.76</v>
      </c>
      <c r="K195" s="112">
        <f ca="1">IFERROR(__xludf.DUMMYFUNCTION("""COMPUTED_VALUE"""),40974.7055555555)</f>
        <v>40974.705555555498</v>
      </c>
      <c r="L195" s="111">
        <f ca="1">IFERROR(__xludf.DUMMYFUNCTION("""COMPUTED_VALUE"""),0.36)</f>
        <v>0.36</v>
      </c>
      <c r="M195" s="112">
        <f ca="1">IFERROR(__xludf.DUMMYFUNCTION("""COMPUTED_VALUE"""),40462.7055555555)</f>
        <v>40462.705555555498</v>
      </c>
      <c r="N195" s="111">
        <f ca="1">IFERROR(__xludf.DUMMYFUNCTION("""COMPUTED_VALUE"""),13.85)</f>
        <v>13.85</v>
      </c>
      <c r="O195" s="112">
        <f ca="1">IFERROR(__xludf.DUMMYFUNCTION("""COMPUTED_VALUE"""),40479.7055555555)</f>
        <v>40479.705555555498</v>
      </c>
      <c r="P195" s="111">
        <f ca="1">IFERROR(__xludf.DUMMYFUNCTION("""COMPUTED_VALUE"""),53.6)</f>
        <v>53.6</v>
      </c>
      <c r="Q195" s="112">
        <f ca="1">IFERROR(__xludf.DUMMYFUNCTION("""COMPUTED_VALUE"""),40479.7055555555)</f>
        <v>40479.705555555498</v>
      </c>
      <c r="R195" s="111">
        <f ca="1">IFERROR(__xludf.DUMMYFUNCTION("""COMPUTED_VALUE"""),33.35)</f>
        <v>33.35</v>
      </c>
      <c r="S195" s="112">
        <f ca="1">IFERROR(__xludf.DUMMYFUNCTION("""COMPUTED_VALUE"""),40479.7055555555)</f>
        <v>40479.705555555498</v>
      </c>
      <c r="T195" s="111">
        <f ca="1">IFERROR(__xludf.DUMMYFUNCTION("""COMPUTED_VALUE"""),9.73)</f>
        <v>9.73</v>
      </c>
    </row>
    <row r="196" spans="1:20" x14ac:dyDescent="0.3">
      <c r="A196" s="112">
        <f ca="1">IFERROR(__xludf.DUMMYFUNCTION("""COMPUTED_VALUE"""),40480.7055555555)</f>
        <v>40480.705555555498</v>
      </c>
      <c r="B196" s="111">
        <f ca="1">IFERROR(__xludf.DUMMYFUNCTION("""COMPUTED_VALUE"""),23.14)</f>
        <v>23.14</v>
      </c>
      <c r="C196" s="112">
        <f ca="1">IFERROR(__xludf.DUMMYFUNCTION("""COMPUTED_VALUE"""),40480.7055555555)</f>
        <v>40480.705555555498</v>
      </c>
      <c r="D196" s="111">
        <f ca="1">IFERROR(__xludf.DUMMYFUNCTION("""COMPUTED_VALUE"""),20.79)</f>
        <v>20.79</v>
      </c>
      <c r="E196" s="112">
        <f ca="1">IFERROR(__xludf.DUMMYFUNCTION("""COMPUTED_VALUE"""),40480.7055555555)</f>
        <v>40480.705555555498</v>
      </c>
      <c r="F196" s="111">
        <f ca="1">IFERROR(__xludf.DUMMYFUNCTION("""COMPUTED_VALUE"""),8.78)</f>
        <v>8.7799999999999994</v>
      </c>
      <c r="G196" s="112">
        <f ca="1">IFERROR(__xludf.DUMMYFUNCTION("""COMPUTED_VALUE"""),40480.7055555555)</f>
        <v>40480.705555555498</v>
      </c>
      <c r="H196" s="111">
        <f ca="1">IFERROR(__xludf.DUMMYFUNCTION("""COMPUTED_VALUE"""),25.85)</f>
        <v>25.85</v>
      </c>
      <c r="I196" s="112">
        <f ca="1">IFERROR(__xludf.DUMMYFUNCTION("""COMPUTED_VALUE"""),44820.7055555555)</f>
        <v>44820.705555555498</v>
      </c>
      <c r="J196" s="111">
        <f ca="1">IFERROR(__xludf.DUMMYFUNCTION("""COMPUTED_VALUE"""),4.56)</f>
        <v>4.5599999999999996</v>
      </c>
      <c r="K196" s="112">
        <f ca="1">IFERROR(__xludf.DUMMYFUNCTION("""COMPUTED_VALUE"""),40976.7055555555)</f>
        <v>40976.705555555498</v>
      </c>
      <c r="L196" s="111">
        <f ca="1">IFERROR(__xludf.DUMMYFUNCTION("""COMPUTED_VALUE"""),0.39)</f>
        <v>0.39</v>
      </c>
      <c r="M196" s="112">
        <f ca="1">IFERROR(__xludf.DUMMYFUNCTION("""COMPUTED_VALUE"""),40464.7055555555)</f>
        <v>40464.705555555498</v>
      </c>
      <c r="N196" s="111">
        <f ca="1">IFERROR(__xludf.DUMMYFUNCTION("""COMPUTED_VALUE"""),14.15)</f>
        <v>14.15</v>
      </c>
      <c r="O196" s="112">
        <f ca="1">IFERROR(__xludf.DUMMYFUNCTION("""COMPUTED_VALUE"""),40480.7055555555)</f>
        <v>40480.705555555498</v>
      </c>
      <c r="P196" s="111">
        <f ca="1">IFERROR(__xludf.DUMMYFUNCTION("""COMPUTED_VALUE"""),53.6)</f>
        <v>53.6</v>
      </c>
      <c r="Q196" s="112">
        <f ca="1">IFERROR(__xludf.DUMMYFUNCTION("""COMPUTED_VALUE"""),40480.7055555555)</f>
        <v>40480.705555555498</v>
      </c>
      <c r="R196" s="111">
        <f ca="1">IFERROR(__xludf.DUMMYFUNCTION("""COMPUTED_VALUE"""),33.1)</f>
        <v>33.1</v>
      </c>
      <c r="S196" s="112">
        <f ca="1">IFERROR(__xludf.DUMMYFUNCTION("""COMPUTED_VALUE"""),40480.7055555555)</f>
        <v>40480.705555555498</v>
      </c>
      <c r="T196" s="111">
        <f ca="1">IFERROR(__xludf.DUMMYFUNCTION("""COMPUTED_VALUE"""),10.1)</f>
        <v>10.1</v>
      </c>
    </row>
    <row r="197" spans="1:20" x14ac:dyDescent="0.3">
      <c r="A197" s="112">
        <f ca="1">IFERROR(__xludf.DUMMYFUNCTION("""COMPUTED_VALUE"""),40483.7055555555)</f>
        <v>40483.705555555498</v>
      </c>
      <c r="B197" s="111">
        <f ca="1">IFERROR(__xludf.DUMMYFUNCTION("""COMPUTED_VALUE"""),23.77)</f>
        <v>23.77</v>
      </c>
      <c r="C197" s="112">
        <f ca="1">IFERROR(__xludf.DUMMYFUNCTION("""COMPUTED_VALUE"""),40483.7055555555)</f>
        <v>40483.705555555498</v>
      </c>
      <c r="D197" s="111">
        <f ca="1">IFERROR(__xludf.DUMMYFUNCTION("""COMPUTED_VALUE"""),21.18)</f>
        <v>21.18</v>
      </c>
      <c r="E197" s="112">
        <f ca="1">IFERROR(__xludf.DUMMYFUNCTION("""COMPUTED_VALUE"""),40483.7055555555)</f>
        <v>40483.705555555498</v>
      </c>
      <c r="F197" s="111">
        <f ca="1">IFERROR(__xludf.DUMMYFUNCTION("""COMPUTED_VALUE"""),8.83)</f>
        <v>8.83</v>
      </c>
      <c r="G197" s="112">
        <f ca="1">IFERROR(__xludf.DUMMYFUNCTION("""COMPUTED_VALUE"""),40483.7055555555)</f>
        <v>40483.705555555498</v>
      </c>
      <c r="H197" s="111">
        <f ca="1">IFERROR(__xludf.DUMMYFUNCTION("""COMPUTED_VALUE"""),26.49)</f>
        <v>26.49</v>
      </c>
      <c r="I197" s="112">
        <f ca="1">IFERROR(__xludf.DUMMYFUNCTION("""COMPUTED_VALUE"""),44823.7055555555)</f>
        <v>44823.705555555498</v>
      </c>
      <c r="J197" s="111">
        <f ca="1">IFERROR(__xludf.DUMMYFUNCTION("""COMPUTED_VALUE"""),4.56)</f>
        <v>4.5599999999999996</v>
      </c>
      <c r="K197" s="112">
        <f ca="1">IFERROR(__xludf.DUMMYFUNCTION("""COMPUTED_VALUE"""),40977.7055555555)</f>
        <v>40977.705555555498</v>
      </c>
      <c r="L197" s="111">
        <f ca="1">IFERROR(__xludf.DUMMYFUNCTION("""COMPUTED_VALUE"""),0.39)</f>
        <v>0.39</v>
      </c>
      <c r="M197" s="112">
        <f ca="1">IFERROR(__xludf.DUMMYFUNCTION("""COMPUTED_VALUE"""),40465.7055555555)</f>
        <v>40465.705555555498</v>
      </c>
      <c r="N197" s="111">
        <f ca="1">IFERROR(__xludf.DUMMYFUNCTION("""COMPUTED_VALUE"""),14.1)</f>
        <v>14.1</v>
      </c>
      <c r="O197" s="112">
        <f ca="1">IFERROR(__xludf.DUMMYFUNCTION("""COMPUTED_VALUE"""),40483.7055555555)</f>
        <v>40483.705555555498</v>
      </c>
      <c r="P197" s="111">
        <f ca="1">IFERROR(__xludf.DUMMYFUNCTION("""COMPUTED_VALUE"""),54.8)</f>
        <v>54.8</v>
      </c>
      <c r="Q197" s="112">
        <f ca="1">IFERROR(__xludf.DUMMYFUNCTION("""COMPUTED_VALUE"""),40483.7055555555)</f>
        <v>40483.705555555498</v>
      </c>
      <c r="R197" s="111">
        <f ca="1">IFERROR(__xludf.DUMMYFUNCTION("""COMPUTED_VALUE"""),33.68)</f>
        <v>33.68</v>
      </c>
      <c r="S197" s="112">
        <f ca="1">IFERROR(__xludf.DUMMYFUNCTION("""COMPUTED_VALUE"""),40483.7055555555)</f>
        <v>40483.705555555498</v>
      </c>
      <c r="T197" s="111">
        <f ca="1">IFERROR(__xludf.DUMMYFUNCTION("""COMPUTED_VALUE"""),9.96)</f>
        <v>9.9600000000000009</v>
      </c>
    </row>
    <row r="198" spans="1:20" x14ac:dyDescent="0.3">
      <c r="A198" s="112">
        <f ca="1">IFERROR(__xludf.DUMMYFUNCTION("""COMPUTED_VALUE"""),40486.7055555555)</f>
        <v>40486.705555555498</v>
      </c>
      <c r="B198" s="111">
        <f ca="1">IFERROR(__xludf.DUMMYFUNCTION("""COMPUTED_VALUE"""),23.82)</f>
        <v>23.82</v>
      </c>
      <c r="C198" s="112">
        <f ca="1">IFERROR(__xludf.DUMMYFUNCTION("""COMPUTED_VALUE"""),40486.7055555555)</f>
        <v>40486.705555555498</v>
      </c>
      <c r="D198" s="111">
        <f ca="1">IFERROR(__xludf.DUMMYFUNCTION("""COMPUTED_VALUE"""),21.67)</f>
        <v>21.67</v>
      </c>
      <c r="E198" s="112">
        <f ca="1">IFERROR(__xludf.DUMMYFUNCTION("""COMPUTED_VALUE"""),40486.7055555555)</f>
        <v>40486.705555555498</v>
      </c>
      <c r="F198" s="111">
        <f ca="1">IFERROR(__xludf.DUMMYFUNCTION("""COMPUTED_VALUE"""),9.08)</f>
        <v>9.08</v>
      </c>
      <c r="G198" s="112">
        <f ca="1">IFERROR(__xludf.DUMMYFUNCTION("""COMPUTED_VALUE"""),40486.7055555555)</f>
        <v>40486.705555555498</v>
      </c>
      <c r="H198" s="111">
        <f ca="1">IFERROR(__xludf.DUMMYFUNCTION("""COMPUTED_VALUE"""),27.5)</f>
        <v>27.5</v>
      </c>
      <c r="K198" s="112">
        <f ca="1">IFERROR(__xludf.DUMMYFUNCTION("""COMPUTED_VALUE"""),40980.7055555555)</f>
        <v>40980.705555555498</v>
      </c>
      <c r="L198" s="111">
        <f ca="1">IFERROR(__xludf.DUMMYFUNCTION("""COMPUTED_VALUE"""),0.38)</f>
        <v>0.38</v>
      </c>
      <c r="M198" s="112">
        <f ca="1">IFERROR(__xludf.DUMMYFUNCTION("""COMPUTED_VALUE"""),40466.7055555555)</f>
        <v>40466.705555555498</v>
      </c>
      <c r="N198" s="111">
        <f ca="1">IFERROR(__xludf.DUMMYFUNCTION("""COMPUTED_VALUE"""),13.98)</f>
        <v>13.98</v>
      </c>
      <c r="O198" s="112">
        <f ca="1">IFERROR(__xludf.DUMMYFUNCTION("""COMPUTED_VALUE"""),40486.7055555555)</f>
        <v>40486.705555555498</v>
      </c>
      <c r="P198" s="111">
        <f ca="1">IFERROR(__xludf.DUMMYFUNCTION("""COMPUTED_VALUE"""),55.59)</f>
        <v>55.59</v>
      </c>
      <c r="Q198" s="112">
        <f ca="1">IFERROR(__xludf.DUMMYFUNCTION("""COMPUTED_VALUE"""),40486.7055555555)</f>
        <v>40486.705555555498</v>
      </c>
      <c r="R198" s="111">
        <f ca="1">IFERROR(__xludf.DUMMYFUNCTION("""COMPUTED_VALUE"""),34.98)</f>
        <v>34.979999999999997</v>
      </c>
      <c r="S198" s="112">
        <f ca="1">IFERROR(__xludf.DUMMYFUNCTION("""COMPUTED_VALUE"""),40486.7055555555)</f>
        <v>40486.705555555498</v>
      </c>
      <c r="T198" s="111">
        <f ca="1">IFERROR(__xludf.DUMMYFUNCTION("""COMPUTED_VALUE"""),9.77)</f>
        <v>9.77</v>
      </c>
    </row>
    <row r="199" spans="1:20" x14ac:dyDescent="0.3">
      <c r="A199" s="112">
        <f ca="1">IFERROR(__xludf.DUMMYFUNCTION("""COMPUTED_VALUE"""),40487.7055555555)</f>
        <v>40487.705555555498</v>
      </c>
      <c r="B199" s="111">
        <f ca="1">IFERROR(__xludf.DUMMYFUNCTION("""COMPUTED_VALUE"""),23.34)</f>
        <v>23.34</v>
      </c>
      <c r="C199" s="112">
        <f ca="1">IFERROR(__xludf.DUMMYFUNCTION("""COMPUTED_VALUE"""),40487.7055555555)</f>
        <v>40487.705555555498</v>
      </c>
      <c r="D199" s="111">
        <f ca="1">IFERROR(__xludf.DUMMYFUNCTION("""COMPUTED_VALUE"""),21.78)</f>
        <v>21.78</v>
      </c>
      <c r="E199" s="112">
        <f ca="1">IFERROR(__xludf.DUMMYFUNCTION("""COMPUTED_VALUE"""),40487.7055555555)</f>
        <v>40487.705555555498</v>
      </c>
      <c r="F199" s="111">
        <f ca="1">IFERROR(__xludf.DUMMYFUNCTION("""COMPUTED_VALUE"""),9.09)</f>
        <v>9.09</v>
      </c>
      <c r="G199" s="112">
        <f ca="1">IFERROR(__xludf.DUMMYFUNCTION("""COMPUTED_VALUE"""),40487.7055555555)</f>
        <v>40487.705555555498</v>
      </c>
      <c r="H199" s="111">
        <f ca="1">IFERROR(__xludf.DUMMYFUNCTION("""COMPUTED_VALUE"""),27.25)</f>
        <v>27.25</v>
      </c>
      <c r="K199" s="112">
        <f ca="1">IFERROR(__xludf.DUMMYFUNCTION("""COMPUTED_VALUE"""),40981.7055555555)</f>
        <v>40981.705555555498</v>
      </c>
      <c r="L199" s="111">
        <f ca="1">IFERROR(__xludf.DUMMYFUNCTION("""COMPUTED_VALUE"""),0.38)</f>
        <v>0.38</v>
      </c>
      <c r="M199" s="112">
        <f ca="1">IFERROR(__xludf.DUMMYFUNCTION("""COMPUTED_VALUE"""),40469.7055555555)</f>
        <v>40469.705555555498</v>
      </c>
      <c r="N199" s="111">
        <f ca="1">IFERROR(__xludf.DUMMYFUNCTION("""COMPUTED_VALUE"""),14.04)</f>
        <v>14.04</v>
      </c>
      <c r="O199" s="112">
        <f ca="1">IFERROR(__xludf.DUMMYFUNCTION("""COMPUTED_VALUE"""),40487.7055555555)</f>
        <v>40487.705555555498</v>
      </c>
      <c r="P199" s="111">
        <f ca="1">IFERROR(__xludf.DUMMYFUNCTION("""COMPUTED_VALUE"""),55.7)</f>
        <v>55.7</v>
      </c>
      <c r="Q199" s="112">
        <f ca="1">IFERROR(__xludf.DUMMYFUNCTION("""COMPUTED_VALUE"""),40487.7055555555)</f>
        <v>40487.705555555498</v>
      </c>
      <c r="R199" s="111">
        <f ca="1">IFERROR(__xludf.DUMMYFUNCTION("""COMPUTED_VALUE"""),34.83)</f>
        <v>34.83</v>
      </c>
      <c r="S199" s="112">
        <f ca="1">IFERROR(__xludf.DUMMYFUNCTION("""COMPUTED_VALUE"""),40487.7055555555)</f>
        <v>40487.705555555498</v>
      </c>
      <c r="T199" s="111">
        <f ca="1">IFERROR(__xludf.DUMMYFUNCTION("""COMPUTED_VALUE"""),9.47)</f>
        <v>9.4700000000000006</v>
      </c>
    </row>
    <row r="200" spans="1:20" x14ac:dyDescent="0.3">
      <c r="A200" s="112">
        <f ca="1">IFERROR(__xludf.DUMMYFUNCTION("""COMPUTED_VALUE"""),40491.7055555555)</f>
        <v>40491.705555555498</v>
      </c>
      <c r="B200" s="111">
        <f ca="1">IFERROR(__xludf.DUMMYFUNCTION("""COMPUTED_VALUE"""),23.04)</f>
        <v>23.04</v>
      </c>
      <c r="C200" s="112">
        <f ca="1">IFERROR(__xludf.DUMMYFUNCTION("""COMPUTED_VALUE"""),40491.7055555555)</f>
        <v>40491.705555555498</v>
      </c>
      <c r="D200" s="111">
        <f ca="1">IFERROR(__xludf.DUMMYFUNCTION("""COMPUTED_VALUE"""),21.22)</f>
        <v>21.22</v>
      </c>
      <c r="E200" s="112">
        <f ca="1">IFERROR(__xludf.DUMMYFUNCTION("""COMPUTED_VALUE"""),40491.7055555555)</f>
        <v>40491.705555555498</v>
      </c>
      <c r="F200" s="111">
        <f ca="1">IFERROR(__xludf.DUMMYFUNCTION("""COMPUTED_VALUE"""),8.96)</f>
        <v>8.9600000000000009</v>
      </c>
      <c r="G200" s="112">
        <f ca="1">IFERROR(__xludf.DUMMYFUNCTION("""COMPUTED_VALUE"""),40491.7055555555)</f>
        <v>40491.705555555498</v>
      </c>
      <c r="H200" s="111">
        <f ca="1">IFERROR(__xludf.DUMMYFUNCTION("""COMPUTED_VALUE"""),27.12)</f>
        <v>27.12</v>
      </c>
      <c r="K200" s="112">
        <f ca="1">IFERROR(__xludf.DUMMYFUNCTION("""COMPUTED_VALUE"""),40982.7055555555)</f>
        <v>40982.705555555498</v>
      </c>
      <c r="L200" s="111">
        <f ca="1">IFERROR(__xludf.DUMMYFUNCTION("""COMPUTED_VALUE"""),0.37)</f>
        <v>0.37</v>
      </c>
      <c r="M200" s="112">
        <f ca="1">IFERROR(__xludf.DUMMYFUNCTION("""COMPUTED_VALUE"""),40470.7055555555)</f>
        <v>40470.705555555498</v>
      </c>
      <c r="N200" s="111">
        <f ca="1">IFERROR(__xludf.DUMMYFUNCTION("""COMPUTED_VALUE"""),13.78)</f>
        <v>13.78</v>
      </c>
      <c r="O200" s="112">
        <f ca="1">IFERROR(__xludf.DUMMYFUNCTION("""COMPUTED_VALUE"""),40491.7055555555)</f>
        <v>40491.705555555498</v>
      </c>
      <c r="P200" s="111">
        <f ca="1">IFERROR(__xludf.DUMMYFUNCTION("""COMPUTED_VALUE"""),55.9)</f>
        <v>55.9</v>
      </c>
      <c r="Q200" s="112">
        <f ca="1">IFERROR(__xludf.DUMMYFUNCTION("""COMPUTED_VALUE"""),40491.7055555555)</f>
        <v>40491.705555555498</v>
      </c>
      <c r="R200" s="111">
        <f ca="1">IFERROR(__xludf.DUMMYFUNCTION("""COMPUTED_VALUE"""),33.84)</f>
        <v>33.840000000000003</v>
      </c>
      <c r="S200" s="112">
        <f ca="1">IFERROR(__xludf.DUMMYFUNCTION("""COMPUTED_VALUE"""),40491.7055555555)</f>
        <v>40491.705555555498</v>
      </c>
      <c r="T200" s="111">
        <f ca="1">IFERROR(__xludf.DUMMYFUNCTION("""COMPUTED_VALUE"""),9.47)</f>
        <v>9.4700000000000006</v>
      </c>
    </row>
    <row r="201" spans="1:20" x14ac:dyDescent="0.3">
      <c r="A201" s="112">
        <f ca="1">IFERROR(__xludf.DUMMYFUNCTION("""COMPUTED_VALUE"""),40492.7055555555)</f>
        <v>40492.705555555498</v>
      </c>
      <c r="B201" s="111">
        <f ca="1">IFERROR(__xludf.DUMMYFUNCTION("""COMPUTED_VALUE"""),22.75)</f>
        <v>22.75</v>
      </c>
      <c r="C201" s="112">
        <f ca="1">IFERROR(__xludf.DUMMYFUNCTION("""COMPUTED_VALUE"""),40492.7055555555)</f>
        <v>40492.705555555498</v>
      </c>
      <c r="D201" s="111">
        <f ca="1">IFERROR(__xludf.DUMMYFUNCTION("""COMPUTED_VALUE"""),21.46)</f>
        <v>21.46</v>
      </c>
      <c r="E201" s="112">
        <f ca="1">IFERROR(__xludf.DUMMYFUNCTION("""COMPUTED_VALUE"""),40492.7055555555)</f>
        <v>40492.705555555498</v>
      </c>
      <c r="F201" s="111">
        <f ca="1">IFERROR(__xludf.DUMMYFUNCTION("""COMPUTED_VALUE"""),8.96)</f>
        <v>8.9600000000000009</v>
      </c>
      <c r="G201" s="112">
        <f ca="1">IFERROR(__xludf.DUMMYFUNCTION("""COMPUTED_VALUE"""),40492.7055555555)</f>
        <v>40492.705555555498</v>
      </c>
      <c r="H201" s="111">
        <f ca="1">IFERROR(__xludf.DUMMYFUNCTION("""COMPUTED_VALUE"""),27.13)</f>
        <v>27.13</v>
      </c>
      <c r="K201" s="112">
        <f ca="1">IFERROR(__xludf.DUMMYFUNCTION("""COMPUTED_VALUE"""),40983.7055555555)</f>
        <v>40983.705555555498</v>
      </c>
      <c r="L201" s="111">
        <f ca="1">IFERROR(__xludf.DUMMYFUNCTION("""COMPUTED_VALUE"""),0.36)</f>
        <v>0.36</v>
      </c>
      <c r="M201" s="112">
        <f ca="1">IFERROR(__xludf.DUMMYFUNCTION("""COMPUTED_VALUE"""),40471.7055555555)</f>
        <v>40471.705555555498</v>
      </c>
      <c r="N201" s="111">
        <f ca="1">IFERROR(__xludf.DUMMYFUNCTION("""COMPUTED_VALUE"""),14.03)</f>
        <v>14.03</v>
      </c>
      <c r="O201" s="112">
        <f ca="1">IFERROR(__xludf.DUMMYFUNCTION("""COMPUTED_VALUE"""),40492.7055555555)</f>
        <v>40492.705555555498</v>
      </c>
      <c r="P201" s="111">
        <f ca="1">IFERROR(__xludf.DUMMYFUNCTION("""COMPUTED_VALUE"""),55.8)</f>
        <v>55.8</v>
      </c>
      <c r="Q201" s="112">
        <f ca="1">IFERROR(__xludf.DUMMYFUNCTION("""COMPUTED_VALUE"""),40492.7055555555)</f>
        <v>40492.705555555498</v>
      </c>
      <c r="R201" s="111">
        <f ca="1">IFERROR(__xludf.DUMMYFUNCTION("""COMPUTED_VALUE"""),33.81)</f>
        <v>33.81</v>
      </c>
      <c r="S201" s="112">
        <f ca="1">IFERROR(__xludf.DUMMYFUNCTION("""COMPUTED_VALUE"""),40492.7055555555)</f>
        <v>40492.705555555498</v>
      </c>
      <c r="T201" s="111">
        <f ca="1">IFERROR(__xludf.DUMMYFUNCTION("""COMPUTED_VALUE"""),9.38)</f>
        <v>9.3800000000000008</v>
      </c>
    </row>
    <row r="202" spans="1:20" x14ac:dyDescent="0.3">
      <c r="A202" s="112">
        <f ca="1">IFERROR(__xludf.DUMMYFUNCTION("""COMPUTED_VALUE"""),40493.7055555555)</f>
        <v>40493.705555555498</v>
      </c>
      <c r="B202" s="111">
        <f ca="1">IFERROR(__xludf.DUMMYFUNCTION("""COMPUTED_VALUE"""),22.34)</f>
        <v>22.34</v>
      </c>
      <c r="C202" s="112">
        <f ca="1">IFERROR(__xludf.DUMMYFUNCTION("""COMPUTED_VALUE"""),40493.7055555555)</f>
        <v>40493.705555555498</v>
      </c>
      <c r="D202" s="111">
        <f ca="1">IFERROR(__xludf.DUMMYFUNCTION("""COMPUTED_VALUE"""),21.04)</f>
        <v>21.04</v>
      </c>
      <c r="E202" s="112">
        <f ca="1">IFERROR(__xludf.DUMMYFUNCTION("""COMPUTED_VALUE"""),40493.7055555555)</f>
        <v>40493.705555555498</v>
      </c>
      <c r="F202" s="111">
        <f ca="1">IFERROR(__xludf.DUMMYFUNCTION("""COMPUTED_VALUE"""),8.87)</f>
        <v>8.8699999999999992</v>
      </c>
      <c r="G202" s="112">
        <f ca="1">IFERROR(__xludf.DUMMYFUNCTION("""COMPUTED_VALUE"""),40493.7055555555)</f>
        <v>40493.705555555498</v>
      </c>
      <c r="H202" s="111">
        <f ca="1">IFERROR(__xludf.DUMMYFUNCTION("""COMPUTED_VALUE"""),26.72)</f>
        <v>26.72</v>
      </c>
      <c r="K202" s="112">
        <f ca="1">IFERROR(__xludf.DUMMYFUNCTION("""COMPUTED_VALUE"""),40984.7055555555)</f>
        <v>40984.705555555498</v>
      </c>
      <c r="L202" s="111">
        <f ca="1">IFERROR(__xludf.DUMMYFUNCTION("""COMPUTED_VALUE"""),0.36)</f>
        <v>0.36</v>
      </c>
      <c r="M202" s="112">
        <f ca="1">IFERROR(__xludf.DUMMYFUNCTION("""COMPUTED_VALUE"""),40472.7055555555)</f>
        <v>40472.705555555498</v>
      </c>
      <c r="N202" s="111">
        <f ca="1">IFERROR(__xludf.DUMMYFUNCTION("""COMPUTED_VALUE"""),13.78)</f>
        <v>13.78</v>
      </c>
      <c r="O202" s="112">
        <f ca="1">IFERROR(__xludf.DUMMYFUNCTION("""COMPUTED_VALUE"""),40493.7055555555)</f>
        <v>40493.705555555498</v>
      </c>
      <c r="P202" s="111">
        <f ca="1">IFERROR(__xludf.DUMMYFUNCTION("""COMPUTED_VALUE"""),56.04)</f>
        <v>56.04</v>
      </c>
      <c r="Q202" s="112">
        <f ca="1">IFERROR(__xludf.DUMMYFUNCTION("""COMPUTED_VALUE"""),40493.7055555555)</f>
        <v>40493.705555555498</v>
      </c>
      <c r="R202" s="111">
        <f ca="1">IFERROR(__xludf.DUMMYFUNCTION("""COMPUTED_VALUE"""),33.72)</f>
        <v>33.72</v>
      </c>
      <c r="S202" s="112">
        <f ca="1">IFERROR(__xludf.DUMMYFUNCTION("""COMPUTED_VALUE"""),40493.7055555555)</f>
        <v>40493.705555555498</v>
      </c>
      <c r="T202" s="111">
        <f ca="1">IFERROR(__xludf.DUMMYFUNCTION("""COMPUTED_VALUE"""),9.26)</f>
        <v>9.26</v>
      </c>
    </row>
    <row r="203" spans="1:20" x14ac:dyDescent="0.3">
      <c r="A203" s="112">
        <f ca="1">IFERROR(__xludf.DUMMYFUNCTION("""COMPUTED_VALUE"""),40494.7055555555)</f>
        <v>40494.705555555498</v>
      </c>
      <c r="B203" s="111">
        <f ca="1">IFERROR(__xludf.DUMMYFUNCTION("""COMPUTED_VALUE"""),22.22)</f>
        <v>22.22</v>
      </c>
      <c r="C203" s="112">
        <f ca="1">IFERROR(__xludf.DUMMYFUNCTION("""COMPUTED_VALUE"""),40494.7055555555)</f>
        <v>40494.705555555498</v>
      </c>
      <c r="D203" s="111">
        <f ca="1">IFERROR(__xludf.DUMMYFUNCTION("""COMPUTED_VALUE"""),21.04)</f>
        <v>21.04</v>
      </c>
      <c r="E203" s="112">
        <f ca="1">IFERROR(__xludf.DUMMYFUNCTION("""COMPUTED_VALUE"""),40494.7055555555)</f>
        <v>40494.705555555498</v>
      </c>
      <c r="F203" s="111">
        <f ca="1">IFERROR(__xludf.DUMMYFUNCTION("""COMPUTED_VALUE"""),8.88)</f>
        <v>8.8800000000000008</v>
      </c>
      <c r="G203" s="112">
        <f ca="1">IFERROR(__xludf.DUMMYFUNCTION("""COMPUTED_VALUE"""),40494.7055555555)</f>
        <v>40494.705555555498</v>
      </c>
      <c r="H203" s="111">
        <f ca="1">IFERROR(__xludf.DUMMYFUNCTION("""COMPUTED_VALUE"""),25.85)</f>
        <v>25.85</v>
      </c>
      <c r="K203" s="112">
        <f ca="1">IFERROR(__xludf.DUMMYFUNCTION("""COMPUTED_VALUE"""),40988.7055555555)</f>
        <v>40988.705555555498</v>
      </c>
      <c r="L203" s="111">
        <f ca="1">IFERROR(__xludf.DUMMYFUNCTION("""COMPUTED_VALUE"""),0.36)</f>
        <v>0.36</v>
      </c>
      <c r="M203" s="112">
        <f ca="1">IFERROR(__xludf.DUMMYFUNCTION("""COMPUTED_VALUE"""),40473.7055555555)</f>
        <v>40473.705555555498</v>
      </c>
      <c r="N203" s="111">
        <f ca="1">IFERROR(__xludf.DUMMYFUNCTION("""COMPUTED_VALUE"""),13.95)</f>
        <v>13.95</v>
      </c>
      <c r="O203" s="112">
        <f ca="1">IFERROR(__xludf.DUMMYFUNCTION("""COMPUTED_VALUE"""),40494.7055555555)</f>
        <v>40494.705555555498</v>
      </c>
      <c r="P203" s="111">
        <f ca="1">IFERROR(__xludf.DUMMYFUNCTION("""COMPUTED_VALUE"""),55)</f>
        <v>55</v>
      </c>
      <c r="Q203" s="112">
        <f ca="1">IFERROR(__xludf.DUMMYFUNCTION("""COMPUTED_VALUE"""),40494.7055555555)</f>
        <v>40494.705555555498</v>
      </c>
      <c r="R203" s="111">
        <f ca="1">IFERROR(__xludf.DUMMYFUNCTION("""COMPUTED_VALUE"""),33.85)</f>
        <v>33.85</v>
      </c>
      <c r="S203" s="112">
        <f ca="1">IFERROR(__xludf.DUMMYFUNCTION("""COMPUTED_VALUE"""),40494.7055555555)</f>
        <v>40494.705555555498</v>
      </c>
      <c r="T203" s="111">
        <f ca="1">IFERROR(__xludf.DUMMYFUNCTION("""COMPUTED_VALUE"""),9.17)</f>
        <v>9.17</v>
      </c>
    </row>
    <row r="204" spans="1:20" x14ac:dyDescent="0.3">
      <c r="A204" s="112">
        <f ca="1">IFERROR(__xludf.DUMMYFUNCTION("""COMPUTED_VALUE"""),40498.7055555555)</f>
        <v>40498.705555555498</v>
      </c>
      <c r="B204" s="111">
        <f ca="1">IFERROR(__xludf.DUMMYFUNCTION("""COMPUTED_VALUE"""),22.25)</f>
        <v>22.25</v>
      </c>
      <c r="C204" s="112">
        <f ca="1">IFERROR(__xludf.DUMMYFUNCTION("""COMPUTED_VALUE"""),40498.7055555555)</f>
        <v>40498.705555555498</v>
      </c>
      <c r="D204" s="111">
        <f ca="1">IFERROR(__xludf.DUMMYFUNCTION("""COMPUTED_VALUE"""),20.61)</f>
        <v>20.61</v>
      </c>
      <c r="E204" s="112">
        <f ca="1">IFERROR(__xludf.DUMMYFUNCTION("""COMPUTED_VALUE"""),40498.7055555555)</f>
        <v>40498.705555555498</v>
      </c>
      <c r="F204" s="111">
        <f ca="1">IFERROR(__xludf.DUMMYFUNCTION("""COMPUTED_VALUE"""),8.73)</f>
        <v>8.73</v>
      </c>
      <c r="G204" s="112">
        <f ca="1">IFERROR(__xludf.DUMMYFUNCTION("""COMPUTED_VALUE"""),40498.7055555555)</f>
        <v>40498.705555555498</v>
      </c>
      <c r="H204" s="111">
        <f ca="1">IFERROR(__xludf.DUMMYFUNCTION("""COMPUTED_VALUE"""),25.4)</f>
        <v>25.4</v>
      </c>
      <c r="K204" s="112">
        <f ca="1">IFERROR(__xludf.DUMMYFUNCTION("""COMPUTED_VALUE"""),40990.7055555555)</f>
        <v>40990.705555555498</v>
      </c>
      <c r="L204" s="111">
        <f ca="1">IFERROR(__xludf.DUMMYFUNCTION("""COMPUTED_VALUE"""),0.36)</f>
        <v>0.36</v>
      </c>
      <c r="M204" s="112">
        <f ca="1">IFERROR(__xludf.DUMMYFUNCTION("""COMPUTED_VALUE"""),40476.7055555555)</f>
        <v>40476.705555555498</v>
      </c>
      <c r="N204" s="111">
        <f ca="1">IFERROR(__xludf.DUMMYFUNCTION("""COMPUTED_VALUE"""),14.13)</f>
        <v>14.13</v>
      </c>
      <c r="O204" s="112">
        <f ca="1">IFERROR(__xludf.DUMMYFUNCTION("""COMPUTED_VALUE"""),40498.7055555555)</f>
        <v>40498.705555555498</v>
      </c>
      <c r="P204" s="111">
        <f ca="1">IFERROR(__xludf.DUMMYFUNCTION("""COMPUTED_VALUE"""),53.89)</f>
        <v>53.89</v>
      </c>
      <c r="Q204" s="112">
        <f ca="1">IFERROR(__xludf.DUMMYFUNCTION("""COMPUTED_VALUE"""),40498.7055555555)</f>
        <v>40498.705555555498</v>
      </c>
      <c r="R204" s="111">
        <f ca="1">IFERROR(__xludf.DUMMYFUNCTION("""COMPUTED_VALUE"""),33.9)</f>
        <v>33.9</v>
      </c>
      <c r="S204" s="112">
        <f ca="1">IFERROR(__xludf.DUMMYFUNCTION("""COMPUTED_VALUE"""),40498.7055555555)</f>
        <v>40498.705555555498</v>
      </c>
      <c r="T204" s="111">
        <f ca="1">IFERROR(__xludf.DUMMYFUNCTION("""COMPUTED_VALUE"""),8.92)</f>
        <v>8.92</v>
      </c>
    </row>
    <row r="205" spans="1:20" x14ac:dyDescent="0.3">
      <c r="A205" s="112">
        <f ca="1">IFERROR(__xludf.DUMMYFUNCTION("""COMPUTED_VALUE"""),40499.7055555555)</f>
        <v>40499.705555555498</v>
      </c>
      <c r="B205" s="111">
        <f ca="1">IFERROR(__xludf.DUMMYFUNCTION("""COMPUTED_VALUE"""),22.14)</f>
        <v>22.14</v>
      </c>
      <c r="C205" s="112">
        <f ca="1">IFERROR(__xludf.DUMMYFUNCTION("""COMPUTED_VALUE"""),40499.7055555555)</f>
        <v>40499.705555555498</v>
      </c>
      <c r="D205" s="111">
        <f ca="1">IFERROR(__xludf.DUMMYFUNCTION("""COMPUTED_VALUE"""),20.59)</f>
        <v>20.59</v>
      </c>
      <c r="E205" s="112">
        <f ca="1">IFERROR(__xludf.DUMMYFUNCTION("""COMPUTED_VALUE"""),40499.7055555555)</f>
        <v>40499.705555555498</v>
      </c>
      <c r="F205" s="111">
        <f ca="1">IFERROR(__xludf.DUMMYFUNCTION("""COMPUTED_VALUE"""),8.7)</f>
        <v>8.6999999999999993</v>
      </c>
      <c r="G205" s="112">
        <f ca="1">IFERROR(__xludf.DUMMYFUNCTION("""COMPUTED_VALUE"""),40499.7055555555)</f>
        <v>40499.705555555498</v>
      </c>
      <c r="H205" s="111">
        <f ca="1">IFERROR(__xludf.DUMMYFUNCTION("""COMPUTED_VALUE"""),25.45)</f>
        <v>25.45</v>
      </c>
      <c r="K205" s="112">
        <f ca="1">IFERROR(__xludf.DUMMYFUNCTION("""COMPUTED_VALUE"""),40991.7055555555)</f>
        <v>40991.705555555498</v>
      </c>
      <c r="L205" s="111">
        <f ca="1">IFERROR(__xludf.DUMMYFUNCTION("""COMPUTED_VALUE"""),0.37)</f>
        <v>0.37</v>
      </c>
      <c r="M205" s="112">
        <f ca="1">IFERROR(__xludf.DUMMYFUNCTION("""COMPUTED_VALUE"""),40477.7055555555)</f>
        <v>40477.705555555498</v>
      </c>
      <c r="N205" s="111">
        <f ca="1">IFERROR(__xludf.DUMMYFUNCTION("""COMPUTED_VALUE"""),14.41)</f>
        <v>14.41</v>
      </c>
      <c r="O205" s="112">
        <f ca="1">IFERROR(__xludf.DUMMYFUNCTION("""COMPUTED_VALUE"""),40499.7055555555)</f>
        <v>40499.705555555498</v>
      </c>
      <c r="P205" s="111">
        <f ca="1">IFERROR(__xludf.DUMMYFUNCTION("""COMPUTED_VALUE"""),53.81)</f>
        <v>53.81</v>
      </c>
      <c r="Q205" s="112">
        <f ca="1">IFERROR(__xludf.DUMMYFUNCTION("""COMPUTED_VALUE"""),40499.7055555555)</f>
        <v>40499.705555555498</v>
      </c>
      <c r="R205" s="111">
        <f ca="1">IFERROR(__xludf.DUMMYFUNCTION("""COMPUTED_VALUE"""),33.8)</f>
        <v>33.799999999999997</v>
      </c>
      <c r="S205" s="112">
        <f ca="1">IFERROR(__xludf.DUMMYFUNCTION("""COMPUTED_VALUE"""),40499.7055555555)</f>
        <v>40499.705555555498</v>
      </c>
      <c r="T205" s="111">
        <f ca="1">IFERROR(__xludf.DUMMYFUNCTION("""COMPUTED_VALUE"""),9.24)</f>
        <v>9.24</v>
      </c>
    </row>
    <row r="206" spans="1:20" x14ac:dyDescent="0.3">
      <c r="A206" s="112">
        <f ca="1">IFERROR(__xludf.DUMMYFUNCTION("""COMPUTED_VALUE"""),40500.7055555555)</f>
        <v>40500.705555555498</v>
      </c>
      <c r="B206" s="111">
        <f ca="1">IFERROR(__xludf.DUMMYFUNCTION("""COMPUTED_VALUE"""),22.3)</f>
        <v>22.3</v>
      </c>
      <c r="C206" s="112">
        <f ca="1">IFERROR(__xludf.DUMMYFUNCTION("""COMPUTED_VALUE"""),40500.7055555555)</f>
        <v>40500.705555555498</v>
      </c>
      <c r="D206" s="111">
        <f ca="1">IFERROR(__xludf.DUMMYFUNCTION("""COMPUTED_VALUE"""),20.79)</f>
        <v>20.79</v>
      </c>
      <c r="E206" s="112">
        <f ca="1">IFERROR(__xludf.DUMMYFUNCTION("""COMPUTED_VALUE"""),40500.7055555555)</f>
        <v>40500.705555555498</v>
      </c>
      <c r="F206" s="111">
        <f ca="1">IFERROR(__xludf.DUMMYFUNCTION("""COMPUTED_VALUE"""),8.79)</f>
        <v>8.7899999999999991</v>
      </c>
      <c r="G206" s="112">
        <f ca="1">IFERROR(__xludf.DUMMYFUNCTION("""COMPUTED_VALUE"""),40500.7055555555)</f>
        <v>40500.705555555498</v>
      </c>
      <c r="H206" s="111">
        <f ca="1">IFERROR(__xludf.DUMMYFUNCTION("""COMPUTED_VALUE"""),25.9)</f>
        <v>25.9</v>
      </c>
      <c r="K206" s="112">
        <f ca="1">IFERROR(__xludf.DUMMYFUNCTION("""COMPUTED_VALUE"""),40994.7055555555)</f>
        <v>40994.705555555498</v>
      </c>
      <c r="L206" s="111">
        <f ca="1">IFERROR(__xludf.DUMMYFUNCTION("""COMPUTED_VALUE"""),0.38)</f>
        <v>0.38</v>
      </c>
      <c r="M206" s="112">
        <f ca="1">IFERROR(__xludf.DUMMYFUNCTION("""COMPUTED_VALUE"""),40478.7055555555)</f>
        <v>40478.705555555498</v>
      </c>
      <c r="N206" s="111">
        <f ca="1">IFERROR(__xludf.DUMMYFUNCTION("""COMPUTED_VALUE"""),13.76)</f>
        <v>13.76</v>
      </c>
      <c r="O206" s="112">
        <f ca="1">IFERROR(__xludf.DUMMYFUNCTION("""COMPUTED_VALUE"""),40500.7055555555)</f>
        <v>40500.705555555498</v>
      </c>
      <c r="P206" s="111">
        <f ca="1">IFERROR(__xludf.DUMMYFUNCTION("""COMPUTED_VALUE"""),55.24)</f>
        <v>55.24</v>
      </c>
      <c r="Q206" s="112">
        <f ca="1">IFERROR(__xludf.DUMMYFUNCTION("""COMPUTED_VALUE"""),40500.7055555555)</f>
        <v>40500.705555555498</v>
      </c>
      <c r="R206" s="111">
        <f ca="1">IFERROR(__xludf.DUMMYFUNCTION("""COMPUTED_VALUE"""),34.24)</f>
        <v>34.24</v>
      </c>
      <c r="S206" s="112">
        <f ca="1">IFERROR(__xludf.DUMMYFUNCTION("""COMPUTED_VALUE"""),40500.7055555555)</f>
        <v>40500.705555555498</v>
      </c>
      <c r="T206" s="111">
        <f ca="1">IFERROR(__xludf.DUMMYFUNCTION("""COMPUTED_VALUE"""),9.51)</f>
        <v>9.51</v>
      </c>
    </row>
    <row r="207" spans="1:20" x14ac:dyDescent="0.3">
      <c r="A207" s="112">
        <f ca="1">IFERROR(__xludf.DUMMYFUNCTION("""COMPUTED_VALUE"""),40501.7055555555)</f>
        <v>40501.705555555498</v>
      </c>
      <c r="B207" s="111">
        <f ca="1">IFERROR(__xludf.DUMMYFUNCTION("""COMPUTED_VALUE"""),22.24)</f>
        <v>22.24</v>
      </c>
      <c r="C207" s="112">
        <f ca="1">IFERROR(__xludf.DUMMYFUNCTION("""COMPUTED_VALUE"""),40501.7055555555)</f>
        <v>40501.705555555498</v>
      </c>
      <c r="D207" s="111">
        <f ca="1">IFERROR(__xludf.DUMMYFUNCTION("""COMPUTED_VALUE"""),21)</f>
        <v>21</v>
      </c>
      <c r="E207" s="112">
        <f ca="1">IFERROR(__xludf.DUMMYFUNCTION("""COMPUTED_VALUE"""),40501.7055555555)</f>
        <v>40501.705555555498</v>
      </c>
      <c r="F207" s="111">
        <f ca="1">IFERROR(__xludf.DUMMYFUNCTION("""COMPUTED_VALUE"""),8.87)</f>
        <v>8.8699999999999992</v>
      </c>
      <c r="G207" s="112">
        <f ca="1">IFERROR(__xludf.DUMMYFUNCTION("""COMPUTED_VALUE"""),40501.7055555555)</f>
        <v>40501.705555555498</v>
      </c>
      <c r="H207" s="111">
        <f ca="1">IFERROR(__xludf.DUMMYFUNCTION("""COMPUTED_VALUE"""),25.7)</f>
        <v>25.7</v>
      </c>
      <c r="K207" s="112">
        <f ca="1">IFERROR(__xludf.DUMMYFUNCTION("""COMPUTED_VALUE"""),40995.7055555555)</f>
        <v>40995.705555555498</v>
      </c>
      <c r="L207" s="111">
        <f ca="1">IFERROR(__xludf.DUMMYFUNCTION("""COMPUTED_VALUE"""),0.37)</f>
        <v>0.37</v>
      </c>
      <c r="M207" s="112">
        <f ca="1">IFERROR(__xludf.DUMMYFUNCTION("""COMPUTED_VALUE"""),40479.7055555555)</f>
        <v>40479.705555555498</v>
      </c>
      <c r="N207" s="111">
        <f ca="1">IFERROR(__xludf.DUMMYFUNCTION("""COMPUTED_VALUE"""),13.6)</f>
        <v>13.6</v>
      </c>
      <c r="O207" s="112">
        <f ca="1">IFERROR(__xludf.DUMMYFUNCTION("""COMPUTED_VALUE"""),40501.7055555555)</f>
        <v>40501.705555555498</v>
      </c>
      <c r="P207" s="111">
        <f ca="1">IFERROR(__xludf.DUMMYFUNCTION("""COMPUTED_VALUE"""),55.45)</f>
        <v>55.45</v>
      </c>
      <c r="Q207" s="112">
        <f ca="1">IFERROR(__xludf.DUMMYFUNCTION("""COMPUTED_VALUE"""),40501.7055555555)</f>
        <v>40501.705555555498</v>
      </c>
      <c r="R207" s="111">
        <f ca="1">IFERROR(__xludf.DUMMYFUNCTION("""COMPUTED_VALUE"""),34.3)</f>
        <v>34.299999999999997</v>
      </c>
      <c r="S207" s="112">
        <f ca="1">IFERROR(__xludf.DUMMYFUNCTION("""COMPUTED_VALUE"""),40501.7055555555)</f>
        <v>40501.705555555498</v>
      </c>
      <c r="T207" s="111">
        <f ca="1">IFERROR(__xludf.DUMMYFUNCTION("""COMPUTED_VALUE"""),9.68)</f>
        <v>9.68</v>
      </c>
    </row>
    <row r="208" spans="1:20" x14ac:dyDescent="0.3">
      <c r="A208" s="112">
        <f ca="1">IFERROR(__xludf.DUMMYFUNCTION("""COMPUTED_VALUE"""),40504.7055555555)</f>
        <v>40504.705555555498</v>
      </c>
      <c r="B208" s="111">
        <f ca="1">IFERROR(__xludf.DUMMYFUNCTION("""COMPUTED_VALUE"""),22.07)</f>
        <v>22.07</v>
      </c>
      <c r="C208" s="112">
        <f ca="1">IFERROR(__xludf.DUMMYFUNCTION("""COMPUTED_VALUE"""),40504.7055555555)</f>
        <v>40504.705555555498</v>
      </c>
      <c r="D208" s="111">
        <f ca="1">IFERROR(__xludf.DUMMYFUNCTION("""COMPUTED_VALUE"""),20.68)</f>
        <v>20.68</v>
      </c>
      <c r="E208" s="112">
        <f ca="1">IFERROR(__xludf.DUMMYFUNCTION("""COMPUTED_VALUE"""),40504.7055555555)</f>
        <v>40504.705555555498</v>
      </c>
      <c r="F208" s="111">
        <f ca="1">IFERROR(__xludf.DUMMYFUNCTION("""COMPUTED_VALUE"""),8.74)</f>
        <v>8.74</v>
      </c>
      <c r="G208" s="112">
        <f ca="1">IFERROR(__xludf.DUMMYFUNCTION("""COMPUTED_VALUE"""),40504.7055555555)</f>
        <v>40504.705555555498</v>
      </c>
      <c r="H208" s="111">
        <f ca="1">IFERROR(__xludf.DUMMYFUNCTION("""COMPUTED_VALUE"""),25.06)</f>
        <v>25.06</v>
      </c>
      <c r="K208" s="112">
        <f ca="1">IFERROR(__xludf.DUMMYFUNCTION("""COMPUTED_VALUE"""),40996.7055555555)</f>
        <v>40996.705555555498</v>
      </c>
      <c r="L208" s="111">
        <f ca="1">IFERROR(__xludf.DUMMYFUNCTION("""COMPUTED_VALUE"""),0.37)</f>
        <v>0.37</v>
      </c>
      <c r="M208" s="112">
        <f ca="1">IFERROR(__xludf.DUMMYFUNCTION("""COMPUTED_VALUE"""),40480.7055555555)</f>
        <v>40480.705555555498</v>
      </c>
      <c r="N208" s="111">
        <f ca="1">IFERROR(__xludf.DUMMYFUNCTION("""COMPUTED_VALUE"""),13.68)</f>
        <v>13.68</v>
      </c>
      <c r="O208" s="112">
        <f ca="1">IFERROR(__xludf.DUMMYFUNCTION("""COMPUTED_VALUE"""),40504.7055555555)</f>
        <v>40504.705555555498</v>
      </c>
      <c r="P208" s="111">
        <f ca="1">IFERROR(__xludf.DUMMYFUNCTION("""COMPUTED_VALUE"""),55.3)</f>
        <v>55.3</v>
      </c>
      <c r="Q208" s="112">
        <f ca="1">IFERROR(__xludf.DUMMYFUNCTION("""COMPUTED_VALUE"""),40504.7055555555)</f>
        <v>40504.705555555498</v>
      </c>
      <c r="R208" s="111">
        <f ca="1">IFERROR(__xludf.DUMMYFUNCTION("""COMPUTED_VALUE"""),33.8)</f>
        <v>33.799999999999997</v>
      </c>
      <c r="S208" s="112">
        <f ca="1">IFERROR(__xludf.DUMMYFUNCTION("""COMPUTED_VALUE"""),40504.7055555555)</f>
        <v>40504.705555555498</v>
      </c>
      <c r="T208" s="111">
        <f ca="1">IFERROR(__xludf.DUMMYFUNCTION("""COMPUTED_VALUE"""),9.56)</f>
        <v>9.56</v>
      </c>
    </row>
    <row r="209" spans="1:20" x14ac:dyDescent="0.3">
      <c r="A209" s="112">
        <f ca="1">IFERROR(__xludf.DUMMYFUNCTION("""COMPUTED_VALUE"""),40505.7055555555)</f>
        <v>40505.705555555498</v>
      </c>
      <c r="B209" s="111">
        <f ca="1">IFERROR(__xludf.DUMMYFUNCTION("""COMPUTED_VALUE"""),21.86)</f>
        <v>21.86</v>
      </c>
      <c r="C209" s="112">
        <f ca="1">IFERROR(__xludf.DUMMYFUNCTION("""COMPUTED_VALUE"""),40505.7055555555)</f>
        <v>40505.705555555498</v>
      </c>
      <c r="D209" s="111">
        <f ca="1">IFERROR(__xludf.DUMMYFUNCTION("""COMPUTED_VALUE"""),20.13)</f>
        <v>20.13</v>
      </c>
      <c r="E209" s="112">
        <f ca="1">IFERROR(__xludf.DUMMYFUNCTION("""COMPUTED_VALUE"""),40505.7055555555)</f>
        <v>40505.705555555498</v>
      </c>
      <c r="F209" s="111">
        <f ca="1">IFERROR(__xludf.DUMMYFUNCTION("""COMPUTED_VALUE"""),8.5)</f>
        <v>8.5</v>
      </c>
      <c r="G209" s="112">
        <f ca="1">IFERROR(__xludf.DUMMYFUNCTION("""COMPUTED_VALUE"""),40505.7055555555)</f>
        <v>40505.705555555498</v>
      </c>
      <c r="H209" s="111">
        <f ca="1">IFERROR(__xludf.DUMMYFUNCTION("""COMPUTED_VALUE"""),24.65)</f>
        <v>24.65</v>
      </c>
      <c r="K209" s="112">
        <f ca="1">IFERROR(__xludf.DUMMYFUNCTION("""COMPUTED_VALUE"""),40997.7055555555)</f>
        <v>40997.705555555498</v>
      </c>
      <c r="L209" s="111">
        <f ca="1">IFERROR(__xludf.DUMMYFUNCTION("""COMPUTED_VALUE"""),0.36)</f>
        <v>0.36</v>
      </c>
      <c r="M209" s="112">
        <f ca="1">IFERROR(__xludf.DUMMYFUNCTION("""COMPUTED_VALUE"""),40483.7055555555)</f>
        <v>40483.705555555498</v>
      </c>
      <c r="N209" s="111">
        <f ca="1">IFERROR(__xludf.DUMMYFUNCTION("""COMPUTED_VALUE"""),14.05)</f>
        <v>14.05</v>
      </c>
      <c r="O209" s="112">
        <f ca="1">IFERROR(__xludf.DUMMYFUNCTION("""COMPUTED_VALUE"""),40505.7055555555)</f>
        <v>40505.705555555498</v>
      </c>
      <c r="P209" s="111">
        <f ca="1">IFERROR(__xludf.DUMMYFUNCTION("""COMPUTED_VALUE"""),53.9)</f>
        <v>53.9</v>
      </c>
      <c r="Q209" s="112">
        <f ca="1">IFERROR(__xludf.DUMMYFUNCTION("""COMPUTED_VALUE"""),40505.7055555555)</f>
        <v>40505.705555555498</v>
      </c>
      <c r="R209" s="111">
        <f ca="1">IFERROR(__xludf.DUMMYFUNCTION("""COMPUTED_VALUE"""),32.28)</f>
        <v>32.28</v>
      </c>
      <c r="S209" s="112">
        <f ca="1">IFERROR(__xludf.DUMMYFUNCTION("""COMPUTED_VALUE"""),40505.7055555555)</f>
        <v>40505.705555555498</v>
      </c>
      <c r="T209" s="111">
        <f ca="1">IFERROR(__xludf.DUMMYFUNCTION("""COMPUTED_VALUE"""),9.15)</f>
        <v>9.15</v>
      </c>
    </row>
    <row r="210" spans="1:20" x14ac:dyDescent="0.3">
      <c r="A210" s="112">
        <f ca="1">IFERROR(__xludf.DUMMYFUNCTION("""COMPUTED_VALUE"""),40506.7055555555)</f>
        <v>40506.705555555498</v>
      </c>
      <c r="B210" s="111">
        <f ca="1">IFERROR(__xludf.DUMMYFUNCTION("""COMPUTED_VALUE"""),22.1)</f>
        <v>22.1</v>
      </c>
      <c r="C210" s="112">
        <f ca="1">IFERROR(__xludf.DUMMYFUNCTION("""COMPUTED_VALUE"""),40506.7055555555)</f>
        <v>40506.705555555498</v>
      </c>
      <c r="D210" s="111">
        <f ca="1">IFERROR(__xludf.DUMMYFUNCTION("""COMPUTED_VALUE"""),20.31)</f>
        <v>20.309999999999999</v>
      </c>
      <c r="E210" s="112">
        <f ca="1">IFERROR(__xludf.DUMMYFUNCTION("""COMPUTED_VALUE"""),40506.7055555555)</f>
        <v>40506.705555555498</v>
      </c>
      <c r="F210" s="111">
        <f ca="1">IFERROR(__xludf.DUMMYFUNCTION("""COMPUTED_VALUE"""),8.58)</f>
        <v>8.58</v>
      </c>
      <c r="G210" s="112">
        <f ca="1">IFERROR(__xludf.DUMMYFUNCTION("""COMPUTED_VALUE"""),40506.7055555555)</f>
        <v>40506.705555555498</v>
      </c>
      <c r="H210" s="111">
        <f ca="1">IFERROR(__xludf.DUMMYFUNCTION("""COMPUTED_VALUE"""),25.24)</f>
        <v>25.24</v>
      </c>
      <c r="K210" s="112">
        <f ca="1">IFERROR(__xludf.DUMMYFUNCTION("""COMPUTED_VALUE"""),41001.7055555555)</f>
        <v>41001.705555555498</v>
      </c>
      <c r="L210" s="111">
        <f ca="1">IFERROR(__xludf.DUMMYFUNCTION("""COMPUTED_VALUE"""),0.39)</f>
        <v>0.39</v>
      </c>
      <c r="M210" s="112">
        <f ca="1">IFERROR(__xludf.DUMMYFUNCTION("""COMPUTED_VALUE"""),40485.7055555555)</f>
        <v>40485.705555555498</v>
      </c>
      <c r="N210" s="111">
        <f ca="1">IFERROR(__xludf.DUMMYFUNCTION("""COMPUTED_VALUE"""),14.24)</f>
        <v>14.24</v>
      </c>
      <c r="O210" s="112">
        <f ca="1">IFERROR(__xludf.DUMMYFUNCTION("""COMPUTED_VALUE"""),40506.7055555555)</f>
        <v>40506.705555555498</v>
      </c>
      <c r="P210" s="111">
        <f ca="1">IFERROR(__xludf.DUMMYFUNCTION("""COMPUTED_VALUE"""),55.27)</f>
        <v>55.27</v>
      </c>
      <c r="Q210" s="112">
        <f ca="1">IFERROR(__xludf.DUMMYFUNCTION("""COMPUTED_VALUE"""),40506.7055555555)</f>
        <v>40506.705555555498</v>
      </c>
      <c r="R210" s="111">
        <f ca="1">IFERROR(__xludf.DUMMYFUNCTION("""COMPUTED_VALUE"""),32.72)</f>
        <v>32.72</v>
      </c>
      <c r="S210" s="112">
        <f ca="1">IFERROR(__xludf.DUMMYFUNCTION("""COMPUTED_VALUE"""),40506.7055555555)</f>
        <v>40506.705555555498</v>
      </c>
      <c r="T210" s="111">
        <f ca="1">IFERROR(__xludf.DUMMYFUNCTION("""COMPUTED_VALUE"""),9.24)</f>
        <v>9.24</v>
      </c>
    </row>
    <row r="211" spans="1:20" x14ac:dyDescent="0.3">
      <c r="A211" s="112">
        <f ca="1">IFERROR(__xludf.DUMMYFUNCTION("""COMPUTED_VALUE"""),40507.7055555555)</f>
        <v>40507.705555555498</v>
      </c>
      <c r="B211" s="111">
        <f ca="1">IFERROR(__xludf.DUMMYFUNCTION("""COMPUTED_VALUE"""),21.95)</f>
        <v>21.95</v>
      </c>
      <c r="C211" s="112">
        <f ca="1">IFERROR(__xludf.DUMMYFUNCTION("""COMPUTED_VALUE"""),40507.7055555555)</f>
        <v>40507.705555555498</v>
      </c>
      <c r="D211" s="111">
        <f ca="1">IFERROR(__xludf.DUMMYFUNCTION("""COMPUTED_VALUE"""),20.27)</f>
        <v>20.27</v>
      </c>
      <c r="E211" s="112">
        <f ca="1">IFERROR(__xludf.DUMMYFUNCTION("""COMPUTED_VALUE"""),40507.7055555555)</f>
        <v>40507.705555555498</v>
      </c>
      <c r="F211" s="111">
        <f ca="1">IFERROR(__xludf.DUMMYFUNCTION("""COMPUTED_VALUE"""),8.63)</f>
        <v>8.6300000000000008</v>
      </c>
      <c r="G211" s="112">
        <f ca="1">IFERROR(__xludf.DUMMYFUNCTION("""COMPUTED_VALUE"""),40507.7055555555)</f>
        <v>40507.705555555498</v>
      </c>
      <c r="H211" s="111">
        <f ca="1">IFERROR(__xludf.DUMMYFUNCTION("""COMPUTED_VALUE"""),24.85)</f>
        <v>24.85</v>
      </c>
      <c r="K211" s="112">
        <f ca="1">IFERROR(__xludf.DUMMYFUNCTION("""COMPUTED_VALUE"""),41002.7055555555)</f>
        <v>41002.705555555498</v>
      </c>
      <c r="L211" s="111">
        <f ca="1">IFERROR(__xludf.DUMMYFUNCTION("""COMPUTED_VALUE"""),0.39)</f>
        <v>0.39</v>
      </c>
      <c r="M211" s="112">
        <f ca="1">IFERROR(__xludf.DUMMYFUNCTION("""COMPUTED_VALUE"""),40486.7055555555)</f>
        <v>40486.705555555498</v>
      </c>
      <c r="N211" s="111">
        <f ca="1">IFERROR(__xludf.DUMMYFUNCTION("""COMPUTED_VALUE"""),14.38)</f>
        <v>14.38</v>
      </c>
      <c r="O211" s="112">
        <f ca="1">IFERROR(__xludf.DUMMYFUNCTION("""COMPUTED_VALUE"""),40507.7055555555)</f>
        <v>40507.705555555498</v>
      </c>
      <c r="P211" s="111">
        <f ca="1">IFERROR(__xludf.DUMMYFUNCTION("""COMPUTED_VALUE"""),54.92)</f>
        <v>54.92</v>
      </c>
      <c r="Q211" s="112">
        <f ca="1">IFERROR(__xludf.DUMMYFUNCTION("""COMPUTED_VALUE"""),40507.7055555555)</f>
        <v>40507.705555555498</v>
      </c>
      <c r="R211" s="111">
        <f ca="1">IFERROR(__xludf.DUMMYFUNCTION("""COMPUTED_VALUE"""),32.9)</f>
        <v>32.9</v>
      </c>
      <c r="S211" s="112">
        <f ca="1">IFERROR(__xludf.DUMMYFUNCTION("""COMPUTED_VALUE"""),40507.7055555555)</f>
        <v>40507.705555555498</v>
      </c>
      <c r="T211" s="111">
        <f ca="1">IFERROR(__xludf.DUMMYFUNCTION("""COMPUTED_VALUE"""),9.33)</f>
        <v>9.33</v>
      </c>
    </row>
    <row r="212" spans="1:20" x14ac:dyDescent="0.3">
      <c r="A212" s="112">
        <f ca="1">IFERROR(__xludf.DUMMYFUNCTION("""COMPUTED_VALUE"""),40508.7055555555)</f>
        <v>40508.705555555498</v>
      </c>
      <c r="B212" s="111">
        <f ca="1">IFERROR(__xludf.DUMMYFUNCTION("""COMPUTED_VALUE"""),21.86)</f>
        <v>21.86</v>
      </c>
      <c r="C212" s="112">
        <f ca="1">IFERROR(__xludf.DUMMYFUNCTION("""COMPUTED_VALUE"""),40508.7055555555)</f>
        <v>40508.705555555498</v>
      </c>
      <c r="D212" s="111">
        <f ca="1">IFERROR(__xludf.DUMMYFUNCTION("""COMPUTED_VALUE"""),20.09)</f>
        <v>20.09</v>
      </c>
      <c r="E212" s="112">
        <f ca="1">IFERROR(__xludf.DUMMYFUNCTION("""COMPUTED_VALUE"""),40508.7055555555)</f>
        <v>40508.705555555498</v>
      </c>
      <c r="F212" s="111">
        <f ca="1">IFERROR(__xludf.DUMMYFUNCTION("""COMPUTED_VALUE"""),8.53)</f>
        <v>8.5299999999999994</v>
      </c>
      <c r="G212" s="112">
        <f ca="1">IFERROR(__xludf.DUMMYFUNCTION("""COMPUTED_VALUE"""),40508.7055555555)</f>
        <v>40508.705555555498</v>
      </c>
      <c r="H212" s="111">
        <f ca="1">IFERROR(__xludf.DUMMYFUNCTION("""COMPUTED_VALUE"""),24.6)</f>
        <v>24.6</v>
      </c>
      <c r="K212" s="112">
        <f ca="1">IFERROR(__xludf.DUMMYFUNCTION("""COMPUTED_VALUE"""),41003.7055555555)</f>
        <v>41003.705555555498</v>
      </c>
      <c r="L212" s="111">
        <f ca="1">IFERROR(__xludf.DUMMYFUNCTION("""COMPUTED_VALUE"""),0.39)</f>
        <v>0.39</v>
      </c>
      <c r="M212" s="112">
        <f ca="1">IFERROR(__xludf.DUMMYFUNCTION("""COMPUTED_VALUE"""),40487.7055555555)</f>
        <v>40487.705555555498</v>
      </c>
      <c r="N212" s="111">
        <f ca="1">IFERROR(__xludf.DUMMYFUNCTION("""COMPUTED_VALUE"""),14.41)</f>
        <v>14.41</v>
      </c>
      <c r="O212" s="112">
        <f ca="1">IFERROR(__xludf.DUMMYFUNCTION("""COMPUTED_VALUE"""),40508.7055555555)</f>
        <v>40508.705555555498</v>
      </c>
      <c r="P212" s="111">
        <f ca="1">IFERROR(__xludf.DUMMYFUNCTION("""COMPUTED_VALUE"""),54.09)</f>
        <v>54.09</v>
      </c>
      <c r="Q212" s="112">
        <f ca="1">IFERROR(__xludf.DUMMYFUNCTION("""COMPUTED_VALUE"""),40508.7055555555)</f>
        <v>40508.705555555498</v>
      </c>
      <c r="R212" s="111">
        <f ca="1">IFERROR(__xludf.DUMMYFUNCTION("""COMPUTED_VALUE"""),32.91)</f>
        <v>32.909999999999997</v>
      </c>
      <c r="S212" s="112">
        <f ca="1">IFERROR(__xludf.DUMMYFUNCTION("""COMPUTED_VALUE"""),40508.7055555555)</f>
        <v>40508.705555555498</v>
      </c>
      <c r="T212" s="111">
        <f ca="1">IFERROR(__xludf.DUMMYFUNCTION("""COMPUTED_VALUE"""),9.2)</f>
        <v>9.1999999999999993</v>
      </c>
    </row>
    <row r="213" spans="1:20" x14ac:dyDescent="0.3">
      <c r="A213" s="112">
        <f ca="1">IFERROR(__xludf.DUMMYFUNCTION("""COMPUTED_VALUE"""),40511.7055555555)</f>
        <v>40511.705555555498</v>
      </c>
      <c r="B213" s="111">
        <f ca="1">IFERROR(__xludf.DUMMYFUNCTION("""COMPUTED_VALUE"""),21.7)</f>
        <v>21.7</v>
      </c>
      <c r="C213" s="112">
        <f ca="1">IFERROR(__xludf.DUMMYFUNCTION("""COMPUTED_VALUE"""),40511.7055555555)</f>
        <v>40511.705555555498</v>
      </c>
      <c r="D213" s="111">
        <f ca="1">IFERROR(__xludf.DUMMYFUNCTION("""COMPUTED_VALUE"""),19.83)</f>
        <v>19.829999999999998</v>
      </c>
      <c r="E213" s="112">
        <f ca="1">IFERROR(__xludf.DUMMYFUNCTION("""COMPUTED_VALUE"""),40511.7055555555)</f>
        <v>40511.705555555498</v>
      </c>
      <c r="F213" s="111">
        <f ca="1">IFERROR(__xludf.DUMMYFUNCTION("""COMPUTED_VALUE"""),8.46)</f>
        <v>8.4600000000000009</v>
      </c>
      <c r="G213" s="112">
        <f ca="1">IFERROR(__xludf.DUMMYFUNCTION("""COMPUTED_VALUE"""),40511.7055555555)</f>
        <v>40511.705555555498</v>
      </c>
      <c r="H213" s="111">
        <f ca="1">IFERROR(__xludf.DUMMYFUNCTION("""COMPUTED_VALUE"""),24.7)</f>
        <v>24.7</v>
      </c>
      <c r="K213" s="112">
        <f ca="1">IFERROR(__xludf.DUMMYFUNCTION("""COMPUTED_VALUE"""),41004.7055555555)</f>
        <v>41004.705555555498</v>
      </c>
      <c r="L213" s="111">
        <f ca="1">IFERROR(__xludf.DUMMYFUNCTION("""COMPUTED_VALUE"""),0.38)</f>
        <v>0.38</v>
      </c>
      <c r="M213" s="112">
        <f ca="1">IFERROR(__xludf.DUMMYFUNCTION("""COMPUTED_VALUE"""),40490.7055555555)</f>
        <v>40490.705555555498</v>
      </c>
      <c r="N213" s="111">
        <f ca="1">IFERROR(__xludf.DUMMYFUNCTION("""COMPUTED_VALUE"""),14.48)</f>
        <v>14.48</v>
      </c>
      <c r="O213" s="112">
        <f ca="1">IFERROR(__xludf.DUMMYFUNCTION("""COMPUTED_VALUE"""),40511.7055555555)</f>
        <v>40511.705555555498</v>
      </c>
      <c r="P213" s="111">
        <f ca="1">IFERROR(__xludf.DUMMYFUNCTION("""COMPUTED_VALUE"""),54.21)</f>
        <v>54.21</v>
      </c>
      <c r="Q213" s="112">
        <f ca="1">IFERROR(__xludf.DUMMYFUNCTION("""COMPUTED_VALUE"""),40511.7055555555)</f>
        <v>40511.705555555498</v>
      </c>
      <c r="R213" s="111">
        <f ca="1">IFERROR(__xludf.DUMMYFUNCTION("""COMPUTED_VALUE"""),33.17)</f>
        <v>33.17</v>
      </c>
      <c r="S213" s="112">
        <f ca="1">IFERROR(__xludf.DUMMYFUNCTION("""COMPUTED_VALUE"""),40511.7055555555)</f>
        <v>40511.705555555498</v>
      </c>
      <c r="T213" s="111">
        <f ca="1">IFERROR(__xludf.DUMMYFUNCTION("""COMPUTED_VALUE"""),8.94)</f>
        <v>8.94</v>
      </c>
    </row>
    <row r="214" spans="1:20" x14ac:dyDescent="0.3">
      <c r="A214" s="112">
        <f ca="1">IFERROR(__xludf.DUMMYFUNCTION("""COMPUTED_VALUE"""),40512.7055555555)</f>
        <v>40512.705555555498</v>
      </c>
      <c r="B214" s="111">
        <f ca="1">IFERROR(__xludf.DUMMYFUNCTION("""COMPUTED_VALUE"""),22.24)</f>
        <v>22.24</v>
      </c>
      <c r="C214" s="112">
        <f ca="1">IFERROR(__xludf.DUMMYFUNCTION("""COMPUTED_VALUE"""),40512.7055555555)</f>
        <v>40512.705555555498</v>
      </c>
      <c r="D214" s="111">
        <f ca="1">IFERROR(__xludf.DUMMYFUNCTION("""COMPUTED_VALUE"""),19.66)</f>
        <v>19.66</v>
      </c>
      <c r="E214" s="112">
        <f ca="1">IFERROR(__xludf.DUMMYFUNCTION("""COMPUTED_VALUE"""),40512.7055555555)</f>
        <v>40512.705555555498</v>
      </c>
      <c r="F214" s="111">
        <f ca="1">IFERROR(__xludf.DUMMYFUNCTION("""COMPUTED_VALUE"""),8.43)</f>
        <v>8.43</v>
      </c>
      <c r="G214" s="112">
        <f ca="1">IFERROR(__xludf.DUMMYFUNCTION("""COMPUTED_VALUE"""),40512.7055555555)</f>
        <v>40512.705555555498</v>
      </c>
      <c r="H214" s="111">
        <f ca="1">IFERROR(__xludf.DUMMYFUNCTION("""COMPUTED_VALUE"""),24.59)</f>
        <v>24.59</v>
      </c>
      <c r="K214" s="112">
        <f ca="1">IFERROR(__xludf.DUMMYFUNCTION("""COMPUTED_VALUE"""),41008.7055555555)</f>
        <v>41008.705555555498</v>
      </c>
      <c r="L214" s="111">
        <f ca="1">IFERROR(__xludf.DUMMYFUNCTION("""COMPUTED_VALUE"""),0.36)</f>
        <v>0.36</v>
      </c>
      <c r="M214" s="112">
        <f ca="1">IFERROR(__xludf.DUMMYFUNCTION("""COMPUTED_VALUE"""),40491.7055555555)</f>
        <v>40491.705555555498</v>
      </c>
      <c r="N214" s="111">
        <f ca="1">IFERROR(__xludf.DUMMYFUNCTION("""COMPUTED_VALUE"""),14.05)</f>
        <v>14.05</v>
      </c>
      <c r="O214" s="112">
        <f ca="1">IFERROR(__xludf.DUMMYFUNCTION("""COMPUTED_VALUE"""),40512.7055555555)</f>
        <v>40512.705555555498</v>
      </c>
      <c r="P214" s="111">
        <f ca="1">IFERROR(__xludf.DUMMYFUNCTION("""COMPUTED_VALUE"""),53.56)</f>
        <v>53.56</v>
      </c>
      <c r="Q214" s="112">
        <f ca="1">IFERROR(__xludf.DUMMYFUNCTION("""COMPUTED_VALUE"""),40512.7055555555)</f>
        <v>40512.705555555498</v>
      </c>
      <c r="R214" s="111">
        <f ca="1">IFERROR(__xludf.DUMMYFUNCTION("""COMPUTED_VALUE"""),32.9)</f>
        <v>32.9</v>
      </c>
      <c r="S214" s="112">
        <f ca="1">IFERROR(__xludf.DUMMYFUNCTION("""COMPUTED_VALUE"""),40512.7055555555)</f>
        <v>40512.705555555498</v>
      </c>
      <c r="T214" s="111">
        <f ca="1">IFERROR(__xludf.DUMMYFUNCTION("""COMPUTED_VALUE"""),9.02)</f>
        <v>9.02</v>
      </c>
    </row>
    <row r="215" spans="1:20" x14ac:dyDescent="0.3">
      <c r="A215" s="112">
        <f ca="1">IFERROR(__xludf.DUMMYFUNCTION("""COMPUTED_VALUE"""),40513.7055555555)</f>
        <v>40513.705555555498</v>
      </c>
      <c r="B215" s="111">
        <f ca="1">IFERROR(__xludf.DUMMYFUNCTION("""COMPUTED_VALUE"""),22.53)</f>
        <v>22.53</v>
      </c>
      <c r="C215" s="112">
        <f ca="1">IFERROR(__xludf.DUMMYFUNCTION("""COMPUTED_VALUE"""),40513.7055555555)</f>
        <v>40513.705555555498</v>
      </c>
      <c r="D215" s="111">
        <f ca="1">IFERROR(__xludf.DUMMYFUNCTION("""COMPUTED_VALUE"""),20.04)</f>
        <v>20.04</v>
      </c>
      <c r="E215" s="112">
        <f ca="1">IFERROR(__xludf.DUMMYFUNCTION("""COMPUTED_VALUE"""),40513.7055555555)</f>
        <v>40513.705555555498</v>
      </c>
      <c r="F215" s="111">
        <f ca="1">IFERROR(__xludf.DUMMYFUNCTION("""COMPUTED_VALUE"""),8.62)</f>
        <v>8.6199999999999992</v>
      </c>
      <c r="G215" s="112">
        <f ca="1">IFERROR(__xludf.DUMMYFUNCTION("""COMPUTED_VALUE"""),40513.7055555555)</f>
        <v>40513.705555555498</v>
      </c>
      <c r="H215" s="111">
        <f ca="1">IFERROR(__xludf.DUMMYFUNCTION("""COMPUTED_VALUE"""),25.26)</f>
        <v>25.26</v>
      </c>
      <c r="K215" s="112">
        <f ca="1">IFERROR(__xludf.DUMMYFUNCTION("""COMPUTED_VALUE"""),41009.7055555555)</f>
        <v>41009.705555555498</v>
      </c>
      <c r="L215" s="111">
        <f ca="1">IFERROR(__xludf.DUMMYFUNCTION("""COMPUTED_VALUE"""),0.37)</f>
        <v>0.37</v>
      </c>
      <c r="M215" s="112">
        <f ca="1">IFERROR(__xludf.DUMMYFUNCTION("""COMPUTED_VALUE"""),40492.7055555555)</f>
        <v>40492.705555555498</v>
      </c>
      <c r="N215" s="111">
        <f ca="1">IFERROR(__xludf.DUMMYFUNCTION("""COMPUTED_VALUE"""),14.25)</f>
        <v>14.25</v>
      </c>
      <c r="O215" s="112">
        <f ca="1">IFERROR(__xludf.DUMMYFUNCTION("""COMPUTED_VALUE"""),40513.7055555555)</f>
        <v>40513.705555555498</v>
      </c>
      <c r="P215" s="111">
        <f ca="1">IFERROR(__xludf.DUMMYFUNCTION("""COMPUTED_VALUE"""),55.3)</f>
        <v>55.3</v>
      </c>
      <c r="Q215" s="112">
        <f ca="1">IFERROR(__xludf.DUMMYFUNCTION("""COMPUTED_VALUE"""),40513.7055555555)</f>
        <v>40513.705555555498</v>
      </c>
      <c r="R215" s="111">
        <f ca="1">IFERROR(__xludf.DUMMYFUNCTION("""COMPUTED_VALUE"""),33.77)</f>
        <v>33.770000000000003</v>
      </c>
      <c r="S215" s="112">
        <f ca="1">IFERROR(__xludf.DUMMYFUNCTION("""COMPUTED_VALUE"""),40513.7055555555)</f>
        <v>40513.705555555498</v>
      </c>
      <c r="T215" s="111">
        <f ca="1">IFERROR(__xludf.DUMMYFUNCTION("""COMPUTED_VALUE"""),9.06)</f>
        <v>9.06</v>
      </c>
    </row>
    <row r="216" spans="1:20" x14ac:dyDescent="0.3">
      <c r="A216" s="112">
        <f ca="1">IFERROR(__xludf.DUMMYFUNCTION("""COMPUTED_VALUE"""),40514.7055555555)</f>
        <v>40514.705555555498</v>
      </c>
      <c r="B216" s="111">
        <f ca="1">IFERROR(__xludf.DUMMYFUNCTION("""COMPUTED_VALUE"""),22.71)</f>
        <v>22.71</v>
      </c>
      <c r="C216" s="112">
        <f ca="1">IFERROR(__xludf.DUMMYFUNCTION("""COMPUTED_VALUE"""),40514.7055555555)</f>
        <v>40514.705555555498</v>
      </c>
      <c r="D216" s="111">
        <f ca="1">IFERROR(__xludf.DUMMYFUNCTION("""COMPUTED_VALUE"""),20.11)</f>
        <v>20.11</v>
      </c>
      <c r="E216" s="112">
        <f ca="1">IFERROR(__xludf.DUMMYFUNCTION("""COMPUTED_VALUE"""),40514.7055555555)</f>
        <v>40514.705555555498</v>
      </c>
      <c r="F216" s="111">
        <f ca="1">IFERROR(__xludf.DUMMYFUNCTION("""COMPUTED_VALUE"""),8.61)</f>
        <v>8.61</v>
      </c>
      <c r="G216" s="112">
        <f ca="1">IFERROR(__xludf.DUMMYFUNCTION("""COMPUTED_VALUE"""),40514.7055555555)</f>
        <v>40514.705555555498</v>
      </c>
      <c r="H216" s="111">
        <f ca="1">IFERROR(__xludf.DUMMYFUNCTION("""COMPUTED_VALUE"""),25.4)</f>
        <v>25.4</v>
      </c>
      <c r="K216" s="112">
        <f ca="1">IFERROR(__xludf.DUMMYFUNCTION("""COMPUTED_VALUE"""),41010.7055555555)</f>
        <v>41010.705555555498</v>
      </c>
      <c r="L216" s="111">
        <f ca="1">IFERROR(__xludf.DUMMYFUNCTION("""COMPUTED_VALUE"""),0.36)</f>
        <v>0.36</v>
      </c>
      <c r="M216" s="112">
        <f ca="1">IFERROR(__xludf.DUMMYFUNCTION("""COMPUTED_VALUE"""),40493.7055555555)</f>
        <v>40493.705555555498</v>
      </c>
      <c r="N216" s="111">
        <f ca="1">IFERROR(__xludf.DUMMYFUNCTION("""COMPUTED_VALUE"""),13.9)</f>
        <v>13.9</v>
      </c>
      <c r="O216" s="112">
        <f ca="1">IFERROR(__xludf.DUMMYFUNCTION("""COMPUTED_VALUE"""),40514.7055555555)</f>
        <v>40514.705555555498</v>
      </c>
      <c r="P216" s="111">
        <f ca="1">IFERROR(__xludf.DUMMYFUNCTION("""COMPUTED_VALUE"""),55.9)</f>
        <v>55.9</v>
      </c>
      <c r="Q216" s="112">
        <f ca="1">IFERROR(__xludf.DUMMYFUNCTION("""COMPUTED_VALUE"""),40514.7055555555)</f>
        <v>40514.705555555498</v>
      </c>
      <c r="R216" s="111">
        <f ca="1">IFERROR(__xludf.DUMMYFUNCTION("""COMPUTED_VALUE"""),33.49)</f>
        <v>33.49</v>
      </c>
      <c r="S216" s="112">
        <f ca="1">IFERROR(__xludf.DUMMYFUNCTION("""COMPUTED_VALUE"""),40514.7055555555)</f>
        <v>40514.705555555498</v>
      </c>
      <c r="T216" s="111">
        <f ca="1">IFERROR(__xludf.DUMMYFUNCTION("""COMPUTED_VALUE"""),8.95)</f>
        <v>8.9499999999999993</v>
      </c>
    </row>
    <row r="217" spans="1:20" x14ac:dyDescent="0.3">
      <c r="A217" s="112">
        <f ca="1">IFERROR(__xludf.DUMMYFUNCTION("""COMPUTED_VALUE"""),40515.7055555555)</f>
        <v>40515.705555555498</v>
      </c>
      <c r="B217" s="111">
        <f ca="1">IFERROR(__xludf.DUMMYFUNCTION("""COMPUTED_VALUE"""),23.49)</f>
        <v>23.49</v>
      </c>
      <c r="C217" s="112">
        <f ca="1">IFERROR(__xludf.DUMMYFUNCTION("""COMPUTED_VALUE"""),40515.7055555555)</f>
        <v>40515.705555555498</v>
      </c>
      <c r="D217" s="111">
        <f ca="1">IFERROR(__xludf.DUMMYFUNCTION("""COMPUTED_VALUE"""),19.8)</f>
        <v>19.8</v>
      </c>
      <c r="E217" s="112">
        <f ca="1">IFERROR(__xludf.DUMMYFUNCTION("""COMPUTED_VALUE"""),40515.7055555555)</f>
        <v>40515.705555555498</v>
      </c>
      <c r="F217" s="111">
        <f ca="1">IFERROR(__xludf.DUMMYFUNCTION("""COMPUTED_VALUE"""),8.46)</f>
        <v>8.4600000000000009</v>
      </c>
      <c r="G217" s="112">
        <f ca="1">IFERROR(__xludf.DUMMYFUNCTION("""COMPUTED_VALUE"""),40515.7055555555)</f>
        <v>40515.705555555498</v>
      </c>
      <c r="H217" s="111">
        <f ca="1">IFERROR(__xludf.DUMMYFUNCTION("""COMPUTED_VALUE"""),25.7)</f>
        <v>25.7</v>
      </c>
      <c r="K217" s="112">
        <f ca="1">IFERROR(__xludf.DUMMYFUNCTION("""COMPUTED_VALUE"""),41011.7055555555)</f>
        <v>41011.705555555498</v>
      </c>
      <c r="L217" s="111">
        <f ca="1">IFERROR(__xludf.DUMMYFUNCTION("""COMPUTED_VALUE"""),0.38)</f>
        <v>0.38</v>
      </c>
      <c r="M217" s="112">
        <f ca="1">IFERROR(__xludf.DUMMYFUNCTION("""COMPUTED_VALUE"""),40494.7055555555)</f>
        <v>40494.705555555498</v>
      </c>
      <c r="N217" s="111">
        <f ca="1">IFERROR(__xludf.DUMMYFUNCTION("""COMPUTED_VALUE"""),13.85)</f>
        <v>13.85</v>
      </c>
      <c r="O217" s="112">
        <f ca="1">IFERROR(__xludf.DUMMYFUNCTION("""COMPUTED_VALUE"""),40515.7055555555)</f>
        <v>40515.705555555498</v>
      </c>
      <c r="P217" s="111">
        <f ca="1">IFERROR(__xludf.DUMMYFUNCTION("""COMPUTED_VALUE"""),56.6)</f>
        <v>56.6</v>
      </c>
      <c r="Q217" s="112">
        <f ca="1">IFERROR(__xludf.DUMMYFUNCTION("""COMPUTED_VALUE"""),40515.7055555555)</f>
        <v>40515.705555555498</v>
      </c>
      <c r="R217" s="111">
        <f ca="1">IFERROR(__xludf.DUMMYFUNCTION("""COMPUTED_VALUE"""),32.6)</f>
        <v>32.6</v>
      </c>
      <c r="S217" s="112">
        <f ca="1">IFERROR(__xludf.DUMMYFUNCTION("""COMPUTED_VALUE"""),40515.7055555555)</f>
        <v>40515.705555555498</v>
      </c>
      <c r="T217" s="111">
        <f ca="1">IFERROR(__xludf.DUMMYFUNCTION("""COMPUTED_VALUE"""),8.93)</f>
        <v>8.93</v>
      </c>
    </row>
    <row r="218" spans="1:20" x14ac:dyDescent="0.3">
      <c r="A218" s="112">
        <f ca="1">IFERROR(__xludf.DUMMYFUNCTION("""COMPUTED_VALUE"""),40518.7055555555)</f>
        <v>40518.705555555498</v>
      </c>
      <c r="B218" s="111">
        <f ca="1">IFERROR(__xludf.DUMMYFUNCTION("""COMPUTED_VALUE"""),23.17)</f>
        <v>23.17</v>
      </c>
      <c r="C218" s="112">
        <f ca="1">IFERROR(__xludf.DUMMYFUNCTION("""COMPUTED_VALUE"""),40518.7055555555)</f>
        <v>40518.705555555498</v>
      </c>
      <c r="D218" s="111">
        <f ca="1">IFERROR(__xludf.DUMMYFUNCTION("""COMPUTED_VALUE"""),19.62)</f>
        <v>19.62</v>
      </c>
      <c r="E218" s="112">
        <f ca="1">IFERROR(__xludf.DUMMYFUNCTION("""COMPUTED_VALUE"""),40518.7055555555)</f>
        <v>40518.705555555498</v>
      </c>
      <c r="F218" s="111">
        <f ca="1">IFERROR(__xludf.DUMMYFUNCTION("""COMPUTED_VALUE"""),8.38)</f>
        <v>8.3800000000000008</v>
      </c>
      <c r="G218" s="112">
        <f ca="1">IFERROR(__xludf.DUMMYFUNCTION("""COMPUTED_VALUE"""),40518.7055555555)</f>
        <v>40518.705555555498</v>
      </c>
      <c r="H218" s="111">
        <f ca="1">IFERROR(__xludf.DUMMYFUNCTION("""COMPUTED_VALUE"""),25.86)</f>
        <v>25.86</v>
      </c>
      <c r="K218" s="112">
        <f ca="1">IFERROR(__xludf.DUMMYFUNCTION("""COMPUTED_VALUE"""),41012.7055555555)</f>
        <v>41012.705555555498</v>
      </c>
      <c r="L218" s="111">
        <f ca="1">IFERROR(__xludf.DUMMYFUNCTION("""COMPUTED_VALUE"""),0.38)</f>
        <v>0.38</v>
      </c>
      <c r="M218" s="112">
        <f ca="1">IFERROR(__xludf.DUMMYFUNCTION("""COMPUTED_VALUE"""),40498.7055555555)</f>
        <v>40498.705555555498</v>
      </c>
      <c r="N218" s="111">
        <f ca="1">IFERROR(__xludf.DUMMYFUNCTION("""COMPUTED_VALUE"""),13.69)</f>
        <v>13.69</v>
      </c>
      <c r="O218" s="112">
        <f ca="1">IFERROR(__xludf.DUMMYFUNCTION("""COMPUTED_VALUE"""),40518.7055555555)</f>
        <v>40518.705555555498</v>
      </c>
      <c r="P218" s="111">
        <f ca="1">IFERROR(__xludf.DUMMYFUNCTION("""COMPUTED_VALUE"""),56.85)</f>
        <v>56.85</v>
      </c>
      <c r="Q218" s="112">
        <f ca="1">IFERROR(__xludf.DUMMYFUNCTION("""COMPUTED_VALUE"""),40518.7055555555)</f>
        <v>40518.705555555498</v>
      </c>
      <c r="R218" s="111">
        <f ca="1">IFERROR(__xludf.DUMMYFUNCTION("""COMPUTED_VALUE"""),31.95)</f>
        <v>31.95</v>
      </c>
      <c r="S218" s="112">
        <f ca="1">IFERROR(__xludf.DUMMYFUNCTION("""COMPUTED_VALUE"""),40518.7055555555)</f>
        <v>40518.705555555498</v>
      </c>
      <c r="T218" s="111">
        <f ca="1">IFERROR(__xludf.DUMMYFUNCTION("""COMPUTED_VALUE"""),8.91)</f>
        <v>8.91</v>
      </c>
    </row>
    <row r="219" spans="1:20" x14ac:dyDescent="0.3">
      <c r="A219" s="112">
        <f ca="1">IFERROR(__xludf.DUMMYFUNCTION("""COMPUTED_VALUE"""),40519.7055555555)</f>
        <v>40519.705555555498</v>
      </c>
      <c r="B219" s="111">
        <f ca="1">IFERROR(__xludf.DUMMYFUNCTION("""COMPUTED_VALUE"""),22.75)</f>
        <v>22.75</v>
      </c>
      <c r="C219" s="112">
        <f ca="1">IFERROR(__xludf.DUMMYFUNCTION("""COMPUTED_VALUE"""),40519.7055555555)</f>
        <v>40519.705555555498</v>
      </c>
      <c r="D219" s="111">
        <f ca="1">IFERROR(__xludf.DUMMYFUNCTION("""COMPUTED_VALUE"""),19.68)</f>
        <v>19.68</v>
      </c>
      <c r="E219" s="112">
        <f ca="1">IFERROR(__xludf.DUMMYFUNCTION("""COMPUTED_VALUE"""),40519.7055555555)</f>
        <v>40519.705555555498</v>
      </c>
      <c r="F219" s="111">
        <f ca="1">IFERROR(__xludf.DUMMYFUNCTION("""COMPUTED_VALUE"""),8.4)</f>
        <v>8.4</v>
      </c>
      <c r="G219" s="112">
        <f ca="1">IFERROR(__xludf.DUMMYFUNCTION("""COMPUTED_VALUE"""),40519.7055555555)</f>
        <v>40519.705555555498</v>
      </c>
      <c r="H219" s="111">
        <f ca="1">IFERROR(__xludf.DUMMYFUNCTION("""COMPUTED_VALUE"""),25.35)</f>
        <v>25.35</v>
      </c>
      <c r="K219" s="112">
        <f ca="1">IFERROR(__xludf.DUMMYFUNCTION("""COMPUTED_VALUE"""),41016.7055555555)</f>
        <v>41016.705555555498</v>
      </c>
      <c r="L219" s="111">
        <f ca="1">IFERROR(__xludf.DUMMYFUNCTION("""COMPUTED_VALUE"""),0.39)</f>
        <v>0.39</v>
      </c>
      <c r="M219" s="112">
        <f ca="1">IFERROR(__xludf.DUMMYFUNCTION("""COMPUTED_VALUE"""),40499.7055555555)</f>
        <v>40499.705555555498</v>
      </c>
      <c r="N219" s="111">
        <f ca="1">IFERROR(__xludf.DUMMYFUNCTION("""COMPUTED_VALUE"""),13.58)</f>
        <v>13.58</v>
      </c>
      <c r="O219" s="112">
        <f ca="1">IFERROR(__xludf.DUMMYFUNCTION("""COMPUTED_VALUE"""),40519.7055555555)</f>
        <v>40519.705555555498</v>
      </c>
      <c r="P219" s="111">
        <f ca="1">IFERROR(__xludf.DUMMYFUNCTION("""COMPUTED_VALUE"""),56.72)</f>
        <v>56.72</v>
      </c>
      <c r="Q219" s="112">
        <f ca="1">IFERROR(__xludf.DUMMYFUNCTION("""COMPUTED_VALUE"""),40519.7055555555)</f>
        <v>40519.705555555498</v>
      </c>
      <c r="R219" s="111">
        <f ca="1">IFERROR(__xludf.DUMMYFUNCTION("""COMPUTED_VALUE"""),31.88)</f>
        <v>31.88</v>
      </c>
      <c r="S219" s="112">
        <f ca="1">IFERROR(__xludf.DUMMYFUNCTION("""COMPUTED_VALUE"""),40519.7055555555)</f>
        <v>40519.705555555498</v>
      </c>
      <c r="T219" s="111">
        <f ca="1">IFERROR(__xludf.DUMMYFUNCTION("""COMPUTED_VALUE"""),8.69)</f>
        <v>8.69</v>
      </c>
    </row>
    <row r="220" spans="1:20" x14ac:dyDescent="0.3">
      <c r="A220" s="112">
        <f ca="1">IFERROR(__xludf.DUMMYFUNCTION("""COMPUTED_VALUE"""),40520.7055555555)</f>
        <v>40520.705555555498</v>
      </c>
      <c r="B220" s="111">
        <f ca="1">IFERROR(__xludf.DUMMYFUNCTION("""COMPUTED_VALUE"""),22.55)</f>
        <v>22.55</v>
      </c>
      <c r="C220" s="112">
        <f ca="1">IFERROR(__xludf.DUMMYFUNCTION("""COMPUTED_VALUE"""),40520.7055555555)</f>
        <v>40520.705555555498</v>
      </c>
      <c r="D220" s="111">
        <f ca="1">IFERROR(__xludf.DUMMYFUNCTION("""COMPUTED_VALUE"""),19.5)</f>
        <v>19.5</v>
      </c>
      <c r="E220" s="112">
        <f ca="1">IFERROR(__xludf.DUMMYFUNCTION("""COMPUTED_VALUE"""),40520.7055555555)</f>
        <v>40520.705555555498</v>
      </c>
      <c r="F220" s="111">
        <f ca="1">IFERROR(__xludf.DUMMYFUNCTION("""COMPUTED_VALUE"""),8.29)</f>
        <v>8.2899999999999991</v>
      </c>
      <c r="G220" s="112">
        <f ca="1">IFERROR(__xludf.DUMMYFUNCTION("""COMPUTED_VALUE"""),40520.7055555555)</f>
        <v>40520.705555555498</v>
      </c>
      <c r="H220" s="111">
        <f ca="1">IFERROR(__xludf.DUMMYFUNCTION("""COMPUTED_VALUE"""),25)</f>
        <v>25</v>
      </c>
      <c r="K220" s="112">
        <f ca="1">IFERROR(__xludf.DUMMYFUNCTION("""COMPUTED_VALUE"""),41017.7055555555)</f>
        <v>41017.705555555498</v>
      </c>
      <c r="L220" s="111">
        <f ca="1">IFERROR(__xludf.DUMMYFUNCTION("""COMPUTED_VALUE"""),0.39)</f>
        <v>0.39</v>
      </c>
      <c r="M220" s="112">
        <f ca="1">IFERROR(__xludf.DUMMYFUNCTION("""COMPUTED_VALUE"""),40500.7055555555)</f>
        <v>40500.705555555498</v>
      </c>
      <c r="N220" s="111">
        <f ca="1">IFERROR(__xludf.DUMMYFUNCTION("""COMPUTED_VALUE"""),13.65)</f>
        <v>13.65</v>
      </c>
      <c r="O220" s="112">
        <f ca="1">IFERROR(__xludf.DUMMYFUNCTION("""COMPUTED_VALUE"""),40520.7055555555)</f>
        <v>40520.705555555498</v>
      </c>
      <c r="P220" s="111">
        <f ca="1">IFERROR(__xludf.DUMMYFUNCTION("""COMPUTED_VALUE"""),55.46)</f>
        <v>55.46</v>
      </c>
      <c r="Q220" s="112">
        <f ca="1">IFERROR(__xludf.DUMMYFUNCTION("""COMPUTED_VALUE"""),40520.7055555555)</f>
        <v>40520.705555555498</v>
      </c>
      <c r="R220" s="111">
        <f ca="1">IFERROR(__xludf.DUMMYFUNCTION("""COMPUTED_VALUE"""),31.41)</f>
        <v>31.41</v>
      </c>
      <c r="S220" s="112">
        <f ca="1">IFERROR(__xludf.DUMMYFUNCTION("""COMPUTED_VALUE"""),40520.7055555555)</f>
        <v>40520.705555555498</v>
      </c>
      <c r="T220" s="111">
        <f ca="1">IFERROR(__xludf.DUMMYFUNCTION("""COMPUTED_VALUE"""),8.65)</f>
        <v>8.65</v>
      </c>
    </row>
    <row r="221" spans="1:20" x14ac:dyDescent="0.3">
      <c r="A221" s="112">
        <f ca="1">IFERROR(__xludf.DUMMYFUNCTION("""COMPUTED_VALUE"""),40521.7055555555)</f>
        <v>40521.705555555498</v>
      </c>
      <c r="B221" s="111">
        <f ca="1">IFERROR(__xludf.DUMMYFUNCTION("""COMPUTED_VALUE"""),22.1)</f>
        <v>22.1</v>
      </c>
      <c r="C221" s="112">
        <f ca="1">IFERROR(__xludf.DUMMYFUNCTION("""COMPUTED_VALUE"""),40521.7055555555)</f>
        <v>40521.705555555498</v>
      </c>
      <c r="D221" s="111">
        <f ca="1">IFERROR(__xludf.DUMMYFUNCTION("""COMPUTED_VALUE"""),19.23)</f>
        <v>19.23</v>
      </c>
      <c r="E221" s="112">
        <f ca="1">IFERROR(__xludf.DUMMYFUNCTION("""COMPUTED_VALUE"""),40521.7055555555)</f>
        <v>40521.705555555498</v>
      </c>
      <c r="F221" s="111">
        <f ca="1">IFERROR(__xludf.DUMMYFUNCTION("""COMPUTED_VALUE"""),8.14)</f>
        <v>8.14</v>
      </c>
      <c r="G221" s="112">
        <f ca="1">IFERROR(__xludf.DUMMYFUNCTION("""COMPUTED_VALUE"""),40521.7055555555)</f>
        <v>40521.705555555498</v>
      </c>
      <c r="H221" s="111">
        <f ca="1">IFERROR(__xludf.DUMMYFUNCTION("""COMPUTED_VALUE"""),25.4)</f>
        <v>25.4</v>
      </c>
      <c r="K221" s="112">
        <f ca="1">IFERROR(__xludf.DUMMYFUNCTION("""COMPUTED_VALUE"""),41018.7055555555)</f>
        <v>41018.705555555498</v>
      </c>
      <c r="L221" s="111">
        <f ca="1">IFERROR(__xludf.DUMMYFUNCTION("""COMPUTED_VALUE"""),0.39)</f>
        <v>0.39</v>
      </c>
      <c r="M221" s="112">
        <f ca="1">IFERROR(__xludf.DUMMYFUNCTION("""COMPUTED_VALUE"""),40501.7055555555)</f>
        <v>40501.705555555498</v>
      </c>
      <c r="N221" s="111">
        <f ca="1">IFERROR(__xludf.DUMMYFUNCTION("""COMPUTED_VALUE"""),13.77)</f>
        <v>13.77</v>
      </c>
      <c r="O221" s="112">
        <f ca="1">IFERROR(__xludf.DUMMYFUNCTION("""COMPUTED_VALUE"""),40521.7055555555)</f>
        <v>40521.705555555498</v>
      </c>
      <c r="P221" s="111">
        <f ca="1">IFERROR(__xludf.DUMMYFUNCTION("""COMPUTED_VALUE"""),56.07)</f>
        <v>56.07</v>
      </c>
      <c r="Q221" s="112">
        <f ca="1">IFERROR(__xludf.DUMMYFUNCTION("""COMPUTED_VALUE"""),40521.7055555555)</f>
        <v>40521.705555555498</v>
      </c>
      <c r="R221" s="111">
        <f ca="1">IFERROR(__xludf.DUMMYFUNCTION("""COMPUTED_VALUE"""),31)</f>
        <v>31</v>
      </c>
      <c r="S221" s="112">
        <f ca="1">IFERROR(__xludf.DUMMYFUNCTION("""COMPUTED_VALUE"""),40521.7055555555)</f>
        <v>40521.705555555498</v>
      </c>
      <c r="T221" s="111">
        <f ca="1">IFERROR(__xludf.DUMMYFUNCTION("""COMPUTED_VALUE"""),8.33)</f>
        <v>8.33</v>
      </c>
    </row>
    <row r="222" spans="1:20" x14ac:dyDescent="0.3">
      <c r="A222" s="112">
        <f ca="1">IFERROR(__xludf.DUMMYFUNCTION("""COMPUTED_VALUE"""),40522.7055555555)</f>
        <v>40522.705555555498</v>
      </c>
      <c r="B222" s="111">
        <f ca="1">IFERROR(__xludf.DUMMYFUNCTION("""COMPUTED_VALUE"""),22.55)</f>
        <v>22.55</v>
      </c>
      <c r="C222" s="112">
        <f ca="1">IFERROR(__xludf.DUMMYFUNCTION("""COMPUTED_VALUE"""),40522.7055555555)</f>
        <v>40522.705555555498</v>
      </c>
      <c r="D222" s="111">
        <f ca="1">IFERROR(__xludf.DUMMYFUNCTION("""COMPUTED_VALUE"""),19.23)</f>
        <v>19.23</v>
      </c>
      <c r="E222" s="112">
        <f ca="1">IFERROR(__xludf.DUMMYFUNCTION("""COMPUTED_VALUE"""),40522.7055555555)</f>
        <v>40522.705555555498</v>
      </c>
      <c r="F222" s="111">
        <f ca="1">IFERROR(__xludf.DUMMYFUNCTION("""COMPUTED_VALUE"""),8.15)</f>
        <v>8.15</v>
      </c>
      <c r="G222" s="112">
        <f ca="1">IFERROR(__xludf.DUMMYFUNCTION("""COMPUTED_VALUE"""),40522.7055555555)</f>
        <v>40522.705555555498</v>
      </c>
      <c r="H222" s="111">
        <f ca="1">IFERROR(__xludf.DUMMYFUNCTION("""COMPUTED_VALUE"""),25.7)</f>
        <v>25.7</v>
      </c>
      <c r="K222" s="112">
        <f ca="1">IFERROR(__xludf.DUMMYFUNCTION("""COMPUTED_VALUE"""),41019.7055555555)</f>
        <v>41019.705555555498</v>
      </c>
      <c r="L222" s="111">
        <f ca="1">IFERROR(__xludf.DUMMYFUNCTION("""COMPUTED_VALUE"""),0.37)</f>
        <v>0.37</v>
      </c>
      <c r="M222" s="112">
        <f ca="1">IFERROR(__xludf.DUMMYFUNCTION("""COMPUTED_VALUE"""),40504.7055555555)</f>
        <v>40504.705555555498</v>
      </c>
      <c r="N222" s="111">
        <f ca="1">IFERROR(__xludf.DUMMYFUNCTION("""COMPUTED_VALUE"""),13.49)</f>
        <v>13.49</v>
      </c>
      <c r="O222" s="112">
        <f ca="1">IFERROR(__xludf.DUMMYFUNCTION("""COMPUTED_VALUE"""),40522.7055555555)</f>
        <v>40522.705555555498</v>
      </c>
      <c r="P222" s="111">
        <f ca="1">IFERROR(__xludf.DUMMYFUNCTION("""COMPUTED_VALUE"""),56.77)</f>
        <v>56.77</v>
      </c>
      <c r="Q222" s="112">
        <f ca="1">IFERROR(__xludf.DUMMYFUNCTION("""COMPUTED_VALUE"""),40522.7055555555)</f>
        <v>40522.705555555498</v>
      </c>
      <c r="R222" s="111">
        <f ca="1">IFERROR(__xludf.DUMMYFUNCTION("""COMPUTED_VALUE"""),30.85)</f>
        <v>30.85</v>
      </c>
      <c r="S222" s="112">
        <f ca="1">IFERROR(__xludf.DUMMYFUNCTION("""COMPUTED_VALUE"""),40522.7055555555)</f>
        <v>40522.705555555498</v>
      </c>
      <c r="T222" s="111">
        <f ca="1">IFERROR(__xludf.DUMMYFUNCTION("""COMPUTED_VALUE"""),8.26)</f>
        <v>8.26</v>
      </c>
    </row>
    <row r="223" spans="1:20" x14ac:dyDescent="0.3">
      <c r="A223" s="112">
        <f ca="1">IFERROR(__xludf.DUMMYFUNCTION("""COMPUTED_VALUE"""),40525.7055555555)</f>
        <v>40525.705555555498</v>
      </c>
      <c r="B223" s="111">
        <f ca="1">IFERROR(__xludf.DUMMYFUNCTION("""COMPUTED_VALUE"""),22.56)</f>
        <v>22.56</v>
      </c>
      <c r="C223" s="112">
        <f ca="1">IFERROR(__xludf.DUMMYFUNCTION("""COMPUTED_VALUE"""),40525.7055555555)</f>
        <v>40525.705555555498</v>
      </c>
      <c r="D223" s="111">
        <f ca="1">IFERROR(__xludf.DUMMYFUNCTION("""COMPUTED_VALUE"""),19.28)</f>
        <v>19.28</v>
      </c>
      <c r="E223" s="112">
        <f ca="1">IFERROR(__xludf.DUMMYFUNCTION("""COMPUTED_VALUE"""),40525.7055555555)</f>
        <v>40525.705555555498</v>
      </c>
      <c r="F223" s="111">
        <f ca="1">IFERROR(__xludf.DUMMYFUNCTION("""COMPUTED_VALUE"""),8.21)</f>
        <v>8.2100000000000009</v>
      </c>
      <c r="G223" s="112">
        <f ca="1">IFERROR(__xludf.DUMMYFUNCTION("""COMPUTED_VALUE"""),40525.7055555555)</f>
        <v>40525.705555555498</v>
      </c>
      <c r="H223" s="111">
        <f ca="1">IFERROR(__xludf.DUMMYFUNCTION("""COMPUTED_VALUE"""),25.91)</f>
        <v>25.91</v>
      </c>
      <c r="K223" s="112">
        <f ca="1">IFERROR(__xludf.DUMMYFUNCTION("""COMPUTED_VALUE"""),41022.7055555555)</f>
        <v>41022.705555555498</v>
      </c>
      <c r="L223" s="111">
        <f ca="1">IFERROR(__xludf.DUMMYFUNCTION("""COMPUTED_VALUE"""),0.36)</f>
        <v>0.36</v>
      </c>
      <c r="M223" s="112">
        <f ca="1">IFERROR(__xludf.DUMMYFUNCTION("""COMPUTED_VALUE"""),40505.7055555555)</f>
        <v>40505.705555555498</v>
      </c>
      <c r="N223" s="111">
        <f ca="1">IFERROR(__xludf.DUMMYFUNCTION("""COMPUTED_VALUE"""),13.25)</f>
        <v>13.25</v>
      </c>
      <c r="O223" s="112">
        <f ca="1">IFERROR(__xludf.DUMMYFUNCTION("""COMPUTED_VALUE"""),40525.7055555555)</f>
        <v>40525.705555555498</v>
      </c>
      <c r="P223" s="111">
        <f ca="1">IFERROR(__xludf.DUMMYFUNCTION("""COMPUTED_VALUE"""),58.19)</f>
        <v>58.19</v>
      </c>
      <c r="Q223" s="112">
        <f ca="1">IFERROR(__xludf.DUMMYFUNCTION("""COMPUTED_VALUE"""),40525.7055555555)</f>
        <v>40525.705555555498</v>
      </c>
      <c r="R223" s="111">
        <f ca="1">IFERROR(__xludf.DUMMYFUNCTION("""COMPUTED_VALUE"""),31.18)</f>
        <v>31.18</v>
      </c>
      <c r="S223" s="112">
        <f ca="1">IFERROR(__xludf.DUMMYFUNCTION("""COMPUTED_VALUE"""),40525.7055555555)</f>
        <v>40525.705555555498</v>
      </c>
      <c r="T223" s="111">
        <f ca="1">IFERROR(__xludf.DUMMYFUNCTION("""COMPUTED_VALUE"""),8.64)</f>
        <v>8.64</v>
      </c>
    </row>
    <row r="224" spans="1:20" x14ac:dyDescent="0.3">
      <c r="A224" s="112">
        <f ca="1">IFERROR(__xludf.DUMMYFUNCTION("""COMPUTED_VALUE"""),40526.7055555555)</f>
        <v>40526.705555555498</v>
      </c>
      <c r="B224" s="111">
        <f ca="1">IFERROR(__xludf.DUMMYFUNCTION("""COMPUTED_VALUE"""),22.27)</f>
        <v>22.27</v>
      </c>
      <c r="C224" s="112">
        <f ca="1">IFERROR(__xludf.DUMMYFUNCTION("""COMPUTED_VALUE"""),40526.7055555555)</f>
        <v>40526.705555555498</v>
      </c>
      <c r="D224" s="111">
        <f ca="1">IFERROR(__xludf.DUMMYFUNCTION("""COMPUTED_VALUE"""),19.37)</f>
        <v>19.37</v>
      </c>
      <c r="E224" s="112">
        <f ca="1">IFERROR(__xludf.DUMMYFUNCTION("""COMPUTED_VALUE"""),40526.7055555555)</f>
        <v>40526.705555555498</v>
      </c>
      <c r="F224" s="111">
        <f ca="1">IFERROR(__xludf.DUMMYFUNCTION("""COMPUTED_VALUE"""),8.27)</f>
        <v>8.27</v>
      </c>
      <c r="G224" s="112">
        <f ca="1">IFERROR(__xludf.DUMMYFUNCTION("""COMPUTED_VALUE"""),40526.7055555555)</f>
        <v>40526.705555555498</v>
      </c>
      <c r="H224" s="111">
        <f ca="1">IFERROR(__xludf.DUMMYFUNCTION("""COMPUTED_VALUE"""),25.83)</f>
        <v>25.83</v>
      </c>
      <c r="K224" s="112">
        <f ca="1">IFERROR(__xludf.DUMMYFUNCTION("""COMPUTED_VALUE"""),41023.7055555555)</f>
        <v>41023.705555555498</v>
      </c>
      <c r="L224" s="111">
        <f ca="1">IFERROR(__xludf.DUMMYFUNCTION("""COMPUTED_VALUE"""),0.36)</f>
        <v>0.36</v>
      </c>
      <c r="M224" s="112">
        <f ca="1">IFERROR(__xludf.DUMMYFUNCTION("""COMPUTED_VALUE"""),40506.7055555555)</f>
        <v>40506.705555555498</v>
      </c>
      <c r="N224" s="111">
        <f ca="1">IFERROR(__xludf.DUMMYFUNCTION("""COMPUTED_VALUE"""),13.53)</f>
        <v>13.53</v>
      </c>
      <c r="O224" s="112">
        <f ca="1">IFERROR(__xludf.DUMMYFUNCTION("""COMPUTED_VALUE"""),40526.7055555555)</f>
        <v>40526.705555555498</v>
      </c>
      <c r="P224" s="111">
        <f ca="1">IFERROR(__xludf.DUMMYFUNCTION("""COMPUTED_VALUE"""),57.68)</f>
        <v>57.68</v>
      </c>
      <c r="Q224" s="112">
        <f ca="1">IFERROR(__xludf.DUMMYFUNCTION("""COMPUTED_VALUE"""),40526.7055555555)</f>
        <v>40526.705555555498</v>
      </c>
      <c r="R224" s="111">
        <f ca="1">IFERROR(__xludf.DUMMYFUNCTION("""COMPUTED_VALUE"""),31.16)</f>
        <v>31.16</v>
      </c>
      <c r="S224" s="112">
        <f ca="1">IFERROR(__xludf.DUMMYFUNCTION("""COMPUTED_VALUE"""),40526.7055555555)</f>
        <v>40526.705555555498</v>
      </c>
      <c r="T224" s="111">
        <f ca="1">IFERROR(__xludf.DUMMYFUNCTION("""COMPUTED_VALUE"""),8.72)</f>
        <v>8.7200000000000006</v>
      </c>
    </row>
    <row r="225" spans="1:20" x14ac:dyDescent="0.3">
      <c r="A225" s="112">
        <f ca="1">IFERROR(__xludf.DUMMYFUNCTION("""COMPUTED_VALUE"""),40527.7055555555)</f>
        <v>40527.705555555498</v>
      </c>
      <c r="B225" s="111">
        <f ca="1">IFERROR(__xludf.DUMMYFUNCTION("""COMPUTED_VALUE"""),21.88)</f>
        <v>21.88</v>
      </c>
      <c r="C225" s="112">
        <f ca="1">IFERROR(__xludf.DUMMYFUNCTION("""COMPUTED_VALUE"""),40527.7055555555)</f>
        <v>40527.705555555498</v>
      </c>
      <c r="D225" s="111">
        <f ca="1">IFERROR(__xludf.DUMMYFUNCTION("""COMPUTED_VALUE"""),19.26)</f>
        <v>19.260000000000002</v>
      </c>
      <c r="E225" s="112">
        <f ca="1">IFERROR(__xludf.DUMMYFUNCTION("""COMPUTED_VALUE"""),40527.7055555555)</f>
        <v>40527.705555555498</v>
      </c>
      <c r="F225" s="111">
        <f ca="1">IFERROR(__xludf.DUMMYFUNCTION("""COMPUTED_VALUE"""),8.25)</f>
        <v>8.25</v>
      </c>
      <c r="G225" s="112">
        <f ca="1">IFERROR(__xludf.DUMMYFUNCTION("""COMPUTED_VALUE"""),40527.7055555555)</f>
        <v>40527.705555555498</v>
      </c>
      <c r="H225" s="111">
        <f ca="1">IFERROR(__xludf.DUMMYFUNCTION("""COMPUTED_VALUE"""),25.37)</f>
        <v>25.37</v>
      </c>
      <c r="K225" s="112">
        <f ca="1">IFERROR(__xludf.DUMMYFUNCTION("""COMPUTED_VALUE"""),41024.7055555555)</f>
        <v>41024.705555555498</v>
      </c>
      <c r="L225" s="111">
        <f ca="1">IFERROR(__xludf.DUMMYFUNCTION("""COMPUTED_VALUE"""),0.36)</f>
        <v>0.36</v>
      </c>
      <c r="M225" s="112">
        <f ca="1">IFERROR(__xludf.DUMMYFUNCTION("""COMPUTED_VALUE"""),40507.7055555555)</f>
        <v>40507.705555555498</v>
      </c>
      <c r="N225" s="111">
        <f ca="1">IFERROR(__xludf.DUMMYFUNCTION("""COMPUTED_VALUE"""),13.48)</f>
        <v>13.48</v>
      </c>
      <c r="O225" s="112">
        <f ca="1">IFERROR(__xludf.DUMMYFUNCTION("""COMPUTED_VALUE"""),40527.7055555555)</f>
        <v>40527.705555555498</v>
      </c>
      <c r="P225" s="111">
        <f ca="1">IFERROR(__xludf.DUMMYFUNCTION("""COMPUTED_VALUE"""),56.8)</f>
        <v>56.8</v>
      </c>
      <c r="Q225" s="112">
        <f ca="1">IFERROR(__xludf.DUMMYFUNCTION("""COMPUTED_VALUE"""),40527.7055555555)</f>
        <v>40527.705555555498</v>
      </c>
      <c r="R225" s="111">
        <f ca="1">IFERROR(__xludf.DUMMYFUNCTION("""COMPUTED_VALUE"""),31.05)</f>
        <v>31.05</v>
      </c>
      <c r="S225" s="112">
        <f ca="1">IFERROR(__xludf.DUMMYFUNCTION("""COMPUTED_VALUE"""),40527.7055555555)</f>
        <v>40527.705555555498</v>
      </c>
      <c r="T225" s="111">
        <f ca="1">IFERROR(__xludf.DUMMYFUNCTION("""COMPUTED_VALUE"""),8.55)</f>
        <v>8.5500000000000007</v>
      </c>
    </row>
    <row r="226" spans="1:20" x14ac:dyDescent="0.3">
      <c r="A226" s="112">
        <f ca="1">IFERROR(__xludf.DUMMYFUNCTION("""COMPUTED_VALUE"""),40528.7055555555)</f>
        <v>40528.705555555498</v>
      </c>
      <c r="B226" s="111">
        <f ca="1">IFERROR(__xludf.DUMMYFUNCTION("""COMPUTED_VALUE"""),21.82)</f>
        <v>21.82</v>
      </c>
      <c r="C226" s="112">
        <f ca="1">IFERROR(__xludf.DUMMYFUNCTION("""COMPUTED_VALUE"""),40528.7055555555)</f>
        <v>40528.705555555498</v>
      </c>
      <c r="D226" s="111">
        <f ca="1">IFERROR(__xludf.DUMMYFUNCTION("""COMPUTED_VALUE"""),19.1)</f>
        <v>19.100000000000001</v>
      </c>
      <c r="E226" s="112">
        <f ca="1">IFERROR(__xludf.DUMMYFUNCTION("""COMPUTED_VALUE"""),40528.7055555555)</f>
        <v>40528.705555555498</v>
      </c>
      <c r="F226" s="111">
        <f ca="1">IFERROR(__xludf.DUMMYFUNCTION("""COMPUTED_VALUE"""),8.17)</f>
        <v>8.17</v>
      </c>
      <c r="G226" s="112">
        <f ca="1">IFERROR(__xludf.DUMMYFUNCTION("""COMPUTED_VALUE"""),40528.7055555555)</f>
        <v>40528.705555555498</v>
      </c>
      <c r="H226" s="111">
        <f ca="1">IFERROR(__xludf.DUMMYFUNCTION("""COMPUTED_VALUE"""),25.35)</f>
        <v>25.35</v>
      </c>
      <c r="K226" s="112">
        <f ca="1">IFERROR(__xludf.DUMMYFUNCTION("""COMPUTED_VALUE"""),41025.7055555555)</f>
        <v>41025.705555555498</v>
      </c>
      <c r="L226" s="111">
        <f ca="1">IFERROR(__xludf.DUMMYFUNCTION("""COMPUTED_VALUE"""),0.34)</f>
        <v>0.34</v>
      </c>
      <c r="M226" s="112">
        <f ca="1">IFERROR(__xludf.DUMMYFUNCTION("""COMPUTED_VALUE"""),40508.7055555555)</f>
        <v>40508.705555555498</v>
      </c>
      <c r="N226" s="111">
        <f ca="1">IFERROR(__xludf.DUMMYFUNCTION("""COMPUTED_VALUE"""),13.37)</f>
        <v>13.37</v>
      </c>
      <c r="O226" s="112">
        <f ca="1">IFERROR(__xludf.DUMMYFUNCTION("""COMPUTED_VALUE"""),40528.7055555555)</f>
        <v>40528.705555555498</v>
      </c>
      <c r="P226" s="111">
        <f ca="1">IFERROR(__xludf.DUMMYFUNCTION("""COMPUTED_VALUE"""),56.75)</f>
        <v>56.75</v>
      </c>
      <c r="Q226" s="112">
        <f ca="1">IFERROR(__xludf.DUMMYFUNCTION("""COMPUTED_VALUE"""),40528.7055555555)</f>
        <v>40528.705555555498</v>
      </c>
      <c r="R226" s="111">
        <f ca="1">IFERROR(__xludf.DUMMYFUNCTION("""COMPUTED_VALUE"""),30.75)</f>
        <v>30.75</v>
      </c>
      <c r="S226" s="112">
        <f ca="1">IFERROR(__xludf.DUMMYFUNCTION("""COMPUTED_VALUE"""),40528.7055555555)</f>
        <v>40528.705555555498</v>
      </c>
      <c r="T226" s="111">
        <f ca="1">IFERROR(__xludf.DUMMYFUNCTION("""COMPUTED_VALUE"""),8.26)</f>
        <v>8.26</v>
      </c>
    </row>
    <row r="227" spans="1:20" x14ac:dyDescent="0.3">
      <c r="A227" s="112">
        <f ca="1">IFERROR(__xludf.DUMMYFUNCTION("""COMPUTED_VALUE"""),40529.7055555555)</f>
        <v>40529.705555555498</v>
      </c>
      <c r="B227" s="111">
        <f ca="1">IFERROR(__xludf.DUMMYFUNCTION("""COMPUTED_VALUE"""),21.71)</f>
        <v>21.71</v>
      </c>
      <c r="C227" s="112">
        <f ca="1">IFERROR(__xludf.DUMMYFUNCTION("""COMPUTED_VALUE"""),40529.7055555555)</f>
        <v>40529.705555555498</v>
      </c>
      <c r="D227" s="111">
        <f ca="1">IFERROR(__xludf.DUMMYFUNCTION("""COMPUTED_VALUE"""),19.28)</f>
        <v>19.28</v>
      </c>
      <c r="E227" s="112">
        <f ca="1">IFERROR(__xludf.DUMMYFUNCTION("""COMPUTED_VALUE"""),40529.7055555555)</f>
        <v>40529.705555555498</v>
      </c>
      <c r="F227" s="111">
        <f ca="1">IFERROR(__xludf.DUMMYFUNCTION("""COMPUTED_VALUE"""),8.26)</f>
        <v>8.26</v>
      </c>
      <c r="G227" s="112">
        <f ca="1">IFERROR(__xludf.DUMMYFUNCTION("""COMPUTED_VALUE"""),40529.7055555555)</f>
        <v>40529.705555555498</v>
      </c>
      <c r="H227" s="111">
        <f ca="1">IFERROR(__xludf.DUMMYFUNCTION("""COMPUTED_VALUE"""),25.94)</f>
        <v>25.94</v>
      </c>
      <c r="K227" s="112">
        <f ca="1">IFERROR(__xludf.DUMMYFUNCTION("""COMPUTED_VALUE"""),41026.7055555555)</f>
        <v>41026.705555555498</v>
      </c>
      <c r="L227" s="111">
        <f ca="1">IFERROR(__xludf.DUMMYFUNCTION("""COMPUTED_VALUE"""),0.35)</f>
        <v>0.35</v>
      </c>
      <c r="M227" s="112">
        <f ca="1">IFERROR(__xludf.DUMMYFUNCTION("""COMPUTED_VALUE"""),40511.7055555555)</f>
        <v>40511.705555555498</v>
      </c>
      <c r="N227" s="111">
        <f ca="1">IFERROR(__xludf.DUMMYFUNCTION("""COMPUTED_VALUE"""),13.33)</f>
        <v>13.33</v>
      </c>
      <c r="O227" s="112">
        <f ca="1">IFERROR(__xludf.DUMMYFUNCTION("""COMPUTED_VALUE"""),40529.7055555555)</f>
        <v>40529.705555555498</v>
      </c>
      <c r="P227" s="111">
        <f ca="1">IFERROR(__xludf.DUMMYFUNCTION("""COMPUTED_VALUE"""),56.9)</f>
        <v>56.9</v>
      </c>
      <c r="Q227" s="112">
        <f ca="1">IFERROR(__xludf.DUMMYFUNCTION("""COMPUTED_VALUE"""),40529.7055555555)</f>
        <v>40529.705555555498</v>
      </c>
      <c r="R227" s="111">
        <f ca="1">IFERROR(__xludf.DUMMYFUNCTION("""COMPUTED_VALUE"""),30.62)</f>
        <v>30.62</v>
      </c>
      <c r="S227" s="112">
        <f ca="1">IFERROR(__xludf.DUMMYFUNCTION("""COMPUTED_VALUE"""),40529.7055555555)</f>
        <v>40529.705555555498</v>
      </c>
      <c r="T227" s="111">
        <f ca="1">IFERROR(__xludf.DUMMYFUNCTION("""COMPUTED_VALUE"""),8.05)</f>
        <v>8.0500000000000007</v>
      </c>
    </row>
    <row r="228" spans="1:20" x14ac:dyDescent="0.3">
      <c r="A228" s="112">
        <f ca="1">IFERROR(__xludf.DUMMYFUNCTION("""COMPUTED_VALUE"""),40532.7055555555)</f>
        <v>40532.705555555498</v>
      </c>
      <c r="B228" s="111">
        <f ca="1">IFERROR(__xludf.DUMMYFUNCTION("""COMPUTED_VALUE"""),21.92)</f>
        <v>21.92</v>
      </c>
      <c r="C228" s="112">
        <f ca="1">IFERROR(__xludf.DUMMYFUNCTION("""COMPUTED_VALUE"""),40532.7055555555)</f>
        <v>40532.705555555498</v>
      </c>
      <c r="D228" s="111">
        <f ca="1">IFERROR(__xludf.DUMMYFUNCTION("""COMPUTED_VALUE"""),18.86)</f>
        <v>18.86</v>
      </c>
      <c r="E228" s="112">
        <f ca="1">IFERROR(__xludf.DUMMYFUNCTION("""COMPUTED_VALUE"""),40532.7055555555)</f>
        <v>40532.705555555498</v>
      </c>
      <c r="F228" s="111">
        <f ca="1">IFERROR(__xludf.DUMMYFUNCTION("""COMPUTED_VALUE"""),8.07)</f>
        <v>8.07</v>
      </c>
      <c r="G228" s="112">
        <f ca="1">IFERROR(__xludf.DUMMYFUNCTION("""COMPUTED_VALUE"""),40532.7055555555)</f>
        <v>40532.705555555498</v>
      </c>
      <c r="H228" s="111">
        <f ca="1">IFERROR(__xludf.DUMMYFUNCTION("""COMPUTED_VALUE"""),25.57)</f>
        <v>25.57</v>
      </c>
      <c r="K228" s="112">
        <f ca="1">IFERROR(__xludf.DUMMYFUNCTION("""COMPUTED_VALUE"""),41031.7055555555)</f>
        <v>41031.705555555498</v>
      </c>
      <c r="L228" s="111">
        <f ca="1">IFERROR(__xludf.DUMMYFUNCTION("""COMPUTED_VALUE"""),0.36)</f>
        <v>0.36</v>
      </c>
      <c r="M228" s="112">
        <f ca="1">IFERROR(__xludf.DUMMYFUNCTION("""COMPUTED_VALUE"""),40512.7055555555)</f>
        <v>40512.705555555498</v>
      </c>
      <c r="N228" s="111">
        <f ca="1">IFERROR(__xludf.DUMMYFUNCTION("""COMPUTED_VALUE"""),13.11)</f>
        <v>13.11</v>
      </c>
      <c r="O228" s="112">
        <f ca="1">IFERROR(__xludf.DUMMYFUNCTION("""COMPUTED_VALUE"""),40532.7055555555)</f>
        <v>40532.705555555498</v>
      </c>
      <c r="P228" s="111">
        <f ca="1">IFERROR(__xludf.DUMMYFUNCTION("""COMPUTED_VALUE"""),56.5)</f>
        <v>56.5</v>
      </c>
      <c r="Q228" s="112">
        <f ca="1">IFERROR(__xludf.DUMMYFUNCTION("""COMPUTED_VALUE"""),40532.7055555555)</f>
        <v>40532.705555555498</v>
      </c>
      <c r="R228" s="111">
        <f ca="1">IFERROR(__xludf.DUMMYFUNCTION("""COMPUTED_VALUE"""),30.05)</f>
        <v>30.05</v>
      </c>
      <c r="S228" s="112">
        <f ca="1">IFERROR(__xludf.DUMMYFUNCTION("""COMPUTED_VALUE"""),40532.7055555555)</f>
        <v>40532.705555555498</v>
      </c>
      <c r="T228" s="111">
        <f ca="1">IFERROR(__xludf.DUMMYFUNCTION("""COMPUTED_VALUE"""),8.14)</f>
        <v>8.14</v>
      </c>
    </row>
    <row r="229" spans="1:20" x14ac:dyDescent="0.3">
      <c r="A229" s="112">
        <f ca="1">IFERROR(__xludf.DUMMYFUNCTION("""COMPUTED_VALUE"""),40533.7055555555)</f>
        <v>40533.705555555498</v>
      </c>
      <c r="B229" s="111">
        <f ca="1">IFERROR(__xludf.DUMMYFUNCTION("""COMPUTED_VALUE"""),21.81)</f>
        <v>21.81</v>
      </c>
      <c r="C229" s="112">
        <f ca="1">IFERROR(__xludf.DUMMYFUNCTION("""COMPUTED_VALUE"""),40533.7055555555)</f>
        <v>40533.705555555498</v>
      </c>
      <c r="D229" s="111">
        <f ca="1">IFERROR(__xludf.DUMMYFUNCTION("""COMPUTED_VALUE"""),19.3)</f>
        <v>19.3</v>
      </c>
      <c r="E229" s="112">
        <f ca="1">IFERROR(__xludf.DUMMYFUNCTION("""COMPUTED_VALUE"""),40533.7055555555)</f>
        <v>40533.705555555498</v>
      </c>
      <c r="F229" s="111">
        <f ca="1">IFERROR(__xludf.DUMMYFUNCTION("""COMPUTED_VALUE"""),8.25)</f>
        <v>8.25</v>
      </c>
      <c r="G229" s="112">
        <f ca="1">IFERROR(__xludf.DUMMYFUNCTION("""COMPUTED_VALUE"""),40533.7055555555)</f>
        <v>40533.705555555498</v>
      </c>
      <c r="H229" s="111">
        <f ca="1">IFERROR(__xludf.DUMMYFUNCTION("""COMPUTED_VALUE"""),25.77)</f>
        <v>25.77</v>
      </c>
      <c r="K229" s="112">
        <f ca="1">IFERROR(__xludf.DUMMYFUNCTION("""COMPUTED_VALUE"""),41032.7055555555)</f>
        <v>41032.705555555498</v>
      </c>
      <c r="L229" s="111">
        <f ca="1">IFERROR(__xludf.DUMMYFUNCTION("""COMPUTED_VALUE"""),0.38)</f>
        <v>0.38</v>
      </c>
      <c r="M229" s="112">
        <f ca="1">IFERROR(__xludf.DUMMYFUNCTION("""COMPUTED_VALUE"""),40513.7055555555)</f>
        <v>40513.705555555498</v>
      </c>
      <c r="N229" s="111">
        <f ca="1">IFERROR(__xludf.DUMMYFUNCTION("""COMPUTED_VALUE"""),13.39)</f>
        <v>13.39</v>
      </c>
      <c r="O229" s="112">
        <f ca="1">IFERROR(__xludf.DUMMYFUNCTION("""COMPUTED_VALUE"""),40533.7055555555)</f>
        <v>40533.705555555498</v>
      </c>
      <c r="P229" s="111">
        <f ca="1">IFERROR(__xludf.DUMMYFUNCTION("""COMPUTED_VALUE"""),57.19)</f>
        <v>57.19</v>
      </c>
      <c r="Q229" s="112">
        <f ca="1">IFERROR(__xludf.DUMMYFUNCTION("""COMPUTED_VALUE"""),40533.7055555555)</f>
        <v>40533.705555555498</v>
      </c>
      <c r="R229" s="111">
        <f ca="1">IFERROR(__xludf.DUMMYFUNCTION("""COMPUTED_VALUE"""),30.55)</f>
        <v>30.55</v>
      </c>
      <c r="S229" s="112">
        <f ca="1">IFERROR(__xludf.DUMMYFUNCTION("""COMPUTED_VALUE"""),40533.7055555555)</f>
        <v>40533.705555555498</v>
      </c>
      <c r="T229" s="111">
        <f ca="1">IFERROR(__xludf.DUMMYFUNCTION("""COMPUTED_VALUE"""),8.49)</f>
        <v>8.49</v>
      </c>
    </row>
    <row r="230" spans="1:20" x14ac:dyDescent="0.3">
      <c r="A230" s="112">
        <f ca="1">IFERROR(__xludf.DUMMYFUNCTION("""COMPUTED_VALUE"""),40534.7055555555)</f>
        <v>40534.705555555498</v>
      </c>
      <c r="B230" s="111">
        <f ca="1">IFERROR(__xludf.DUMMYFUNCTION("""COMPUTED_VALUE"""),21.63)</f>
        <v>21.63</v>
      </c>
      <c r="C230" s="112">
        <f ca="1">IFERROR(__xludf.DUMMYFUNCTION("""COMPUTED_VALUE"""),40534.7055555555)</f>
        <v>40534.705555555498</v>
      </c>
      <c r="D230" s="111">
        <f ca="1">IFERROR(__xludf.DUMMYFUNCTION("""COMPUTED_VALUE"""),19.75)</f>
        <v>19.75</v>
      </c>
      <c r="E230" s="112">
        <f ca="1">IFERROR(__xludf.DUMMYFUNCTION("""COMPUTED_VALUE"""),40534.7055555555)</f>
        <v>40534.705555555498</v>
      </c>
      <c r="F230" s="111">
        <f ca="1">IFERROR(__xludf.DUMMYFUNCTION("""COMPUTED_VALUE"""),8.46)</f>
        <v>8.4600000000000009</v>
      </c>
      <c r="G230" s="112">
        <f ca="1">IFERROR(__xludf.DUMMYFUNCTION("""COMPUTED_VALUE"""),40534.7055555555)</f>
        <v>40534.705555555498</v>
      </c>
      <c r="H230" s="111">
        <f ca="1">IFERROR(__xludf.DUMMYFUNCTION("""COMPUTED_VALUE"""),25.72)</f>
        <v>25.72</v>
      </c>
      <c r="K230" s="112">
        <f ca="1">IFERROR(__xludf.DUMMYFUNCTION("""COMPUTED_VALUE"""),41033.7055555555)</f>
        <v>41033.705555555498</v>
      </c>
      <c r="L230" s="111">
        <f ca="1">IFERROR(__xludf.DUMMYFUNCTION("""COMPUTED_VALUE"""),0.38)</f>
        <v>0.38</v>
      </c>
      <c r="M230" s="112">
        <f ca="1">IFERROR(__xludf.DUMMYFUNCTION("""COMPUTED_VALUE"""),40514.7055555555)</f>
        <v>40514.705555555498</v>
      </c>
      <c r="N230" s="111">
        <f ca="1">IFERROR(__xludf.DUMMYFUNCTION("""COMPUTED_VALUE"""),13.53)</f>
        <v>13.53</v>
      </c>
      <c r="O230" s="112">
        <f ca="1">IFERROR(__xludf.DUMMYFUNCTION("""COMPUTED_VALUE"""),40534.7055555555)</f>
        <v>40534.705555555498</v>
      </c>
      <c r="P230" s="111">
        <f ca="1">IFERROR(__xludf.DUMMYFUNCTION("""COMPUTED_VALUE"""),57.03)</f>
        <v>57.03</v>
      </c>
      <c r="Q230" s="112">
        <f ca="1">IFERROR(__xludf.DUMMYFUNCTION("""COMPUTED_VALUE"""),40534.7055555555)</f>
        <v>40534.705555555498</v>
      </c>
      <c r="R230" s="111">
        <f ca="1">IFERROR(__xludf.DUMMYFUNCTION("""COMPUTED_VALUE"""),30.9)</f>
        <v>30.9</v>
      </c>
      <c r="S230" s="112">
        <f ca="1">IFERROR(__xludf.DUMMYFUNCTION("""COMPUTED_VALUE"""),40534.7055555555)</f>
        <v>40534.705555555498</v>
      </c>
      <c r="T230" s="111">
        <f ca="1">IFERROR(__xludf.DUMMYFUNCTION("""COMPUTED_VALUE"""),8.46)</f>
        <v>8.4600000000000009</v>
      </c>
    </row>
    <row r="231" spans="1:20" x14ac:dyDescent="0.3">
      <c r="A231" s="112">
        <f ca="1">IFERROR(__xludf.DUMMYFUNCTION("""COMPUTED_VALUE"""),40535.7055555555)</f>
        <v>40535.705555555498</v>
      </c>
      <c r="B231" s="111">
        <f ca="1">IFERROR(__xludf.DUMMYFUNCTION("""COMPUTED_VALUE"""),21.58)</f>
        <v>21.58</v>
      </c>
      <c r="C231" s="112">
        <f ca="1">IFERROR(__xludf.DUMMYFUNCTION("""COMPUTED_VALUE"""),40535.7055555555)</f>
        <v>40535.705555555498</v>
      </c>
      <c r="D231" s="111">
        <f ca="1">IFERROR(__xludf.DUMMYFUNCTION("""COMPUTED_VALUE"""),19.7)</f>
        <v>19.7</v>
      </c>
      <c r="E231" s="112">
        <f ca="1">IFERROR(__xludf.DUMMYFUNCTION("""COMPUTED_VALUE"""),40535.7055555555)</f>
        <v>40535.705555555498</v>
      </c>
      <c r="F231" s="111">
        <f ca="1">IFERROR(__xludf.DUMMYFUNCTION("""COMPUTED_VALUE"""),8.46)</f>
        <v>8.4600000000000009</v>
      </c>
      <c r="G231" s="112">
        <f ca="1">IFERROR(__xludf.DUMMYFUNCTION("""COMPUTED_VALUE"""),40535.7055555555)</f>
        <v>40535.705555555498</v>
      </c>
      <c r="H231" s="111">
        <f ca="1">IFERROR(__xludf.DUMMYFUNCTION("""COMPUTED_VALUE"""),25.75)</f>
        <v>25.75</v>
      </c>
      <c r="K231" s="112">
        <f ca="1">IFERROR(__xludf.DUMMYFUNCTION("""COMPUTED_VALUE"""),41036.7055555555)</f>
        <v>41036.705555555498</v>
      </c>
      <c r="L231" s="111">
        <f ca="1">IFERROR(__xludf.DUMMYFUNCTION("""COMPUTED_VALUE"""),0.39)</f>
        <v>0.39</v>
      </c>
      <c r="M231" s="112">
        <f ca="1">IFERROR(__xludf.DUMMYFUNCTION("""COMPUTED_VALUE"""),40515.7055555555)</f>
        <v>40515.705555555498</v>
      </c>
      <c r="N231" s="111">
        <f ca="1">IFERROR(__xludf.DUMMYFUNCTION("""COMPUTED_VALUE"""),13.25)</f>
        <v>13.25</v>
      </c>
      <c r="O231" s="112">
        <f ca="1">IFERROR(__xludf.DUMMYFUNCTION("""COMPUTED_VALUE"""),40535.7055555555)</f>
        <v>40535.705555555498</v>
      </c>
      <c r="P231" s="111">
        <f ca="1">IFERROR(__xludf.DUMMYFUNCTION("""COMPUTED_VALUE"""),56.85)</f>
        <v>56.85</v>
      </c>
      <c r="Q231" s="112">
        <f ca="1">IFERROR(__xludf.DUMMYFUNCTION("""COMPUTED_VALUE"""),40535.7055555555)</f>
        <v>40535.705555555498</v>
      </c>
      <c r="R231" s="111">
        <f ca="1">IFERROR(__xludf.DUMMYFUNCTION("""COMPUTED_VALUE"""),31.04)</f>
        <v>31.04</v>
      </c>
      <c r="S231" s="112">
        <f ca="1">IFERROR(__xludf.DUMMYFUNCTION("""COMPUTED_VALUE"""),40535.7055555555)</f>
        <v>40535.705555555498</v>
      </c>
      <c r="T231" s="111">
        <f ca="1">IFERROR(__xludf.DUMMYFUNCTION("""COMPUTED_VALUE"""),8.51)</f>
        <v>8.51</v>
      </c>
    </row>
    <row r="232" spans="1:20" x14ac:dyDescent="0.3">
      <c r="A232" s="112">
        <f ca="1">IFERROR(__xludf.DUMMYFUNCTION("""COMPUTED_VALUE"""),40539.7055555555)</f>
        <v>40539.705555555498</v>
      </c>
      <c r="B232" s="111">
        <f ca="1">IFERROR(__xludf.DUMMYFUNCTION("""COMPUTED_VALUE"""),21.52)</f>
        <v>21.52</v>
      </c>
      <c r="C232" s="112">
        <f ca="1">IFERROR(__xludf.DUMMYFUNCTION("""COMPUTED_VALUE"""),40539.7055555555)</f>
        <v>40539.705555555498</v>
      </c>
      <c r="D232" s="111">
        <f ca="1">IFERROR(__xludf.DUMMYFUNCTION("""COMPUTED_VALUE"""),19.36)</f>
        <v>19.36</v>
      </c>
      <c r="E232" s="112">
        <f ca="1">IFERROR(__xludf.DUMMYFUNCTION("""COMPUTED_VALUE"""),40539.7055555555)</f>
        <v>40539.705555555498</v>
      </c>
      <c r="F232" s="111">
        <f ca="1">IFERROR(__xludf.DUMMYFUNCTION("""COMPUTED_VALUE"""),8.29)</f>
        <v>8.2899999999999991</v>
      </c>
      <c r="G232" s="112">
        <f ca="1">IFERROR(__xludf.DUMMYFUNCTION("""COMPUTED_VALUE"""),40539.7055555555)</f>
        <v>40539.705555555498</v>
      </c>
      <c r="H232" s="111">
        <f ca="1">IFERROR(__xludf.DUMMYFUNCTION("""COMPUTED_VALUE"""),26.05)</f>
        <v>26.05</v>
      </c>
      <c r="K232" s="112">
        <f ca="1">IFERROR(__xludf.DUMMYFUNCTION("""COMPUTED_VALUE"""),41037.7055555555)</f>
        <v>41037.705555555498</v>
      </c>
      <c r="L232" s="111">
        <f ca="1">IFERROR(__xludf.DUMMYFUNCTION("""COMPUTED_VALUE"""),0.38)</f>
        <v>0.38</v>
      </c>
      <c r="M232" s="112">
        <f ca="1">IFERROR(__xludf.DUMMYFUNCTION("""COMPUTED_VALUE"""),40518.7055555555)</f>
        <v>40518.705555555498</v>
      </c>
      <c r="N232" s="111">
        <f ca="1">IFERROR(__xludf.DUMMYFUNCTION("""COMPUTED_VALUE"""),13.02)</f>
        <v>13.02</v>
      </c>
      <c r="O232" s="112">
        <f ca="1">IFERROR(__xludf.DUMMYFUNCTION("""COMPUTED_VALUE"""),40539.7055555555)</f>
        <v>40539.705555555498</v>
      </c>
      <c r="P232" s="111">
        <f ca="1">IFERROR(__xludf.DUMMYFUNCTION("""COMPUTED_VALUE"""),55.23)</f>
        <v>55.23</v>
      </c>
      <c r="Q232" s="112">
        <f ca="1">IFERROR(__xludf.DUMMYFUNCTION("""COMPUTED_VALUE"""),40539.7055555555)</f>
        <v>40539.705555555498</v>
      </c>
      <c r="R232" s="111">
        <f ca="1">IFERROR(__xludf.DUMMYFUNCTION("""COMPUTED_VALUE"""),30.85)</f>
        <v>30.85</v>
      </c>
      <c r="S232" s="112">
        <f ca="1">IFERROR(__xludf.DUMMYFUNCTION("""COMPUTED_VALUE"""),40539.7055555555)</f>
        <v>40539.705555555498</v>
      </c>
      <c r="T232" s="111">
        <f ca="1">IFERROR(__xludf.DUMMYFUNCTION("""COMPUTED_VALUE"""),8.25)</f>
        <v>8.25</v>
      </c>
    </row>
    <row r="233" spans="1:20" x14ac:dyDescent="0.3">
      <c r="A233" s="112">
        <f ca="1">IFERROR(__xludf.DUMMYFUNCTION("""COMPUTED_VALUE"""),40540.7055555555)</f>
        <v>40540.705555555498</v>
      </c>
      <c r="B233" s="111">
        <f ca="1">IFERROR(__xludf.DUMMYFUNCTION("""COMPUTED_VALUE"""),21.56)</f>
        <v>21.56</v>
      </c>
      <c r="C233" s="112">
        <f ca="1">IFERROR(__xludf.DUMMYFUNCTION("""COMPUTED_VALUE"""),40540.7055555555)</f>
        <v>40540.705555555498</v>
      </c>
      <c r="D233" s="111">
        <f ca="1">IFERROR(__xludf.DUMMYFUNCTION("""COMPUTED_VALUE"""),19.35)</f>
        <v>19.350000000000001</v>
      </c>
      <c r="E233" s="112">
        <f ca="1">IFERROR(__xludf.DUMMYFUNCTION("""COMPUTED_VALUE"""),40540.7055555555)</f>
        <v>40540.705555555498</v>
      </c>
      <c r="F233" s="111">
        <f ca="1">IFERROR(__xludf.DUMMYFUNCTION("""COMPUTED_VALUE"""),8.33)</f>
        <v>8.33</v>
      </c>
      <c r="G233" s="112">
        <f ca="1">IFERROR(__xludf.DUMMYFUNCTION("""COMPUTED_VALUE"""),40540.7055555555)</f>
        <v>40540.705555555498</v>
      </c>
      <c r="H233" s="111">
        <f ca="1">IFERROR(__xludf.DUMMYFUNCTION("""COMPUTED_VALUE"""),26.66)</f>
        <v>26.66</v>
      </c>
      <c r="K233" s="112">
        <f ca="1">IFERROR(__xludf.DUMMYFUNCTION("""COMPUTED_VALUE"""),41038.7055555555)</f>
        <v>41038.705555555498</v>
      </c>
      <c r="L233" s="111">
        <f ca="1">IFERROR(__xludf.DUMMYFUNCTION("""COMPUTED_VALUE"""),0.39)</f>
        <v>0.39</v>
      </c>
      <c r="M233" s="112">
        <f ca="1">IFERROR(__xludf.DUMMYFUNCTION("""COMPUTED_VALUE"""),40519.7055555555)</f>
        <v>40519.705555555498</v>
      </c>
      <c r="N233" s="111">
        <f ca="1">IFERROR(__xludf.DUMMYFUNCTION("""COMPUTED_VALUE"""),12.86)</f>
        <v>12.86</v>
      </c>
      <c r="O233" s="112">
        <f ca="1">IFERROR(__xludf.DUMMYFUNCTION("""COMPUTED_VALUE"""),40540.7055555555)</f>
        <v>40540.705555555498</v>
      </c>
      <c r="P233" s="111">
        <f ca="1">IFERROR(__xludf.DUMMYFUNCTION("""COMPUTED_VALUE"""),54.74)</f>
        <v>54.74</v>
      </c>
      <c r="Q233" s="112">
        <f ca="1">IFERROR(__xludf.DUMMYFUNCTION("""COMPUTED_VALUE"""),40540.7055555555)</f>
        <v>40540.705555555498</v>
      </c>
      <c r="R233" s="111">
        <f ca="1">IFERROR(__xludf.DUMMYFUNCTION("""COMPUTED_VALUE"""),30.79)</f>
        <v>30.79</v>
      </c>
      <c r="S233" s="112">
        <f ca="1">IFERROR(__xludf.DUMMYFUNCTION("""COMPUTED_VALUE"""),40540.7055555555)</f>
        <v>40540.705555555498</v>
      </c>
      <c r="T233" s="111">
        <f ca="1">IFERROR(__xludf.DUMMYFUNCTION("""COMPUTED_VALUE"""),8.23)</f>
        <v>8.23</v>
      </c>
    </row>
    <row r="234" spans="1:20" x14ac:dyDescent="0.3">
      <c r="A234" s="112">
        <f ca="1">IFERROR(__xludf.DUMMYFUNCTION("""COMPUTED_VALUE"""),40541.7055555555)</f>
        <v>40541.705555555498</v>
      </c>
      <c r="B234" s="111">
        <f ca="1">IFERROR(__xludf.DUMMYFUNCTION("""COMPUTED_VALUE"""),21.76)</f>
        <v>21.76</v>
      </c>
      <c r="C234" s="112">
        <f ca="1">IFERROR(__xludf.DUMMYFUNCTION("""COMPUTED_VALUE"""),40541.7055555555)</f>
        <v>40541.705555555498</v>
      </c>
      <c r="D234" s="111">
        <f ca="1">IFERROR(__xludf.DUMMYFUNCTION("""COMPUTED_VALUE"""),19.78)</f>
        <v>19.78</v>
      </c>
      <c r="E234" s="112">
        <f ca="1">IFERROR(__xludf.DUMMYFUNCTION("""COMPUTED_VALUE"""),40541.7055555555)</f>
        <v>40541.705555555498</v>
      </c>
      <c r="F234" s="111">
        <f ca="1">IFERROR(__xludf.DUMMYFUNCTION("""COMPUTED_VALUE"""),8.53)</f>
        <v>8.5299999999999994</v>
      </c>
      <c r="G234" s="112">
        <f ca="1">IFERROR(__xludf.DUMMYFUNCTION("""COMPUTED_VALUE"""),40541.7055555555)</f>
        <v>40541.705555555498</v>
      </c>
      <c r="H234" s="111">
        <f ca="1">IFERROR(__xludf.DUMMYFUNCTION("""COMPUTED_VALUE"""),26.97)</f>
        <v>26.97</v>
      </c>
      <c r="K234" s="112">
        <f ca="1">IFERROR(__xludf.DUMMYFUNCTION("""COMPUTED_VALUE"""),41039.7055555555)</f>
        <v>41039.705555555498</v>
      </c>
      <c r="L234" s="111">
        <f ca="1">IFERROR(__xludf.DUMMYFUNCTION("""COMPUTED_VALUE"""),0.39)</f>
        <v>0.39</v>
      </c>
      <c r="M234" s="112">
        <f ca="1">IFERROR(__xludf.DUMMYFUNCTION("""COMPUTED_VALUE"""),40520.7055555555)</f>
        <v>40520.705555555498</v>
      </c>
      <c r="N234" s="111">
        <f ca="1">IFERROR(__xludf.DUMMYFUNCTION("""COMPUTED_VALUE"""),12.83)</f>
        <v>12.83</v>
      </c>
      <c r="O234" s="112">
        <f ca="1">IFERROR(__xludf.DUMMYFUNCTION("""COMPUTED_VALUE"""),40541.7055555555)</f>
        <v>40541.705555555498</v>
      </c>
      <c r="P234" s="111">
        <f ca="1">IFERROR(__xludf.DUMMYFUNCTION("""COMPUTED_VALUE"""),55.12)</f>
        <v>55.12</v>
      </c>
      <c r="Q234" s="112">
        <f ca="1">IFERROR(__xludf.DUMMYFUNCTION("""COMPUTED_VALUE"""),40541.7055555555)</f>
        <v>40541.705555555498</v>
      </c>
      <c r="R234" s="111">
        <f ca="1">IFERROR(__xludf.DUMMYFUNCTION("""COMPUTED_VALUE"""),31)</f>
        <v>31</v>
      </c>
      <c r="S234" s="112">
        <f ca="1">IFERROR(__xludf.DUMMYFUNCTION("""COMPUTED_VALUE"""),40541.7055555555)</f>
        <v>40541.705555555498</v>
      </c>
      <c r="T234" s="111">
        <f ca="1">IFERROR(__xludf.DUMMYFUNCTION("""COMPUTED_VALUE"""),8.25)</f>
        <v>8.25</v>
      </c>
    </row>
    <row r="235" spans="1:20" x14ac:dyDescent="0.3">
      <c r="A235" s="112">
        <f ca="1">IFERROR(__xludf.DUMMYFUNCTION("""COMPUTED_VALUE"""),40542.7055555555)</f>
        <v>40542.705555555498</v>
      </c>
      <c r="B235" s="111">
        <f ca="1">IFERROR(__xludf.DUMMYFUNCTION("""COMPUTED_VALUE"""),21.99)</f>
        <v>21.99</v>
      </c>
      <c r="C235" s="112">
        <f ca="1">IFERROR(__xludf.DUMMYFUNCTION("""COMPUTED_VALUE"""),40542.7055555555)</f>
        <v>40542.705555555498</v>
      </c>
      <c r="D235" s="111">
        <f ca="1">IFERROR(__xludf.DUMMYFUNCTION("""COMPUTED_VALUE"""),19.93)</f>
        <v>19.93</v>
      </c>
      <c r="E235" s="112">
        <f ca="1">IFERROR(__xludf.DUMMYFUNCTION("""COMPUTED_VALUE"""),40542.7055555555)</f>
        <v>40542.705555555498</v>
      </c>
      <c r="F235" s="111">
        <f ca="1">IFERROR(__xludf.DUMMYFUNCTION("""COMPUTED_VALUE"""),8.59)</f>
        <v>8.59</v>
      </c>
      <c r="G235" s="112">
        <f ca="1">IFERROR(__xludf.DUMMYFUNCTION("""COMPUTED_VALUE"""),40542.7055555555)</f>
        <v>40542.705555555498</v>
      </c>
      <c r="H235" s="111">
        <f ca="1">IFERROR(__xludf.DUMMYFUNCTION("""COMPUTED_VALUE"""),27.29)</f>
        <v>27.29</v>
      </c>
      <c r="K235" s="112">
        <f ca="1">IFERROR(__xludf.DUMMYFUNCTION("""COMPUTED_VALUE"""),41043.7055555555)</f>
        <v>41043.705555555498</v>
      </c>
      <c r="L235" s="111">
        <f ca="1">IFERROR(__xludf.DUMMYFUNCTION("""COMPUTED_VALUE"""),0.36)</f>
        <v>0.36</v>
      </c>
      <c r="M235" s="112">
        <f ca="1">IFERROR(__xludf.DUMMYFUNCTION("""COMPUTED_VALUE"""),40521.7055555555)</f>
        <v>40521.705555555498</v>
      </c>
      <c r="N235" s="111">
        <f ca="1">IFERROR(__xludf.DUMMYFUNCTION("""COMPUTED_VALUE"""),12.71)</f>
        <v>12.71</v>
      </c>
      <c r="O235" s="112">
        <f ca="1">IFERROR(__xludf.DUMMYFUNCTION("""COMPUTED_VALUE"""),40542.7055555555)</f>
        <v>40542.705555555498</v>
      </c>
      <c r="P235" s="111">
        <f ca="1">IFERROR(__xludf.DUMMYFUNCTION("""COMPUTED_VALUE"""),55.33)</f>
        <v>55.33</v>
      </c>
      <c r="Q235" s="112">
        <f ca="1">IFERROR(__xludf.DUMMYFUNCTION("""COMPUTED_VALUE"""),40542.7055555555)</f>
        <v>40542.705555555498</v>
      </c>
      <c r="R235" s="111">
        <f ca="1">IFERROR(__xludf.DUMMYFUNCTION("""COMPUTED_VALUE"""),31.42)</f>
        <v>31.42</v>
      </c>
      <c r="S235" s="112">
        <f ca="1">IFERROR(__xludf.DUMMYFUNCTION("""COMPUTED_VALUE"""),40542.7055555555)</f>
        <v>40542.705555555498</v>
      </c>
      <c r="T235" s="111">
        <f ca="1">IFERROR(__xludf.DUMMYFUNCTION("""COMPUTED_VALUE"""),8.47)</f>
        <v>8.4700000000000006</v>
      </c>
    </row>
    <row r="236" spans="1:20" x14ac:dyDescent="0.3">
      <c r="A236" s="112">
        <f ca="1">IFERROR(__xludf.DUMMYFUNCTION("""COMPUTED_VALUE"""),40546.7055555555)</f>
        <v>40546.705555555498</v>
      </c>
      <c r="B236" s="111">
        <f ca="1">IFERROR(__xludf.DUMMYFUNCTION("""COMPUTED_VALUE"""),22.43)</f>
        <v>22.43</v>
      </c>
      <c r="C236" s="112">
        <f ca="1">IFERROR(__xludf.DUMMYFUNCTION("""COMPUTED_VALUE"""),40546.7055555555)</f>
        <v>40546.705555555498</v>
      </c>
      <c r="D236" s="111">
        <f ca="1">IFERROR(__xludf.DUMMYFUNCTION("""COMPUTED_VALUE"""),19.87)</f>
        <v>19.87</v>
      </c>
      <c r="E236" s="112">
        <f ca="1">IFERROR(__xludf.DUMMYFUNCTION("""COMPUTED_VALUE"""),40546.7055555555)</f>
        <v>40546.705555555498</v>
      </c>
      <c r="F236" s="111">
        <f ca="1">IFERROR(__xludf.DUMMYFUNCTION("""COMPUTED_VALUE"""),8.59)</f>
        <v>8.59</v>
      </c>
      <c r="G236" s="112">
        <f ca="1">IFERROR(__xludf.DUMMYFUNCTION("""COMPUTED_VALUE"""),40546.7055555555)</f>
        <v>40546.705555555498</v>
      </c>
      <c r="H236" s="111">
        <f ca="1">IFERROR(__xludf.DUMMYFUNCTION("""COMPUTED_VALUE"""),27)</f>
        <v>27</v>
      </c>
      <c r="K236" s="112">
        <f ca="1">IFERROR(__xludf.DUMMYFUNCTION("""COMPUTED_VALUE"""),41044.7055555555)</f>
        <v>41044.705555555498</v>
      </c>
      <c r="L236" s="111">
        <f ca="1">IFERROR(__xludf.DUMMYFUNCTION("""COMPUTED_VALUE"""),0.32)</f>
        <v>0.32</v>
      </c>
      <c r="M236" s="112">
        <f ca="1">IFERROR(__xludf.DUMMYFUNCTION("""COMPUTED_VALUE"""),40522.7055555555)</f>
        <v>40522.705555555498</v>
      </c>
      <c r="N236" s="111">
        <f ca="1">IFERROR(__xludf.DUMMYFUNCTION("""COMPUTED_VALUE"""),12.66)</f>
        <v>12.66</v>
      </c>
      <c r="O236" s="112">
        <f ca="1">IFERROR(__xludf.DUMMYFUNCTION("""COMPUTED_VALUE"""),40546.7055555555)</f>
        <v>40546.705555555498</v>
      </c>
      <c r="P236" s="111">
        <f ca="1">IFERROR(__xludf.DUMMYFUNCTION("""COMPUTED_VALUE"""),56.97)</f>
        <v>56.97</v>
      </c>
      <c r="Q236" s="112">
        <f ca="1">IFERROR(__xludf.DUMMYFUNCTION("""COMPUTED_VALUE"""),40546.7055555555)</f>
        <v>40546.705555555498</v>
      </c>
      <c r="R236" s="111">
        <f ca="1">IFERROR(__xludf.DUMMYFUNCTION("""COMPUTED_VALUE"""),31.4)</f>
        <v>31.4</v>
      </c>
      <c r="S236" s="112">
        <f ca="1">IFERROR(__xludf.DUMMYFUNCTION("""COMPUTED_VALUE"""),40546.7055555555)</f>
        <v>40546.705555555498</v>
      </c>
      <c r="T236" s="111">
        <f ca="1">IFERROR(__xludf.DUMMYFUNCTION("""COMPUTED_VALUE"""),8.58)</f>
        <v>8.58</v>
      </c>
    </row>
    <row r="237" spans="1:20" x14ac:dyDescent="0.3">
      <c r="A237" s="112">
        <f ca="1">IFERROR(__xludf.DUMMYFUNCTION("""COMPUTED_VALUE"""),40547.7055555555)</f>
        <v>40547.705555555498</v>
      </c>
      <c r="B237" s="111">
        <f ca="1">IFERROR(__xludf.DUMMYFUNCTION("""COMPUTED_VALUE"""),22.97)</f>
        <v>22.97</v>
      </c>
      <c r="C237" s="112">
        <f ca="1">IFERROR(__xludf.DUMMYFUNCTION("""COMPUTED_VALUE"""),40547.7055555555)</f>
        <v>40547.705555555498</v>
      </c>
      <c r="D237" s="111">
        <f ca="1">IFERROR(__xludf.DUMMYFUNCTION("""COMPUTED_VALUE"""),20.04)</f>
        <v>20.04</v>
      </c>
      <c r="E237" s="112">
        <f ca="1">IFERROR(__xludf.DUMMYFUNCTION("""COMPUTED_VALUE"""),40547.7055555555)</f>
        <v>40547.705555555498</v>
      </c>
      <c r="F237" s="111">
        <f ca="1">IFERROR(__xludf.DUMMYFUNCTION("""COMPUTED_VALUE"""),8.7)</f>
        <v>8.6999999999999993</v>
      </c>
      <c r="G237" s="112">
        <f ca="1">IFERROR(__xludf.DUMMYFUNCTION("""COMPUTED_VALUE"""),40547.7055555555)</f>
        <v>40547.705555555498</v>
      </c>
      <c r="H237" s="111">
        <f ca="1">IFERROR(__xludf.DUMMYFUNCTION("""COMPUTED_VALUE"""),26.9)</f>
        <v>26.9</v>
      </c>
      <c r="K237" s="112">
        <f ca="1">IFERROR(__xludf.DUMMYFUNCTION("""COMPUTED_VALUE"""),41046.7055555555)</f>
        <v>41046.705555555498</v>
      </c>
      <c r="L237" s="111">
        <f ca="1">IFERROR(__xludf.DUMMYFUNCTION("""COMPUTED_VALUE"""),0.3)</f>
        <v>0.3</v>
      </c>
      <c r="M237" s="112">
        <f ca="1">IFERROR(__xludf.DUMMYFUNCTION("""COMPUTED_VALUE"""),40525.7055555555)</f>
        <v>40525.705555555498</v>
      </c>
      <c r="N237" s="111">
        <f ca="1">IFERROR(__xludf.DUMMYFUNCTION("""COMPUTED_VALUE"""),12.81)</f>
        <v>12.81</v>
      </c>
      <c r="O237" s="112">
        <f ca="1">IFERROR(__xludf.DUMMYFUNCTION("""COMPUTED_VALUE"""),40547.7055555555)</f>
        <v>40547.705555555498</v>
      </c>
      <c r="P237" s="111">
        <f ca="1">IFERROR(__xludf.DUMMYFUNCTION("""COMPUTED_VALUE"""),58.15)</f>
        <v>58.15</v>
      </c>
      <c r="Q237" s="112">
        <f ca="1">IFERROR(__xludf.DUMMYFUNCTION("""COMPUTED_VALUE"""),40547.7055555555)</f>
        <v>40547.705555555498</v>
      </c>
      <c r="R237" s="111">
        <f ca="1">IFERROR(__xludf.DUMMYFUNCTION("""COMPUTED_VALUE"""),31.53)</f>
        <v>31.53</v>
      </c>
      <c r="S237" s="112">
        <f ca="1">IFERROR(__xludf.DUMMYFUNCTION("""COMPUTED_VALUE"""),40547.7055555555)</f>
        <v>40547.705555555498</v>
      </c>
      <c r="T237" s="111">
        <f ca="1">IFERROR(__xludf.DUMMYFUNCTION("""COMPUTED_VALUE"""),8.46)</f>
        <v>8.4600000000000009</v>
      </c>
    </row>
    <row r="238" spans="1:20" x14ac:dyDescent="0.3">
      <c r="A238" s="112">
        <f ca="1">IFERROR(__xludf.DUMMYFUNCTION("""COMPUTED_VALUE"""),40548.7055555555)</f>
        <v>40548.705555555498</v>
      </c>
      <c r="B238" s="111">
        <f ca="1">IFERROR(__xludf.DUMMYFUNCTION("""COMPUTED_VALUE"""),23.61)</f>
        <v>23.61</v>
      </c>
      <c r="C238" s="112">
        <f ca="1">IFERROR(__xludf.DUMMYFUNCTION("""COMPUTED_VALUE"""),40548.7055555555)</f>
        <v>40548.705555555498</v>
      </c>
      <c r="D238" s="111">
        <f ca="1">IFERROR(__xludf.DUMMYFUNCTION("""COMPUTED_VALUE"""),20.34)</f>
        <v>20.34</v>
      </c>
      <c r="E238" s="112">
        <f ca="1">IFERROR(__xludf.DUMMYFUNCTION("""COMPUTED_VALUE"""),40548.7055555555)</f>
        <v>40548.705555555498</v>
      </c>
      <c r="F238" s="111">
        <f ca="1">IFERROR(__xludf.DUMMYFUNCTION("""COMPUTED_VALUE"""),8.81)</f>
        <v>8.81</v>
      </c>
      <c r="G238" s="112">
        <f ca="1">IFERROR(__xludf.DUMMYFUNCTION("""COMPUTED_VALUE"""),40548.7055555555)</f>
        <v>40548.705555555498</v>
      </c>
      <c r="H238" s="111">
        <f ca="1">IFERROR(__xludf.DUMMYFUNCTION("""COMPUTED_VALUE"""),27.22)</f>
        <v>27.22</v>
      </c>
      <c r="K238" s="112">
        <f ca="1">IFERROR(__xludf.DUMMYFUNCTION("""COMPUTED_VALUE"""),41047.7055555555)</f>
        <v>41047.705555555498</v>
      </c>
      <c r="L238" s="111">
        <f ca="1">IFERROR(__xludf.DUMMYFUNCTION("""COMPUTED_VALUE"""),0.28)</f>
        <v>0.28000000000000003</v>
      </c>
      <c r="M238" s="112">
        <f ca="1">IFERROR(__xludf.DUMMYFUNCTION("""COMPUTED_VALUE"""),40526.7055555555)</f>
        <v>40526.705555555498</v>
      </c>
      <c r="N238" s="111">
        <f ca="1">IFERROR(__xludf.DUMMYFUNCTION("""COMPUTED_VALUE"""),12.86)</f>
        <v>12.86</v>
      </c>
      <c r="O238" s="112">
        <f ca="1">IFERROR(__xludf.DUMMYFUNCTION("""COMPUTED_VALUE"""),40548.7055555555)</f>
        <v>40548.705555555498</v>
      </c>
      <c r="P238" s="111">
        <f ca="1">IFERROR(__xludf.DUMMYFUNCTION("""COMPUTED_VALUE"""),59.2)</f>
        <v>59.2</v>
      </c>
      <c r="Q238" s="112">
        <f ca="1">IFERROR(__xludf.DUMMYFUNCTION("""COMPUTED_VALUE"""),40548.7055555555)</f>
        <v>40548.705555555498</v>
      </c>
      <c r="R238" s="111">
        <f ca="1">IFERROR(__xludf.DUMMYFUNCTION("""COMPUTED_VALUE"""),31.98)</f>
        <v>31.98</v>
      </c>
      <c r="S238" s="112">
        <f ca="1">IFERROR(__xludf.DUMMYFUNCTION("""COMPUTED_VALUE"""),40548.7055555555)</f>
        <v>40548.705555555498</v>
      </c>
      <c r="T238" s="111">
        <f ca="1">IFERROR(__xludf.DUMMYFUNCTION("""COMPUTED_VALUE"""),8.39)</f>
        <v>8.39</v>
      </c>
    </row>
    <row r="239" spans="1:20" x14ac:dyDescent="0.3">
      <c r="A239" s="112">
        <f ca="1">IFERROR(__xludf.DUMMYFUNCTION("""COMPUTED_VALUE"""),40549.7055555555)</f>
        <v>40549.705555555498</v>
      </c>
      <c r="B239" s="111">
        <f ca="1">IFERROR(__xludf.DUMMYFUNCTION("""COMPUTED_VALUE"""),22.94)</f>
        <v>22.94</v>
      </c>
      <c r="C239" s="112">
        <f ca="1">IFERROR(__xludf.DUMMYFUNCTION("""COMPUTED_VALUE"""),40549.7055555555)</f>
        <v>40549.705555555498</v>
      </c>
      <c r="D239" s="111">
        <f ca="1">IFERROR(__xludf.DUMMYFUNCTION("""COMPUTED_VALUE"""),19.85)</f>
        <v>19.850000000000001</v>
      </c>
      <c r="E239" s="112">
        <f ca="1">IFERROR(__xludf.DUMMYFUNCTION("""COMPUTED_VALUE"""),40549.7055555555)</f>
        <v>40549.705555555498</v>
      </c>
      <c r="F239" s="111">
        <f ca="1">IFERROR(__xludf.DUMMYFUNCTION("""COMPUTED_VALUE"""),8.63)</f>
        <v>8.6300000000000008</v>
      </c>
      <c r="G239" s="112">
        <f ca="1">IFERROR(__xludf.DUMMYFUNCTION("""COMPUTED_VALUE"""),40549.7055555555)</f>
        <v>40549.705555555498</v>
      </c>
      <c r="H239" s="111">
        <f ca="1">IFERROR(__xludf.DUMMYFUNCTION("""COMPUTED_VALUE"""),27.11)</f>
        <v>27.11</v>
      </c>
      <c r="K239" s="112">
        <f ca="1">IFERROR(__xludf.DUMMYFUNCTION("""COMPUTED_VALUE"""),41051.7055555555)</f>
        <v>41051.705555555498</v>
      </c>
      <c r="L239" s="111">
        <f ca="1">IFERROR(__xludf.DUMMYFUNCTION("""COMPUTED_VALUE"""),0.28)</f>
        <v>0.28000000000000003</v>
      </c>
      <c r="M239" s="112">
        <f ca="1">IFERROR(__xludf.DUMMYFUNCTION("""COMPUTED_VALUE"""),40527.7055555555)</f>
        <v>40527.705555555498</v>
      </c>
      <c r="N239" s="111">
        <f ca="1">IFERROR(__xludf.DUMMYFUNCTION("""COMPUTED_VALUE"""),12.72)</f>
        <v>12.72</v>
      </c>
      <c r="O239" s="112">
        <f ca="1">IFERROR(__xludf.DUMMYFUNCTION("""COMPUTED_VALUE"""),40549.7055555555)</f>
        <v>40549.705555555498</v>
      </c>
      <c r="P239" s="111">
        <f ca="1">IFERROR(__xludf.DUMMYFUNCTION("""COMPUTED_VALUE"""),58.44)</f>
        <v>58.44</v>
      </c>
      <c r="Q239" s="112">
        <f ca="1">IFERROR(__xludf.DUMMYFUNCTION("""COMPUTED_VALUE"""),40549.7055555555)</f>
        <v>40549.705555555498</v>
      </c>
      <c r="R239" s="111">
        <f ca="1">IFERROR(__xludf.DUMMYFUNCTION("""COMPUTED_VALUE"""),31.7)</f>
        <v>31.7</v>
      </c>
      <c r="S239" s="112">
        <f ca="1">IFERROR(__xludf.DUMMYFUNCTION("""COMPUTED_VALUE"""),40549.7055555555)</f>
        <v>40549.705555555498</v>
      </c>
      <c r="T239" s="111">
        <f ca="1">IFERROR(__xludf.DUMMYFUNCTION("""COMPUTED_VALUE"""),8.19)</f>
        <v>8.19</v>
      </c>
    </row>
    <row r="240" spans="1:20" x14ac:dyDescent="0.3">
      <c r="A240" s="112">
        <f ca="1">IFERROR(__xludf.DUMMYFUNCTION("""COMPUTED_VALUE"""),40550.7055555555)</f>
        <v>40550.705555555498</v>
      </c>
      <c r="B240" s="111">
        <f ca="1">IFERROR(__xludf.DUMMYFUNCTION("""COMPUTED_VALUE"""),22.79)</f>
        <v>22.79</v>
      </c>
      <c r="C240" s="112">
        <f ca="1">IFERROR(__xludf.DUMMYFUNCTION("""COMPUTED_VALUE"""),40550.7055555555)</f>
        <v>40550.705555555498</v>
      </c>
      <c r="D240" s="111">
        <f ca="1">IFERROR(__xludf.DUMMYFUNCTION("""COMPUTED_VALUE"""),19.37)</f>
        <v>19.37</v>
      </c>
      <c r="E240" s="112">
        <f ca="1">IFERROR(__xludf.DUMMYFUNCTION("""COMPUTED_VALUE"""),40550.7055555555)</f>
        <v>40550.705555555498</v>
      </c>
      <c r="F240" s="111">
        <f ca="1">IFERROR(__xludf.DUMMYFUNCTION("""COMPUTED_VALUE"""),8.37)</f>
        <v>8.3699999999999992</v>
      </c>
      <c r="G240" s="112">
        <f ca="1">IFERROR(__xludf.DUMMYFUNCTION("""COMPUTED_VALUE"""),40550.7055555555)</f>
        <v>40550.705555555498</v>
      </c>
      <c r="H240" s="111">
        <f ca="1">IFERROR(__xludf.DUMMYFUNCTION("""COMPUTED_VALUE"""),26.73)</f>
        <v>26.73</v>
      </c>
      <c r="K240" s="112">
        <f ca="1">IFERROR(__xludf.DUMMYFUNCTION("""COMPUTED_VALUE"""),41052.7055555555)</f>
        <v>41052.705555555498</v>
      </c>
      <c r="L240" s="111">
        <f ca="1">IFERROR(__xludf.DUMMYFUNCTION("""COMPUTED_VALUE"""),0.29)</f>
        <v>0.28999999999999998</v>
      </c>
      <c r="M240" s="112">
        <f ca="1">IFERROR(__xludf.DUMMYFUNCTION("""COMPUTED_VALUE"""),40528.7055555555)</f>
        <v>40528.705555555498</v>
      </c>
      <c r="N240" s="111">
        <f ca="1">IFERROR(__xludf.DUMMYFUNCTION("""COMPUTED_VALUE"""),12.53)</f>
        <v>12.53</v>
      </c>
      <c r="O240" s="112">
        <f ca="1">IFERROR(__xludf.DUMMYFUNCTION("""COMPUTED_VALUE"""),40550.7055555555)</f>
        <v>40550.705555555498</v>
      </c>
      <c r="P240" s="111">
        <f ca="1">IFERROR(__xludf.DUMMYFUNCTION("""COMPUTED_VALUE"""),58)</f>
        <v>58</v>
      </c>
      <c r="Q240" s="112">
        <f ca="1">IFERROR(__xludf.DUMMYFUNCTION("""COMPUTED_VALUE"""),40550.7055555555)</f>
        <v>40550.705555555498</v>
      </c>
      <c r="R240" s="111">
        <f ca="1">IFERROR(__xludf.DUMMYFUNCTION("""COMPUTED_VALUE"""),30.95)</f>
        <v>30.95</v>
      </c>
      <c r="S240" s="112">
        <f ca="1">IFERROR(__xludf.DUMMYFUNCTION("""COMPUTED_VALUE"""),40550.7055555555)</f>
        <v>40550.705555555498</v>
      </c>
      <c r="T240" s="111">
        <f ca="1">IFERROR(__xludf.DUMMYFUNCTION("""COMPUTED_VALUE"""),8.11)</f>
        <v>8.11</v>
      </c>
    </row>
    <row r="241" spans="1:20" x14ac:dyDescent="0.3">
      <c r="A241" s="112">
        <f ca="1">IFERROR(__xludf.DUMMYFUNCTION("""COMPUTED_VALUE"""),40553.7055555555)</f>
        <v>40553.705555555498</v>
      </c>
      <c r="B241" s="111">
        <f ca="1">IFERROR(__xludf.DUMMYFUNCTION("""COMPUTED_VALUE"""),22.6)</f>
        <v>22.6</v>
      </c>
      <c r="C241" s="112">
        <f ca="1">IFERROR(__xludf.DUMMYFUNCTION("""COMPUTED_VALUE"""),40553.7055555555)</f>
        <v>40553.705555555498</v>
      </c>
      <c r="D241" s="111">
        <f ca="1">IFERROR(__xludf.DUMMYFUNCTION("""COMPUTED_VALUE"""),19.52)</f>
        <v>19.52</v>
      </c>
      <c r="E241" s="112">
        <f ca="1">IFERROR(__xludf.DUMMYFUNCTION("""COMPUTED_VALUE"""),40553.7055555555)</f>
        <v>40553.705555555498</v>
      </c>
      <c r="F241" s="111">
        <f ca="1">IFERROR(__xludf.DUMMYFUNCTION("""COMPUTED_VALUE"""),8.47)</f>
        <v>8.4700000000000006</v>
      </c>
      <c r="G241" s="112">
        <f ca="1">IFERROR(__xludf.DUMMYFUNCTION("""COMPUTED_VALUE"""),40553.7055555555)</f>
        <v>40553.705555555498</v>
      </c>
      <c r="H241" s="111">
        <f ca="1">IFERROR(__xludf.DUMMYFUNCTION("""COMPUTED_VALUE"""),26.98)</f>
        <v>26.98</v>
      </c>
      <c r="K241" s="112">
        <f ca="1">IFERROR(__xludf.DUMMYFUNCTION("""COMPUTED_VALUE"""),41053.7055555555)</f>
        <v>41053.705555555498</v>
      </c>
      <c r="L241" s="111">
        <f ca="1">IFERROR(__xludf.DUMMYFUNCTION("""COMPUTED_VALUE"""),0.27)</f>
        <v>0.27</v>
      </c>
      <c r="M241" s="112">
        <f ca="1">IFERROR(__xludf.DUMMYFUNCTION("""COMPUTED_VALUE"""),40529.7055555555)</f>
        <v>40529.705555555498</v>
      </c>
      <c r="N241" s="111">
        <f ca="1">IFERROR(__xludf.DUMMYFUNCTION("""COMPUTED_VALUE"""),12.57)</f>
        <v>12.57</v>
      </c>
      <c r="O241" s="112">
        <f ca="1">IFERROR(__xludf.DUMMYFUNCTION("""COMPUTED_VALUE"""),40553.7055555555)</f>
        <v>40553.705555555498</v>
      </c>
      <c r="P241" s="111">
        <f ca="1">IFERROR(__xludf.DUMMYFUNCTION("""COMPUTED_VALUE"""),57.89)</f>
        <v>57.89</v>
      </c>
      <c r="Q241" s="112">
        <f ca="1">IFERROR(__xludf.DUMMYFUNCTION("""COMPUTED_VALUE"""),40553.7055555555)</f>
        <v>40553.705555555498</v>
      </c>
      <c r="R241" s="111">
        <f ca="1">IFERROR(__xludf.DUMMYFUNCTION("""COMPUTED_VALUE"""),31)</f>
        <v>31</v>
      </c>
      <c r="S241" s="112">
        <f ca="1">IFERROR(__xludf.DUMMYFUNCTION("""COMPUTED_VALUE"""),40553.7055555555)</f>
        <v>40553.705555555498</v>
      </c>
      <c r="T241" s="111">
        <f ca="1">IFERROR(__xludf.DUMMYFUNCTION("""COMPUTED_VALUE"""),8.03)</f>
        <v>8.0299999999999994</v>
      </c>
    </row>
    <row r="242" spans="1:20" x14ac:dyDescent="0.3">
      <c r="A242" s="112">
        <f ca="1">IFERROR(__xludf.DUMMYFUNCTION("""COMPUTED_VALUE"""),40554.7055555555)</f>
        <v>40554.705555555498</v>
      </c>
      <c r="B242" s="111">
        <f ca="1">IFERROR(__xludf.DUMMYFUNCTION("""COMPUTED_VALUE"""),22.4)</f>
        <v>22.4</v>
      </c>
      <c r="C242" s="112">
        <f ca="1">IFERROR(__xludf.DUMMYFUNCTION("""COMPUTED_VALUE"""),40554.7055555555)</f>
        <v>40554.705555555498</v>
      </c>
      <c r="D242" s="111">
        <f ca="1">IFERROR(__xludf.DUMMYFUNCTION("""COMPUTED_VALUE"""),19.64)</f>
        <v>19.64</v>
      </c>
      <c r="E242" s="112">
        <f ca="1">IFERROR(__xludf.DUMMYFUNCTION("""COMPUTED_VALUE"""),40554.7055555555)</f>
        <v>40554.705555555498</v>
      </c>
      <c r="F242" s="111">
        <f ca="1">IFERROR(__xludf.DUMMYFUNCTION("""COMPUTED_VALUE"""),8.55)</f>
        <v>8.5500000000000007</v>
      </c>
      <c r="G242" s="112">
        <f ca="1">IFERROR(__xludf.DUMMYFUNCTION("""COMPUTED_VALUE"""),40554.7055555555)</f>
        <v>40554.705555555498</v>
      </c>
      <c r="H242" s="111">
        <f ca="1">IFERROR(__xludf.DUMMYFUNCTION("""COMPUTED_VALUE"""),27.15)</f>
        <v>27.15</v>
      </c>
      <c r="K242" s="112">
        <f ca="1">IFERROR(__xludf.DUMMYFUNCTION("""COMPUTED_VALUE"""),41054.7055555555)</f>
        <v>41054.705555555498</v>
      </c>
      <c r="L242" s="111">
        <f ca="1">IFERROR(__xludf.DUMMYFUNCTION("""COMPUTED_VALUE"""),0.29)</f>
        <v>0.28999999999999998</v>
      </c>
      <c r="M242" s="112">
        <f ca="1">IFERROR(__xludf.DUMMYFUNCTION("""COMPUTED_VALUE"""),40532.7055555555)</f>
        <v>40532.705555555498</v>
      </c>
      <c r="N242" s="111">
        <f ca="1">IFERROR(__xludf.DUMMYFUNCTION("""COMPUTED_VALUE"""),12.43)</f>
        <v>12.43</v>
      </c>
      <c r="O242" s="112">
        <f ca="1">IFERROR(__xludf.DUMMYFUNCTION("""COMPUTED_VALUE"""),40554.7055555555)</f>
        <v>40554.705555555498</v>
      </c>
      <c r="P242" s="111">
        <f ca="1">IFERROR(__xludf.DUMMYFUNCTION("""COMPUTED_VALUE"""),58.5)</f>
        <v>58.5</v>
      </c>
      <c r="Q242" s="112">
        <f ca="1">IFERROR(__xludf.DUMMYFUNCTION("""COMPUTED_VALUE"""),40554.7055555555)</f>
        <v>40554.705555555498</v>
      </c>
      <c r="R242" s="111">
        <f ca="1">IFERROR(__xludf.DUMMYFUNCTION("""COMPUTED_VALUE"""),31.37)</f>
        <v>31.37</v>
      </c>
      <c r="S242" s="112">
        <f ca="1">IFERROR(__xludf.DUMMYFUNCTION("""COMPUTED_VALUE"""),40554.7055555555)</f>
        <v>40554.705555555498</v>
      </c>
      <c r="T242" s="111">
        <f ca="1">IFERROR(__xludf.DUMMYFUNCTION("""COMPUTED_VALUE"""),8.12)</f>
        <v>8.1199999999999992</v>
      </c>
    </row>
    <row r="243" spans="1:20" x14ac:dyDescent="0.3">
      <c r="A243" s="112">
        <f ca="1">IFERROR(__xludf.DUMMYFUNCTION("""COMPUTED_VALUE"""),40555.7055555555)</f>
        <v>40555.705555555498</v>
      </c>
      <c r="B243" s="111">
        <f ca="1">IFERROR(__xludf.DUMMYFUNCTION("""COMPUTED_VALUE"""),22.48)</f>
        <v>22.48</v>
      </c>
      <c r="C243" s="112">
        <f ca="1">IFERROR(__xludf.DUMMYFUNCTION("""COMPUTED_VALUE"""),40555.7055555555)</f>
        <v>40555.705555555498</v>
      </c>
      <c r="D243" s="111">
        <f ca="1">IFERROR(__xludf.DUMMYFUNCTION("""COMPUTED_VALUE"""),20.16)</f>
        <v>20.16</v>
      </c>
      <c r="E243" s="112">
        <f ca="1">IFERROR(__xludf.DUMMYFUNCTION("""COMPUTED_VALUE"""),40555.7055555555)</f>
        <v>40555.705555555498</v>
      </c>
      <c r="F243" s="111">
        <f ca="1">IFERROR(__xludf.DUMMYFUNCTION("""COMPUTED_VALUE"""),8.76)</f>
        <v>8.76</v>
      </c>
      <c r="G243" s="112">
        <f ca="1">IFERROR(__xludf.DUMMYFUNCTION("""COMPUTED_VALUE"""),40555.7055555555)</f>
        <v>40555.705555555498</v>
      </c>
      <c r="H243" s="111">
        <f ca="1">IFERROR(__xludf.DUMMYFUNCTION("""COMPUTED_VALUE"""),27.9)</f>
        <v>27.9</v>
      </c>
      <c r="K243" s="112">
        <f ca="1">IFERROR(__xludf.DUMMYFUNCTION("""COMPUTED_VALUE"""),41057.7055555555)</f>
        <v>41057.705555555498</v>
      </c>
      <c r="L243" s="111">
        <f ca="1">IFERROR(__xludf.DUMMYFUNCTION("""COMPUTED_VALUE"""),0.3)</f>
        <v>0.3</v>
      </c>
      <c r="M243" s="112">
        <f ca="1">IFERROR(__xludf.DUMMYFUNCTION("""COMPUTED_VALUE"""),40533.7055555555)</f>
        <v>40533.705555555498</v>
      </c>
      <c r="N243" s="111">
        <f ca="1">IFERROR(__xludf.DUMMYFUNCTION("""COMPUTED_VALUE"""),12.63)</f>
        <v>12.63</v>
      </c>
      <c r="O243" s="112">
        <f ca="1">IFERROR(__xludf.DUMMYFUNCTION("""COMPUTED_VALUE"""),40555.7055555555)</f>
        <v>40555.705555555498</v>
      </c>
      <c r="P243" s="111">
        <f ca="1">IFERROR(__xludf.DUMMYFUNCTION("""COMPUTED_VALUE"""),60.12)</f>
        <v>60.12</v>
      </c>
      <c r="Q243" s="112">
        <f ca="1">IFERROR(__xludf.DUMMYFUNCTION("""COMPUTED_VALUE"""),40555.7055555555)</f>
        <v>40555.705555555498</v>
      </c>
      <c r="R243" s="111">
        <f ca="1">IFERROR(__xludf.DUMMYFUNCTION("""COMPUTED_VALUE"""),31.92)</f>
        <v>31.92</v>
      </c>
      <c r="S243" s="112">
        <f ca="1">IFERROR(__xludf.DUMMYFUNCTION("""COMPUTED_VALUE"""),40555.7055555555)</f>
        <v>40555.705555555498</v>
      </c>
      <c r="T243" s="111">
        <f ca="1">IFERROR(__xludf.DUMMYFUNCTION("""COMPUTED_VALUE"""),8.03)</f>
        <v>8.0299999999999994</v>
      </c>
    </row>
    <row r="244" spans="1:20" x14ac:dyDescent="0.3">
      <c r="A244" s="112">
        <f ca="1">IFERROR(__xludf.DUMMYFUNCTION("""COMPUTED_VALUE"""),40556.7055555555)</f>
        <v>40556.705555555498</v>
      </c>
      <c r="B244" s="111">
        <f ca="1">IFERROR(__xludf.DUMMYFUNCTION("""COMPUTED_VALUE"""),22.74)</f>
        <v>22.74</v>
      </c>
      <c r="C244" s="112">
        <f ca="1">IFERROR(__xludf.DUMMYFUNCTION("""COMPUTED_VALUE"""),40556.7055555555)</f>
        <v>40556.705555555498</v>
      </c>
      <c r="D244" s="111">
        <f ca="1">IFERROR(__xludf.DUMMYFUNCTION("""COMPUTED_VALUE"""),19.72)</f>
        <v>19.72</v>
      </c>
      <c r="E244" s="112">
        <f ca="1">IFERROR(__xludf.DUMMYFUNCTION("""COMPUTED_VALUE"""),40556.7055555555)</f>
        <v>40556.705555555498</v>
      </c>
      <c r="F244" s="111">
        <f ca="1">IFERROR(__xludf.DUMMYFUNCTION("""COMPUTED_VALUE"""),8.59)</f>
        <v>8.59</v>
      </c>
      <c r="G244" s="112">
        <f ca="1">IFERROR(__xludf.DUMMYFUNCTION("""COMPUTED_VALUE"""),40556.7055555555)</f>
        <v>40556.705555555498</v>
      </c>
      <c r="H244" s="111">
        <f ca="1">IFERROR(__xludf.DUMMYFUNCTION("""COMPUTED_VALUE"""),27.31)</f>
        <v>27.31</v>
      </c>
      <c r="K244" s="112">
        <f ca="1">IFERROR(__xludf.DUMMYFUNCTION("""COMPUTED_VALUE"""),41058.7055555555)</f>
        <v>41058.705555555498</v>
      </c>
      <c r="L244" s="111">
        <f ca="1">IFERROR(__xludf.DUMMYFUNCTION("""COMPUTED_VALUE"""),0.3)</f>
        <v>0.3</v>
      </c>
      <c r="M244" s="112">
        <f ca="1">IFERROR(__xludf.DUMMYFUNCTION("""COMPUTED_VALUE"""),40534.7055555555)</f>
        <v>40534.705555555498</v>
      </c>
      <c r="N244" s="111">
        <f ca="1">IFERROR(__xludf.DUMMYFUNCTION("""COMPUTED_VALUE"""),12.87)</f>
        <v>12.87</v>
      </c>
      <c r="O244" s="112">
        <f ca="1">IFERROR(__xludf.DUMMYFUNCTION("""COMPUTED_VALUE"""),40556.7055555555)</f>
        <v>40556.705555555498</v>
      </c>
      <c r="P244" s="111">
        <f ca="1">IFERROR(__xludf.DUMMYFUNCTION("""COMPUTED_VALUE"""),59.7)</f>
        <v>59.7</v>
      </c>
      <c r="Q244" s="112">
        <f ca="1">IFERROR(__xludf.DUMMYFUNCTION("""COMPUTED_VALUE"""),40556.7055555555)</f>
        <v>40556.705555555498</v>
      </c>
      <c r="R244" s="111">
        <f ca="1">IFERROR(__xludf.DUMMYFUNCTION("""COMPUTED_VALUE"""),31.6)</f>
        <v>31.6</v>
      </c>
      <c r="S244" s="112">
        <f ca="1">IFERROR(__xludf.DUMMYFUNCTION("""COMPUTED_VALUE"""),40556.7055555555)</f>
        <v>40556.705555555498</v>
      </c>
      <c r="T244" s="111">
        <f ca="1">IFERROR(__xludf.DUMMYFUNCTION("""COMPUTED_VALUE"""),7.98)</f>
        <v>7.98</v>
      </c>
    </row>
    <row r="245" spans="1:20" x14ac:dyDescent="0.3">
      <c r="A245" s="112">
        <f ca="1">IFERROR(__xludf.DUMMYFUNCTION("""COMPUTED_VALUE"""),40557.7055555555)</f>
        <v>40557.705555555498</v>
      </c>
      <c r="B245" s="111">
        <f ca="1">IFERROR(__xludf.DUMMYFUNCTION("""COMPUTED_VALUE"""),23.12)</f>
        <v>23.12</v>
      </c>
      <c r="C245" s="112">
        <f ca="1">IFERROR(__xludf.DUMMYFUNCTION("""COMPUTED_VALUE"""),40557.7055555555)</f>
        <v>40557.705555555498</v>
      </c>
      <c r="D245" s="111">
        <f ca="1">IFERROR(__xludf.DUMMYFUNCTION("""COMPUTED_VALUE"""),19.84)</f>
        <v>19.84</v>
      </c>
      <c r="E245" s="112">
        <f ca="1">IFERROR(__xludf.DUMMYFUNCTION("""COMPUTED_VALUE"""),40557.7055555555)</f>
        <v>40557.705555555498</v>
      </c>
      <c r="F245" s="111">
        <f ca="1">IFERROR(__xludf.DUMMYFUNCTION("""COMPUTED_VALUE"""),8.55)</f>
        <v>8.5500000000000007</v>
      </c>
      <c r="G245" s="112">
        <f ca="1">IFERROR(__xludf.DUMMYFUNCTION("""COMPUTED_VALUE"""),40557.7055555555)</f>
        <v>40557.705555555498</v>
      </c>
      <c r="H245" s="111">
        <f ca="1">IFERROR(__xludf.DUMMYFUNCTION("""COMPUTED_VALUE"""),27.55)</f>
        <v>27.55</v>
      </c>
      <c r="K245" s="112">
        <f ca="1">IFERROR(__xludf.DUMMYFUNCTION("""COMPUTED_VALUE"""),41059.7055555555)</f>
        <v>41059.705555555498</v>
      </c>
      <c r="L245" s="111">
        <f ca="1">IFERROR(__xludf.DUMMYFUNCTION("""COMPUTED_VALUE"""),0.3)</f>
        <v>0.3</v>
      </c>
      <c r="M245" s="112">
        <f ca="1">IFERROR(__xludf.DUMMYFUNCTION("""COMPUTED_VALUE"""),40535.7055555555)</f>
        <v>40535.705555555498</v>
      </c>
      <c r="N245" s="111">
        <f ca="1">IFERROR(__xludf.DUMMYFUNCTION("""COMPUTED_VALUE"""),12.83)</f>
        <v>12.83</v>
      </c>
      <c r="O245" s="112">
        <f ca="1">IFERROR(__xludf.DUMMYFUNCTION("""COMPUTED_VALUE"""),40557.7055555555)</f>
        <v>40557.705555555498</v>
      </c>
      <c r="P245" s="111">
        <f ca="1">IFERROR(__xludf.DUMMYFUNCTION("""COMPUTED_VALUE"""),59.96)</f>
        <v>59.96</v>
      </c>
      <c r="Q245" s="112">
        <f ca="1">IFERROR(__xludf.DUMMYFUNCTION("""COMPUTED_VALUE"""),40557.7055555555)</f>
        <v>40557.705555555498</v>
      </c>
      <c r="R245" s="111">
        <f ca="1">IFERROR(__xludf.DUMMYFUNCTION("""COMPUTED_VALUE"""),31.77)</f>
        <v>31.77</v>
      </c>
      <c r="S245" s="112">
        <f ca="1">IFERROR(__xludf.DUMMYFUNCTION("""COMPUTED_VALUE"""),40557.7055555555)</f>
        <v>40557.705555555498</v>
      </c>
      <c r="T245" s="111">
        <f ca="1">IFERROR(__xludf.DUMMYFUNCTION("""COMPUTED_VALUE"""),7.99)</f>
        <v>7.99</v>
      </c>
    </row>
    <row r="246" spans="1:20" x14ac:dyDescent="0.3">
      <c r="A246" s="112">
        <f ca="1">IFERROR(__xludf.DUMMYFUNCTION("""COMPUTED_VALUE"""),40560.7055555555)</f>
        <v>40560.705555555498</v>
      </c>
      <c r="B246" s="111">
        <f ca="1">IFERROR(__xludf.DUMMYFUNCTION("""COMPUTED_VALUE"""),23.07)</f>
        <v>23.07</v>
      </c>
      <c r="C246" s="112">
        <f ca="1">IFERROR(__xludf.DUMMYFUNCTION("""COMPUTED_VALUE"""),40560.7055555555)</f>
        <v>40560.705555555498</v>
      </c>
      <c r="D246" s="111">
        <f ca="1">IFERROR(__xludf.DUMMYFUNCTION("""COMPUTED_VALUE"""),19.56)</f>
        <v>19.559999999999999</v>
      </c>
      <c r="E246" s="112">
        <f ca="1">IFERROR(__xludf.DUMMYFUNCTION("""COMPUTED_VALUE"""),40560.7055555555)</f>
        <v>40560.705555555498</v>
      </c>
      <c r="F246" s="111">
        <f ca="1">IFERROR(__xludf.DUMMYFUNCTION("""COMPUTED_VALUE"""),8.46)</f>
        <v>8.4600000000000009</v>
      </c>
      <c r="G246" s="112">
        <f ca="1">IFERROR(__xludf.DUMMYFUNCTION("""COMPUTED_VALUE"""),40560.7055555555)</f>
        <v>40560.705555555498</v>
      </c>
      <c r="H246" s="111">
        <f ca="1">IFERROR(__xludf.DUMMYFUNCTION("""COMPUTED_VALUE"""),27.45)</f>
        <v>27.45</v>
      </c>
      <c r="K246" s="112">
        <f ca="1">IFERROR(__xludf.DUMMYFUNCTION("""COMPUTED_VALUE"""),41061.7055555555)</f>
        <v>41061.705555555498</v>
      </c>
      <c r="L246" s="111">
        <f ca="1">IFERROR(__xludf.DUMMYFUNCTION("""COMPUTED_VALUE"""),0.28)</f>
        <v>0.28000000000000003</v>
      </c>
      <c r="M246" s="112">
        <f ca="1">IFERROR(__xludf.DUMMYFUNCTION("""COMPUTED_VALUE"""),40539.7055555555)</f>
        <v>40539.705555555498</v>
      </c>
      <c r="N246" s="111">
        <f ca="1">IFERROR(__xludf.DUMMYFUNCTION("""COMPUTED_VALUE"""),12.56)</f>
        <v>12.56</v>
      </c>
      <c r="O246" s="112">
        <f ca="1">IFERROR(__xludf.DUMMYFUNCTION("""COMPUTED_VALUE"""),40560.7055555555)</f>
        <v>40560.705555555498</v>
      </c>
      <c r="P246" s="111">
        <f ca="1">IFERROR(__xludf.DUMMYFUNCTION("""COMPUTED_VALUE"""),60.17)</f>
        <v>60.17</v>
      </c>
      <c r="Q246" s="112">
        <f ca="1">IFERROR(__xludf.DUMMYFUNCTION("""COMPUTED_VALUE"""),40560.7055555555)</f>
        <v>40560.705555555498</v>
      </c>
      <c r="R246" s="111">
        <f ca="1">IFERROR(__xludf.DUMMYFUNCTION("""COMPUTED_VALUE"""),31.4)</f>
        <v>31.4</v>
      </c>
      <c r="S246" s="112">
        <f ca="1">IFERROR(__xludf.DUMMYFUNCTION("""COMPUTED_VALUE"""),40560.7055555555)</f>
        <v>40560.705555555498</v>
      </c>
      <c r="T246" s="111">
        <f ca="1">IFERROR(__xludf.DUMMYFUNCTION("""COMPUTED_VALUE"""),7.98)</f>
        <v>7.98</v>
      </c>
    </row>
    <row r="247" spans="1:20" x14ac:dyDescent="0.3">
      <c r="A247" s="112">
        <f ca="1">IFERROR(__xludf.DUMMYFUNCTION("""COMPUTED_VALUE"""),40561.7055555555)</f>
        <v>40561.705555555498</v>
      </c>
      <c r="B247" s="111">
        <f ca="1">IFERROR(__xludf.DUMMYFUNCTION("""COMPUTED_VALUE"""),22.86)</f>
        <v>22.86</v>
      </c>
      <c r="C247" s="112">
        <f ca="1">IFERROR(__xludf.DUMMYFUNCTION("""COMPUTED_VALUE"""),40561.7055555555)</f>
        <v>40561.705555555498</v>
      </c>
      <c r="D247" s="111">
        <f ca="1">IFERROR(__xludf.DUMMYFUNCTION("""COMPUTED_VALUE"""),19.31)</f>
        <v>19.309999999999999</v>
      </c>
      <c r="E247" s="112">
        <f ca="1">IFERROR(__xludf.DUMMYFUNCTION("""COMPUTED_VALUE"""),40561.7055555555)</f>
        <v>40561.705555555498</v>
      </c>
      <c r="F247" s="111">
        <f ca="1">IFERROR(__xludf.DUMMYFUNCTION("""COMPUTED_VALUE"""),8.35)</f>
        <v>8.35</v>
      </c>
      <c r="G247" s="112">
        <f ca="1">IFERROR(__xludf.DUMMYFUNCTION("""COMPUTED_VALUE"""),40561.7055555555)</f>
        <v>40561.705555555498</v>
      </c>
      <c r="H247" s="111">
        <f ca="1">IFERROR(__xludf.DUMMYFUNCTION("""COMPUTED_VALUE"""),27.72)</f>
        <v>27.72</v>
      </c>
      <c r="K247" s="112">
        <f ca="1">IFERROR(__xludf.DUMMYFUNCTION("""COMPUTED_VALUE"""),41064.7055555555)</f>
        <v>41064.705555555498</v>
      </c>
      <c r="L247" s="111">
        <f ca="1">IFERROR(__xludf.DUMMYFUNCTION("""COMPUTED_VALUE"""),0.28)</f>
        <v>0.28000000000000003</v>
      </c>
      <c r="M247" s="112">
        <f ca="1">IFERROR(__xludf.DUMMYFUNCTION("""COMPUTED_VALUE"""),40540.7055555555)</f>
        <v>40540.705555555498</v>
      </c>
      <c r="N247" s="111">
        <f ca="1">IFERROR(__xludf.DUMMYFUNCTION("""COMPUTED_VALUE"""),12.55)</f>
        <v>12.55</v>
      </c>
      <c r="O247" s="112">
        <f ca="1">IFERROR(__xludf.DUMMYFUNCTION("""COMPUTED_VALUE"""),40561.7055555555)</f>
        <v>40561.705555555498</v>
      </c>
      <c r="P247" s="111">
        <f ca="1">IFERROR(__xludf.DUMMYFUNCTION("""COMPUTED_VALUE"""),60.92)</f>
        <v>60.92</v>
      </c>
      <c r="Q247" s="112">
        <f ca="1">IFERROR(__xludf.DUMMYFUNCTION("""COMPUTED_VALUE"""),40561.7055555555)</f>
        <v>40561.705555555498</v>
      </c>
      <c r="R247" s="111">
        <f ca="1">IFERROR(__xludf.DUMMYFUNCTION("""COMPUTED_VALUE"""),31.55)</f>
        <v>31.55</v>
      </c>
      <c r="S247" s="112">
        <f ca="1">IFERROR(__xludf.DUMMYFUNCTION("""COMPUTED_VALUE"""),40561.7055555555)</f>
        <v>40561.705555555498</v>
      </c>
      <c r="T247" s="111">
        <f ca="1">IFERROR(__xludf.DUMMYFUNCTION("""COMPUTED_VALUE"""),7.99)</f>
        <v>7.99</v>
      </c>
    </row>
    <row r="248" spans="1:20" x14ac:dyDescent="0.3">
      <c r="A248" s="112">
        <f ca="1">IFERROR(__xludf.DUMMYFUNCTION("""COMPUTED_VALUE"""),40562.7055555555)</f>
        <v>40562.705555555498</v>
      </c>
      <c r="B248" s="111">
        <f ca="1">IFERROR(__xludf.DUMMYFUNCTION("""COMPUTED_VALUE"""),22.4)</f>
        <v>22.4</v>
      </c>
      <c r="C248" s="112">
        <f ca="1">IFERROR(__xludf.DUMMYFUNCTION("""COMPUTED_VALUE"""),40562.7055555555)</f>
        <v>40562.705555555498</v>
      </c>
      <c r="D248" s="111">
        <f ca="1">IFERROR(__xludf.DUMMYFUNCTION("""COMPUTED_VALUE"""),19.1)</f>
        <v>19.100000000000001</v>
      </c>
      <c r="E248" s="112">
        <f ca="1">IFERROR(__xludf.DUMMYFUNCTION("""COMPUTED_VALUE"""),40562.7055555555)</f>
        <v>40562.705555555498</v>
      </c>
      <c r="F248" s="111">
        <f ca="1">IFERROR(__xludf.DUMMYFUNCTION("""COMPUTED_VALUE"""),8.18)</f>
        <v>8.18</v>
      </c>
      <c r="G248" s="112">
        <f ca="1">IFERROR(__xludf.DUMMYFUNCTION("""COMPUTED_VALUE"""),40562.7055555555)</f>
        <v>40562.705555555498</v>
      </c>
      <c r="H248" s="111">
        <f ca="1">IFERROR(__xludf.DUMMYFUNCTION("""COMPUTED_VALUE"""),27.3)</f>
        <v>27.3</v>
      </c>
      <c r="K248" s="112">
        <f ca="1">IFERROR(__xludf.DUMMYFUNCTION("""COMPUTED_VALUE"""),41065.7055555555)</f>
        <v>41065.705555555498</v>
      </c>
      <c r="L248" s="111">
        <f ca="1">IFERROR(__xludf.DUMMYFUNCTION("""COMPUTED_VALUE"""),0.28)</f>
        <v>0.28000000000000003</v>
      </c>
      <c r="M248" s="112">
        <f ca="1">IFERROR(__xludf.DUMMYFUNCTION("""COMPUTED_VALUE"""),40541.7055555555)</f>
        <v>40541.705555555498</v>
      </c>
      <c r="N248" s="111">
        <f ca="1">IFERROR(__xludf.DUMMYFUNCTION("""COMPUTED_VALUE"""),12.74)</f>
        <v>12.74</v>
      </c>
      <c r="O248" s="112">
        <f ca="1">IFERROR(__xludf.DUMMYFUNCTION("""COMPUTED_VALUE"""),40562.7055555555)</f>
        <v>40562.705555555498</v>
      </c>
      <c r="P248" s="111">
        <f ca="1">IFERROR(__xludf.DUMMYFUNCTION("""COMPUTED_VALUE"""),59.6)</f>
        <v>59.6</v>
      </c>
      <c r="Q248" s="112">
        <f ca="1">IFERROR(__xludf.DUMMYFUNCTION("""COMPUTED_VALUE"""),40562.7055555555)</f>
        <v>40562.705555555498</v>
      </c>
      <c r="R248" s="111">
        <f ca="1">IFERROR(__xludf.DUMMYFUNCTION("""COMPUTED_VALUE"""),31.1)</f>
        <v>31.1</v>
      </c>
      <c r="S248" s="112">
        <f ca="1">IFERROR(__xludf.DUMMYFUNCTION("""COMPUTED_VALUE"""),40562.7055555555)</f>
        <v>40562.705555555498</v>
      </c>
      <c r="T248" s="111">
        <f ca="1">IFERROR(__xludf.DUMMYFUNCTION("""COMPUTED_VALUE"""),8.02)</f>
        <v>8.02</v>
      </c>
    </row>
    <row r="249" spans="1:20" x14ac:dyDescent="0.3">
      <c r="A249" s="112">
        <f ca="1">IFERROR(__xludf.DUMMYFUNCTION("""COMPUTED_VALUE"""),40563.7055555555)</f>
        <v>40563.705555555498</v>
      </c>
      <c r="B249" s="111">
        <f ca="1">IFERROR(__xludf.DUMMYFUNCTION("""COMPUTED_VALUE"""),22.23)</f>
        <v>22.23</v>
      </c>
      <c r="C249" s="112">
        <f ca="1">IFERROR(__xludf.DUMMYFUNCTION("""COMPUTED_VALUE"""),40563.7055555555)</f>
        <v>40563.705555555498</v>
      </c>
      <c r="D249" s="111">
        <f ca="1">IFERROR(__xludf.DUMMYFUNCTION("""COMPUTED_VALUE"""),18.63)</f>
        <v>18.63</v>
      </c>
      <c r="E249" s="112">
        <f ca="1">IFERROR(__xludf.DUMMYFUNCTION("""COMPUTED_VALUE"""),40563.7055555555)</f>
        <v>40563.705555555498</v>
      </c>
      <c r="F249" s="111">
        <f ca="1">IFERROR(__xludf.DUMMYFUNCTION("""COMPUTED_VALUE"""),8.03)</f>
        <v>8.0299999999999994</v>
      </c>
      <c r="G249" s="112">
        <f ca="1">IFERROR(__xludf.DUMMYFUNCTION("""COMPUTED_VALUE"""),40563.7055555555)</f>
        <v>40563.705555555498</v>
      </c>
      <c r="H249" s="111">
        <f ca="1">IFERROR(__xludf.DUMMYFUNCTION("""COMPUTED_VALUE"""),27.27)</f>
        <v>27.27</v>
      </c>
      <c r="K249" s="112">
        <f ca="1">IFERROR(__xludf.DUMMYFUNCTION("""COMPUTED_VALUE"""),41066.7055555555)</f>
        <v>41066.705555555498</v>
      </c>
      <c r="L249" s="111">
        <f ca="1">IFERROR(__xludf.DUMMYFUNCTION("""COMPUTED_VALUE"""),0.28)</f>
        <v>0.28000000000000003</v>
      </c>
      <c r="M249" s="112">
        <f ca="1">IFERROR(__xludf.DUMMYFUNCTION("""COMPUTED_VALUE"""),40542.7055555555)</f>
        <v>40542.705555555498</v>
      </c>
      <c r="N249" s="111">
        <f ca="1">IFERROR(__xludf.DUMMYFUNCTION("""COMPUTED_VALUE"""),12.8)</f>
        <v>12.8</v>
      </c>
      <c r="O249" s="112">
        <f ca="1">IFERROR(__xludf.DUMMYFUNCTION("""COMPUTED_VALUE"""),40563.7055555555)</f>
        <v>40563.705555555498</v>
      </c>
      <c r="P249" s="111">
        <f ca="1">IFERROR(__xludf.DUMMYFUNCTION("""COMPUTED_VALUE"""),58.6)</f>
        <v>58.6</v>
      </c>
      <c r="Q249" s="112">
        <f ca="1">IFERROR(__xludf.DUMMYFUNCTION("""COMPUTED_VALUE"""),40563.7055555555)</f>
        <v>40563.705555555498</v>
      </c>
      <c r="R249" s="111">
        <f ca="1">IFERROR(__xludf.DUMMYFUNCTION("""COMPUTED_VALUE"""),30.89)</f>
        <v>30.89</v>
      </c>
      <c r="S249" s="112">
        <f ca="1">IFERROR(__xludf.DUMMYFUNCTION("""COMPUTED_VALUE"""),40563.7055555555)</f>
        <v>40563.705555555498</v>
      </c>
      <c r="T249" s="111">
        <f ca="1">IFERROR(__xludf.DUMMYFUNCTION("""COMPUTED_VALUE"""),7.98)</f>
        <v>7.98</v>
      </c>
    </row>
    <row r="250" spans="1:20" x14ac:dyDescent="0.3">
      <c r="A250" s="112">
        <f ca="1">IFERROR(__xludf.DUMMYFUNCTION("""COMPUTED_VALUE"""),40564.7055555555)</f>
        <v>40564.705555555498</v>
      </c>
      <c r="B250" s="111">
        <f ca="1">IFERROR(__xludf.DUMMYFUNCTION("""COMPUTED_VALUE"""),22.24)</f>
        <v>22.24</v>
      </c>
      <c r="C250" s="112">
        <f ca="1">IFERROR(__xludf.DUMMYFUNCTION("""COMPUTED_VALUE"""),40564.7055555555)</f>
        <v>40564.705555555498</v>
      </c>
      <c r="D250" s="111">
        <f ca="1">IFERROR(__xludf.DUMMYFUNCTION("""COMPUTED_VALUE"""),18.64)</f>
        <v>18.64</v>
      </c>
      <c r="E250" s="112">
        <f ca="1">IFERROR(__xludf.DUMMYFUNCTION("""COMPUTED_VALUE"""),40564.7055555555)</f>
        <v>40564.705555555498</v>
      </c>
      <c r="F250" s="111">
        <f ca="1">IFERROR(__xludf.DUMMYFUNCTION("""COMPUTED_VALUE"""),8.03)</f>
        <v>8.0299999999999994</v>
      </c>
      <c r="G250" s="112">
        <f ca="1">IFERROR(__xludf.DUMMYFUNCTION("""COMPUTED_VALUE"""),40564.7055555555)</f>
        <v>40564.705555555498</v>
      </c>
      <c r="H250" s="111">
        <f ca="1">IFERROR(__xludf.DUMMYFUNCTION("""COMPUTED_VALUE"""),27.05)</f>
        <v>27.05</v>
      </c>
      <c r="K250" s="112">
        <f ca="1">IFERROR(__xludf.DUMMYFUNCTION("""COMPUTED_VALUE"""),41068.7055555555)</f>
        <v>41068.705555555498</v>
      </c>
      <c r="L250" s="111">
        <f ca="1">IFERROR(__xludf.DUMMYFUNCTION("""COMPUTED_VALUE"""),0.29)</f>
        <v>0.28999999999999998</v>
      </c>
      <c r="M250" s="112">
        <f ca="1">IFERROR(__xludf.DUMMYFUNCTION("""COMPUTED_VALUE"""),40546.7055555555)</f>
        <v>40546.705555555498</v>
      </c>
      <c r="N250" s="111">
        <f ca="1">IFERROR(__xludf.DUMMYFUNCTION("""COMPUTED_VALUE"""),12.95)</f>
        <v>12.95</v>
      </c>
      <c r="O250" s="112">
        <f ca="1">IFERROR(__xludf.DUMMYFUNCTION("""COMPUTED_VALUE"""),40564.7055555555)</f>
        <v>40564.705555555498</v>
      </c>
      <c r="P250" s="111">
        <f ca="1">IFERROR(__xludf.DUMMYFUNCTION("""COMPUTED_VALUE"""),59)</f>
        <v>59</v>
      </c>
      <c r="Q250" s="112">
        <f ca="1">IFERROR(__xludf.DUMMYFUNCTION("""COMPUTED_VALUE"""),40564.7055555555)</f>
        <v>40564.705555555498</v>
      </c>
      <c r="R250" s="111">
        <f ca="1">IFERROR(__xludf.DUMMYFUNCTION("""COMPUTED_VALUE"""),30.75)</f>
        <v>30.75</v>
      </c>
      <c r="S250" s="112">
        <f ca="1">IFERROR(__xludf.DUMMYFUNCTION("""COMPUTED_VALUE"""),40564.7055555555)</f>
        <v>40564.705555555498</v>
      </c>
      <c r="T250" s="111">
        <f ca="1">IFERROR(__xludf.DUMMYFUNCTION("""COMPUTED_VALUE"""),7.88)</f>
        <v>7.88</v>
      </c>
    </row>
    <row r="251" spans="1:20" x14ac:dyDescent="0.3">
      <c r="A251" s="112">
        <f ca="1">IFERROR(__xludf.DUMMYFUNCTION("""COMPUTED_VALUE"""),40567.7055555555)</f>
        <v>40567.705555555498</v>
      </c>
      <c r="B251" s="111">
        <f ca="1">IFERROR(__xludf.DUMMYFUNCTION("""COMPUTED_VALUE"""),22.26)</f>
        <v>22.26</v>
      </c>
      <c r="C251" s="112">
        <f ca="1">IFERROR(__xludf.DUMMYFUNCTION("""COMPUTED_VALUE"""),40567.7055555555)</f>
        <v>40567.705555555498</v>
      </c>
      <c r="D251" s="111">
        <f ca="1">IFERROR(__xludf.DUMMYFUNCTION("""COMPUTED_VALUE"""),18.77)</f>
        <v>18.77</v>
      </c>
      <c r="E251" s="112">
        <f ca="1">IFERROR(__xludf.DUMMYFUNCTION("""COMPUTED_VALUE"""),40567.7055555555)</f>
        <v>40567.705555555498</v>
      </c>
      <c r="F251" s="111">
        <f ca="1">IFERROR(__xludf.DUMMYFUNCTION("""COMPUTED_VALUE"""),8.11)</f>
        <v>8.11</v>
      </c>
      <c r="G251" s="112">
        <f ca="1">IFERROR(__xludf.DUMMYFUNCTION("""COMPUTED_VALUE"""),40567.7055555555)</f>
        <v>40567.705555555498</v>
      </c>
      <c r="H251" s="111">
        <f ca="1">IFERROR(__xludf.DUMMYFUNCTION("""COMPUTED_VALUE"""),27)</f>
        <v>27</v>
      </c>
      <c r="K251" s="112">
        <f ca="1">IFERROR(__xludf.DUMMYFUNCTION("""COMPUTED_VALUE"""),41071.7055555555)</f>
        <v>41071.705555555498</v>
      </c>
      <c r="L251" s="111">
        <f ca="1">IFERROR(__xludf.DUMMYFUNCTION("""COMPUTED_VALUE"""),0.29)</f>
        <v>0.28999999999999998</v>
      </c>
      <c r="M251" s="112">
        <f ca="1">IFERROR(__xludf.DUMMYFUNCTION("""COMPUTED_VALUE"""),40547.7055555555)</f>
        <v>40547.705555555498</v>
      </c>
      <c r="N251" s="111">
        <f ca="1">IFERROR(__xludf.DUMMYFUNCTION("""COMPUTED_VALUE"""),13.06)</f>
        <v>13.06</v>
      </c>
      <c r="O251" s="112">
        <f ca="1">IFERROR(__xludf.DUMMYFUNCTION("""COMPUTED_VALUE"""),40567.7055555555)</f>
        <v>40567.705555555498</v>
      </c>
      <c r="P251" s="111">
        <f ca="1">IFERROR(__xludf.DUMMYFUNCTION("""COMPUTED_VALUE"""),59.4)</f>
        <v>59.4</v>
      </c>
      <c r="Q251" s="112">
        <f ca="1">IFERROR(__xludf.DUMMYFUNCTION("""COMPUTED_VALUE"""),40567.7055555555)</f>
        <v>40567.705555555498</v>
      </c>
      <c r="R251" s="111">
        <f ca="1">IFERROR(__xludf.DUMMYFUNCTION("""COMPUTED_VALUE"""),31.03)</f>
        <v>31.03</v>
      </c>
      <c r="S251" s="112">
        <f ca="1">IFERROR(__xludf.DUMMYFUNCTION("""COMPUTED_VALUE"""),40567.7055555555)</f>
        <v>40567.705555555498</v>
      </c>
      <c r="T251" s="111">
        <f ca="1">IFERROR(__xludf.DUMMYFUNCTION("""COMPUTED_VALUE"""),7.96)</f>
        <v>7.96</v>
      </c>
    </row>
    <row r="252" spans="1:20" x14ac:dyDescent="0.3">
      <c r="A252" s="112">
        <f ca="1">IFERROR(__xludf.DUMMYFUNCTION("""COMPUTED_VALUE"""),40569.7055555555)</f>
        <v>40569.705555555498</v>
      </c>
      <c r="B252" s="111">
        <f ca="1">IFERROR(__xludf.DUMMYFUNCTION("""COMPUTED_VALUE"""),21.95)</f>
        <v>21.95</v>
      </c>
      <c r="C252" s="112">
        <f ca="1">IFERROR(__xludf.DUMMYFUNCTION("""COMPUTED_VALUE"""),40569.7055555555)</f>
        <v>40569.705555555498</v>
      </c>
      <c r="D252" s="111">
        <f ca="1">IFERROR(__xludf.DUMMYFUNCTION("""COMPUTED_VALUE"""),18.51)</f>
        <v>18.510000000000002</v>
      </c>
      <c r="E252" s="112">
        <f ca="1">IFERROR(__xludf.DUMMYFUNCTION("""COMPUTED_VALUE"""),40569.7055555555)</f>
        <v>40569.705555555498</v>
      </c>
      <c r="F252" s="111">
        <f ca="1">IFERROR(__xludf.DUMMYFUNCTION("""COMPUTED_VALUE"""),7.96)</f>
        <v>7.96</v>
      </c>
      <c r="G252" s="112">
        <f ca="1">IFERROR(__xludf.DUMMYFUNCTION("""COMPUTED_VALUE"""),40569.7055555555)</f>
        <v>40569.705555555498</v>
      </c>
      <c r="H252" s="111">
        <f ca="1">IFERROR(__xludf.DUMMYFUNCTION("""COMPUTED_VALUE"""),26.83)</f>
        <v>26.83</v>
      </c>
      <c r="K252" s="112">
        <f ca="1">IFERROR(__xludf.DUMMYFUNCTION("""COMPUTED_VALUE"""),41072.7055555555)</f>
        <v>41072.705555555498</v>
      </c>
      <c r="L252" s="111">
        <f ca="1">IFERROR(__xludf.DUMMYFUNCTION("""COMPUTED_VALUE"""),0.31)</f>
        <v>0.31</v>
      </c>
      <c r="M252" s="112">
        <f ca="1">IFERROR(__xludf.DUMMYFUNCTION("""COMPUTED_VALUE"""),40548.7055555555)</f>
        <v>40548.705555555498</v>
      </c>
      <c r="N252" s="111">
        <f ca="1">IFERROR(__xludf.DUMMYFUNCTION("""COMPUTED_VALUE"""),13.31)</f>
        <v>13.31</v>
      </c>
      <c r="O252" s="112">
        <f ca="1">IFERROR(__xludf.DUMMYFUNCTION("""COMPUTED_VALUE"""),40569.7055555555)</f>
        <v>40569.705555555498</v>
      </c>
      <c r="P252" s="111">
        <f ca="1">IFERROR(__xludf.DUMMYFUNCTION("""COMPUTED_VALUE"""),59.35)</f>
        <v>59.35</v>
      </c>
      <c r="Q252" s="112">
        <f ca="1">IFERROR(__xludf.DUMMYFUNCTION("""COMPUTED_VALUE"""),40569.7055555555)</f>
        <v>40569.705555555498</v>
      </c>
      <c r="R252" s="111">
        <f ca="1">IFERROR(__xludf.DUMMYFUNCTION("""COMPUTED_VALUE"""),31)</f>
        <v>31</v>
      </c>
      <c r="S252" s="112">
        <f ca="1">IFERROR(__xludf.DUMMYFUNCTION("""COMPUTED_VALUE"""),40569.7055555555)</f>
        <v>40569.705555555498</v>
      </c>
      <c r="T252" s="111">
        <f ca="1">IFERROR(__xludf.DUMMYFUNCTION("""COMPUTED_VALUE"""),7.74)</f>
        <v>7.74</v>
      </c>
    </row>
    <row r="253" spans="1:20" x14ac:dyDescent="0.3">
      <c r="A253" s="112">
        <f ca="1">IFERROR(__xludf.DUMMYFUNCTION("""COMPUTED_VALUE"""),40570.7055555555)</f>
        <v>40570.705555555498</v>
      </c>
      <c r="B253" s="111">
        <f ca="1">IFERROR(__xludf.DUMMYFUNCTION("""COMPUTED_VALUE"""),21.89)</f>
        <v>21.89</v>
      </c>
      <c r="C253" s="112">
        <f ca="1">IFERROR(__xludf.DUMMYFUNCTION("""COMPUTED_VALUE"""),40570.7055555555)</f>
        <v>40570.705555555498</v>
      </c>
      <c r="D253" s="111">
        <f ca="1">IFERROR(__xludf.DUMMYFUNCTION("""COMPUTED_VALUE"""),18.58)</f>
        <v>18.579999999999998</v>
      </c>
      <c r="E253" s="112">
        <f ca="1">IFERROR(__xludf.DUMMYFUNCTION("""COMPUTED_VALUE"""),40570.7055555555)</f>
        <v>40570.705555555498</v>
      </c>
      <c r="F253" s="111">
        <f ca="1">IFERROR(__xludf.DUMMYFUNCTION("""COMPUTED_VALUE"""),7.97)</f>
        <v>7.97</v>
      </c>
      <c r="G253" s="112">
        <f ca="1">IFERROR(__xludf.DUMMYFUNCTION("""COMPUTED_VALUE"""),40570.7055555555)</f>
        <v>40570.705555555498</v>
      </c>
      <c r="H253" s="111">
        <f ca="1">IFERROR(__xludf.DUMMYFUNCTION("""COMPUTED_VALUE"""),26.87)</f>
        <v>26.87</v>
      </c>
      <c r="K253" s="112">
        <f ca="1">IFERROR(__xludf.DUMMYFUNCTION("""COMPUTED_VALUE"""),41073.7055555555)</f>
        <v>41073.705555555498</v>
      </c>
      <c r="L253" s="111">
        <f ca="1">IFERROR(__xludf.DUMMYFUNCTION("""COMPUTED_VALUE"""),0.31)</f>
        <v>0.31</v>
      </c>
      <c r="M253" s="112">
        <f ca="1">IFERROR(__xludf.DUMMYFUNCTION("""COMPUTED_VALUE"""),40549.7055555555)</f>
        <v>40549.705555555498</v>
      </c>
      <c r="N253" s="111">
        <f ca="1">IFERROR(__xludf.DUMMYFUNCTION("""COMPUTED_VALUE"""),12.95)</f>
        <v>12.95</v>
      </c>
      <c r="O253" s="112">
        <f ca="1">IFERROR(__xludf.DUMMYFUNCTION("""COMPUTED_VALUE"""),40570.7055555555)</f>
        <v>40570.705555555498</v>
      </c>
      <c r="P253" s="111">
        <f ca="1">IFERROR(__xludf.DUMMYFUNCTION("""COMPUTED_VALUE"""),58.76)</f>
        <v>58.76</v>
      </c>
      <c r="Q253" s="112">
        <f ca="1">IFERROR(__xludf.DUMMYFUNCTION("""COMPUTED_VALUE"""),40570.7055555555)</f>
        <v>40570.705555555498</v>
      </c>
      <c r="R253" s="111">
        <f ca="1">IFERROR(__xludf.DUMMYFUNCTION("""COMPUTED_VALUE"""),31)</f>
        <v>31</v>
      </c>
      <c r="S253" s="112">
        <f ca="1">IFERROR(__xludf.DUMMYFUNCTION("""COMPUTED_VALUE"""),40570.7055555555)</f>
        <v>40570.705555555498</v>
      </c>
      <c r="T253" s="111">
        <f ca="1">IFERROR(__xludf.DUMMYFUNCTION("""COMPUTED_VALUE"""),7.41)</f>
        <v>7.41</v>
      </c>
    </row>
    <row r="254" spans="1:20" x14ac:dyDescent="0.3">
      <c r="A254" s="112">
        <f ca="1">IFERROR(__xludf.DUMMYFUNCTION("""COMPUTED_VALUE"""),40571.7055555555)</f>
        <v>40571.705555555498</v>
      </c>
      <c r="B254" s="111">
        <f ca="1">IFERROR(__xludf.DUMMYFUNCTION("""COMPUTED_VALUE"""),21.98)</f>
        <v>21.98</v>
      </c>
      <c r="C254" s="112">
        <f ca="1">IFERROR(__xludf.DUMMYFUNCTION("""COMPUTED_VALUE"""),40571.7055555555)</f>
        <v>40571.705555555498</v>
      </c>
      <c r="D254" s="111">
        <f ca="1">IFERROR(__xludf.DUMMYFUNCTION("""COMPUTED_VALUE"""),18.18)</f>
        <v>18.18</v>
      </c>
      <c r="E254" s="112">
        <f ca="1">IFERROR(__xludf.DUMMYFUNCTION("""COMPUTED_VALUE"""),40571.7055555555)</f>
        <v>40571.705555555498</v>
      </c>
      <c r="F254" s="111">
        <f ca="1">IFERROR(__xludf.DUMMYFUNCTION("""COMPUTED_VALUE"""),7.85)</f>
        <v>7.85</v>
      </c>
      <c r="G254" s="112">
        <f ca="1">IFERROR(__xludf.DUMMYFUNCTION("""COMPUTED_VALUE"""),40571.7055555555)</f>
        <v>40571.705555555498</v>
      </c>
      <c r="H254" s="111">
        <f ca="1">IFERROR(__xludf.DUMMYFUNCTION("""COMPUTED_VALUE"""),26.67)</f>
        <v>26.67</v>
      </c>
      <c r="K254" s="112">
        <f ca="1">IFERROR(__xludf.DUMMYFUNCTION("""COMPUTED_VALUE"""),41074.7055555555)</f>
        <v>41074.705555555498</v>
      </c>
      <c r="L254" s="111">
        <f ca="1">IFERROR(__xludf.DUMMYFUNCTION("""COMPUTED_VALUE"""),0.31)</f>
        <v>0.31</v>
      </c>
      <c r="M254" s="112">
        <f ca="1">IFERROR(__xludf.DUMMYFUNCTION("""COMPUTED_VALUE"""),40550.7055555555)</f>
        <v>40550.705555555498</v>
      </c>
      <c r="N254" s="111">
        <f ca="1">IFERROR(__xludf.DUMMYFUNCTION("""COMPUTED_VALUE"""),12.74)</f>
        <v>12.74</v>
      </c>
      <c r="O254" s="112">
        <f ca="1">IFERROR(__xludf.DUMMYFUNCTION("""COMPUTED_VALUE"""),40571.7055555555)</f>
        <v>40571.705555555498</v>
      </c>
      <c r="P254" s="111">
        <f ca="1">IFERROR(__xludf.DUMMYFUNCTION("""COMPUTED_VALUE"""),57.07)</f>
        <v>57.07</v>
      </c>
      <c r="Q254" s="112">
        <f ca="1">IFERROR(__xludf.DUMMYFUNCTION("""COMPUTED_VALUE"""),40571.7055555555)</f>
        <v>40571.705555555498</v>
      </c>
      <c r="R254" s="111">
        <f ca="1">IFERROR(__xludf.DUMMYFUNCTION("""COMPUTED_VALUE"""),30.36)</f>
        <v>30.36</v>
      </c>
      <c r="S254" s="112">
        <f ca="1">IFERROR(__xludf.DUMMYFUNCTION("""COMPUTED_VALUE"""),40571.7055555555)</f>
        <v>40571.705555555498</v>
      </c>
      <c r="T254" s="111">
        <f ca="1">IFERROR(__xludf.DUMMYFUNCTION("""COMPUTED_VALUE"""),7.11)</f>
        <v>7.11</v>
      </c>
    </row>
    <row r="255" spans="1:20" x14ac:dyDescent="0.3">
      <c r="A255" s="112">
        <f ca="1">IFERROR(__xludf.DUMMYFUNCTION("""COMPUTED_VALUE"""),40574.7055555555)</f>
        <v>40574.705555555498</v>
      </c>
      <c r="B255" s="111">
        <f ca="1">IFERROR(__xludf.DUMMYFUNCTION("""COMPUTED_VALUE"""),22.15)</f>
        <v>22.15</v>
      </c>
      <c r="C255" s="112">
        <f ca="1">IFERROR(__xludf.DUMMYFUNCTION("""COMPUTED_VALUE"""),40574.7055555555)</f>
        <v>40574.705555555498</v>
      </c>
      <c r="D255" s="111">
        <f ca="1">IFERROR(__xludf.DUMMYFUNCTION("""COMPUTED_VALUE"""),17.83)</f>
        <v>17.829999999999998</v>
      </c>
      <c r="E255" s="112">
        <f ca="1">IFERROR(__xludf.DUMMYFUNCTION("""COMPUTED_VALUE"""),40574.7055555555)</f>
        <v>40574.705555555498</v>
      </c>
      <c r="F255" s="111">
        <f ca="1">IFERROR(__xludf.DUMMYFUNCTION("""COMPUTED_VALUE"""),7.67)</f>
        <v>7.67</v>
      </c>
      <c r="G255" s="112">
        <f ca="1">IFERROR(__xludf.DUMMYFUNCTION("""COMPUTED_VALUE"""),40574.7055555555)</f>
        <v>40574.705555555498</v>
      </c>
      <c r="H255" s="111">
        <f ca="1">IFERROR(__xludf.DUMMYFUNCTION("""COMPUTED_VALUE"""),27.09)</f>
        <v>27.09</v>
      </c>
      <c r="K255" s="112">
        <f ca="1">IFERROR(__xludf.DUMMYFUNCTION("""COMPUTED_VALUE"""),41075.7055555555)</f>
        <v>41075.705555555498</v>
      </c>
      <c r="L255" s="111">
        <f ca="1">IFERROR(__xludf.DUMMYFUNCTION("""COMPUTED_VALUE"""),0.31)</f>
        <v>0.31</v>
      </c>
      <c r="M255" s="112">
        <f ca="1">IFERROR(__xludf.DUMMYFUNCTION("""COMPUTED_VALUE"""),40553.7055555555)</f>
        <v>40553.705555555498</v>
      </c>
      <c r="N255" s="111">
        <f ca="1">IFERROR(__xludf.DUMMYFUNCTION("""COMPUTED_VALUE"""),12.76)</f>
        <v>12.76</v>
      </c>
      <c r="O255" s="112">
        <f ca="1">IFERROR(__xludf.DUMMYFUNCTION("""COMPUTED_VALUE"""),40574.7055555555)</f>
        <v>40574.705555555498</v>
      </c>
      <c r="P255" s="111">
        <f ca="1">IFERROR(__xludf.DUMMYFUNCTION("""COMPUTED_VALUE"""),57.08)</f>
        <v>57.08</v>
      </c>
      <c r="Q255" s="112">
        <f ca="1">IFERROR(__xludf.DUMMYFUNCTION("""COMPUTED_VALUE"""),40574.7055555555)</f>
        <v>40574.705555555498</v>
      </c>
      <c r="R255" s="111">
        <f ca="1">IFERROR(__xludf.DUMMYFUNCTION("""COMPUTED_VALUE"""),29.76)</f>
        <v>29.76</v>
      </c>
      <c r="S255" s="112">
        <f ca="1">IFERROR(__xludf.DUMMYFUNCTION("""COMPUTED_VALUE"""),40574.7055555555)</f>
        <v>40574.705555555498</v>
      </c>
      <c r="T255" s="111">
        <f ca="1">IFERROR(__xludf.DUMMYFUNCTION("""COMPUTED_VALUE"""),7.27)</f>
        <v>7.27</v>
      </c>
    </row>
    <row r="256" spans="1:20" x14ac:dyDescent="0.3">
      <c r="A256" s="112">
        <f ca="1">IFERROR(__xludf.DUMMYFUNCTION("""COMPUTED_VALUE"""),40576.7055555555)</f>
        <v>40576.705555555498</v>
      </c>
      <c r="B256" s="111">
        <f ca="1">IFERROR(__xludf.DUMMYFUNCTION("""COMPUTED_VALUE"""),22.15)</f>
        <v>22.15</v>
      </c>
      <c r="C256" s="112">
        <f ca="1">IFERROR(__xludf.DUMMYFUNCTION("""COMPUTED_VALUE"""),40576.7055555555)</f>
        <v>40576.705555555498</v>
      </c>
      <c r="D256" s="111">
        <f ca="1">IFERROR(__xludf.DUMMYFUNCTION("""COMPUTED_VALUE"""),17.91)</f>
        <v>17.91</v>
      </c>
      <c r="E256" s="112">
        <f ca="1">IFERROR(__xludf.DUMMYFUNCTION("""COMPUTED_VALUE"""),40576.7055555555)</f>
        <v>40576.705555555498</v>
      </c>
      <c r="F256" s="111">
        <f ca="1">IFERROR(__xludf.DUMMYFUNCTION("""COMPUTED_VALUE"""),7.56)</f>
        <v>7.56</v>
      </c>
      <c r="G256" s="112">
        <f ca="1">IFERROR(__xludf.DUMMYFUNCTION("""COMPUTED_VALUE"""),40576.7055555555)</f>
        <v>40576.705555555498</v>
      </c>
      <c r="H256" s="111">
        <f ca="1">IFERROR(__xludf.DUMMYFUNCTION("""COMPUTED_VALUE"""),27.8)</f>
        <v>27.8</v>
      </c>
      <c r="K256" s="112">
        <f ca="1">IFERROR(__xludf.DUMMYFUNCTION("""COMPUTED_VALUE"""),41079.7055555555)</f>
        <v>41079.705555555498</v>
      </c>
      <c r="L256" s="111">
        <f ca="1">IFERROR(__xludf.DUMMYFUNCTION("""COMPUTED_VALUE"""),0.32)</f>
        <v>0.32</v>
      </c>
      <c r="M256" s="112">
        <f ca="1">IFERROR(__xludf.DUMMYFUNCTION("""COMPUTED_VALUE"""),40554.7055555555)</f>
        <v>40554.705555555498</v>
      </c>
      <c r="N256" s="111">
        <f ca="1">IFERROR(__xludf.DUMMYFUNCTION("""COMPUTED_VALUE"""),12.83)</f>
        <v>12.83</v>
      </c>
      <c r="O256" s="112">
        <f ca="1">IFERROR(__xludf.DUMMYFUNCTION("""COMPUTED_VALUE"""),40576.7055555555)</f>
        <v>40576.705555555498</v>
      </c>
      <c r="P256" s="111">
        <f ca="1">IFERROR(__xludf.DUMMYFUNCTION("""COMPUTED_VALUE"""),57.4)</f>
        <v>57.4</v>
      </c>
      <c r="Q256" s="112">
        <f ca="1">IFERROR(__xludf.DUMMYFUNCTION("""COMPUTED_VALUE"""),40576.7055555555)</f>
        <v>40576.705555555498</v>
      </c>
      <c r="R256" s="111">
        <f ca="1">IFERROR(__xludf.DUMMYFUNCTION("""COMPUTED_VALUE"""),29.58)</f>
        <v>29.58</v>
      </c>
      <c r="S256" s="112">
        <f ca="1">IFERROR(__xludf.DUMMYFUNCTION("""COMPUTED_VALUE"""),40576.7055555555)</f>
        <v>40576.705555555498</v>
      </c>
      <c r="T256" s="111">
        <f ca="1">IFERROR(__xludf.DUMMYFUNCTION("""COMPUTED_VALUE"""),7.36)</f>
        <v>7.36</v>
      </c>
    </row>
    <row r="257" spans="1:20" x14ac:dyDescent="0.3">
      <c r="A257" s="112">
        <f ca="1">IFERROR(__xludf.DUMMYFUNCTION("""COMPUTED_VALUE"""),40578.7055555555)</f>
        <v>40578.705555555498</v>
      </c>
      <c r="B257" s="111">
        <f ca="1">IFERROR(__xludf.DUMMYFUNCTION("""COMPUTED_VALUE"""),22.25)</f>
        <v>22.25</v>
      </c>
      <c r="C257" s="112">
        <f ca="1">IFERROR(__xludf.DUMMYFUNCTION("""COMPUTED_VALUE"""),40578.7055555555)</f>
        <v>40578.705555555498</v>
      </c>
      <c r="D257" s="111">
        <f ca="1">IFERROR(__xludf.DUMMYFUNCTION("""COMPUTED_VALUE"""),17.24)</f>
        <v>17.239999999999998</v>
      </c>
      <c r="E257" s="112">
        <f ca="1">IFERROR(__xludf.DUMMYFUNCTION("""COMPUTED_VALUE"""),40578.7055555555)</f>
        <v>40578.705555555498</v>
      </c>
      <c r="F257" s="111">
        <f ca="1">IFERROR(__xludf.DUMMYFUNCTION("""COMPUTED_VALUE"""),7.32)</f>
        <v>7.32</v>
      </c>
      <c r="G257" s="112">
        <f ca="1">IFERROR(__xludf.DUMMYFUNCTION("""COMPUTED_VALUE"""),40578.7055555555)</f>
        <v>40578.705555555498</v>
      </c>
      <c r="H257" s="111">
        <f ca="1">IFERROR(__xludf.DUMMYFUNCTION("""COMPUTED_VALUE"""),27.62)</f>
        <v>27.62</v>
      </c>
      <c r="K257" s="112">
        <f ca="1">IFERROR(__xludf.DUMMYFUNCTION("""COMPUTED_VALUE"""),41080.7055555555)</f>
        <v>41080.705555555498</v>
      </c>
      <c r="L257" s="111">
        <f ca="1">IFERROR(__xludf.DUMMYFUNCTION("""COMPUTED_VALUE"""),0.31)</f>
        <v>0.31</v>
      </c>
      <c r="M257" s="112">
        <f ca="1">IFERROR(__xludf.DUMMYFUNCTION("""COMPUTED_VALUE"""),40555.7055555555)</f>
        <v>40555.705555555498</v>
      </c>
      <c r="N257" s="111">
        <f ca="1">IFERROR(__xludf.DUMMYFUNCTION("""COMPUTED_VALUE"""),13.07)</f>
        <v>13.07</v>
      </c>
      <c r="O257" s="112">
        <f ca="1">IFERROR(__xludf.DUMMYFUNCTION("""COMPUTED_VALUE"""),40578.7055555555)</f>
        <v>40578.705555555498</v>
      </c>
      <c r="P257" s="111">
        <f ca="1">IFERROR(__xludf.DUMMYFUNCTION("""COMPUTED_VALUE"""),56.34)</f>
        <v>56.34</v>
      </c>
      <c r="Q257" s="112">
        <f ca="1">IFERROR(__xludf.DUMMYFUNCTION("""COMPUTED_VALUE"""),40578.7055555555)</f>
        <v>40578.705555555498</v>
      </c>
      <c r="R257" s="111">
        <f ca="1">IFERROR(__xludf.DUMMYFUNCTION("""COMPUTED_VALUE"""),28.1)</f>
        <v>28.1</v>
      </c>
      <c r="S257" s="112">
        <f ca="1">IFERROR(__xludf.DUMMYFUNCTION("""COMPUTED_VALUE"""),40578.7055555555)</f>
        <v>40578.705555555498</v>
      </c>
      <c r="T257" s="111">
        <f ca="1">IFERROR(__xludf.DUMMYFUNCTION("""COMPUTED_VALUE"""),7.11)</f>
        <v>7.11</v>
      </c>
    </row>
    <row r="258" spans="1:20" x14ac:dyDescent="0.3">
      <c r="A258" s="112">
        <f ca="1">IFERROR(__xludf.DUMMYFUNCTION("""COMPUTED_VALUE"""),40581.7055555555)</f>
        <v>40581.705555555498</v>
      </c>
      <c r="B258" s="111">
        <f ca="1">IFERROR(__xludf.DUMMYFUNCTION("""COMPUTED_VALUE"""),22.38)</f>
        <v>22.38</v>
      </c>
      <c r="C258" s="112">
        <f ca="1">IFERROR(__xludf.DUMMYFUNCTION("""COMPUTED_VALUE"""),40581.7055555555)</f>
        <v>40581.705555555498</v>
      </c>
      <c r="D258" s="111">
        <f ca="1">IFERROR(__xludf.DUMMYFUNCTION("""COMPUTED_VALUE"""),17.41)</f>
        <v>17.41</v>
      </c>
      <c r="E258" s="112">
        <f ca="1">IFERROR(__xludf.DUMMYFUNCTION("""COMPUTED_VALUE"""),40581.7055555555)</f>
        <v>40581.705555555498</v>
      </c>
      <c r="F258" s="111">
        <f ca="1">IFERROR(__xludf.DUMMYFUNCTION("""COMPUTED_VALUE"""),7.38)</f>
        <v>7.38</v>
      </c>
      <c r="G258" s="112">
        <f ca="1">IFERROR(__xludf.DUMMYFUNCTION("""COMPUTED_VALUE"""),40581.7055555555)</f>
        <v>40581.705555555498</v>
      </c>
      <c r="H258" s="111">
        <f ca="1">IFERROR(__xludf.DUMMYFUNCTION("""COMPUTED_VALUE"""),27.22)</f>
        <v>27.22</v>
      </c>
      <c r="K258" s="112">
        <f ca="1">IFERROR(__xludf.DUMMYFUNCTION("""COMPUTED_VALUE"""),41081.7055555555)</f>
        <v>41081.705555555498</v>
      </c>
      <c r="L258" s="111">
        <f ca="1">IFERROR(__xludf.DUMMYFUNCTION("""COMPUTED_VALUE"""),0.3)</f>
        <v>0.3</v>
      </c>
      <c r="M258" s="112">
        <f ca="1">IFERROR(__xludf.DUMMYFUNCTION("""COMPUTED_VALUE"""),40556.7055555555)</f>
        <v>40556.705555555498</v>
      </c>
      <c r="N258" s="111">
        <f ca="1">IFERROR(__xludf.DUMMYFUNCTION("""COMPUTED_VALUE"""),12.92)</f>
        <v>12.92</v>
      </c>
      <c r="O258" s="112">
        <f ca="1">IFERROR(__xludf.DUMMYFUNCTION("""COMPUTED_VALUE"""),40581.7055555555)</f>
        <v>40581.705555555498</v>
      </c>
      <c r="P258" s="111">
        <f ca="1">IFERROR(__xludf.DUMMYFUNCTION("""COMPUTED_VALUE"""),56.76)</f>
        <v>56.76</v>
      </c>
      <c r="Q258" s="112">
        <f ca="1">IFERROR(__xludf.DUMMYFUNCTION("""COMPUTED_VALUE"""),40581.7055555555)</f>
        <v>40581.705555555498</v>
      </c>
      <c r="R258" s="111">
        <f ca="1">IFERROR(__xludf.DUMMYFUNCTION("""COMPUTED_VALUE"""),28.28)</f>
        <v>28.28</v>
      </c>
      <c r="S258" s="112">
        <f ca="1">IFERROR(__xludf.DUMMYFUNCTION("""COMPUTED_VALUE"""),40581.7055555555)</f>
        <v>40581.705555555498</v>
      </c>
      <c r="T258" s="111">
        <f ca="1">IFERROR(__xludf.DUMMYFUNCTION("""COMPUTED_VALUE"""),7.41)</f>
        <v>7.41</v>
      </c>
    </row>
    <row r="259" spans="1:20" x14ac:dyDescent="0.3">
      <c r="A259" s="112">
        <f ca="1">IFERROR(__xludf.DUMMYFUNCTION("""COMPUTED_VALUE"""),40583.7055555555)</f>
        <v>40583.705555555498</v>
      </c>
      <c r="B259" s="111">
        <f ca="1">IFERROR(__xludf.DUMMYFUNCTION("""COMPUTED_VALUE"""),22.38)</f>
        <v>22.38</v>
      </c>
      <c r="C259" s="112">
        <f ca="1">IFERROR(__xludf.DUMMYFUNCTION("""COMPUTED_VALUE"""),40583.7055555555)</f>
        <v>40583.705555555498</v>
      </c>
      <c r="D259" s="111">
        <f ca="1">IFERROR(__xludf.DUMMYFUNCTION("""COMPUTED_VALUE"""),17.51)</f>
        <v>17.510000000000002</v>
      </c>
      <c r="E259" s="112">
        <f ca="1">IFERROR(__xludf.DUMMYFUNCTION("""COMPUTED_VALUE"""),40583.7055555555)</f>
        <v>40583.705555555498</v>
      </c>
      <c r="F259" s="111">
        <f ca="1">IFERROR(__xludf.DUMMYFUNCTION("""COMPUTED_VALUE"""),7.41)</f>
        <v>7.41</v>
      </c>
      <c r="G259" s="112">
        <f ca="1">IFERROR(__xludf.DUMMYFUNCTION("""COMPUTED_VALUE"""),40583.7055555555)</f>
        <v>40583.705555555498</v>
      </c>
      <c r="H259" s="111">
        <f ca="1">IFERROR(__xludf.DUMMYFUNCTION("""COMPUTED_VALUE"""),26.18)</f>
        <v>26.18</v>
      </c>
      <c r="K259" s="112">
        <f ca="1">IFERROR(__xludf.DUMMYFUNCTION("""COMPUTED_VALUE"""),41082.7055555555)</f>
        <v>41082.705555555498</v>
      </c>
      <c r="L259" s="111">
        <f ca="1">IFERROR(__xludf.DUMMYFUNCTION("""COMPUTED_VALUE"""),0.3)</f>
        <v>0.3</v>
      </c>
      <c r="M259" s="112">
        <f ca="1">IFERROR(__xludf.DUMMYFUNCTION("""COMPUTED_VALUE"""),40557.7055555555)</f>
        <v>40557.705555555498</v>
      </c>
      <c r="N259" s="111">
        <f ca="1">IFERROR(__xludf.DUMMYFUNCTION("""COMPUTED_VALUE"""),13.04)</f>
        <v>13.04</v>
      </c>
      <c r="O259" s="112">
        <f ca="1">IFERROR(__xludf.DUMMYFUNCTION("""COMPUTED_VALUE"""),40583.7055555555)</f>
        <v>40583.705555555498</v>
      </c>
      <c r="P259" s="111">
        <f ca="1">IFERROR(__xludf.DUMMYFUNCTION("""COMPUTED_VALUE"""),54.6)</f>
        <v>54.6</v>
      </c>
      <c r="Q259" s="112">
        <f ca="1">IFERROR(__xludf.DUMMYFUNCTION("""COMPUTED_VALUE"""),40583.7055555555)</f>
        <v>40583.705555555498</v>
      </c>
      <c r="R259" s="111">
        <f ca="1">IFERROR(__xludf.DUMMYFUNCTION("""COMPUTED_VALUE"""),28.08)</f>
        <v>28.08</v>
      </c>
      <c r="S259" s="112">
        <f ca="1">IFERROR(__xludf.DUMMYFUNCTION("""COMPUTED_VALUE"""),40583.7055555555)</f>
        <v>40583.705555555498</v>
      </c>
      <c r="T259" s="111">
        <f ca="1">IFERROR(__xludf.DUMMYFUNCTION("""COMPUTED_VALUE"""),7.32)</f>
        <v>7.32</v>
      </c>
    </row>
    <row r="260" spans="1:20" x14ac:dyDescent="0.3">
      <c r="A260" s="112">
        <f ca="1">IFERROR(__xludf.DUMMYFUNCTION("""COMPUTED_VALUE"""),40584.7055555555)</f>
        <v>40584.705555555498</v>
      </c>
      <c r="B260" s="111">
        <f ca="1">IFERROR(__xludf.DUMMYFUNCTION("""COMPUTED_VALUE"""),22.25)</f>
        <v>22.25</v>
      </c>
      <c r="C260" s="112">
        <f ca="1">IFERROR(__xludf.DUMMYFUNCTION("""COMPUTED_VALUE"""),40584.7055555555)</f>
        <v>40584.705555555498</v>
      </c>
      <c r="D260" s="111">
        <f ca="1">IFERROR(__xludf.DUMMYFUNCTION("""COMPUTED_VALUE"""),17.41)</f>
        <v>17.41</v>
      </c>
      <c r="E260" s="112">
        <f ca="1">IFERROR(__xludf.DUMMYFUNCTION("""COMPUTED_VALUE"""),40584.7055555555)</f>
        <v>40584.705555555498</v>
      </c>
      <c r="F260" s="111">
        <f ca="1">IFERROR(__xludf.DUMMYFUNCTION("""COMPUTED_VALUE"""),7.42)</f>
        <v>7.42</v>
      </c>
      <c r="G260" s="112">
        <f ca="1">IFERROR(__xludf.DUMMYFUNCTION("""COMPUTED_VALUE"""),40584.7055555555)</f>
        <v>40584.705555555498</v>
      </c>
      <c r="H260" s="111">
        <f ca="1">IFERROR(__xludf.DUMMYFUNCTION("""COMPUTED_VALUE"""),26.27)</f>
        <v>26.27</v>
      </c>
      <c r="K260" s="112">
        <f ca="1">IFERROR(__xludf.DUMMYFUNCTION("""COMPUTED_VALUE"""),41085.7055555555)</f>
        <v>41085.705555555498</v>
      </c>
      <c r="L260" s="111">
        <f ca="1">IFERROR(__xludf.DUMMYFUNCTION("""COMPUTED_VALUE"""),0.3)</f>
        <v>0.3</v>
      </c>
      <c r="M260" s="112">
        <f ca="1">IFERROR(__xludf.DUMMYFUNCTION("""COMPUTED_VALUE"""),40560.7055555555)</f>
        <v>40560.705555555498</v>
      </c>
      <c r="N260" s="111">
        <f ca="1">IFERROR(__xludf.DUMMYFUNCTION("""COMPUTED_VALUE"""),12.85)</f>
        <v>12.85</v>
      </c>
      <c r="O260" s="112">
        <f ca="1">IFERROR(__xludf.DUMMYFUNCTION("""COMPUTED_VALUE"""),40584.7055555555)</f>
        <v>40584.705555555498</v>
      </c>
      <c r="P260" s="111">
        <f ca="1">IFERROR(__xludf.DUMMYFUNCTION("""COMPUTED_VALUE"""),55.31)</f>
        <v>55.31</v>
      </c>
      <c r="Q260" s="112">
        <f ca="1">IFERROR(__xludf.DUMMYFUNCTION("""COMPUTED_VALUE"""),40584.7055555555)</f>
        <v>40584.705555555498</v>
      </c>
      <c r="R260" s="111">
        <f ca="1">IFERROR(__xludf.DUMMYFUNCTION("""COMPUTED_VALUE"""),28.24)</f>
        <v>28.24</v>
      </c>
      <c r="S260" s="112">
        <f ca="1">IFERROR(__xludf.DUMMYFUNCTION("""COMPUTED_VALUE"""),40584.7055555555)</f>
        <v>40584.705555555498</v>
      </c>
      <c r="T260" s="111">
        <f ca="1">IFERROR(__xludf.DUMMYFUNCTION("""COMPUTED_VALUE"""),7.51)</f>
        <v>7.51</v>
      </c>
    </row>
    <row r="261" spans="1:20" x14ac:dyDescent="0.3">
      <c r="A261" s="112">
        <f ca="1">IFERROR(__xludf.DUMMYFUNCTION("""COMPUTED_VALUE"""),40585.7055555555)</f>
        <v>40585.705555555498</v>
      </c>
      <c r="B261" s="111">
        <f ca="1">IFERROR(__xludf.DUMMYFUNCTION("""COMPUTED_VALUE"""),22.31)</f>
        <v>22.31</v>
      </c>
      <c r="C261" s="112">
        <f ca="1">IFERROR(__xludf.DUMMYFUNCTION("""COMPUTED_VALUE"""),40585.7055555555)</f>
        <v>40585.705555555498</v>
      </c>
      <c r="D261" s="111">
        <f ca="1">IFERROR(__xludf.DUMMYFUNCTION("""COMPUTED_VALUE"""),18.09)</f>
        <v>18.09</v>
      </c>
      <c r="E261" s="112">
        <f ca="1">IFERROR(__xludf.DUMMYFUNCTION("""COMPUTED_VALUE"""),40585.7055555555)</f>
        <v>40585.705555555498</v>
      </c>
      <c r="F261" s="111">
        <f ca="1">IFERROR(__xludf.DUMMYFUNCTION("""COMPUTED_VALUE"""),7.68)</f>
        <v>7.68</v>
      </c>
      <c r="G261" s="112">
        <f ca="1">IFERROR(__xludf.DUMMYFUNCTION("""COMPUTED_VALUE"""),40585.7055555555)</f>
        <v>40585.705555555498</v>
      </c>
      <c r="H261" s="111">
        <f ca="1">IFERROR(__xludf.DUMMYFUNCTION("""COMPUTED_VALUE"""),26.4)</f>
        <v>26.4</v>
      </c>
      <c r="K261" s="112">
        <f ca="1">IFERROR(__xludf.DUMMYFUNCTION("""COMPUTED_VALUE"""),41086.7055555555)</f>
        <v>41086.705555555498</v>
      </c>
      <c r="L261" s="111">
        <f ca="1">IFERROR(__xludf.DUMMYFUNCTION("""COMPUTED_VALUE"""),0.29)</f>
        <v>0.28999999999999998</v>
      </c>
      <c r="M261" s="112">
        <f ca="1">IFERROR(__xludf.DUMMYFUNCTION("""COMPUTED_VALUE"""),40561.7055555555)</f>
        <v>40561.705555555498</v>
      </c>
      <c r="N261" s="111">
        <f ca="1">IFERROR(__xludf.DUMMYFUNCTION("""COMPUTED_VALUE"""),12.87)</f>
        <v>12.87</v>
      </c>
      <c r="O261" s="112">
        <f ca="1">IFERROR(__xludf.DUMMYFUNCTION("""COMPUTED_VALUE"""),40585.7055555555)</f>
        <v>40585.705555555498</v>
      </c>
      <c r="P261" s="111">
        <f ca="1">IFERROR(__xludf.DUMMYFUNCTION("""COMPUTED_VALUE"""),56.45)</f>
        <v>56.45</v>
      </c>
      <c r="Q261" s="112">
        <f ca="1">IFERROR(__xludf.DUMMYFUNCTION("""COMPUTED_VALUE"""),40585.7055555555)</f>
        <v>40585.705555555498</v>
      </c>
      <c r="R261" s="111">
        <f ca="1">IFERROR(__xludf.DUMMYFUNCTION("""COMPUTED_VALUE"""),29.58)</f>
        <v>29.58</v>
      </c>
      <c r="S261" s="112">
        <f ca="1">IFERROR(__xludf.DUMMYFUNCTION("""COMPUTED_VALUE"""),40585.7055555555)</f>
        <v>40585.705555555498</v>
      </c>
      <c r="T261" s="111">
        <f ca="1">IFERROR(__xludf.DUMMYFUNCTION("""COMPUTED_VALUE"""),7.72)</f>
        <v>7.72</v>
      </c>
    </row>
    <row r="262" spans="1:20" x14ac:dyDescent="0.3">
      <c r="A262" s="112">
        <f ca="1">IFERROR(__xludf.DUMMYFUNCTION("""COMPUTED_VALUE"""),40588.7055555555)</f>
        <v>40588.705555555498</v>
      </c>
      <c r="B262" s="111">
        <f ca="1">IFERROR(__xludf.DUMMYFUNCTION("""COMPUTED_VALUE"""),22.25)</f>
        <v>22.25</v>
      </c>
      <c r="C262" s="112">
        <f ca="1">IFERROR(__xludf.DUMMYFUNCTION("""COMPUTED_VALUE"""),40588.7055555555)</f>
        <v>40588.705555555498</v>
      </c>
      <c r="D262" s="111">
        <f ca="1">IFERROR(__xludf.DUMMYFUNCTION("""COMPUTED_VALUE"""),18.22)</f>
        <v>18.22</v>
      </c>
      <c r="E262" s="112">
        <f ca="1">IFERROR(__xludf.DUMMYFUNCTION("""COMPUTED_VALUE"""),40588.7055555555)</f>
        <v>40588.705555555498</v>
      </c>
      <c r="F262" s="111">
        <f ca="1">IFERROR(__xludf.DUMMYFUNCTION("""COMPUTED_VALUE"""),7.75)</f>
        <v>7.75</v>
      </c>
      <c r="G262" s="112">
        <f ca="1">IFERROR(__xludf.DUMMYFUNCTION("""COMPUTED_VALUE"""),40588.7055555555)</f>
        <v>40588.705555555498</v>
      </c>
      <c r="H262" s="111">
        <f ca="1">IFERROR(__xludf.DUMMYFUNCTION("""COMPUTED_VALUE"""),26.75)</f>
        <v>26.75</v>
      </c>
      <c r="K262" s="112">
        <f ca="1">IFERROR(__xludf.DUMMYFUNCTION("""COMPUTED_VALUE"""),41087.7055555555)</f>
        <v>41087.705555555498</v>
      </c>
      <c r="L262" s="111">
        <f ca="1">IFERROR(__xludf.DUMMYFUNCTION("""COMPUTED_VALUE"""),0.28)</f>
        <v>0.28000000000000003</v>
      </c>
      <c r="M262" s="112">
        <f ca="1">IFERROR(__xludf.DUMMYFUNCTION("""COMPUTED_VALUE"""),40562.7055555555)</f>
        <v>40562.705555555498</v>
      </c>
      <c r="N262" s="111">
        <f ca="1">IFERROR(__xludf.DUMMYFUNCTION("""COMPUTED_VALUE"""),12.72)</f>
        <v>12.72</v>
      </c>
      <c r="O262" s="112">
        <f ca="1">IFERROR(__xludf.DUMMYFUNCTION("""COMPUTED_VALUE"""),40588.7055555555)</f>
        <v>40588.705555555498</v>
      </c>
      <c r="P262" s="111">
        <f ca="1">IFERROR(__xludf.DUMMYFUNCTION("""COMPUTED_VALUE"""),57.55)</f>
        <v>57.55</v>
      </c>
      <c r="Q262" s="112">
        <f ca="1">IFERROR(__xludf.DUMMYFUNCTION("""COMPUTED_VALUE"""),40588.7055555555)</f>
        <v>40588.705555555498</v>
      </c>
      <c r="R262" s="111">
        <f ca="1">IFERROR(__xludf.DUMMYFUNCTION("""COMPUTED_VALUE"""),29.77)</f>
        <v>29.77</v>
      </c>
      <c r="S262" s="112">
        <f ca="1">IFERROR(__xludf.DUMMYFUNCTION("""COMPUTED_VALUE"""),40588.7055555555)</f>
        <v>40588.705555555498</v>
      </c>
      <c r="T262" s="111">
        <f ca="1">IFERROR(__xludf.DUMMYFUNCTION("""COMPUTED_VALUE"""),7.9)</f>
        <v>7.9</v>
      </c>
    </row>
    <row r="263" spans="1:20" x14ac:dyDescent="0.3">
      <c r="A263" s="112">
        <f ca="1">IFERROR(__xludf.DUMMYFUNCTION("""COMPUTED_VALUE"""),40589.7055555555)</f>
        <v>40589.705555555498</v>
      </c>
      <c r="B263" s="111">
        <f ca="1">IFERROR(__xludf.DUMMYFUNCTION("""COMPUTED_VALUE"""),22.28)</f>
        <v>22.28</v>
      </c>
      <c r="C263" s="112">
        <f ca="1">IFERROR(__xludf.DUMMYFUNCTION("""COMPUTED_VALUE"""),40589.7055555555)</f>
        <v>40589.705555555498</v>
      </c>
      <c r="D263" s="111">
        <f ca="1">IFERROR(__xludf.DUMMYFUNCTION("""COMPUTED_VALUE"""),18.54)</f>
        <v>18.54</v>
      </c>
      <c r="E263" s="112">
        <f ca="1">IFERROR(__xludf.DUMMYFUNCTION("""COMPUTED_VALUE"""),40589.7055555555)</f>
        <v>40589.705555555498</v>
      </c>
      <c r="F263" s="111">
        <f ca="1">IFERROR(__xludf.DUMMYFUNCTION("""COMPUTED_VALUE"""),7.86)</f>
        <v>7.86</v>
      </c>
      <c r="G263" s="112">
        <f ca="1">IFERROR(__xludf.DUMMYFUNCTION("""COMPUTED_VALUE"""),40589.7055555555)</f>
        <v>40589.705555555498</v>
      </c>
      <c r="H263" s="111">
        <f ca="1">IFERROR(__xludf.DUMMYFUNCTION("""COMPUTED_VALUE"""),26.97)</f>
        <v>26.97</v>
      </c>
      <c r="K263" s="112">
        <f ca="1">IFERROR(__xludf.DUMMYFUNCTION("""COMPUTED_VALUE"""),41088.7055555555)</f>
        <v>41088.705555555498</v>
      </c>
      <c r="L263" s="111">
        <f ca="1">IFERROR(__xludf.DUMMYFUNCTION("""COMPUTED_VALUE"""),0.28)</f>
        <v>0.28000000000000003</v>
      </c>
      <c r="M263" s="112">
        <f ca="1">IFERROR(__xludf.DUMMYFUNCTION("""COMPUTED_VALUE"""),40563.7055555555)</f>
        <v>40563.705555555498</v>
      </c>
      <c r="N263" s="111">
        <f ca="1">IFERROR(__xludf.DUMMYFUNCTION("""COMPUTED_VALUE"""),12.49)</f>
        <v>12.49</v>
      </c>
      <c r="O263" s="112">
        <f ca="1">IFERROR(__xludf.DUMMYFUNCTION("""COMPUTED_VALUE"""),40589.7055555555)</f>
        <v>40589.705555555498</v>
      </c>
      <c r="P263" s="111">
        <f ca="1">IFERROR(__xludf.DUMMYFUNCTION("""COMPUTED_VALUE"""),57.36)</f>
        <v>57.36</v>
      </c>
      <c r="Q263" s="112">
        <f ca="1">IFERROR(__xludf.DUMMYFUNCTION("""COMPUTED_VALUE"""),40589.7055555555)</f>
        <v>40589.705555555498</v>
      </c>
      <c r="R263" s="111">
        <f ca="1">IFERROR(__xludf.DUMMYFUNCTION("""COMPUTED_VALUE"""),30.4)</f>
        <v>30.4</v>
      </c>
      <c r="S263" s="112">
        <f ca="1">IFERROR(__xludf.DUMMYFUNCTION("""COMPUTED_VALUE"""),40589.7055555555)</f>
        <v>40589.705555555498</v>
      </c>
      <c r="T263" s="111">
        <f ca="1">IFERROR(__xludf.DUMMYFUNCTION("""COMPUTED_VALUE"""),7.66)</f>
        <v>7.66</v>
      </c>
    </row>
    <row r="264" spans="1:20" x14ac:dyDescent="0.3">
      <c r="A264" s="112">
        <f ca="1">IFERROR(__xludf.DUMMYFUNCTION("""COMPUTED_VALUE"""),40590.7055555555)</f>
        <v>40590.705555555498</v>
      </c>
      <c r="B264" s="111">
        <f ca="1">IFERROR(__xludf.DUMMYFUNCTION("""COMPUTED_VALUE"""),22.53)</f>
        <v>22.53</v>
      </c>
      <c r="C264" s="112">
        <f ca="1">IFERROR(__xludf.DUMMYFUNCTION("""COMPUTED_VALUE"""),40590.7055555555)</f>
        <v>40590.705555555498</v>
      </c>
      <c r="D264" s="111">
        <f ca="1">IFERROR(__xludf.DUMMYFUNCTION("""COMPUTED_VALUE"""),18.96)</f>
        <v>18.96</v>
      </c>
      <c r="E264" s="112">
        <f ca="1">IFERROR(__xludf.DUMMYFUNCTION("""COMPUTED_VALUE"""),40590.7055555555)</f>
        <v>40590.705555555498</v>
      </c>
      <c r="F264" s="111">
        <f ca="1">IFERROR(__xludf.DUMMYFUNCTION("""COMPUTED_VALUE"""),8.01)</f>
        <v>8.01</v>
      </c>
      <c r="G264" s="112">
        <f ca="1">IFERROR(__xludf.DUMMYFUNCTION("""COMPUTED_VALUE"""),40590.7055555555)</f>
        <v>40590.705555555498</v>
      </c>
      <c r="H264" s="111">
        <f ca="1">IFERROR(__xludf.DUMMYFUNCTION("""COMPUTED_VALUE"""),27.31)</f>
        <v>27.31</v>
      </c>
      <c r="K264" s="112">
        <f ca="1">IFERROR(__xludf.DUMMYFUNCTION("""COMPUTED_VALUE"""),41089.7055555555)</f>
        <v>41089.705555555498</v>
      </c>
      <c r="L264" s="111">
        <f ca="1">IFERROR(__xludf.DUMMYFUNCTION("""COMPUTED_VALUE"""),0.29)</f>
        <v>0.28999999999999998</v>
      </c>
      <c r="M264" s="112">
        <f ca="1">IFERROR(__xludf.DUMMYFUNCTION("""COMPUTED_VALUE"""),40564.7055555555)</f>
        <v>40564.705555555498</v>
      </c>
      <c r="N264" s="111">
        <f ca="1">IFERROR(__xludf.DUMMYFUNCTION("""COMPUTED_VALUE"""),12.39)</f>
        <v>12.39</v>
      </c>
      <c r="O264" s="112">
        <f ca="1">IFERROR(__xludf.DUMMYFUNCTION("""COMPUTED_VALUE"""),40590.7055555555)</f>
        <v>40590.705555555498</v>
      </c>
      <c r="P264" s="111">
        <f ca="1">IFERROR(__xludf.DUMMYFUNCTION("""COMPUTED_VALUE"""),57.91)</f>
        <v>57.91</v>
      </c>
      <c r="Q264" s="112">
        <f ca="1">IFERROR(__xludf.DUMMYFUNCTION("""COMPUTED_VALUE"""),40590.7055555555)</f>
        <v>40590.705555555498</v>
      </c>
      <c r="R264" s="111">
        <f ca="1">IFERROR(__xludf.DUMMYFUNCTION("""COMPUTED_VALUE"""),31.43)</f>
        <v>31.43</v>
      </c>
      <c r="S264" s="112">
        <f ca="1">IFERROR(__xludf.DUMMYFUNCTION("""COMPUTED_VALUE"""),40590.7055555555)</f>
        <v>40590.705555555498</v>
      </c>
      <c r="T264" s="111">
        <f ca="1">IFERROR(__xludf.DUMMYFUNCTION("""COMPUTED_VALUE"""),7.77)</f>
        <v>7.77</v>
      </c>
    </row>
    <row r="265" spans="1:20" x14ac:dyDescent="0.3">
      <c r="A265" s="112">
        <f ca="1">IFERROR(__xludf.DUMMYFUNCTION("""COMPUTED_VALUE"""),40591.7055555555)</f>
        <v>40591.705555555498</v>
      </c>
      <c r="B265" s="111">
        <f ca="1">IFERROR(__xludf.DUMMYFUNCTION("""COMPUTED_VALUE"""),22.63)</f>
        <v>22.63</v>
      </c>
      <c r="C265" s="112">
        <f ca="1">IFERROR(__xludf.DUMMYFUNCTION("""COMPUTED_VALUE"""),40591.7055555555)</f>
        <v>40591.705555555498</v>
      </c>
      <c r="D265" s="111">
        <f ca="1">IFERROR(__xludf.DUMMYFUNCTION("""COMPUTED_VALUE"""),19.14)</f>
        <v>19.14</v>
      </c>
      <c r="E265" s="112">
        <f ca="1">IFERROR(__xludf.DUMMYFUNCTION("""COMPUTED_VALUE"""),40591.7055555555)</f>
        <v>40591.705555555498</v>
      </c>
      <c r="F265" s="111">
        <f ca="1">IFERROR(__xludf.DUMMYFUNCTION("""COMPUTED_VALUE"""),8.09)</f>
        <v>8.09</v>
      </c>
      <c r="G265" s="112">
        <f ca="1">IFERROR(__xludf.DUMMYFUNCTION("""COMPUTED_VALUE"""),40591.7055555555)</f>
        <v>40591.705555555498</v>
      </c>
      <c r="H265" s="111">
        <f ca="1">IFERROR(__xludf.DUMMYFUNCTION("""COMPUTED_VALUE"""),27.25)</f>
        <v>27.25</v>
      </c>
      <c r="K265" s="112">
        <f ca="1">IFERROR(__xludf.DUMMYFUNCTION("""COMPUTED_VALUE"""),41092.7055555555)</f>
        <v>41092.705555555498</v>
      </c>
      <c r="L265" s="111">
        <f ca="1">IFERROR(__xludf.DUMMYFUNCTION("""COMPUTED_VALUE"""),0.29)</f>
        <v>0.28999999999999998</v>
      </c>
      <c r="M265" s="112">
        <f ca="1">IFERROR(__xludf.DUMMYFUNCTION("""COMPUTED_VALUE"""),40567.7055555555)</f>
        <v>40567.705555555498</v>
      </c>
      <c r="N265" s="111">
        <f ca="1">IFERROR(__xludf.DUMMYFUNCTION("""COMPUTED_VALUE"""),12.58)</f>
        <v>12.58</v>
      </c>
      <c r="O265" s="112">
        <f ca="1">IFERROR(__xludf.DUMMYFUNCTION("""COMPUTED_VALUE"""),40591.7055555555)</f>
        <v>40591.705555555498</v>
      </c>
      <c r="P265" s="111">
        <f ca="1">IFERROR(__xludf.DUMMYFUNCTION("""COMPUTED_VALUE"""),57.99)</f>
        <v>57.99</v>
      </c>
      <c r="Q265" s="112">
        <f ca="1">IFERROR(__xludf.DUMMYFUNCTION("""COMPUTED_VALUE"""),40591.7055555555)</f>
        <v>40591.705555555498</v>
      </c>
      <c r="R265" s="111">
        <f ca="1">IFERROR(__xludf.DUMMYFUNCTION("""COMPUTED_VALUE"""),31.23)</f>
        <v>31.23</v>
      </c>
      <c r="S265" s="112">
        <f ca="1">IFERROR(__xludf.DUMMYFUNCTION("""COMPUTED_VALUE"""),40591.7055555555)</f>
        <v>40591.705555555498</v>
      </c>
      <c r="T265" s="111">
        <f ca="1">IFERROR(__xludf.DUMMYFUNCTION("""COMPUTED_VALUE"""),7.77)</f>
        <v>7.77</v>
      </c>
    </row>
    <row r="266" spans="1:20" x14ac:dyDescent="0.3">
      <c r="A266" s="112">
        <f ca="1">IFERROR(__xludf.DUMMYFUNCTION("""COMPUTED_VALUE"""),40592.7055555555)</f>
        <v>40592.705555555498</v>
      </c>
      <c r="B266" s="111">
        <f ca="1">IFERROR(__xludf.DUMMYFUNCTION("""COMPUTED_VALUE"""),22.94)</f>
        <v>22.94</v>
      </c>
      <c r="C266" s="112">
        <f ca="1">IFERROR(__xludf.DUMMYFUNCTION("""COMPUTED_VALUE"""),40592.7055555555)</f>
        <v>40592.705555555498</v>
      </c>
      <c r="D266" s="111">
        <f ca="1">IFERROR(__xludf.DUMMYFUNCTION("""COMPUTED_VALUE"""),19.05)</f>
        <v>19.05</v>
      </c>
      <c r="E266" s="112">
        <f ca="1">IFERROR(__xludf.DUMMYFUNCTION("""COMPUTED_VALUE"""),40592.7055555555)</f>
        <v>40592.705555555498</v>
      </c>
      <c r="F266" s="111">
        <f ca="1">IFERROR(__xludf.DUMMYFUNCTION("""COMPUTED_VALUE"""),8.07)</f>
        <v>8.07</v>
      </c>
      <c r="G266" s="112">
        <f ca="1">IFERROR(__xludf.DUMMYFUNCTION("""COMPUTED_VALUE"""),40592.7055555555)</f>
        <v>40592.705555555498</v>
      </c>
      <c r="H266" s="111">
        <f ca="1">IFERROR(__xludf.DUMMYFUNCTION("""COMPUTED_VALUE"""),27.37)</f>
        <v>27.37</v>
      </c>
      <c r="K266" s="112">
        <f ca="1">IFERROR(__xludf.DUMMYFUNCTION("""COMPUTED_VALUE"""),41093.7055555555)</f>
        <v>41093.705555555498</v>
      </c>
      <c r="L266" s="111">
        <f ca="1">IFERROR(__xludf.DUMMYFUNCTION("""COMPUTED_VALUE"""),0.3)</f>
        <v>0.3</v>
      </c>
      <c r="M266" s="112">
        <f ca="1">IFERROR(__xludf.DUMMYFUNCTION("""COMPUTED_VALUE"""),40569.7055555555)</f>
        <v>40569.705555555498</v>
      </c>
      <c r="N266" s="111">
        <f ca="1">IFERROR(__xludf.DUMMYFUNCTION("""COMPUTED_VALUE"""),12.51)</f>
        <v>12.51</v>
      </c>
      <c r="O266" s="112">
        <f ca="1">IFERROR(__xludf.DUMMYFUNCTION("""COMPUTED_VALUE"""),40592.7055555555)</f>
        <v>40592.705555555498</v>
      </c>
      <c r="P266" s="111">
        <f ca="1">IFERROR(__xludf.DUMMYFUNCTION("""COMPUTED_VALUE"""),57.4)</f>
        <v>57.4</v>
      </c>
      <c r="Q266" s="112">
        <f ca="1">IFERROR(__xludf.DUMMYFUNCTION("""COMPUTED_VALUE"""),40592.7055555555)</f>
        <v>40592.705555555498</v>
      </c>
      <c r="R266" s="111">
        <f ca="1">IFERROR(__xludf.DUMMYFUNCTION("""COMPUTED_VALUE"""),31.14)</f>
        <v>31.14</v>
      </c>
      <c r="S266" s="112">
        <f ca="1">IFERROR(__xludf.DUMMYFUNCTION("""COMPUTED_VALUE"""),40592.7055555555)</f>
        <v>40592.705555555498</v>
      </c>
      <c r="T266" s="111">
        <f ca="1">IFERROR(__xludf.DUMMYFUNCTION("""COMPUTED_VALUE"""),7.97)</f>
        <v>7.97</v>
      </c>
    </row>
    <row r="267" spans="1:20" x14ac:dyDescent="0.3">
      <c r="A267" s="112">
        <f ca="1">IFERROR(__xludf.DUMMYFUNCTION("""COMPUTED_VALUE"""),40595.7055555555)</f>
        <v>40595.705555555498</v>
      </c>
      <c r="B267" s="111">
        <f ca="1">IFERROR(__xludf.DUMMYFUNCTION("""COMPUTED_VALUE"""),22.83)</f>
        <v>22.83</v>
      </c>
      <c r="C267" s="112">
        <f ca="1">IFERROR(__xludf.DUMMYFUNCTION("""COMPUTED_VALUE"""),40595.7055555555)</f>
        <v>40595.705555555498</v>
      </c>
      <c r="D267" s="111">
        <f ca="1">IFERROR(__xludf.DUMMYFUNCTION("""COMPUTED_VALUE"""),18.76)</f>
        <v>18.760000000000002</v>
      </c>
      <c r="E267" s="112">
        <f ca="1">IFERROR(__xludf.DUMMYFUNCTION("""COMPUTED_VALUE"""),40595.7055555555)</f>
        <v>40595.705555555498</v>
      </c>
      <c r="F267" s="111">
        <f ca="1">IFERROR(__xludf.DUMMYFUNCTION("""COMPUTED_VALUE"""),7.99)</f>
        <v>7.99</v>
      </c>
      <c r="G267" s="112">
        <f ca="1">IFERROR(__xludf.DUMMYFUNCTION("""COMPUTED_VALUE"""),40595.7055555555)</f>
        <v>40595.705555555498</v>
      </c>
      <c r="H267" s="111">
        <f ca="1">IFERROR(__xludf.DUMMYFUNCTION("""COMPUTED_VALUE"""),27.4)</f>
        <v>27.4</v>
      </c>
      <c r="K267" s="112">
        <f ca="1">IFERROR(__xludf.DUMMYFUNCTION("""COMPUTED_VALUE"""),41095.7055555555)</f>
        <v>41095.705555555498</v>
      </c>
      <c r="L267" s="111">
        <f ca="1">IFERROR(__xludf.DUMMYFUNCTION("""COMPUTED_VALUE"""),0.3)</f>
        <v>0.3</v>
      </c>
      <c r="M267" s="112">
        <f ca="1">IFERROR(__xludf.DUMMYFUNCTION("""COMPUTED_VALUE"""),40570.7055555555)</f>
        <v>40570.705555555498</v>
      </c>
      <c r="N267" s="111">
        <f ca="1">IFERROR(__xludf.DUMMYFUNCTION("""COMPUTED_VALUE"""),12.55)</f>
        <v>12.55</v>
      </c>
      <c r="O267" s="112">
        <f ca="1">IFERROR(__xludf.DUMMYFUNCTION("""COMPUTED_VALUE"""),40595.7055555555)</f>
        <v>40595.705555555498</v>
      </c>
      <c r="P267" s="111">
        <f ca="1">IFERROR(__xludf.DUMMYFUNCTION("""COMPUTED_VALUE"""),56.1)</f>
        <v>56.1</v>
      </c>
      <c r="Q267" s="112">
        <f ca="1">IFERROR(__xludf.DUMMYFUNCTION("""COMPUTED_VALUE"""),40595.7055555555)</f>
        <v>40595.705555555498</v>
      </c>
      <c r="R267" s="111">
        <f ca="1">IFERROR(__xludf.DUMMYFUNCTION("""COMPUTED_VALUE"""),30.66)</f>
        <v>30.66</v>
      </c>
      <c r="S267" s="112">
        <f ca="1">IFERROR(__xludf.DUMMYFUNCTION("""COMPUTED_VALUE"""),40595.7055555555)</f>
        <v>40595.705555555498</v>
      </c>
      <c r="T267" s="111">
        <f ca="1">IFERROR(__xludf.DUMMYFUNCTION("""COMPUTED_VALUE"""),7.84)</f>
        <v>7.84</v>
      </c>
    </row>
    <row r="268" spans="1:20" x14ac:dyDescent="0.3">
      <c r="A268" s="112">
        <f ca="1">IFERROR(__xludf.DUMMYFUNCTION("""COMPUTED_VALUE"""),40596.7055555555)</f>
        <v>40596.705555555498</v>
      </c>
      <c r="B268" s="111">
        <f ca="1">IFERROR(__xludf.DUMMYFUNCTION("""COMPUTED_VALUE"""),22.86)</f>
        <v>22.86</v>
      </c>
      <c r="C268" s="112">
        <f ca="1">IFERROR(__xludf.DUMMYFUNCTION("""COMPUTED_VALUE"""),40596.7055555555)</f>
        <v>40596.705555555498</v>
      </c>
      <c r="D268" s="111">
        <f ca="1">IFERROR(__xludf.DUMMYFUNCTION("""COMPUTED_VALUE"""),18.35)</f>
        <v>18.350000000000001</v>
      </c>
      <c r="E268" s="112">
        <f ca="1">IFERROR(__xludf.DUMMYFUNCTION("""COMPUTED_VALUE"""),40596.7055555555)</f>
        <v>40596.705555555498</v>
      </c>
      <c r="F268" s="111">
        <f ca="1">IFERROR(__xludf.DUMMYFUNCTION("""COMPUTED_VALUE"""),7.79)</f>
        <v>7.79</v>
      </c>
      <c r="G268" s="112">
        <f ca="1">IFERROR(__xludf.DUMMYFUNCTION("""COMPUTED_VALUE"""),40596.7055555555)</f>
        <v>40596.705555555498</v>
      </c>
      <c r="H268" s="111">
        <f ca="1">IFERROR(__xludf.DUMMYFUNCTION("""COMPUTED_VALUE"""),27.77)</f>
        <v>27.77</v>
      </c>
      <c r="K268" s="112">
        <f ca="1">IFERROR(__xludf.DUMMYFUNCTION("""COMPUTED_VALUE"""),41096.7055555555)</f>
        <v>41096.705555555498</v>
      </c>
      <c r="L268" s="111">
        <f ca="1">IFERROR(__xludf.DUMMYFUNCTION("""COMPUTED_VALUE"""),0.3)</f>
        <v>0.3</v>
      </c>
      <c r="M268" s="112">
        <f ca="1">IFERROR(__xludf.DUMMYFUNCTION("""COMPUTED_VALUE"""),40571.7055555555)</f>
        <v>40571.705555555498</v>
      </c>
      <c r="N268" s="111">
        <f ca="1">IFERROR(__xludf.DUMMYFUNCTION("""COMPUTED_VALUE"""),12.25)</f>
        <v>12.25</v>
      </c>
      <c r="O268" s="112">
        <f ca="1">IFERROR(__xludf.DUMMYFUNCTION("""COMPUTED_VALUE"""),40596.7055555555)</f>
        <v>40596.705555555498</v>
      </c>
      <c r="P268" s="111">
        <f ca="1">IFERROR(__xludf.DUMMYFUNCTION("""COMPUTED_VALUE"""),54.98)</f>
        <v>54.98</v>
      </c>
      <c r="Q268" s="112">
        <f ca="1">IFERROR(__xludf.DUMMYFUNCTION("""COMPUTED_VALUE"""),40596.7055555555)</f>
        <v>40596.705555555498</v>
      </c>
      <c r="R268" s="111">
        <f ca="1">IFERROR(__xludf.DUMMYFUNCTION("""COMPUTED_VALUE"""),29.35)</f>
        <v>29.35</v>
      </c>
      <c r="S268" s="112">
        <f ca="1">IFERROR(__xludf.DUMMYFUNCTION("""COMPUTED_VALUE"""),40596.7055555555)</f>
        <v>40596.705555555498</v>
      </c>
      <c r="T268" s="111">
        <f ca="1">IFERROR(__xludf.DUMMYFUNCTION("""COMPUTED_VALUE"""),7.5)</f>
        <v>7.5</v>
      </c>
    </row>
    <row r="269" spans="1:20" x14ac:dyDescent="0.3">
      <c r="A269" s="112">
        <f ca="1">IFERROR(__xludf.DUMMYFUNCTION("""COMPUTED_VALUE"""),40597.7055555555)</f>
        <v>40597.705555555498</v>
      </c>
      <c r="B269" s="111">
        <f ca="1">IFERROR(__xludf.DUMMYFUNCTION("""COMPUTED_VALUE"""),22.89)</f>
        <v>22.89</v>
      </c>
      <c r="C269" s="112">
        <f ca="1">IFERROR(__xludf.DUMMYFUNCTION("""COMPUTED_VALUE"""),40597.7055555555)</f>
        <v>40597.705555555498</v>
      </c>
      <c r="D269" s="111">
        <f ca="1">IFERROR(__xludf.DUMMYFUNCTION("""COMPUTED_VALUE"""),18.44)</f>
        <v>18.440000000000001</v>
      </c>
      <c r="E269" s="112">
        <f ca="1">IFERROR(__xludf.DUMMYFUNCTION("""COMPUTED_VALUE"""),40597.7055555555)</f>
        <v>40597.705555555498</v>
      </c>
      <c r="F269" s="111">
        <f ca="1">IFERROR(__xludf.DUMMYFUNCTION("""COMPUTED_VALUE"""),7.87)</f>
        <v>7.87</v>
      </c>
      <c r="G269" s="112">
        <f ca="1">IFERROR(__xludf.DUMMYFUNCTION("""COMPUTED_VALUE"""),40597.7055555555)</f>
        <v>40597.705555555498</v>
      </c>
      <c r="H269" s="111">
        <f ca="1">IFERROR(__xludf.DUMMYFUNCTION("""COMPUTED_VALUE"""),28.71)</f>
        <v>28.71</v>
      </c>
      <c r="K269" s="112">
        <f ca="1">IFERROR(__xludf.DUMMYFUNCTION("""COMPUTED_VALUE"""),41100.7055555555)</f>
        <v>41100.705555555498</v>
      </c>
      <c r="L269" s="111">
        <f ca="1">IFERROR(__xludf.DUMMYFUNCTION("""COMPUTED_VALUE"""),0.29)</f>
        <v>0.28999999999999998</v>
      </c>
      <c r="M269" s="112">
        <f ca="1">IFERROR(__xludf.DUMMYFUNCTION("""COMPUTED_VALUE"""),40574.7055555555)</f>
        <v>40574.705555555498</v>
      </c>
      <c r="N269" s="111">
        <f ca="1">IFERROR(__xludf.DUMMYFUNCTION("""COMPUTED_VALUE"""),12.07)</f>
        <v>12.07</v>
      </c>
      <c r="O269" s="112">
        <f ca="1">IFERROR(__xludf.DUMMYFUNCTION("""COMPUTED_VALUE"""),40597.7055555555)</f>
        <v>40597.705555555498</v>
      </c>
      <c r="P269" s="111">
        <f ca="1">IFERROR(__xludf.DUMMYFUNCTION("""COMPUTED_VALUE"""),56)</f>
        <v>56</v>
      </c>
      <c r="Q269" s="112">
        <f ca="1">IFERROR(__xludf.DUMMYFUNCTION("""COMPUTED_VALUE"""),40597.7055555555)</f>
        <v>40597.705555555498</v>
      </c>
      <c r="R269" s="111">
        <f ca="1">IFERROR(__xludf.DUMMYFUNCTION("""COMPUTED_VALUE"""),29.4)</f>
        <v>29.4</v>
      </c>
      <c r="S269" s="112">
        <f ca="1">IFERROR(__xludf.DUMMYFUNCTION("""COMPUTED_VALUE"""),40597.7055555555)</f>
        <v>40597.705555555498</v>
      </c>
      <c r="T269" s="111">
        <f ca="1">IFERROR(__xludf.DUMMYFUNCTION("""COMPUTED_VALUE"""),7.39)</f>
        <v>7.39</v>
      </c>
    </row>
    <row r="270" spans="1:20" x14ac:dyDescent="0.3">
      <c r="A270" s="112">
        <f ca="1">IFERROR(__xludf.DUMMYFUNCTION("""COMPUTED_VALUE"""),40599.7055555555)</f>
        <v>40599.705555555498</v>
      </c>
      <c r="B270" s="111">
        <f ca="1">IFERROR(__xludf.DUMMYFUNCTION("""COMPUTED_VALUE"""),22.75)</f>
        <v>22.75</v>
      </c>
      <c r="C270" s="112">
        <f ca="1">IFERROR(__xludf.DUMMYFUNCTION("""COMPUTED_VALUE"""),40599.7055555555)</f>
        <v>40599.705555555498</v>
      </c>
      <c r="D270" s="111">
        <f ca="1">IFERROR(__xludf.DUMMYFUNCTION("""COMPUTED_VALUE"""),18.19)</f>
        <v>18.190000000000001</v>
      </c>
      <c r="E270" s="112">
        <f ca="1">IFERROR(__xludf.DUMMYFUNCTION("""COMPUTED_VALUE"""),40599.7055555555)</f>
        <v>40599.705555555498</v>
      </c>
      <c r="F270" s="111">
        <f ca="1">IFERROR(__xludf.DUMMYFUNCTION("""COMPUTED_VALUE"""),7.75)</f>
        <v>7.75</v>
      </c>
      <c r="G270" s="112">
        <f ca="1">IFERROR(__xludf.DUMMYFUNCTION("""COMPUTED_VALUE"""),40599.7055555555)</f>
        <v>40599.705555555498</v>
      </c>
      <c r="H270" s="111">
        <f ca="1">IFERROR(__xludf.DUMMYFUNCTION("""COMPUTED_VALUE"""),28.6)</f>
        <v>28.6</v>
      </c>
      <c r="K270" s="112">
        <f ca="1">IFERROR(__xludf.DUMMYFUNCTION("""COMPUTED_VALUE"""),41101.7055555555)</f>
        <v>41101.705555555498</v>
      </c>
      <c r="L270" s="111">
        <f ca="1">IFERROR(__xludf.DUMMYFUNCTION("""COMPUTED_VALUE"""),0.28)</f>
        <v>0.28000000000000003</v>
      </c>
      <c r="M270" s="112">
        <f ca="1">IFERROR(__xludf.DUMMYFUNCTION("""COMPUTED_VALUE"""),40575.7055555555)</f>
        <v>40575.705555555498</v>
      </c>
      <c r="N270" s="111">
        <f ca="1">IFERROR(__xludf.DUMMYFUNCTION("""COMPUTED_VALUE"""),12.09)</f>
        <v>12.09</v>
      </c>
      <c r="O270" s="112">
        <f ca="1">IFERROR(__xludf.DUMMYFUNCTION("""COMPUTED_VALUE"""),40599.7055555555)</f>
        <v>40599.705555555498</v>
      </c>
      <c r="P270" s="111">
        <f ca="1">IFERROR(__xludf.DUMMYFUNCTION("""COMPUTED_VALUE"""),55.7)</f>
        <v>55.7</v>
      </c>
      <c r="Q270" s="112">
        <f ca="1">IFERROR(__xludf.DUMMYFUNCTION("""COMPUTED_VALUE"""),40599.7055555555)</f>
        <v>40599.705555555498</v>
      </c>
      <c r="R270" s="111">
        <f ca="1">IFERROR(__xludf.DUMMYFUNCTION("""COMPUTED_VALUE"""),29.17)</f>
        <v>29.17</v>
      </c>
      <c r="S270" s="112">
        <f ca="1">IFERROR(__xludf.DUMMYFUNCTION("""COMPUTED_VALUE"""),40599.7055555555)</f>
        <v>40599.705555555498</v>
      </c>
      <c r="T270" s="111">
        <f ca="1">IFERROR(__xludf.DUMMYFUNCTION("""COMPUTED_VALUE"""),7.52)</f>
        <v>7.52</v>
      </c>
    </row>
    <row r="271" spans="1:20" x14ac:dyDescent="0.3">
      <c r="A271" s="112">
        <f ca="1">IFERROR(__xludf.DUMMYFUNCTION("""COMPUTED_VALUE"""),40602.7055555555)</f>
        <v>40602.705555555498</v>
      </c>
      <c r="B271" s="111">
        <f ca="1">IFERROR(__xludf.DUMMYFUNCTION("""COMPUTED_VALUE"""),23.24)</f>
        <v>23.24</v>
      </c>
      <c r="C271" s="112">
        <f ca="1">IFERROR(__xludf.DUMMYFUNCTION("""COMPUTED_VALUE"""),40602.7055555555)</f>
        <v>40602.705555555498</v>
      </c>
      <c r="D271" s="111">
        <f ca="1">IFERROR(__xludf.DUMMYFUNCTION("""COMPUTED_VALUE"""),18.53)</f>
        <v>18.53</v>
      </c>
      <c r="E271" s="112">
        <f ca="1">IFERROR(__xludf.DUMMYFUNCTION("""COMPUTED_VALUE"""),40602.7055555555)</f>
        <v>40602.705555555498</v>
      </c>
      <c r="F271" s="111">
        <f ca="1">IFERROR(__xludf.DUMMYFUNCTION("""COMPUTED_VALUE"""),7.9)</f>
        <v>7.9</v>
      </c>
      <c r="G271" s="112">
        <f ca="1">IFERROR(__xludf.DUMMYFUNCTION("""COMPUTED_VALUE"""),40602.7055555555)</f>
        <v>40602.705555555498</v>
      </c>
      <c r="H271" s="111">
        <f ca="1">IFERROR(__xludf.DUMMYFUNCTION("""COMPUTED_VALUE"""),28.58)</f>
        <v>28.58</v>
      </c>
      <c r="K271" s="112">
        <f ca="1">IFERROR(__xludf.DUMMYFUNCTION("""COMPUTED_VALUE"""),41102.7055555555)</f>
        <v>41102.705555555498</v>
      </c>
      <c r="L271" s="111">
        <f ca="1">IFERROR(__xludf.DUMMYFUNCTION("""COMPUTED_VALUE"""),0.29)</f>
        <v>0.28999999999999998</v>
      </c>
      <c r="M271" s="112">
        <f ca="1">IFERROR(__xludf.DUMMYFUNCTION("""COMPUTED_VALUE"""),40576.7055555555)</f>
        <v>40576.705555555498</v>
      </c>
      <c r="N271" s="111">
        <f ca="1">IFERROR(__xludf.DUMMYFUNCTION("""COMPUTED_VALUE"""),11.94)</f>
        <v>11.94</v>
      </c>
      <c r="O271" s="112">
        <f ca="1">IFERROR(__xludf.DUMMYFUNCTION("""COMPUTED_VALUE"""),40602.7055555555)</f>
        <v>40602.705555555498</v>
      </c>
      <c r="P271" s="111">
        <f ca="1">IFERROR(__xludf.DUMMYFUNCTION("""COMPUTED_VALUE"""),56.3)</f>
        <v>56.3</v>
      </c>
      <c r="Q271" s="112">
        <f ca="1">IFERROR(__xludf.DUMMYFUNCTION("""COMPUTED_VALUE"""),40602.7055555555)</f>
        <v>40602.705555555498</v>
      </c>
      <c r="R271" s="111">
        <f ca="1">IFERROR(__xludf.DUMMYFUNCTION("""COMPUTED_VALUE"""),29.75)</f>
        <v>29.75</v>
      </c>
      <c r="S271" s="112">
        <f ca="1">IFERROR(__xludf.DUMMYFUNCTION("""COMPUTED_VALUE"""),40602.7055555555)</f>
        <v>40602.705555555498</v>
      </c>
      <c r="T271" s="111">
        <f ca="1">IFERROR(__xludf.DUMMYFUNCTION("""COMPUTED_VALUE"""),7.66)</f>
        <v>7.66</v>
      </c>
    </row>
    <row r="272" spans="1:20" x14ac:dyDescent="0.3">
      <c r="A272" s="112">
        <f ca="1">IFERROR(__xludf.DUMMYFUNCTION("""COMPUTED_VALUE"""),40603.7055555555)</f>
        <v>40603.705555555498</v>
      </c>
      <c r="B272" s="111">
        <f ca="1">IFERROR(__xludf.DUMMYFUNCTION("""COMPUTED_VALUE"""),22.88)</f>
        <v>22.88</v>
      </c>
      <c r="C272" s="112">
        <f ca="1">IFERROR(__xludf.DUMMYFUNCTION("""COMPUTED_VALUE"""),40603.7055555555)</f>
        <v>40603.705555555498</v>
      </c>
      <c r="D272" s="111">
        <f ca="1">IFERROR(__xludf.DUMMYFUNCTION("""COMPUTED_VALUE"""),18.13)</f>
        <v>18.13</v>
      </c>
      <c r="E272" s="112">
        <f ca="1">IFERROR(__xludf.DUMMYFUNCTION("""COMPUTED_VALUE"""),40603.7055555555)</f>
        <v>40603.705555555498</v>
      </c>
      <c r="F272" s="111">
        <f ca="1">IFERROR(__xludf.DUMMYFUNCTION("""COMPUTED_VALUE"""),7.68)</f>
        <v>7.68</v>
      </c>
      <c r="G272" s="112">
        <f ca="1">IFERROR(__xludf.DUMMYFUNCTION("""COMPUTED_VALUE"""),40603.7055555555)</f>
        <v>40603.705555555498</v>
      </c>
      <c r="H272" s="111">
        <f ca="1">IFERROR(__xludf.DUMMYFUNCTION("""COMPUTED_VALUE"""),28.29)</f>
        <v>28.29</v>
      </c>
      <c r="K272" s="112">
        <f ca="1">IFERROR(__xludf.DUMMYFUNCTION("""COMPUTED_VALUE"""),41103.7055555555)</f>
        <v>41103.705555555498</v>
      </c>
      <c r="L272" s="111">
        <f ca="1">IFERROR(__xludf.DUMMYFUNCTION("""COMPUTED_VALUE"""),0.29)</f>
        <v>0.28999999999999998</v>
      </c>
      <c r="M272" s="112">
        <f ca="1">IFERROR(__xludf.DUMMYFUNCTION("""COMPUTED_VALUE"""),40577.7055555555)</f>
        <v>40577.705555555498</v>
      </c>
      <c r="N272" s="111">
        <f ca="1">IFERROR(__xludf.DUMMYFUNCTION("""COMPUTED_VALUE"""),11.85)</f>
        <v>11.85</v>
      </c>
      <c r="O272" s="112">
        <f ca="1">IFERROR(__xludf.DUMMYFUNCTION("""COMPUTED_VALUE"""),40603.7055555555)</f>
        <v>40603.705555555498</v>
      </c>
      <c r="P272" s="111">
        <f ca="1">IFERROR(__xludf.DUMMYFUNCTION("""COMPUTED_VALUE"""),55.24)</f>
        <v>55.24</v>
      </c>
      <c r="Q272" s="112">
        <f ca="1">IFERROR(__xludf.DUMMYFUNCTION("""COMPUTED_VALUE"""),40603.7055555555)</f>
        <v>40603.705555555498</v>
      </c>
      <c r="R272" s="111">
        <f ca="1">IFERROR(__xludf.DUMMYFUNCTION("""COMPUTED_VALUE"""),28.95)</f>
        <v>28.95</v>
      </c>
      <c r="S272" s="112">
        <f ca="1">IFERROR(__xludf.DUMMYFUNCTION("""COMPUTED_VALUE"""),40603.7055555555)</f>
        <v>40603.705555555498</v>
      </c>
      <c r="T272" s="111">
        <f ca="1">IFERROR(__xludf.DUMMYFUNCTION("""COMPUTED_VALUE"""),7.47)</f>
        <v>7.47</v>
      </c>
    </row>
    <row r="273" spans="1:20" x14ac:dyDescent="0.3">
      <c r="A273" s="112">
        <f ca="1">IFERROR(__xludf.DUMMYFUNCTION("""COMPUTED_VALUE"""),40604.7055555555)</f>
        <v>40604.705555555498</v>
      </c>
      <c r="B273" s="111">
        <f ca="1">IFERROR(__xludf.DUMMYFUNCTION("""COMPUTED_VALUE"""),23.19)</f>
        <v>23.19</v>
      </c>
      <c r="C273" s="112">
        <f ca="1">IFERROR(__xludf.DUMMYFUNCTION("""COMPUTED_VALUE"""),40604.7055555555)</f>
        <v>40604.705555555498</v>
      </c>
      <c r="D273" s="111">
        <f ca="1">IFERROR(__xludf.DUMMYFUNCTION("""COMPUTED_VALUE"""),18.2)</f>
        <v>18.2</v>
      </c>
      <c r="E273" s="112">
        <f ca="1">IFERROR(__xludf.DUMMYFUNCTION("""COMPUTED_VALUE"""),40604.7055555555)</f>
        <v>40604.705555555498</v>
      </c>
      <c r="F273" s="111">
        <f ca="1">IFERROR(__xludf.DUMMYFUNCTION("""COMPUTED_VALUE"""),7.74)</f>
        <v>7.74</v>
      </c>
      <c r="G273" s="112">
        <f ca="1">IFERROR(__xludf.DUMMYFUNCTION("""COMPUTED_VALUE"""),40604.7055555555)</f>
        <v>40604.705555555498</v>
      </c>
      <c r="H273" s="111">
        <f ca="1">IFERROR(__xludf.DUMMYFUNCTION("""COMPUTED_VALUE"""),28.9)</f>
        <v>28.9</v>
      </c>
      <c r="K273" s="112">
        <f ca="1">IFERROR(__xludf.DUMMYFUNCTION("""COMPUTED_VALUE"""),41107.7055555555)</f>
        <v>41107.705555555498</v>
      </c>
      <c r="L273" s="111">
        <f ca="1">IFERROR(__xludf.DUMMYFUNCTION("""COMPUTED_VALUE"""),0.29)</f>
        <v>0.28999999999999998</v>
      </c>
      <c r="M273" s="112">
        <f ca="1">IFERROR(__xludf.DUMMYFUNCTION("""COMPUTED_VALUE"""),40578.7055555555)</f>
        <v>40578.705555555498</v>
      </c>
      <c r="N273" s="111">
        <f ca="1">IFERROR(__xludf.DUMMYFUNCTION("""COMPUTED_VALUE"""),11.45)</f>
        <v>11.45</v>
      </c>
      <c r="O273" s="112">
        <f ca="1">IFERROR(__xludf.DUMMYFUNCTION("""COMPUTED_VALUE"""),40604.7055555555)</f>
        <v>40604.705555555498</v>
      </c>
      <c r="P273" s="111">
        <f ca="1">IFERROR(__xludf.DUMMYFUNCTION("""COMPUTED_VALUE"""),56.18)</f>
        <v>56.18</v>
      </c>
      <c r="Q273" s="112">
        <f ca="1">IFERROR(__xludf.DUMMYFUNCTION("""COMPUTED_VALUE"""),40604.7055555555)</f>
        <v>40604.705555555498</v>
      </c>
      <c r="R273" s="111">
        <f ca="1">IFERROR(__xludf.DUMMYFUNCTION("""COMPUTED_VALUE"""),29.18)</f>
        <v>29.18</v>
      </c>
      <c r="S273" s="112">
        <f ca="1">IFERROR(__xludf.DUMMYFUNCTION("""COMPUTED_VALUE"""),40604.7055555555)</f>
        <v>40604.705555555498</v>
      </c>
      <c r="T273" s="111">
        <f ca="1">IFERROR(__xludf.DUMMYFUNCTION("""COMPUTED_VALUE"""),7.56)</f>
        <v>7.56</v>
      </c>
    </row>
    <row r="274" spans="1:20" x14ac:dyDescent="0.3">
      <c r="A274" s="112">
        <f ca="1">IFERROR(__xludf.DUMMYFUNCTION("""COMPUTED_VALUE"""),40605.7055555555)</f>
        <v>40605.705555555498</v>
      </c>
      <c r="B274" s="111">
        <f ca="1">IFERROR(__xludf.DUMMYFUNCTION("""COMPUTED_VALUE"""),23.44)</f>
        <v>23.44</v>
      </c>
      <c r="C274" s="112">
        <f ca="1">IFERROR(__xludf.DUMMYFUNCTION("""COMPUTED_VALUE"""),40605.7055555555)</f>
        <v>40605.705555555498</v>
      </c>
      <c r="D274" s="111">
        <f ca="1">IFERROR(__xludf.DUMMYFUNCTION("""COMPUTED_VALUE"""),18.64)</f>
        <v>18.64</v>
      </c>
      <c r="E274" s="112">
        <f ca="1">IFERROR(__xludf.DUMMYFUNCTION("""COMPUTED_VALUE"""),40605.7055555555)</f>
        <v>40605.705555555498</v>
      </c>
      <c r="F274" s="111">
        <f ca="1">IFERROR(__xludf.DUMMYFUNCTION("""COMPUTED_VALUE"""),7.85)</f>
        <v>7.85</v>
      </c>
      <c r="G274" s="112">
        <f ca="1">IFERROR(__xludf.DUMMYFUNCTION("""COMPUTED_VALUE"""),40605.7055555555)</f>
        <v>40605.705555555498</v>
      </c>
      <c r="H274" s="111">
        <f ca="1">IFERROR(__xludf.DUMMYFUNCTION("""COMPUTED_VALUE"""),28.96)</f>
        <v>28.96</v>
      </c>
      <c r="K274" s="112">
        <f ca="1">IFERROR(__xludf.DUMMYFUNCTION("""COMPUTED_VALUE"""),41108.7055555555)</f>
        <v>41108.705555555498</v>
      </c>
      <c r="L274" s="111">
        <f ca="1">IFERROR(__xludf.DUMMYFUNCTION("""COMPUTED_VALUE"""),0.29)</f>
        <v>0.28999999999999998</v>
      </c>
      <c r="M274" s="112">
        <f ca="1">IFERROR(__xludf.DUMMYFUNCTION("""COMPUTED_VALUE"""),40581.7055555555)</f>
        <v>40581.705555555498</v>
      </c>
      <c r="N274" s="111">
        <f ca="1">IFERROR(__xludf.DUMMYFUNCTION("""COMPUTED_VALUE"""),11.56)</f>
        <v>11.56</v>
      </c>
      <c r="O274" s="112">
        <f ca="1">IFERROR(__xludf.DUMMYFUNCTION("""COMPUTED_VALUE"""),40605.7055555555)</f>
        <v>40605.705555555498</v>
      </c>
      <c r="P274" s="111">
        <f ca="1">IFERROR(__xludf.DUMMYFUNCTION("""COMPUTED_VALUE"""),56.6)</f>
        <v>56.6</v>
      </c>
      <c r="Q274" s="112">
        <f ca="1">IFERROR(__xludf.DUMMYFUNCTION("""COMPUTED_VALUE"""),40605.7055555555)</f>
        <v>40605.705555555498</v>
      </c>
      <c r="R274" s="111">
        <f ca="1">IFERROR(__xludf.DUMMYFUNCTION("""COMPUTED_VALUE"""),29.54)</f>
        <v>29.54</v>
      </c>
      <c r="S274" s="112">
        <f ca="1">IFERROR(__xludf.DUMMYFUNCTION("""COMPUTED_VALUE"""),40605.7055555555)</f>
        <v>40605.705555555498</v>
      </c>
      <c r="T274" s="111">
        <f ca="1">IFERROR(__xludf.DUMMYFUNCTION("""COMPUTED_VALUE"""),7.55)</f>
        <v>7.55</v>
      </c>
    </row>
    <row r="275" spans="1:20" x14ac:dyDescent="0.3">
      <c r="A275" s="112">
        <f ca="1">IFERROR(__xludf.DUMMYFUNCTION("""COMPUTED_VALUE"""),40606.7055555555)</f>
        <v>40606.705555555498</v>
      </c>
      <c r="B275" s="111">
        <f ca="1">IFERROR(__xludf.DUMMYFUNCTION("""COMPUTED_VALUE"""),23.68)</f>
        <v>23.68</v>
      </c>
      <c r="C275" s="112">
        <f ca="1">IFERROR(__xludf.DUMMYFUNCTION("""COMPUTED_VALUE"""),40606.7055555555)</f>
        <v>40606.705555555498</v>
      </c>
      <c r="D275" s="111">
        <f ca="1">IFERROR(__xludf.DUMMYFUNCTION("""COMPUTED_VALUE"""),18.7)</f>
        <v>18.7</v>
      </c>
      <c r="E275" s="112">
        <f ca="1">IFERROR(__xludf.DUMMYFUNCTION("""COMPUTED_VALUE"""),40606.7055555555)</f>
        <v>40606.705555555498</v>
      </c>
      <c r="F275" s="111">
        <f ca="1">IFERROR(__xludf.DUMMYFUNCTION("""COMPUTED_VALUE"""),7.84)</f>
        <v>7.84</v>
      </c>
      <c r="G275" s="112">
        <f ca="1">IFERROR(__xludf.DUMMYFUNCTION("""COMPUTED_VALUE"""),40606.7055555555)</f>
        <v>40606.705555555498</v>
      </c>
      <c r="H275" s="111">
        <f ca="1">IFERROR(__xludf.DUMMYFUNCTION("""COMPUTED_VALUE"""),29.08)</f>
        <v>29.08</v>
      </c>
      <c r="K275" s="112">
        <f ca="1">IFERROR(__xludf.DUMMYFUNCTION("""COMPUTED_VALUE"""),41109.7055555555)</f>
        <v>41109.705555555498</v>
      </c>
      <c r="L275" s="111">
        <f ca="1">IFERROR(__xludf.DUMMYFUNCTION("""COMPUTED_VALUE"""),0.3)</f>
        <v>0.3</v>
      </c>
      <c r="M275" s="112">
        <f ca="1">IFERROR(__xludf.DUMMYFUNCTION("""COMPUTED_VALUE"""),40582.7055555555)</f>
        <v>40582.705555555498</v>
      </c>
      <c r="N275" s="111">
        <f ca="1">IFERROR(__xludf.DUMMYFUNCTION("""COMPUTED_VALUE"""),11.88)</f>
        <v>11.88</v>
      </c>
      <c r="O275" s="112">
        <f ca="1">IFERROR(__xludf.DUMMYFUNCTION("""COMPUTED_VALUE"""),40606.7055555555)</f>
        <v>40606.705555555498</v>
      </c>
      <c r="P275" s="111">
        <f ca="1">IFERROR(__xludf.DUMMYFUNCTION("""COMPUTED_VALUE"""),55.65)</f>
        <v>55.65</v>
      </c>
      <c r="Q275" s="112">
        <f ca="1">IFERROR(__xludf.DUMMYFUNCTION("""COMPUTED_VALUE"""),40606.7055555555)</f>
        <v>40606.705555555498</v>
      </c>
      <c r="R275" s="111">
        <f ca="1">IFERROR(__xludf.DUMMYFUNCTION("""COMPUTED_VALUE"""),29.62)</f>
        <v>29.62</v>
      </c>
      <c r="S275" s="112">
        <f ca="1">IFERROR(__xludf.DUMMYFUNCTION("""COMPUTED_VALUE"""),40606.7055555555)</f>
        <v>40606.705555555498</v>
      </c>
      <c r="T275" s="111">
        <f ca="1">IFERROR(__xludf.DUMMYFUNCTION("""COMPUTED_VALUE"""),7.6)</f>
        <v>7.6</v>
      </c>
    </row>
    <row r="276" spans="1:20" x14ac:dyDescent="0.3">
      <c r="A276" s="112">
        <f ca="1">IFERROR(__xludf.DUMMYFUNCTION("""COMPUTED_VALUE"""),40612.7055555555)</f>
        <v>40612.705555555498</v>
      </c>
      <c r="B276" s="111">
        <f ca="1">IFERROR(__xludf.DUMMYFUNCTION("""COMPUTED_VALUE"""),23.51)</f>
        <v>23.51</v>
      </c>
      <c r="C276" s="112">
        <f ca="1">IFERROR(__xludf.DUMMYFUNCTION("""COMPUTED_VALUE"""),40612.7055555555)</f>
        <v>40612.705555555498</v>
      </c>
      <c r="D276" s="111">
        <f ca="1">IFERROR(__xludf.DUMMYFUNCTION("""COMPUTED_VALUE"""),17.44)</f>
        <v>17.440000000000001</v>
      </c>
      <c r="E276" s="112">
        <f ca="1">IFERROR(__xludf.DUMMYFUNCTION("""COMPUTED_VALUE"""),40612.7055555555)</f>
        <v>40612.705555555498</v>
      </c>
      <c r="F276" s="111">
        <f ca="1">IFERROR(__xludf.DUMMYFUNCTION("""COMPUTED_VALUE"""),7.4)</f>
        <v>7.4</v>
      </c>
      <c r="G276" s="112">
        <f ca="1">IFERROR(__xludf.DUMMYFUNCTION("""COMPUTED_VALUE"""),40612.7055555555)</f>
        <v>40612.705555555498</v>
      </c>
      <c r="H276" s="111">
        <f ca="1">IFERROR(__xludf.DUMMYFUNCTION("""COMPUTED_VALUE"""),28.12)</f>
        <v>28.12</v>
      </c>
      <c r="K276" s="112">
        <f ca="1">IFERROR(__xludf.DUMMYFUNCTION("""COMPUTED_VALUE"""),41110.7055555555)</f>
        <v>41110.705555555498</v>
      </c>
      <c r="L276" s="111">
        <f ca="1">IFERROR(__xludf.DUMMYFUNCTION("""COMPUTED_VALUE"""),0.3)</f>
        <v>0.3</v>
      </c>
      <c r="M276" s="112">
        <f ca="1">IFERROR(__xludf.DUMMYFUNCTION("""COMPUTED_VALUE"""),40583.7055555555)</f>
        <v>40583.705555555498</v>
      </c>
      <c r="N276" s="111">
        <f ca="1">IFERROR(__xludf.DUMMYFUNCTION("""COMPUTED_VALUE"""),11.65)</f>
        <v>11.65</v>
      </c>
      <c r="O276" s="112">
        <f ca="1">IFERROR(__xludf.DUMMYFUNCTION("""COMPUTED_VALUE"""),40612.7055555555)</f>
        <v>40612.705555555498</v>
      </c>
      <c r="P276" s="111">
        <f ca="1">IFERROR(__xludf.DUMMYFUNCTION("""COMPUTED_VALUE"""),52.1)</f>
        <v>52.1</v>
      </c>
      <c r="Q276" s="112">
        <f ca="1">IFERROR(__xludf.DUMMYFUNCTION("""COMPUTED_VALUE"""),40612.7055555555)</f>
        <v>40612.705555555498</v>
      </c>
      <c r="R276" s="111">
        <f ca="1">IFERROR(__xludf.DUMMYFUNCTION("""COMPUTED_VALUE"""),28.01)</f>
        <v>28.01</v>
      </c>
      <c r="S276" s="112">
        <f ca="1">IFERROR(__xludf.DUMMYFUNCTION("""COMPUTED_VALUE"""),40612.7055555555)</f>
        <v>40612.705555555498</v>
      </c>
      <c r="T276" s="111">
        <f ca="1">IFERROR(__xludf.DUMMYFUNCTION("""COMPUTED_VALUE"""),7.69)</f>
        <v>7.69</v>
      </c>
    </row>
    <row r="277" spans="1:20" x14ac:dyDescent="0.3">
      <c r="A277" s="112">
        <f ca="1">IFERROR(__xludf.DUMMYFUNCTION("""COMPUTED_VALUE"""),40613.7055555555)</f>
        <v>40613.705555555498</v>
      </c>
      <c r="B277" s="111">
        <f ca="1">IFERROR(__xludf.DUMMYFUNCTION("""COMPUTED_VALUE"""),23.82)</f>
        <v>23.82</v>
      </c>
      <c r="C277" s="112">
        <f ca="1">IFERROR(__xludf.DUMMYFUNCTION("""COMPUTED_VALUE"""),40613.7055555555)</f>
        <v>40613.705555555498</v>
      </c>
      <c r="D277" s="111">
        <f ca="1">IFERROR(__xludf.DUMMYFUNCTION("""COMPUTED_VALUE"""),17.87)</f>
        <v>17.87</v>
      </c>
      <c r="E277" s="112">
        <f ca="1">IFERROR(__xludf.DUMMYFUNCTION("""COMPUTED_VALUE"""),40613.7055555555)</f>
        <v>40613.705555555498</v>
      </c>
      <c r="F277" s="111">
        <f ca="1">IFERROR(__xludf.DUMMYFUNCTION("""COMPUTED_VALUE"""),7.57)</f>
        <v>7.57</v>
      </c>
      <c r="G277" s="112">
        <f ca="1">IFERROR(__xludf.DUMMYFUNCTION("""COMPUTED_VALUE"""),40613.7055555555)</f>
        <v>40613.705555555498</v>
      </c>
      <c r="H277" s="111">
        <f ca="1">IFERROR(__xludf.DUMMYFUNCTION("""COMPUTED_VALUE"""),28.17)</f>
        <v>28.17</v>
      </c>
      <c r="K277" s="112">
        <f ca="1">IFERROR(__xludf.DUMMYFUNCTION("""COMPUTED_VALUE"""),41113.7055555555)</f>
        <v>41113.705555555498</v>
      </c>
      <c r="L277" s="111">
        <f ca="1">IFERROR(__xludf.DUMMYFUNCTION("""COMPUTED_VALUE"""),0.3)</f>
        <v>0.3</v>
      </c>
      <c r="M277" s="112">
        <f ca="1">IFERROR(__xludf.DUMMYFUNCTION("""COMPUTED_VALUE"""),40584.7055555555)</f>
        <v>40584.705555555498</v>
      </c>
      <c r="N277" s="111">
        <f ca="1">IFERROR(__xludf.DUMMYFUNCTION("""COMPUTED_VALUE"""),11.68)</f>
        <v>11.68</v>
      </c>
      <c r="O277" s="112">
        <f ca="1">IFERROR(__xludf.DUMMYFUNCTION("""COMPUTED_VALUE"""),40613.7055555555)</f>
        <v>40613.705555555498</v>
      </c>
      <c r="P277" s="111">
        <f ca="1">IFERROR(__xludf.DUMMYFUNCTION("""COMPUTED_VALUE"""),52.82)</f>
        <v>52.82</v>
      </c>
      <c r="Q277" s="112">
        <f ca="1">IFERROR(__xludf.DUMMYFUNCTION("""COMPUTED_VALUE"""),40613.7055555555)</f>
        <v>40613.705555555498</v>
      </c>
      <c r="R277" s="111">
        <f ca="1">IFERROR(__xludf.DUMMYFUNCTION("""COMPUTED_VALUE"""),28.18)</f>
        <v>28.18</v>
      </c>
      <c r="S277" s="112">
        <f ca="1">IFERROR(__xludf.DUMMYFUNCTION("""COMPUTED_VALUE"""),40613.7055555555)</f>
        <v>40613.705555555498</v>
      </c>
      <c r="T277" s="111">
        <f ca="1">IFERROR(__xludf.DUMMYFUNCTION("""COMPUTED_VALUE"""),7.85)</f>
        <v>7.85</v>
      </c>
    </row>
    <row r="278" spans="1:20" x14ac:dyDescent="0.3">
      <c r="A278" s="112">
        <f ca="1">IFERROR(__xludf.DUMMYFUNCTION("""COMPUTED_VALUE"""),40616.7055555555)</f>
        <v>40616.705555555498</v>
      </c>
      <c r="B278" s="111">
        <f ca="1">IFERROR(__xludf.DUMMYFUNCTION("""COMPUTED_VALUE"""),24.18)</f>
        <v>24.18</v>
      </c>
      <c r="C278" s="112">
        <f ca="1">IFERROR(__xludf.DUMMYFUNCTION("""COMPUTED_VALUE"""),40616.7055555555)</f>
        <v>40616.705555555498</v>
      </c>
      <c r="D278" s="111">
        <f ca="1">IFERROR(__xludf.DUMMYFUNCTION("""COMPUTED_VALUE"""),17.96)</f>
        <v>17.96</v>
      </c>
      <c r="E278" s="112">
        <f ca="1">IFERROR(__xludf.DUMMYFUNCTION("""COMPUTED_VALUE"""),40616.7055555555)</f>
        <v>40616.705555555498</v>
      </c>
      <c r="F278" s="111">
        <f ca="1">IFERROR(__xludf.DUMMYFUNCTION("""COMPUTED_VALUE"""),7.61)</f>
        <v>7.61</v>
      </c>
      <c r="G278" s="112">
        <f ca="1">IFERROR(__xludf.DUMMYFUNCTION("""COMPUTED_VALUE"""),40616.7055555555)</f>
        <v>40616.705555555498</v>
      </c>
      <c r="H278" s="111">
        <f ca="1">IFERROR(__xludf.DUMMYFUNCTION("""COMPUTED_VALUE"""),28.28)</f>
        <v>28.28</v>
      </c>
      <c r="K278" s="112">
        <f ca="1">IFERROR(__xludf.DUMMYFUNCTION("""COMPUTED_VALUE"""),41114.7055555555)</f>
        <v>41114.705555555498</v>
      </c>
      <c r="L278" s="111">
        <f ca="1">IFERROR(__xludf.DUMMYFUNCTION("""COMPUTED_VALUE"""),0.29)</f>
        <v>0.28999999999999998</v>
      </c>
      <c r="M278" s="112">
        <f ca="1">IFERROR(__xludf.DUMMYFUNCTION("""COMPUTED_VALUE"""),40585.7055555555)</f>
        <v>40585.705555555498</v>
      </c>
      <c r="N278" s="111">
        <f ca="1">IFERROR(__xludf.DUMMYFUNCTION("""COMPUTED_VALUE"""),12.11)</f>
        <v>12.11</v>
      </c>
      <c r="O278" s="112">
        <f ca="1">IFERROR(__xludf.DUMMYFUNCTION("""COMPUTED_VALUE"""),40616.7055555555)</f>
        <v>40616.705555555498</v>
      </c>
      <c r="P278" s="111">
        <f ca="1">IFERROR(__xludf.DUMMYFUNCTION("""COMPUTED_VALUE"""),53)</f>
        <v>53</v>
      </c>
      <c r="Q278" s="112">
        <f ca="1">IFERROR(__xludf.DUMMYFUNCTION("""COMPUTED_VALUE"""),40616.7055555555)</f>
        <v>40616.705555555498</v>
      </c>
      <c r="R278" s="111">
        <f ca="1">IFERROR(__xludf.DUMMYFUNCTION("""COMPUTED_VALUE"""),28.5)</f>
        <v>28.5</v>
      </c>
      <c r="S278" s="112">
        <f ca="1">IFERROR(__xludf.DUMMYFUNCTION("""COMPUTED_VALUE"""),40616.7055555555)</f>
        <v>40616.705555555498</v>
      </c>
      <c r="T278" s="111">
        <f ca="1">IFERROR(__xludf.DUMMYFUNCTION("""COMPUTED_VALUE"""),8.04)</f>
        <v>8.0399999999999991</v>
      </c>
    </row>
    <row r="279" spans="1:20" x14ac:dyDescent="0.3">
      <c r="A279" s="112">
        <f ca="1">IFERROR(__xludf.DUMMYFUNCTION("""COMPUTED_VALUE"""),40617.7055555555)</f>
        <v>40617.705555555498</v>
      </c>
      <c r="B279" s="111">
        <f ca="1">IFERROR(__xludf.DUMMYFUNCTION("""COMPUTED_VALUE"""),23.91)</f>
        <v>23.91</v>
      </c>
      <c r="C279" s="112">
        <f ca="1">IFERROR(__xludf.DUMMYFUNCTION("""COMPUTED_VALUE"""),40617.7055555555)</f>
        <v>40617.705555555498</v>
      </c>
      <c r="D279" s="111">
        <f ca="1">IFERROR(__xludf.DUMMYFUNCTION("""COMPUTED_VALUE"""),18.17)</f>
        <v>18.170000000000002</v>
      </c>
      <c r="E279" s="112">
        <f ca="1">IFERROR(__xludf.DUMMYFUNCTION("""COMPUTED_VALUE"""),40617.7055555555)</f>
        <v>40617.705555555498</v>
      </c>
      <c r="F279" s="111">
        <f ca="1">IFERROR(__xludf.DUMMYFUNCTION("""COMPUTED_VALUE"""),7.71)</f>
        <v>7.71</v>
      </c>
      <c r="G279" s="112">
        <f ca="1">IFERROR(__xludf.DUMMYFUNCTION("""COMPUTED_VALUE"""),40617.7055555555)</f>
        <v>40617.705555555498</v>
      </c>
      <c r="H279" s="111">
        <f ca="1">IFERROR(__xludf.DUMMYFUNCTION("""COMPUTED_VALUE"""),28.04)</f>
        <v>28.04</v>
      </c>
      <c r="K279" s="112">
        <f ca="1">IFERROR(__xludf.DUMMYFUNCTION("""COMPUTED_VALUE"""),41115.7055555555)</f>
        <v>41115.705555555498</v>
      </c>
      <c r="L279" s="111">
        <f ca="1">IFERROR(__xludf.DUMMYFUNCTION("""COMPUTED_VALUE"""),0.29)</f>
        <v>0.28999999999999998</v>
      </c>
      <c r="M279" s="112">
        <f ca="1">IFERROR(__xludf.DUMMYFUNCTION("""COMPUTED_VALUE"""),40588.7055555555)</f>
        <v>40588.705555555498</v>
      </c>
      <c r="N279" s="111">
        <f ca="1">IFERROR(__xludf.DUMMYFUNCTION("""COMPUTED_VALUE"""),12.15)</f>
        <v>12.15</v>
      </c>
      <c r="O279" s="112">
        <f ca="1">IFERROR(__xludf.DUMMYFUNCTION("""COMPUTED_VALUE"""),40617.7055555555)</f>
        <v>40617.705555555498</v>
      </c>
      <c r="P279" s="111">
        <f ca="1">IFERROR(__xludf.DUMMYFUNCTION("""COMPUTED_VALUE"""),52.05)</f>
        <v>52.05</v>
      </c>
      <c r="Q279" s="112">
        <f ca="1">IFERROR(__xludf.DUMMYFUNCTION("""COMPUTED_VALUE"""),40617.7055555555)</f>
        <v>40617.705555555498</v>
      </c>
      <c r="R279" s="111">
        <f ca="1">IFERROR(__xludf.DUMMYFUNCTION("""COMPUTED_VALUE"""),28.83)</f>
        <v>28.83</v>
      </c>
      <c r="S279" s="112">
        <f ca="1">IFERROR(__xludf.DUMMYFUNCTION("""COMPUTED_VALUE"""),40617.7055555555)</f>
        <v>40617.705555555498</v>
      </c>
      <c r="T279" s="111">
        <f ca="1">IFERROR(__xludf.DUMMYFUNCTION("""COMPUTED_VALUE"""),7.95)</f>
        <v>7.95</v>
      </c>
    </row>
    <row r="280" spans="1:20" x14ac:dyDescent="0.3">
      <c r="A280" s="112">
        <f ca="1">IFERROR(__xludf.DUMMYFUNCTION("""COMPUTED_VALUE"""),40618.7055555555)</f>
        <v>40618.705555555498</v>
      </c>
      <c r="B280" s="111">
        <f ca="1">IFERROR(__xludf.DUMMYFUNCTION("""COMPUTED_VALUE"""),23.3)</f>
        <v>23.3</v>
      </c>
      <c r="C280" s="112">
        <f ca="1">IFERROR(__xludf.DUMMYFUNCTION("""COMPUTED_VALUE"""),40618.7055555555)</f>
        <v>40618.705555555498</v>
      </c>
      <c r="D280" s="111">
        <f ca="1">IFERROR(__xludf.DUMMYFUNCTION("""COMPUTED_VALUE"""),17.74)</f>
        <v>17.739999999999998</v>
      </c>
      <c r="E280" s="112">
        <f ca="1">IFERROR(__xludf.DUMMYFUNCTION("""COMPUTED_VALUE"""),40618.7055555555)</f>
        <v>40618.705555555498</v>
      </c>
      <c r="F280" s="111">
        <f ca="1">IFERROR(__xludf.DUMMYFUNCTION("""COMPUTED_VALUE"""),7.55)</f>
        <v>7.55</v>
      </c>
      <c r="G280" s="112">
        <f ca="1">IFERROR(__xludf.DUMMYFUNCTION("""COMPUTED_VALUE"""),40618.7055555555)</f>
        <v>40618.705555555498</v>
      </c>
      <c r="H280" s="111">
        <f ca="1">IFERROR(__xludf.DUMMYFUNCTION("""COMPUTED_VALUE"""),27.78)</f>
        <v>27.78</v>
      </c>
      <c r="K280" s="112">
        <f ca="1">IFERROR(__xludf.DUMMYFUNCTION("""COMPUTED_VALUE"""),41116.7055555555)</f>
        <v>41116.705555555498</v>
      </c>
      <c r="L280" s="111">
        <f ca="1">IFERROR(__xludf.DUMMYFUNCTION("""COMPUTED_VALUE"""),0.3)</f>
        <v>0.3</v>
      </c>
      <c r="M280" s="112">
        <f ca="1">IFERROR(__xludf.DUMMYFUNCTION("""COMPUTED_VALUE"""),40589.7055555555)</f>
        <v>40589.705555555498</v>
      </c>
      <c r="N280" s="111">
        <f ca="1">IFERROR(__xludf.DUMMYFUNCTION("""COMPUTED_VALUE"""),12.31)</f>
        <v>12.31</v>
      </c>
      <c r="O280" s="112">
        <f ca="1">IFERROR(__xludf.DUMMYFUNCTION("""COMPUTED_VALUE"""),40618.7055555555)</f>
        <v>40618.705555555498</v>
      </c>
      <c r="P280" s="111">
        <f ca="1">IFERROR(__xludf.DUMMYFUNCTION("""COMPUTED_VALUE"""),50.75)</f>
        <v>50.75</v>
      </c>
      <c r="Q280" s="112">
        <f ca="1">IFERROR(__xludf.DUMMYFUNCTION("""COMPUTED_VALUE"""),40618.7055555555)</f>
        <v>40618.705555555498</v>
      </c>
      <c r="R280" s="111">
        <f ca="1">IFERROR(__xludf.DUMMYFUNCTION("""COMPUTED_VALUE"""),28.15)</f>
        <v>28.15</v>
      </c>
      <c r="S280" s="112">
        <f ca="1">IFERROR(__xludf.DUMMYFUNCTION("""COMPUTED_VALUE"""),40618.7055555555)</f>
        <v>40618.705555555498</v>
      </c>
      <c r="T280" s="111">
        <f ca="1">IFERROR(__xludf.DUMMYFUNCTION("""COMPUTED_VALUE"""),8.07)</f>
        <v>8.07</v>
      </c>
    </row>
    <row r="281" spans="1:20" x14ac:dyDescent="0.3">
      <c r="A281" s="112">
        <f ca="1">IFERROR(__xludf.DUMMYFUNCTION("""COMPUTED_VALUE"""),40619.7055555555)</f>
        <v>40619.705555555498</v>
      </c>
      <c r="B281" s="111">
        <f ca="1">IFERROR(__xludf.DUMMYFUNCTION("""COMPUTED_VALUE"""),23.43)</f>
        <v>23.43</v>
      </c>
      <c r="C281" s="112">
        <f ca="1">IFERROR(__xludf.DUMMYFUNCTION("""COMPUTED_VALUE"""),40619.7055555555)</f>
        <v>40619.705555555498</v>
      </c>
      <c r="D281" s="111">
        <f ca="1">IFERROR(__xludf.DUMMYFUNCTION("""COMPUTED_VALUE"""),17.65)</f>
        <v>17.649999999999999</v>
      </c>
      <c r="E281" s="112">
        <f ca="1">IFERROR(__xludf.DUMMYFUNCTION("""COMPUTED_VALUE"""),40619.7055555555)</f>
        <v>40619.705555555498</v>
      </c>
      <c r="F281" s="111">
        <f ca="1">IFERROR(__xludf.DUMMYFUNCTION("""COMPUTED_VALUE"""),7.56)</f>
        <v>7.56</v>
      </c>
      <c r="G281" s="112">
        <f ca="1">IFERROR(__xludf.DUMMYFUNCTION("""COMPUTED_VALUE"""),40619.7055555555)</f>
        <v>40619.705555555498</v>
      </c>
      <c r="H281" s="111">
        <f ca="1">IFERROR(__xludf.DUMMYFUNCTION("""COMPUTED_VALUE"""),28.08)</f>
        <v>28.08</v>
      </c>
      <c r="K281" s="112">
        <f ca="1">IFERROR(__xludf.DUMMYFUNCTION("""COMPUTED_VALUE"""),41117.7055555555)</f>
        <v>41117.705555555498</v>
      </c>
      <c r="L281" s="111">
        <f ca="1">IFERROR(__xludf.DUMMYFUNCTION("""COMPUTED_VALUE"""),0.31)</f>
        <v>0.31</v>
      </c>
      <c r="M281" s="112">
        <f ca="1">IFERROR(__xludf.DUMMYFUNCTION("""COMPUTED_VALUE"""),40590.7055555555)</f>
        <v>40590.705555555498</v>
      </c>
      <c r="N281" s="111">
        <f ca="1">IFERROR(__xludf.DUMMYFUNCTION("""COMPUTED_VALUE"""),12.64)</f>
        <v>12.64</v>
      </c>
      <c r="O281" s="112">
        <f ca="1">IFERROR(__xludf.DUMMYFUNCTION("""COMPUTED_VALUE"""),40619.7055555555)</f>
        <v>40619.705555555498</v>
      </c>
      <c r="P281" s="111">
        <f ca="1">IFERROR(__xludf.DUMMYFUNCTION("""COMPUTED_VALUE"""),52.19)</f>
        <v>52.19</v>
      </c>
      <c r="Q281" s="112">
        <f ca="1">IFERROR(__xludf.DUMMYFUNCTION("""COMPUTED_VALUE"""),40619.7055555555)</f>
        <v>40619.705555555498</v>
      </c>
      <c r="R281" s="111">
        <f ca="1">IFERROR(__xludf.DUMMYFUNCTION("""COMPUTED_VALUE"""),28.1)</f>
        <v>28.1</v>
      </c>
      <c r="S281" s="112">
        <f ca="1">IFERROR(__xludf.DUMMYFUNCTION("""COMPUTED_VALUE"""),40619.7055555555)</f>
        <v>40619.705555555498</v>
      </c>
      <c r="T281" s="111">
        <f ca="1">IFERROR(__xludf.DUMMYFUNCTION("""COMPUTED_VALUE"""),8.05)</f>
        <v>8.0500000000000007</v>
      </c>
    </row>
    <row r="282" spans="1:20" x14ac:dyDescent="0.3">
      <c r="A282" s="112">
        <f ca="1">IFERROR(__xludf.DUMMYFUNCTION("""COMPUTED_VALUE"""),40620.7055555555)</f>
        <v>40620.705555555498</v>
      </c>
      <c r="B282" s="111">
        <f ca="1">IFERROR(__xludf.DUMMYFUNCTION("""COMPUTED_VALUE"""),23.74)</f>
        <v>23.74</v>
      </c>
      <c r="C282" s="112">
        <f ca="1">IFERROR(__xludf.DUMMYFUNCTION("""COMPUTED_VALUE"""),40620.7055555555)</f>
        <v>40620.705555555498</v>
      </c>
      <c r="D282" s="111">
        <f ca="1">IFERROR(__xludf.DUMMYFUNCTION("""COMPUTED_VALUE"""),18.02)</f>
        <v>18.02</v>
      </c>
      <c r="E282" s="112">
        <f ca="1">IFERROR(__xludf.DUMMYFUNCTION("""COMPUTED_VALUE"""),40620.7055555555)</f>
        <v>40620.705555555498</v>
      </c>
      <c r="F282" s="111">
        <f ca="1">IFERROR(__xludf.DUMMYFUNCTION("""COMPUTED_VALUE"""),7.7)</f>
        <v>7.7</v>
      </c>
      <c r="G282" s="112">
        <f ca="1">IFERROR(__xludf.DUMMYFUNCTION("""COMPUTED_VALUE"""),40620.7055555555)</f>
        <v>40620.705555555498</v>
      </c>
      <c r="H282" s="111">
        <f ca="1">IFERROR(__xludf.DUMMYFUNCTION("""COMPUTED_VALUE"""),27.9)</f>
        <v>27.9</v>
      </c>
      <c r="K282" s="112">
        <f ca="1">IFERROR(__xludf.DUMMYFUNCTION("""COMPUTED_VALUE"""),41120.7055555555)</f>
        <v>41120.705555555498</v>
      </c>
      <c r="L282" s="111">
        <f ca="1">IFERROR(__xludf.DUMMYFUNCTION("""COMPUTED_VALUE"""),0.32)</f>
        <v>0.32</v>
      </c>
      <c r="M282" s="112">
        <f ca="1">IFERROR(__xludf.DUMMYFUNCTION("""COMPUTED_VALUE"""),40591.7055555555)</f>
        <v>40591.705555555498</v>
      </c>
      <c r="N282" s="111">
        <f ca="1">IFERROR(__xludf.DUMMYFUNCTION("""COMPUTED_VALUE"""),12.65)</f>
        <v>12.65</v>
      </c>
      <c r="O282" s="112">
        <f ca="1">IFERROR(__xludf.DUMMYFUNCTION("""COMPUTED_VALUE"""),40620.7055555555)</f>
        <v>40620.705555555498</v>
      </c>
      <c r="P282" s="111">
        <f ca="1">IFERROR(__xludf.DUMMYFUNCTION("""COMPUTED_VALUE"""),52.88)</f>
        <v>52.88</v>
      </c>
      <c r="Q282" s="112">
        <f ca="1">IFERROR(__xludf.DUMMYFUNCTION("""COMPUTED_VALUE"""),40620.7055555555)</f>
        <v>40620.705555555498</v>
      </c>
      <c r="R282" s="111">
        <f ca="1">IFERROR(__xludf.DUMMYFUNCTION("""COMPUTED_VALUE"""),28.5)</f>
        <v>28.5</v>
      </c>
      <c r="S282" s="112">
        <f ca="1">IFERROR(__xludf.DUMMYFUNCTION("""COMPUTED_VALUE"""),40620.7055555555)</f>
        <v>40620.705555555498</v>
      </c>
      <c r="T282" s="111">
        <f ca="1">IFERROR(__xludf.DUMMYFUNCTION("""COMPUTED_VALUE"""),8.12)</f>
        <v>8.1199999999999992</v>
      </c>
    </row>
    <row r="283" spans="1:20" x14ac:dyDescent="0.3">
      <c r="A283" s="112">
        <f ca="1">IFERROR(__xludf.DUMMYFUNCTION("""COMPUTED_VALUE"""),40624.7055555555)</f>
        <v>40624.705555555498</v>
      </c>
      <c r="B283" s="111">
        <f ca="1">IFERROR(__xludf.DUMMYFUNCTION("""COMPUTED_VALUE"""),23.75)</f>
        <v>23.75</v>
      </c>
      <c r="C283" s="112">
        <f ca="1">IFERROR(__xludf.DUMMYFUNCTION("""COMPUTED_VALUE"""),40624.7055555555)</f>
        <v>40624.705555555498</v>
      </c>
      <c r="D283" s="111">
        <f ca="1">IFERROR(__xludf.DUMMYFUNCTION("""COMPUTED_VALUE"""),18.62)</f>
        <v>18.62</v>
      </c>
      <c r="E283" s="112">
        <f ca="1">IFERROR(__xludf.DUMMYFUNCTION("""COMPUTED_VALUE"""),40624.7055555555)</f>
        <v>40624.705555555498</v>
      </c>
      <c r="F283" s="111">
        <f ca="1">IFERROR(__xludf.DUMMYFUNCTION("""COMPUTED_VALUE"""),7.71)</f>
        <v>7.71</v>
      </c>
      <c r="G283" s="112">
        <f ca="1">IFERROR(__xludf.DUMMYFUNCTION("""COMPUTED_VALUE"""),40624.7055555555)</f>
        <v>40624.705555555498</v>
      </c>
      <c r="H283" s="111">
        <f ca="1">IFERROR(__xludf.DUMMYFUNCTION("""COMPUTED_VALUE"""),28.13)</f>
        <v>28.13</v>
      </c>
      <c r="K283" s="112">
        <f ca="1">IFERROR(__xludf.DUMMYFUNCTION("""COMPUTED_VALUE"""),41121.7055555555)</f>
        <v>41121.705555555498</v>
      </c>
      <c r="L283" s="111">
        <f ca="1">IFERROR(__xludf.DUMMYFUNCTION("""COMPUTED_VALUE"""),0.32)</f>
        <v>0.32</v>
      </c>
      <c r="M283" s="112">
        <f ca="1">IFERROR(__xludf.DUMMYFUNCTION("""COMPUTED_VALUE"""),40592.7055555555)</f>
        <v>40592.705555555498</v>
      </c>
      <c r="N283" s="111">
        <f ca="1">IFERROR(__xludf.DUMMYFUNCTION("""COMPUTED_VALUE"""),12.58)</f>
        <v>12.58</v>
      </c>
      <c r="O283" s="112">
        <f ca="1">IFERROR(__xludf.DUMMYFUNCTION("""COMPUTED_VALUE"""),40624.7055555555)</f>
        <v>40624.705555555498</v>
      </c>
      <c r="P283" s="111">
        <f ca="1">IFERROR(__xludf.DUMMYFUNCTION("""COMPUTED_VALUE"""),53)</f>
        <v>53</v>
      </c>
      <c r="Q283" s="112">
        <f ca="1">IFERROR(__xludf.DUMMYFUNCTION("""COMPUTED_VALUE"""),40624.7055555555)</f>
        <v>40624.705555555498</v>
      </c>
      <c r="R283" s="111">
        <f ca="1">IFERROR(__xludf.DUMMYFUNCTION("""COMPUTED_VALUE"""),28.54)</f>
        <v>28.54</v>
      </c>
      <c r="S283" s="112">
        <f ca="1">IFERROR(__xludf.DUMMYFUNCTION("""COMPUTED_VALUE"""),40624.7055555555)</f>
        <v>40624.705555555498</v>
      </c>
      <c r="T283" s="111">
        <f ca="1">IFERROR(__xludf.DUMMYFUNCTION("""COMPUTED_VALUE"""),8.12)</f>
        <v>8.1199999999999992</v>
      </c>
    </row>
    <row r="284" spans="1:20" x14ac:dyDescent="0.3">
      <c r="A284" s="112">
        <f ca="1">IFERROR(__xludf.DUMMYFUNCTION("""COMPUTED_VALUE"""),40625.7055555555)</f>
        <v>40625.705555555498</v>
      </c>
      <c r="B284" s="111">
        <f ca="1">IFERROR(__xludf.DUMMYFUNCTION("""COMPUTED_VALUE"""),24.17)</f>
        <v>24.17</v>
      </c>
      <c r="C284" s="112">
        <f ca="1">IFERROR(__xludf.DUMMYFUNCTION("""COMPUTED_VALUE"""),40625.7055555555)</f>
        <v>40625.705555555498</v>
      </c>
      <c r="D284" s="111">
        <f ca="1">IFERROR(__xludf.DUMMYFUNCTION("""COMPUTED_VALUE"""),18.42)</f>
        <v>18.420000000000002</v>
      </c>
      <c r="E284" s="112">
        <f ca="1">IFERROR(__xludf.DUMMYFUNCTION("""COMPUTED_VALUE"""),40625.7055555555)</f>
        <v>40625.705555555498</v>
      </c>
      <c r="F284" s="111">
        <f ca="1">IFERROR(__xludf.DUMMYFUNCTION("""COMPUTED_VALUE"""),7.88)</f>
        <v>7.88</v>
      </c>
      <c r="G284" s="112">
        <f ca="1">IFERROR(__xludf.DUMMYFUNCTION("""COMPUTED_VALUE"""),40625.7055555555)</f>
        <v>40625.705555555498</v>
      </c>
      <c r="H284" s="111">
        <f ca="1">IFERROR(__xludf.DUMMYFUNCTION("""COMPUTED_VALUE"""),28.62)</f>
        <v>28.62</v>
      </c>
      <c r="K284" s="112">
        <f ca="1">IFERROR(__xludf.DUMMYFUNCTION("""COMPUTED_VALUE"""),41122.7055555555)</f>
        <v>41122.705555555498</v>
      </c>
      <c r="L284" s="111">
        <f ca="1">IFERROR(__xludf.DUMMYFUNCTION("""COMPUTED_VALUE"""),0.33)</f>
        <v>0.33</v>
      </c>
      <c r="M284" s="112">
        <f ca="1">IFERROR(__xludf.DUMMYFUNCTION("""COMPUTED_VALUE"""),40595.7055555555)</f>
        <v>40595.705555555498</v>
      </c>
      <c r="N284" s="111">
        <f ca="1">IFERROR(__xludf.DUMMYFUNCTION("""COMPUTED_VALUE"""),12.42)</f>
        <v>12.42</v>
      </c>
      <c r="O284" s="112">
        <f ca="1">IFERROR(__xludf.DUMMYFUNCTION("""COMPUTED_VALUE"""),40625.7055555555)</f>
        <v>40625.705555555498</v>
      </c>
      <c r="P284" s="111">
        <f ca="1">IFERROR(__xludf.DUMMYFUNCTION("""COMPUTED_VALUE"""),53.49)</f>
        <v>53.49</v>
      </c>
      <c r="Q284" s="112">
        <f ca="1">IFERROR(__xludf.DUMMYFUNCTION("""COMPUTED_VALUE"""),40625.7055555555)</f>
        <v>40625.705555555498</v>
      </c>
      <c r="R284" s="111">
        <f ca="1">IFERROR(__xludf.DUMMYFUNCTION("""COMPUTED_VALUE"""),28.85)</f>
        <v>28.85</v>
      </c>
      <c r="S284" s="112">
        <f ca="1">IFERROR(__xludf.DUMMYFUNCTION("""COMPUTED_VALUE"""),40625.7055555555)</f>
        <v>40625.705555555498</v>
      </c>
      <c r="T284" s="111">
        <f ca="1">IFERROR(__xludf.DUMMYFUNCTION("""COMPUTED_VALUE"""),7.95)</f>
        <v>7.95</v>
      </c>
    </row>
    <row r="285" spans="1:20" x14ac:dyDescent="0.3">
      <c r="A285" s="112">
        <f ca="1">IFERROR(__xludf.DUMMYFUNCTION("""COMPUTED_VALUE"""),40627.7055555555)</f>
        <v>40627.705555555498</v>
      </c>
      <c r="B285" s="111">
        <f ca="1">IFERROR(__xludf.DUMMYFUNCTION("""COMPUTED_VALUE"""),24.38)</f>
        <v>24.38</v>
      </c>
      <c r="C285" s="112">
        <f ca="1">IFERROR(__xludf.DUMMYFUNCTION("""COMPUTED_VALUE"""),40627.7055555555)</f>
        <v>40627.705555555498</v>
      </c>
      <c r="D285" s="111">
        <f ca="1">IFERROR(__xludf.DUMMYFUNCTION("""COMPUTED_VALUE"""),18.45)</f>
        <v>18.45</v>
      </c>
      <c r="E285" s="112">
        <f ca="1">IFERROR(__xludf.DUMMYFUNCTION("""COMPUTED_VALUE"""),40627.7055555555)</f>
        <v>40627.705555555498</v>
      </c>
      <c r="F285" s="111">
        <f ca="1">IFERROR(__xludf.DUMMYFUNCTION("""COMPUTED_VALUE"""),7.9)</f>
        <v>7.9</v>
      </c>
      <c r="G285" s="112">
        <f ca="1">IFERROR(__xludf.DUMMYFUNCTION("""COMPUTED_VALUE"""),40627.7055555555)</f>
        <v>40627.705555555498</v>
      </c>
      <c r="H285" s="111">
        <f ca="1">IFERROR(__xludf.DUMMYFUNCTION("""COMPUTED_VALUE"""),28.43)</f>
        <v>28.43</v>
      </c>
      <c r="K285" s="112">
        <f ca="1">IFERROR(__xludf.DUMMYFUNCTION("""COMPUTED_VALUE"""),41123.7055555555)</f>
        <v>41123.705555555498</v>
      </c>
      <c r="L285" s="111">
        <f ca="1">IFERROR(__xludf.DUMMYFUNCTION("""COMPUTED_VALUE"""),0.33)</f>
        <v>0.33</v>
      </c>
      <c r="M285" s="112">
        <f ca="1">IFERROR(__xludf.DUMMYFUNCTION("""COMPUTED_VALUE"""),40596.7055555555)</f>
        <v>40596.705555555498</v>
      </c>
      <c r="N285" s="111">
        <f ca="1">IFERROR(__xludf.DUMMYFUNCTION("""COMPUTED_VALUE"""),12.11)</f>
        <v>12.11</v>
      </c>
      <c r="O285" s="112">
        <f ca="1">IFERROR(__xludf.DUMMYFUNCTION("""COMPUTED_VALUE"""),40627.7055555555)</f>
        <v>40627.705555555498</v>
      </c>
      <c r="P285" s="111">
        <f ca="1">IFERROR(__xludf.DUMMYFUNCTION("""COMPUTED_VALUE"""),52.85)</f>
        <v>52.85</v>
      </c>
      <c r="Q285" s="112">
        <f ca="1">IFERROR(__xludf.DUMMYFUNCTION("""COMPUTED_VALUE"""),40627.7055555555)</f>
        <v>40627.705555555498</v>
      </c>
      <c r="R285" s="111">
        <f ca="1">IFERROR(__xludf.DUMMYFUNCTION("""COMPUTED_VALUE"""),28.7)</f>
        <v>28.7</v>
      </c>
      <c r="S285" s="112">
        <f ca="1">IFERROR(__xludf.DUMMYFUNCTION("""COMPUTED_VALUE"""),40627.7055555555)</f>
        <v>40627.705555555498</v>
      </c>
      <c r="T285" s="111">
        <f ca="1">IFERROR(__xludf.DUMMYFUNCTION("""COMPUTED_VALUE"""),7.93)</f>
        <v>7.93</v>
      </c>
    </row>
    <row r="286" spans="1:20" x14ac:dyDescent="0.3">
      <c r="A286" s="112">
        <f ca="1">IFERROR(__xludf.DUMMYFUNCTION("""COMPUTED_VALUE"""),40630.7055555555)</f>
        <v>40630.705555555498</v>
      </c>
      <c r="B286" s="111">
        <f ca="1">IFERROR(__xludf.DUMMYFUNCTION("""COMPUTED_VALUE"""),23.98)</f>
        <v>23.98</v>
      </c>
      <c r="C286" s="112">
        <f ca="1">IFERROR(__xludf.DUMMYFUNCTION("""COMPUTED_VALUE"""),40630.7055555555)</f>
        <v>40630.705555555498</v>
      </c>
      <c r="D286" s="111">
        <f ca="1">IFERROR(__xludf.DUMMYFUNCTION("""COMPUTED_VALUE"""),18.45)</f>
        <v>18.45</v>
      </c>
      <c r="E286" s="112">
        <f ca="1">IFERROR(__xludf.DUMMYFUNCTION("""COMPUTED_VALUE"""),40630.7055555555)</f>
        <v>40630.705555555498</v>
      </c>
      <c r="F286" s="111">
        <f ca="1">IFERROR(__xludf.DUMMYFUNCTION("""COMPUTED_VALUE"""),7.89)</f>
        <v>7.89</v>
      </c>
      <c r="G286" s="112">
        <f ca="1">IFERROR(__xludf.DUMMYFUNCTION("""COMPUTED_VALUE"""),40630.7055555555)</f>
        <v>40630.705555555498</v>
      </c>
      <c r="H286" s="111">
        <f ca="1">IFERROR(__xludf.DUMMYFUNCTION("""COMPUTED_VALUE"""),28.35)</f>
        <v>28.35</v>
      </c>
      <c r="K286" s="112">
        <f ca="1">IFERROR(__xludf.DUMMYFUNCTION("""COMPUTED_VALUE"""),41124.7055555555)</f>
        <v>41124.705555555498</v>
      </c>
      <c r="L286" s="111">
        <f ca="1">IFERROR(__xludf.DUMMYFUNCTION("""COMPUTED_VALUE"""),0.33)</f>
        <v>0.33</v>
      </c>
      <c r="M286" s="112">
        <f ca="1">IFERROR(__xludf.DUMMYFUNCTION("""COMPUTED_VALUE"""),40597.7055555555)</f>
        <v>40597.705555555498</v>
      </c>
      <c r="N286" s="111">
        <f ca="1">IFERROR(__xludf.DUMMYFUNCTION("""COMPUTED_VALUE"""),12.15)</f>
        <v>12.15</v>
      </c>
      <c r="O286" s="112">
        <f ca="1">IFERROR(__xludf.DUMMYFUNCTION("""COMPUTED_VALUE"""),40630.7055555555)</f>
        <v>40630.705555555498</v>
      </c>
      <c r="P286" s="111">
        <f ca="1">IFERROR(__xludf.DUMMYFUNCTION("""COMPUTED_VALUE"""),52.51)</f>
        <v>52.51</v>
      </c>
      <c r="Q286" s="112">
        <f ca="1">IFERROR(__xludf.DUMMYFUNCTION("""COMPUTED_VALUE"""),40630.7055555555)</f>
        <v>40630.705555555498</v>
      </c>
      <c r="R286" s="111">
        <f ca="1">IFERROR(__xludf.DUMMYFUNCTION("""COMPUTED_VALUE"""),28.37)</f>
        <v>28.37</v>
      </c>
      <c r="S286" s="112">
        <f ca="1">IFERROR(__xludf.DUMMYFUNCTION("""COMPUTED_VALUE"""),40630.7055555555)</f>
        <v>40630.705555555498</v>
      </c>
      <c r="T286" s="111">
        <f ca="1">IFERROR(__xludf.DUMMYFUNCTION("""COMPUTED_VALUE"""),7.9)</f>
        <v>7.9</v>
      </c>
    </row>
    <row r="287" spans="1:20" x14ac:dyDescent="0.3">
      <c r="A287" s="112">
        <f ca="1">IFERROR(__xludf.DUMMYFUNCTION("""COMPUTED_VALUE"""),40632.7055555555)</f>
        <v>40632.705555555498</v>
      </c>
      <c r="B287" s="111">
        <f ca="1">IFERROR(__xludf.DUMMYFUNCTION("""COMPUTED_VALUE"""),24.03)</f>
        <v>24.03</v>
      </c>
      <c r="C287" s="112">
        <f ca="1">IFERROR(__xludf.DUMMYFUNCTION("""COMPUTED_VALUE"""),40632.7055555555)</f>
        <v>40632.705555555498</v>
      </c>
      <c r="D287" s="111">
        <f ca="1">IFERROR(__xludf.DUMMYFUNCTION("""COMPUTED_VALUE"""),18.32)</f>
        <v>18.32</v>
      </c>
      <c r="E287" s="112">
        <f ca="1">IFERROR(__xludf.DUMMYFUNCTION("""COMPUTED_VALUE"""),40632.7055555555)</f>
        <v>40632.705555555498</v>
      </c>
      <c r="F287" s="111">
        <f ca="1">IFERROR(__xludf.DUMMYFUNCTION("""COMPUTED_VALUE"""),7.86)</f>
        <v>7.86</v>
      </c>
      <c r="G287" s="112">
        <f ca="1">IFERROR(__xludf.DUMMYFUNCTION("""COMPUTED_VALUE"""),40632.7055555555)</f>
        <v>40632.705555555498</v>
      </c>
      <c r="H287" s="111">
        <f ca="1">IFERROR(__xludf.DUMMYFUNCTION("""COMPUTED_VALUE"""),28.35)</f>
        <v>28.35</v>
      </c>
      <c r="K287" s="112">
        <f ca="1">IFERROR(__xludf.DUMMYFUNCTION("""COMPUTED_VALUE"""),41127.7055555555)</f>
        <v>41127.705555555498</v>
      </c>
      <c r="L287" s="111">
        <f ca="1">IFERROR(__xludf.DUMMYFUNCTION("""COMPUTED_VALUE"""),0.35)</f>
        <v>0.35</v>
      </c>
      <c r="M287" s="112">
        <f ca="1">IFERROR(__xludf.DUMMYFUNCTION("""COMPUTED_VALUE"""),40598.7055555555)</f>
        <v>40598.705555555498</v>
      </c>
      <c r="N287" s="111">
        <f ca="1">IFERROR(__xludf.DUMMYFUNCTION("""COMPUTED_VALUE"""),12.22)</f>
        <v>12.22</v>
      </c>
      <c r="O287" s="112">
        <f ca="1">IFERROR(__xludf.DUMMYFUNCTION("""COMPUTED_VALUE"""),40632.7055555555)</f>
        <v>40632.705555555498</v>
      </c>
      <c r="P287" s="111">
        <f ca="1">IFERROR(__xludf.DUMMYFUNCTION("""COMPUTED_VALUE"""),53.59)</f>
        <v>53.59</v>
      </c>
      <c r="Q287" s="112">
        <f ca="1">IFERROR(__xludf.DUMMYFUNCTION("""COMPUTED_VALUE"""),40632.7055555555)</f>
        <v>40632.705555555498</v>
      </c>
      <c r="R287" s="111">
        <f ca="1">IFERROR(__xludf.DUMMYFUNCTION("""COMPUTED_VALUE"""),28.21)</f>
        <v>28.21</v>
      </c>
      <c r="S287" s="112">
        <f ca="1">IFERROR(__xludf.DUMMYFUNCTION("""COMPUTED_VALUE"""),40632.7055555555)</f>
        <v>40632.705555555498</v>
      </c>
      <c r="T287" s="111">
        <f ca="1">IFERROR(__xludf.DUMMYFUNCTION("""COMPUTED_VALUE"""),7.93)</f>
        <v>7.93</v>
      </c>
    </row>
    <row r="288" spans="1:20" x14ac:dyDescent="0.3">
      <c r="A288" s="112">
        <f ca="1">IFERROR(__xludf.DUMMYFUNCTION("""COMPUTED_VALUE"""),40633.7055555555)</f>
        <v>40633.705555555498</v>
      </c>
      <c r="B288" s="111">
        <f ca="1">IFERROR(__xludf.DUMMYFUNCTION("""COMPUTED_VALUE"""),24.13)</f>
        <v>24.13</v>
      </c>
      <c r="C288" s="112">
        <f ca="1">IFERROR(__xludf.DUMMYFUNCTION("""COMPUTED_VALUE"""),40633.7055555555)</f>
        <v>40633.705555555498</v>
      </c>
      <c r="D288" s="111">
        <f ca="1">IFERROR(__xludf.DUMMYFUNCTION("""COMPUTED_VALUE"""),18.84)</f>
        <v>18.84</v>
      </c>
      <c r="E288" s="112">
        <f ca="1">IFERROR(__xludf.DUMMYFUNCTION("""COMPUTED_VALUE"""),40633.7055555555)</f>
        <v>40633.705555555498</v>
      </c>
      <c r="F288" s="111">
        <f ca="1">IFERROR(__xludf.DUMMYFUNCTION("""COMPUTED_VALUE"""),8.05)</f>
        <v>8.0500000000000007</v>
      </c>
      <c r="G288" s="112">
        <f ca="1">IFERROR(__xludf.DUMMYFUNCTION("""COMPUTED_VALUE"""),40633.7055555555)</f>
        <v>40633.705555555498</v>
      </c>
      <c r="H288" s="111">
        <f ca="1">IFERROR(__xludf.DUMMYFUNCTION("""COMPUTED_VALUE"""),28.37)</f>
        <v>28.37</v>
      </c>
      <c r="K288" s="112">
        <f ca="1">IFERROR(__xludf.DUMMYFUNCTION("""COMPUTED_VALUE"""),41128.7055555555)</f>
        <v>41128.705555555498</v>
      </c>
      <c r="L288" s="111">
        <f ca="1">IFERROR(__xludf.DUMMYFUNCTION("""COMPUTED_VALUE"""),0.34)</f>
        <v>0.34</v>
      </c>
      <c r="M288" s="112">
        <f ca="1">IFERROR(__xludf.DUMMYFUNCTION("""COMPUTED_VALUE"""),40599.7055555555)</f>
        <v>40599.705555555498</v>
      </c>
      <c r="N288" s="111">
        <f ca="1">IFERROR(__xludf.DUMMYFUNCTION("""COMPUTED_VALUE"""),12.26)</f>
        <v>12.26</v>
      </c>
      <c r="O288" s="112">
        <f ca="1">IFERROR(__xludf.DUMMYFUNCTION("""COMPUTED_VALUE"""),40633.7055555555)</f>
        <v>40633.705555555498</v>
      </c>
      <c r="P288" s="111">
        <f ca="1">IFERROR(__xludf.DUMMYFUNCTION("""COMPUTED_VALUE"""),52.9)</f>
        <v>52.9</v>
      </c>
      <c r="Q288" s="112">
        <f ca="1">IFERROR(__xludf.DUMMYFUNCTION("""COMPUTED_VALUE"""),40633.7055555555)</f>
        <v>40633.705555555498</v>
      </c>
      <c r="R288" s="111">
        <f ca="1">IFERROR(__xludf.DUMMYFUNCTION("""COMPUTED_VALUE"""),28.83)</f>
        <v>28.83</v>
      </c>
      <c r="S288" s="112">
        <f ca="1">IFERROR(__xludf.DUMMYFUNCTION("""COMPUTED_VALUE"""),40633.7055555555)</f>
        <v>40633.705555555498</v>
      </c>
      <c r="T288" s="111">
        <f ca="1">IFERROR(__xludf.DUMMYFUNCTION("""COMPUTED_VALUE"""),7.99)</f>
        <v>7.99</v>
      </c>
    </row>
    <row r="289" spans="1:20" x14ac:dyDescent="0.3">
      <c r="A289" s="112">
        <f ca="1">IFERROR(__xludf.DUMMYFUNCTION("""COMPUTED_VALUE"""),40634.7055555555)</f>
        <v>40634.705555555498</v>
      </c>
      <c r="B289" s="111">
        <f ca="1">IFERROR(__xludf.DUMMYFUNCTION("""COMPUTED_VALUE"""),24.4)</f>
        <v>24.4</v>
      </c>
      <c r="C289" s="112">
        <f ca="1">IFERROR(__xludf.DUMMYFUNCTION("""COMPUTED_VALUE"""),40634.7055555555)</f>
        <v>40634.705555555498</v>
      </c>
      <c r="D289" s="111">
        <f ca="1">IFERROR(__xludf.DUMMYFUNCTION("""COMPUTED_VALUE"""),19.48)</f>
        <v>19.48</v>
      </c>
      <c r="E289" s="112">
        <f ca="1">IFERROR(__xludf.DUMMYFUNCTION("""COMPUTED_VALUE"""),40634.7055555555)</f>
        <v>40634.705555555498</v>
      </c>
      <c r="F289" s="111">
        <f ca="1">IFERROR(__xludf.DUMMYFUNCTION("""COMPUTED_VALUE"""),8.33)</f>
        <v>8.33</v>
      </c>
      <c r="G289" s="112">
        <f ca="1">IFERROR(__xludf.DUMMYFUNCTION("""COMPUTED_VALUE"""),40634.7055555555)</f>
        <v>40634.705555555498</v>
      </c>
      <c r="H289" s="111">
        <f ca="1">IFERROR(__xludf.DUMMYFUNCTION("""COMPUTED_VALUE"""),28.51)</f>
        <v>28.51</v>
      </c>
      <c r="K289" s="112">
        <f ca="1">IFERROR(__xludf.DUMMYFUNCTION("""COMPUTED_VALUE"""),41131.7055555555)</f>
        <v>41131.705555555498</v>
      </c>
      <c r="L289" s="111">
        <f ca="1">IFERROR(__xludf.DUMMYFUNCTION("""COMPUTED_VALUE"""),0.34)</f>
        <v>0.34</v>
      </c>
      <c r="M289" s="112">
        <f ca="1">IFERROR(__xludf.DUMMYFUNCTION("""COMPUTED_VALUE"""),40602.7055555555)</f>
        <v>40602.705555555498</v>
      </c>
      <c r="N289" s="111">
        <f ca="1">IFERROR(__xludf.DUMMYFUNCTION("""COMPUTED_VALUE"""),12.55)</f>
        <v>12.55</v>
      </c>
      <c r="O289" s="112">
        <f ca="1">IFERROR(__xludf.DUMMYFUNCTION("""COMPUTED_VALUE"""),40634.7055555555)</f>
        <v>40634.705555555498</v>
      </c>
      <c r="P289" s="111">
        <f ca="1">IFERROR(__xludf.DUMMYFUNCTION("""COMPUTED_VALUE"""),53.35)</f>
        <v>53.35</v>
      </c>
      <c r="Q289" s="112">
        <f ca="1">IFERROR(__xludf.DUMMYFUNCTION("""COMPUTED_VALUE"""),40634.7055555555)</f>
        <v>40634.705555555498</v>
      </c>
      <c r="R289" s="111">
        <f ca="1">IFERROR(__xludf.DUMMYFUNCTION("""COMPUTED_VALUE"""),29.55)</f>
        <v>29.55</v>
      </c>
      <c r="S289" s="112">
        <f ca="1">IFERROR(__xludf.DUMMYFUNCTION("""COMPUTED_VALUE"""),40634.7055555555)</f>
        <v>40634.705555555498</v>
      </c>
      <c r="T289" s="111">
        <f ca="1">IFERROR(__xludf.DUMMYFUNCTION("""COMPUTED_VALUE"""),7.95)</f>
        <v>7.95</v>
      </c>
    </row>
    <row r="290" spans="1:20" x14ac:dyDescent="0.3">
      <c r="A290" s="112">
        <f ca="1">IFERROR(__xludf.DUMMYFUNCTION("""COMPUTED_VALUE"""),40638.7055555555)</f>
        <v>40638.705555555498</v>
      </c>
      <c r="B290" s="111">
        <f ca="1">IFERROR(__xludf.DUMMYFUNCTION("""COMPUTED_VALUE"""),24.83)</f>
        <v>24.83</v>
      </c>
      <c r="C290" s="112">
        <f ca="1">IFERROR(__xludf.DUMMYFUNCTION("""COMPUTED_VALUE"""),40638.7055555555)</f>
        <v>40638.705555555498</v>
      </c>
      <c r="D290" s="111">
        <f ca="1">IFERROR(__xludf.DUMMYFUNCTION("""COMPUTED_VALUE"""),19.28)</f>
        <v>19.28</v>
      </c>
      <c r="E290" s="112">
        <f ca="1">IFERROR(__xludf.DUMMYFUNCTION("""COMPUTED_VALUE"""),40638.7055555555)</f>
        <v>40638.705555555498</v>
      </c>
      <c r="F290" s="111">
        <f ca="1">IFERROR(__xludf.DUMMYFUNCTION("""COMPUTED_VALUE"""),8.31)</f>
        <v>8.31</v>
      </c>
      <c r="G290" s="112">
        <f ca="1">IFERROR(__xludf.DUMMYFUNCTION("""COMPUTED_VALUE"""),40638.7055555555)</f>
        <v>40638.705555555498</v>
      </c>
      <c r="H290" s="111">
        <f ca="1">IFERROR(__xludf.DUMMYFUNCTION("""COMPUTED_VALUE"""),28.61)</f>
        <v>28.61</v>
      </c>
      <c r="K290" s="112">
        <f ca="1">IFERROR(__xludf.DUMMYFUNCTION("""COMPUTED_VALUE"""),41134.7055555555)</f>
        <v>41134.705555555498</v>
      </c>
      <c r="L290" s="111">
        <f ca="1">IFERROR(__xludf.DUMMYFUNCTION("""COMPUTED_VALUE"""),0.33)</f>
        <v>0.33</v>
      </c>
      <c r="M290" s="112">
        <f ca="1">IFERROR(__xludf.DUMMYFUNCTION("""COMPUTED_VALUE"""),40603.7055555555)</f>
        <v>40603.705555555498</v>
      </c>
      <c r="N290" s="111">
        <f ca="1">IFERROR(__xludf.DUMMYFUNCTION("""COMPUTED_VALUE"""),12.35)</f>
        <v>12.35</v>
      </c>
      <c r="O290" s="112">
        <f ca="1">IFERROR(__xludf.DUMMYFUNCTION("""COMPUTED_VALUE"""),40638.7055555555)</f>
        <v>40638.705555555498</v>
      </c>
      <c r="P290" s="111">
        <f ca="1">IFERROR(__xludf.DUMMYFUNCTION("""COMPUTED_VALUE"""),54.15)</f>
        <v>54.15</v>
      </c>
      <c r="Q290" s="112">
        <f ca="1">IFERROR(__xludf.DUMMYFUNCTION("""COMPUTED_VALUE"""),40638.7055555555)</f>
        <v>40638.705555555498</v>
      </c>
      <c r="R290" s="111">
        <f ca="1">IFERROR(__xludf.DUMMYFUNCTION("""COMPUTED_VALUE"""),29.9)</f>
        <v>29.9</v>
      </c>
      <c r="S290" s="112">
        <f ca="1">IFERROR(__xludf.DUMMYFUNCTION("""COMPUTED_VALUE"""),40638.7055555555)</f>
        <v>40638.705555555498</v>
      </c>
      <c r="T290" s="111">
        <f ca="1">IFERROR(__xludf.DUMMYFUNCTION("""COMPUTED_VALUE"""),8.43)</f>
        <v>8.43</v>
      </c>
    </row>
    <row r="291" spans="1:20" x14ac:dyDescent="0.3">
      <c r="A291" s="112">
        <f ca="1">IFERROR(__xludf.DUMMYFUNCTION("""COMPUTED_VALUE"""),40639.7055555555)</f>
        <v>40639.705555555498</v>
      </c>
      <c r="B291" s="111">
        <f ca="1">IFERROR(__xludf.DUMMYFUNCTION("""COMPUTED_VALUE"""),25.12)</f>
        <v>25.12</v>
      </c>
      <c r="C291" s="112">
        <f ca="1">IFERROR(__xludf.DUMMYFUNCTION("""COMPUTED_VALUE"""),40639.7055555555)</f>
        <v>40639.705555555498</v>
      </c>
      <c r="D291" s="111">
        <f ca="1">IFERROR(__xludf.DUMMYFUNCTION("""COMPUTED_VALUE"""),19.29)</f>
        <v>19.29</v>
      </c>
      <c r="E291" s="112">
        <f ca="1">IFERROR(__xludf.DUMMYFUNCTION("""COMPUTED_VALUE"""),40639.7055555555)</f>
        <v>40639.705555555498</v>
      </c>
      <c r="F291" s="111">
        <f ca="1">IFERROR(__xludf.DUMMYFUNCTION("""COMPUTED_VALUE"""),8.28)</f>
        <v>8.2799999999999994</v>
      </c>
      <c r="G291" s="112">
        <f ca="1">IFERROR(__xludf.DUMMYFUNCTION("""COMPUTED_VALUE"""),40639.7055555555)</f>
        <v>40639.705555555498</v>
      </c>
      <c r="H291" s="111">
        <f ca="1">IFERROR(__xludf.DUMMYFUNCTION("""COMPUTED_VALUE"""),28.37)</f>
        <v>28.37</v>
      </c>
      <c r="K291" s="112">
        <f ca="1">IFERROR(__xludf.DUMMYFUNCTION("""COMPUTED_VALUE"""),41135.7055555555)</f>
        <v>41135.705555555498</v>
      </c>
      <c r="L291" s="111">
        <f ca="1">IFERROR(__xludf.DUMMYFUNCTION("""COMPUTED_VALUE"""),0.35)</f>
        <v>0.35</v>
      </c>
      <c r="M291" s="112">
        <f ca="1">IFERROR(__xludf.DUMMYFUNCTION("""COMPUTED_VALUE"""),40604.7055555555)</f>
        <v>40604.705555555498</v>
      </c>
      <c r="N291" s="111">
        <f ca="1">IFERROR(__xludf.DUMMYFUNCTION("""COMPUTED_VALUE"""),12.34)</f>
        <v>12.34</v>
      </c>
      <c r="O291" s="112">
        <f ca="1">IFERROR(__xludf.DUMMYFUNCTION("""COMPUTED_VALUE"""),40639.7055555555)</f>
        <v>40639.705555555498</v>
      </c>
      <c r="P291" s="111">
        <f ca="1">IFERROR(__xludf.DUMMYFUNCTION("""COMPUTED_VALUE"""),54.4)</f>
        <v>54.4</v>
      </c>
      <c r="Q291" s="112">
        <f ca="1">IFERROR(__xludf.DUMMYFUNCTION("""COMPUTED_VALUE"""),40639.7055555555)</f>
        <v>40639.705555555498</v>
      </c>
      <c r="R291" s="111">
        <f ca="1">IFERROR(__xludf.DUMMYFUNCTION("""COMPUTED_VALUE"""),29.73)</f>
        <v>29.73</v>
      </c>
      <c r="S291" s="112">
        <f ca="1">IFERROR(__xludf.DUMMYFUNCTION("""COMPUTED_VALUE"""),40639.7055555555)</f>
        <v>40639.705555555498</v>
      </c>
      <c r="T291" s="111">
        <f ca="1">IFERROR(__xludf.DUMMYFUNCTION("""COMPUTED_VALUE"""),8.35)</f>
        <v>8.35</v>
      </c>
    </row>
    <row r="292" spans="1:20" x14ac:dyDescent="0.3">
      <c r="A292" s="112">
        <f ca="1">IFERROR(__xludf.DUMMYFUNCTION("""COMPUTED_VALUE"""),40640.7055555555)</f>
        <v>40640.705555555498</v>
      </c>
      <c r="B292" s="111">
        <f ca="1">IFERROR(__xludf.DUMMYFUNCTION("""COMPUTED_VALUE"""),24.97)</f>
        <v>24.97</v>
      </c>
      <c r="C292" s="112">
        <f ca="1">IFERROR(__xludf.DUMMYFUNCTION("""COMPUTED_VALUE"""),40640.7055555555)</f>
        <v>40640.705555555498</v>
      </c>
      <c r="D292" s="111">
        <f ca="1">IFERROR(__xludf.DUMMYFUNCTION("""COMPUTED_VALUE"""),19.26)</f>
        <v>19.260000000000002</v>
      </c>
      <c r="E292" s="112">
        <f ca="1">IFERROR(__xludf.DUMMYFUNCTION("""COMPUTED_VALUE"""),40640.7055555555)</f>
        <v>40640.705555555498</v>
      </c>
      <c r="F292" s="111">
        <f ca="1">IFERROR(__xludf.DUMMYFUNCTION("""COMPUTED_VALUE"""),8.24)</f>
        <v>8.24</v>
      </c>
      <c r="G292" s="112">
        <f ca="1">IFERROR(__xludf.DUMMYFUNCTION("""COMPUTED_VALUE"""),40640.7055555555)</f>
        <v>40640.705555555498</v>
      </c>
      <c r="H292" s="111">
        <f ca="1">IFERROR(__xludf.DUMMYFUNCTION("""COMPUTED_VALUE"""),28)</f>
        <v>28</v>
      </c>
      <c r="K292" s="112">
        <f ca="1">IFERROR(__xludf.DUMMYFUNCTION("""COMPUTED_VALUE"""),41136.7055555555)</f>
        <v>41136.705555555498</v>
      </c>
      <c r="L292" s="111">
        <f ca="1">IFERROR(__xludf.DUMMYFUNCTION("""COMPUTED_VALUE"""),0.34)</f>
        <v>0.34</v>
      </c>
      <c r="M292" s="112">
        <f ca="1">IFERROR(__xludf.DUMMYFUNCTION("""COMPUTED_VALUE"""),40605.7055555555)</f>
        <v>40605.705555555498</v>
      </c>
      <c r="N292" s="111">
        <f ca="1">IFERROR(__xludf.DUMMYFUNCTION("""COMPUTED_VALUE"""),12.55)</f>
        <v>12.55</v>
      </c>
      <c r="O292" s="112">
        <f ca="1">IFERROR(__xludf.DUMMYFUNCTION("""COMPUTED_VALUE"""),40640.7055555555)</f>
        <v>40640.705555555498</v>
      </c>
      <c r="P292" s="111">
        <f ca="1">IFERROR(__xludf.DUMMYFUNCTION("""COMPUTED_VALUE"""),53.11)</f>
        <v>53.11</v>
      </c>
      <c r="Q292" s="112">
        <f ca="1">IFERROR(__xludf.DUMMYFUNCTION("""COMPUTED_VALUE"""),40640.7055555555)</f>
        <v>40640.705555555498</v>
      </c>
      <c r="R292" s="111">
        <f ca="1">IFERROR(__xludf.DUMMYFUNCTION("""COMPUTED_VALUE"""),29.75)</f>
        <v>29.75</v>
      </c>
      <c r="S292" s="112">
        <f ca="1">IFERROR(__xludf.DUMMYFUNCTION("""COMPUTED_VALUE"""),40640.7055555555)</f>
        <v>40640.705555555498</v>
      </c>
      <c r="T292" s="111">
        <f ca="1">IFERROR(__xludf.DUMMYFUNCTION("""COMPUTED_VALUE"""),8.22)</f>
        <v>8.2200000000000006</v>
      </c>
    </row>
    <row r="293" spans="1:20" x14ac:dyDescent="0.3">
      <c r="A293" s="112">
        <f ca="1">IFERROR(__xludf.DUMMYFUNCTION("""COMPUTED_VALUE"""),40641.7055555555)</f>
        <v>40641.705555555498</v>
      </c>
      <c r="B293" s="111">
        <f ca="1">IFERROR(__xludf.DUMMYFUNCTION("""COMPUTED_VALUE"""),24.77)</f>
        <v>24.77</v>
      </c>
      <c r="C293" s="112">
        <f ca="1">IFERROR(__xludf.DUMMYFUNCTION("""COMPUTED_VALUE"""),40641.7055555555)</f>
        <v>40641.705555555498</v>
      </c>
      <c r="D293" s="111">
        <f ca="1">IFERROR(__xludf.DUMMYFUNCTION("""COMPUTED_VALUE"""),18.86)</f>
        <v>18.86</v>
      </c>
      <c r="E293" s="112">
        <f ca="1">IFERROR(__xludf.DUMMYFUNCTION("""COMPUTED_VALUE"""),40641.7055555555)</f>
        <v>40641.705555555498</v>
      </c>
      <c r="F293" s="111">
        <f ca="1">IFERROR(__xludf.DUMMYFUNCTION("""COMPUTED_VALUE"""),8.09)</f>
        <v>8.09</v>
      </c>
      <c r="G293" s="112">
        <f ca="1">IFERROR(__xludf.DUMMYFUNCTION("""COMPUTED_VALUE"""),40641.7055555555)</f>
        <v>40641.705555555498</v>
      </c>
      <c r="H293" s="111">
        <f ca="1">IFERROR(__xludf.DUMMYFUNCTION("""COMPUTED_VALUE"""),28.01)</f>
        <v>28.01</v>
      </c>
      <c r="K293" s="112">
        <f ca="1">IFERROR(__xludf.DUMMYFUNCTION("""COMPUTED_VALUE"""),41137.7055555555)</f>
        <v>41137.705555555498</v>
      </c>
      <c r="L293" s="111">
        <f ca="1">IFERROR(__xludf.DUMMYFUNCTION("""COMPUTED_VALUE"""),0.34)</f>
        <v>0.34</v>
      </c>
      <c r="M293" s="112">
        <f ca="1">IFERROR(__xludf.DUMMYFUNCTION("""COMPUTED_VALUE"""),40606.7055555555)</f>
        <v>40606.705555555498</v>
      </c>
      <c r="N293" s="111">
        <f ca="1">IFERROR(__xludf.DUMMYFUNCTION("""COMPUTED_VALUE"""),12.58)</f>
        <v>12.58</v>
      </c>
      <c r="O293" s="112">
        <f ca="1">IFERROR(__xludf.DUMMYFUNCTION("""COMPUTED_VALUE"""),40641.7055555555)</f>
        <v>40641.705555555498</v>
      </c>
      <c r="P293" s="111">
        <f ca="1">IFERROR(__xludf.DUMMYFUNCTION("""COMPUTED_VALUE"""),53)</f>
        <v>53</v>
      </c>
      <c r="Q293" s="112">
        <f ca="1">IFERROR(__xludf.DUMMYFUNCTION("""COMPUTED_VALUE"""),40641.7055555555)</f>
        <v>40641.705555555498</v>
      </c>
      <c r="R293" s="111">
        <f ca="1">IFERROR(__xludf.DUMMYFUNCTION("""COMPUTED_VALUE"""),29.39)</f>
        <v>29.39</v>
      </c>
      <c r="S293" s="112">
        <f ca="1">IFERROR(__xludf.DUMMYFUNCTION("""COMPUTED_VALUE"""),40641.7055555555)</f>
        <v>40641.705555555498</v>
      </c>
      <c r="T293" s="111">
        <f ca="1">IFERROR(__xludf.DUMMYFUNCTION("""COMPUTED_VALUE"""),8.1)</f>
        <v>8.1</v>
      </c>
    </row>
    <row r="294" spans="1:20" x14ac:dyDescent="0.3">
      <c r="A294" s="112">
        <f ca="1">IFERROR(__xludf.DUMMYFUNCTION("""COMPUTED_VALUE"""),40644.7055555555)</f>
        <v>40644.705555555498</v>
      </c>
      <c r="B294" s="111">
        <f ca="1">IFERROR(__xludf.DUMMYFUNCTION("""COMPUTED_VALUE"""),24.38)</f>
        <v>24.38</v>
      </c>
      <c r="C294" s="112">
        <f ca="1">IFERROR(__xludf.DUMMYFUNCTION("""COMPUTED_VALUE"""),40644.7055555555)</f>
        <v>40644.705555555498</v>
      </c>
      <c r="D294" s="111">
        <f ca="1">IFERROR(__xludf.DUMMYFUNCTION("""COMPUTED_VALUE"""),18.72)</f>
        <v>18.72</v>
      </c>
      <c r="E294" s="112">
        <f ca="1">IFERROR(__xludf.DUMMYFUNCTION("""COMPUTED_VALUE"""),40644.7055555555)</f>
        <v>40644.705555555498</v>
      </c>
      <c r="F294" s="111">
        <f ca="1">IFERROR(__xludf.DUMMYFUNCTION("""COMPUTED_VALUE"""),8.06)</f>
        <v>8.06</v>
      </c>
      <c r="G294" s="112">
        <f ca="1">IFERROR(__xludf.DUMMYFUNCTION("""COMPUTED_VALUE"""),40644.7055555555)</f>
        <v>40644.705555555498</v>
      </c>
      <c r="H294" s="111">
        <f ca="1">IFERROR(__xludf.DUMMYFUNCTION("""COMPUTED_VALUE"""),27.49)</f>
        <v>27.49</v>
      </c>
      <c r="K294" s="112">
        <f ca="1">IFERROR(__xludf.DUMMYFUNCTION("""COMPUTED_VALUE"""),41138.7055555555)</f>
        <v>41138.705555555498</v>
      </c>
      <c r="L294" s="111">
        <f ca="1">IFERROR(__xludf.DUMMYFUNCTION("""COMPUTED_VALUE"""),0.35)</f>
        <v>0.35</v>
      </c>
      <c r="M294" s="112">
        <f ca="1">IFERROR(__xludf.DUMMYFUNCTION("""COMPUTED_VALUE"""),40611.7055555555)</f>
        <v>40611.705555555498</v>
      </c>
      <c r="N294" s="111">
        <f ca="1">IFERROR(__xludf.DUMMYFUNCTION("""COMPUTED_VALUE"""),12.3)</f>
        <v>12.3</v>
      </c>
      <c r="O294" s="112">
        <f ca="1">IFERROR(__xludf.DUMMYFUNCTION("""COMPUTED_VALUE"""),40644.7055555555)</f>
        <v>40644.705555555498</v>
      </c>
      <c r="P294" s="111">
        <f ca="1">IFERROR(__xludf.DUMMYFUNCTION("""COMPUTED_VALUE"""),53.07)</f>
        <v>53.07</v>
      </c>
      <c r="Q294" s="112">
        <f ca="1">IFERROR(__xludf.DUMMYFUNCTION("""COMPUTED_VALUE"""),40644.7055555555)</f>
        <v>40644.705555555498</v>
      </c>
      <c r="R294" s="111">
        <f ca="1">IFERROR(__xludf.DUMMYFUNCTION("""COMPUTED_VALUE"""),29)</f>
        <v>29</v>
      </c>
      <c r="S294" s="112">
        <f ca="1">IFERROR(__xludf.DUMMYFUNCTION("""COMPUTED_VALUE"""),40644.7055555555)</f>
        <v>40644.705555555498</v>
      </c>
      <c r="T294" s="111">
        <f ca="1">IFERROR(__xludf.DUMMYFUNCTION("""COMPUTED_VALUE"""),8.18)</f>
        <v>8.18</v>
      </c>
    </row>
    <row r="295" spans="1:20" x14ac:dyDescent="0.3">
      <c r="A295" s="112">
        <f ca="1">IFERROR(__xludf.DUMMYFUNCTION("""COMPUTED_VALUE"""),40645.7055555555)</f>
        <v>40645.705555555498</v>
      </c>
      <c r="B295" s="111">
        <f ca="1">IFERROR(__xludf.DUMMYFUNCTION("""COMPUTED_VALUE"""),23.92)</f>
        <v>23.92</v>
      </c>
      <c r="C295" s="112">
        <f ca="1">IFERROR(__xludf.DUMMYFUNCTION("""COMPUTED_VALUE"""),40645.7055555555)</f>
        <v>40645.705555555498</v>
      </c>
      <c r="D295" s="111">
        <f ca="1">IFERROR(__xludf.DUMMYFUNCTION("""COMPUTED_VALUE"""),18.62)</f>
        <v>18.62</v>
      </c>
      <c r="E295" s="112">
        <f ca="1">IFERROR(__xludf.DUMMYFUNCTION("""COMPUTED_VALUE"""),40645.7055555555)</f>
        <v>40645.705555555498</v>
      </c>
      <c r="F295" s="111">
        <f ca="1">IFERROR(__xludf.DUMMYFUNCTION("""COMPUTED_VALUE"""),8.01)</f>
        <v>8.01</v>
      </c>
      <c r="G295" s="112">
        <f ca="1">IFERROR(__xludf.DUMMYFUNCTION("""COMPUTED_VALUE"""),40645.7055555555)</f>
        <v>40645.705555555498</v>
      </c>
      <c r="H295" s="111">
        <f ca="1">IFERROR(__xludf.DUMMYFUNCTION("""COMPUTED_VALUE"""),26.65)</f>
        <v>26.65</v>
      </c>
      <c r="K295" s="112">
        <f ca="1">IFERROR(__xludf.DUMMYFUNCTION("""COMPUTED_VALUE"""),41141.7055555555)</f>
        <v>41141.705555555498</v>
      </c>
      <c r="L295" s="111">
        <f ca="1">IFERROR(__xludf.DUMMYFUNCTION("""COMPUTED_VALUE"""),0.34)</f>
        <v>0.34</v>
      </c>
      <c r="M295" s="112">
        <f ca="1">IFERROR(__xludf.DUMMYFUNCTION("""COMPUTED_VALUE"""),40612.7055555555)</f>
        <v>40612.705555555498</v>
      </c>
      <c r="N295" s="111">
        <f ca="1">IFERROR(__xludf.DUMMYFUNCTION("""COMPUTED_VALUE"""),11.85)</f>
        <v>11.85</v>
      </c>
      <c r="O295" s="112">
        <f ca="1">IFERROR(__xludf.DUMMYFUNCTION("""COMPUTED_VALUE"""),40645.7055555555)</f>
        <v>40645.705555555498</v>
      </c>
      <c r="P295" s="111">
        <f ca="1">IFERROR(__xludf.DUMMYFUNCTION("""COMPUTED_VALUE"""),52)</f>
        <v>52</v>
      </c>
      <c r="Q295" s="112">
        <f ca="1">IFERROR(__xludf.DUMMYFUNCTION("""COMPUTED_VALUE"""),40645.7055555555)</f>
        <v>40645.705555555498</v>
      </c>
      <c r="R295" s="111">
        <f ca="1">IFERROR(__xludf.DUMMYFUNCTION("""COMPUTED_VALUE"""),28.37)</f>
        <v>28.37</v>
      </c>
      <c r="S295" s="112">
        <f ca="1">IFERROR(__xludf.DUMMYFUNCTION("""COMPUTED_VALUE"""),40645.7055555555)</f>
        <v>40645.705555555498</v>
      </c>
      <c r="T295" s="111">
        <f ca="1">IFERROR(__xludf.DUMMYFUNCTION("""COMPUTED_VALUE"""),8.09)</f>
        <v>8.09</v>
      </c>
    </row>
    <row r="296" spans="1:20" x14ac:dyDescent="0.3">
      <c r="A296" s="112">
        <f ca="1">IFERROR(__xludf.DUMMYFUNCTION("""COMPUTED_VALUE"""),40646.7055555555)</f>
        <v>40646.705555555498</v>
      </c>
      <c r="B296" s="111">
        <f ca="1">IFERROR(__xludf.DUMMYFUNCTION("""COMPUTED_VALUE"""),23.7)</f>
        <v>23.7</v>
      </c>
      <c r="C296" s="112">
        <f ca="1">IFERROR(__xludf.DUMMYFUNCTION("""COMPUTED_VALUE"""),40646.7055555555)</f>
        <v>40646.705555555498</v>
      </c>
      <c r="D296" s="111">
        <f ca="1">IFERROR(__xludf.DUMMYFUNCTION("""COMPUTED_VALUE"""),18.63)</f>
        <v>18.63</v>
      </c>
      <c r="E296" s="112">
        <f ca="1">IFERROR(__xludf.DUMMYFUNCTION("""COMPUTED_VALUE"""),40646.7055555555)</f>
        <v>40646.705555555498</v>
      </c>
      <c r="F296" s="111">
        <f ca="1">IFERROR(__xludf.DUMMYFUNCTION("""COMPUTED_VALUE"""),8.03)</f>
        <v>8.0299999999999994</v>
      </c>
      <c r="G296" s="112">
        <f ca="1">IFERROR(__xludf.DUMMYFUNCTION("""COMPUTED_VALUE"""),40646.7055555555)</f>
        <v>40646.705555555498</v>
      </c>
      <c r="H296" s="111">
        <f ca="1">IFERROR(__xludf.DUMMYFUNCTION("""COMPUTED_VALUE"""),26.15)</f>
        <v>26.15</v>
      </c>
      <c r="K296" s="112">
        <f ca="1">IFERROR(__xludf.DUMMYFUNCTION("""COMPUTED_VALUE"""),41142.7055555555)</f>
        <v>41142.705555555498</v>
      </c>
      <c r="L296" s="111">
        <f ca="1">IFERROR(__xludf.DUMMYFUNCTION("""COMPUTED_VALUE"""),0.34)</f>
        <v>0.34</v>
      </c>
      <c r="M296" s="112">
        <f ca="1">IFERROR(__xludf.DUMMYFUNCTION("""COMPUTED_VALUE"""),40613.7055555555)</f>
        <v>40613.705555555498</v>
      </c>
      <c r="N296" s="111">
        <f ca="1">IFERROR(__xludf.DUMMYFUNCTION("""COMPUTED_VALUE"""),11.95)</f>
        <v>11.95</v>
      </c>
      <c r="O296" s="112">
        <f ca="1">IFERROR(__xludf.DUMMYFUNCTION("""COMPUTED_VALUE"""),40646.7055555555)</f>
        <v>40646.705555555498</v>
      </c>
      <c r="P296" s="111">
        <f ca="1">IFERROR(__xludf.DUMMYFUNCTION("""COMPUTED_VALUE"""),51.25)</f>
        <v>51.25</v>
      </c>
      <c r="Q296" s="112">
        <f ca="1">IFERROR(__xludf.DUMMYFUNCTION("""COMPUTED_VALUE"""),40646.7055555555)</f>
        <v>40646.705555555498</v>
      </c>
      <c r="R296" s="111">
        <f ca="1">IFERROR(__xludf.DUMMYFUNCTION("""COMPUTED_VALUE"""),28.48)</f>
        <v>28.48</v>
      </c>
      <c r="S296" s="112">
        <f ca="1">IFERROR(__xludf.DUMMYFUNCTION("""COMPUTED_VALUE"""),40646.7055555555)</f>
        <v>40646.705555555498</v>
      </c>
      <c r="T296" s="111">
        <f ca="1">IFERROR(__xludf.DUMMYFUNCTION("""COMPUTED_VALUE"""),8.18)</f>
        <v>8.18</v>
      </c>
    </row>
    <row r="297" spans="1:20" x14ac:dyDescent="0.3">
      <c r="A297" s="112">
        <f ca="1">IFERROR(__xludf.DUMMYFUNCTION("""COMPUTED_VALUE"""),40647.7055555555)</f>
        <v>40647.705555555498</v>
      </c>
      <c r="B297" s="111">
        <f ca="1">IFERROR(__xludf.DUMMYFUNCTION("""COMPUTED_VALUE"""),23.67)</f>
        <v>23.67</v>
      </c>
      <c r="C297" s="112">
        <f ca="1">IFERROR(__xludf.DUMMYFUNCTION("""COMPUTED_VALUE"""),40647.7055555555)</f>
        <v>40647.705555555498</v>
      </c>
      <c r="D297" s="111">
        <f ca="1">IFERROR(__xludf.DUMMYFUNCTION("""COMPUTED_VALUE"""),18.45)</f>
        <v>18.45</v>
      </c>
      <c r="E297" s="112">
        <f ca="1">IFERROR(__xludf.DUMMYFUNCTION("""COMPUTED_VALUE"""),40647.7055555555)</f>
        <v>40647.705555555498</v>
      </c>
      <c r="F297" s="111">
        <f ca="1">IFERROR(__xludf.DUMMYFUNCTION("""COMPUTED_VALUE"""),7.88)</f>
        <v>7.88</v>
      </c>
      <c r="G297" s="112">
        <f ca="1">IFERROR(__xludf.DUMMYFUNCTION("""COMPUTED_VALUE"""),40647.7055555555)</f>
        <v>40647.705555555498</v>
      </c>
      <c r="H297" s="111">
        <f ca="1">IFERROR(__xludf.DUMMYFUNCTION("""COMPUTED_VALUE"""),25.98)</f>
        <v>25.98</v>
      </c>
      <c r="K297" s="112">
        <f ca="1">IFERROR(__xludf.DUMMYFUNCTION("""COMPUTED_VALUE"""),41143.7055555555)</f>
        <v>41143.705555555498</v>
      </c>
      <c r="L297" s="111">
        <f ca="1">IFERROR(__xludf.DUMMYFUNCTION("""COMPUTED_VALUE"""),0.34)</f>
        <v>0.34</v>
      </c>
      <c r="M297" s="112">
        <f ca="1">IFERROR(__xludf.DUMMYFUNCTION("""COMPUTED_VALUE"""),40616.7055555555)</f>
        <v>40616.705555555498</v>
      </c>
      <c r="N297" s="111">
        <f ca="1">IFERROR(__xludf.DUMMYFUNCTION("""COMPUTED_VALUE"""),12.03)</f>
        <v>12.03</v>
      </c>
      <c r="O297" s="112">
        <f ca="1">IFERROR(__xludf.DUMMYFUNCTION("""COMPUTED_VALUE"""),40647.7055555555)</f>
        <v>40647.705555555498</v>
      </c>
      <c r="P297" s="111">
        <f ca="1">IFERROR(__xludf.DUMMYFUNCTION("""COMPUTED_VALUE"""),51.28)</f>
        <v>51.28</v>
      </c>
      <c r="Q297" s="112">
        <f ca="1">IFERROR(__xludf.DUMMYFUNCTION("""COMPUTED_VALUE"""),40647.7055555555)</f>
        <v>40647.705555555498</v>
      </c>
      <c r="R297" s="111">
        <f ca="1">IFERROR(__xludf.DUMMYFUNCTION("""COMPUTED_VALUE"""),28.28)</f>
        <v>28.28</v>
      </c>
      <c r="S297" s="112">
        <f ca="1">IFERROR(__xludf.DUMMYFUNCTION("""COMPUTED_VALUE"""),40647.7055555555)</f>
        <v>40647.705555555498</v>
      </c>
      <c r="T297" s="111">
        <f ca="1">IFERROR(__xludf.DUMMYFUNCTION("""COMPUTED_VALUE"""),8.31)</f>
        <v>8.31</v>
      </c>
    </row>
    <row r="298" spans="1:20" x14ac:dyDescent="0.3">
      <c r="A298" s="112">
        <f ca="1">IFERROR(__xludf.DUMMYFUNCTION("""COMPUTED_VALUE"""),40648.7055555555)</f>
        <v>40648.705555555498</v>
      </c>
      <c r="B298" s="111">
        <f ca="1">IFERROR(__xludf.DUMMYFUNCTION("""COMPUTED_VALUE"""),23.59)</f>
        <v>23.59</v>
      </c>
      <c r="C298" s="112">
        <f ca="1">IFERROR(__xludf.DUMMYFUNCTION("""COMPUTED_VALUE"""),40648.7055555555)</f>
        <v>40648.705555555498</v>
      </c>
      <c r="D298" s="111">
        <f ca="1">IFERROR(__xludf.DUMMYFUNCTION("""COMPUTED_VALUE"""),18.52)</f>
        <v>18.52</v>
      </c>
      <c r="E298" s="112">
        <f ca="1">IFERROR(__xludf.DUMMYFUNCTION("""COMPUTED_VALUE"""),40648.7055555555)</f>
        <v>40648.705555555498</v>
      </c>
      <c r="F298" s="111">
        <f ca="1">IFERROR(__xludf.DUMMYFUNCTION("""COMPUTED_VALUE"""),7.92)</f>
        <v>7.92</v>
      </c>
      <c r="G298" s="112">
        <f ca="1">IFERROR(__xludf.DUMMYFUNCTION("""COMPUTED_VALUE"""),40648.7055555555)</f>
        <v>40648.705555555498</v>
      </c>
      <c r="H298" s="111">
        <f ca="1">IFERROR(__xludf.DUMMYFUNCTION("""COMPUTED_VALUE"""),26.53)</f>
        <v>26.53</v>
      </c>
      <c r="K298" s="112">
        <f ca="1">IFERROR(__xludf.DUMMYFUNCTION("""COMPUTED_VALUE"""),41144.7055555555)</f>
        <v>41144.705555555498</v>
      </c>
      <c r="L298" s="111">
        <f ca="1">IFERROR(__xludf.DUMMYFUNCTION("""COMPUTED_VALUE"""),0.34)</f>
        <v>0.34</v>
      </c>
      <c r="M298" s="112">
        <f ca="1">IFERROR(__xludf.DUMMYFUNCTION("""COMPUTED_VALUE"""),40617.7055555555)</f>
        <v>40617.705555555498</v>
      </c>
      <c r="N298" s="111">
        <f ca="1">IFERROR(__xludf.DUMMYFUNCTION("""COMPUTED_VALUE"""),12.15)</f>
        <v>12.15</v>
      </c>
      <c r="O298" s="112">
        <f ca="1">IFERROR(__xludf.DUMMYFUNCTION("""COMPUTED_VALUE"""),40648.7055555555)</f>
        <v>40648.705555555498</v>
      </c>
      <c r="P298" s="111">
        <f ca="1">IFERROR(__xludf.DUMMYFUNCTION("""COMPUTED_VALUE"""),51.15)</f>
        <v>51.15</v>
      </c>
      <c r="Q298" s="112">
        <f ca="1">IFERROR(__xludf.DUMMYFUNCTION("""COMPUTED_VALUE"""),40648.7055555555)</f>
        <v>40648.705555555498</v>
      </c>
      <c r="R298" s="111">
        <f ca="1">IFERROR(__xludf.DUMMYFUNCTION("""COMPUTED_VALUE"""),27.86)</f>
        <v>27.86</v>
      </c>
      <c r="S298" s="112">
        <f ca="1">IFERROR(__xludf.DUMMYFUNCTION("""COMPUTED_VALUE"""),40648.7055555555)</f>
        <v>40648.705555555498</v>
      </c>
      <c r="T298" s="111">
        <f ca="1">IFERROR(__xludf.DUMMYFUNCTION("""COMPUTED_VALUE"""),8.6)</f>
        <v>8.6</v>
      </c>
    </row>
    <row r="299" spans="1:20" x14ac:dyDescent="0.3">
      <c r="A299" s="112">
        <f ca="1">IFERROR(__xludf.DUMMYFUNCTION("""COMPUTED_VALUE"""),40651.7055555555)</f>
        <v>40651.705555555498</v>
      </c>
      <c r="B299" s="111">
        <f ca="1">IFERROR(__xludf.DUMMYFUNCTION("""COMPUTED_VALUE"""),23.61)</f>
        <v>23.61</v>
      </c>
      <c r="C299" s="112">
        <f ca="1">IFERROR(__xludf.DUMMYFUNCTION("""COMPUTED_VALUE"""),40652.7055555555)</f>
        <v>40652.705555555498</v>
      </c>
      <c r="D299" s="111">
        <f ca="1">IFERROR(__xludf.DUMMYFUNCTION("""COMPUTED_VALUE"""),18.66)</f>
        <v>18.66</v>
      </c>
      <c r="E299" s="112">
        <f ca="1">IFERROR(__xludf.DUMMYFUNCTION("""COMPUTED_VALUE"""),40651.7055555555)</f>
        <v>40651.705555555498</v>
      </c>
      <c r="F299" s="111">
        <f ca="1">IFERROR(__xludf.DUMMYFUNCTION("""COMPUTED_VALUE"""),7.85)</f>
        <v>7.85</v>
      </c>
      <c r="G299" s="112">
        <f ca="1">IFERROR(__xludf.DUMMYFUNCTION("""COMPUTED_VALUE"""),40652.7055555555)</f>
        <v>40652.705555555498</v>
      </c>
      <c r="H299" s="111">
        <f ca="1">IFERROR(__xludf.DUMMYFUNCTION("""COMPUTED_VALUE"""),25.73)</f>
        <v>25.73</v>
      </c>
      <c r="K299" s="112">
        <f ca="1">IFERROR(__xludf.DUMMYFUNCTION("""COMPUTED_VALUE"""),41145.7055555555)</f>
        <v>41145.705555555498</v>
      </c>
      <c r="L299" s="111">
        <f ca="1">IFERROR(__xludf.DUMMYFUNCTION("""COMPUTED_VALUE"""),0.35)</f>
        <v>0.35</v>
      </c>
      <c r="M299" s="112">
        <f ca="1">IFERROR(__xludf.DUMMYFUNCTION("""COMPUTED_VALUE"""),40618.7055555555)</f>
        <v>40618.705555555498</v>
      </c>
      <c r="N299" s="111">
        <f ca="1">IFERROR(__xludf.DUMMYFUNCTION("""COMPUTED_VALUE"""),11.92)</f>
        <v>11.92</v>
      </c>
      <c r="O299" s="112">
        <f ca="1">IFERROR(__xludf.DUMMYFUNCTION("""COMPUTED_VALUE"""),40651.7055555555)</f>
        <v>40651.705555555498</v>
      </c>
      <c r="P299" s="111">
        <f ca="1">IFERROR(__xludf.DUMMYFUNCTION("""COMPUTED_VALUE"""),50.64)</f>
        <v>50.64</v>
      </c>
      <c r="Q299" s="112">
        <f ca="1">IFERROR(__xludf.DUMMYFUNCTION("""COMPUTED_VALUE"""),40651.7055555555)</f>
        <v>40651.705555555498</v>
      </c>
      <c r="R299" s="111">
        <f ca="1">IFERROR(__xludf.DUMMYFUNCTION("""COMPUTED_VALUE"""),27.84)</f>
        <v>27.84</v>
      </c>
      <c r="S299" s="112">
        <f ca="1">IFERROR(__xludf.DUMMYFUNCTION("""COMPUTED_VALUE"""),40652.7055555555)</f>
        <v>40652.705555555498</v>
      </c>
      <c r="T299" s="111">
        <f ca="1">IFERROR(__xludf.DUMMYFUNCTION("""COMPUTED_VALUE"""),8.72)</f>
        <v>8.7200000000000006</v>
      </c>
    </row>
    <row r="300" spans="1:20" x14ac:dyDescent="0.3">
      <c r="A300" s="112">
        <f ca="1">IFERROR(__xludf.DUMMYFUNCTION("""COMPUTED_VALUE"""),40652.7055555555)</f>
        <v>40652.705555555498</v>
      </c>
      <c r="B300" s="111">
        <f ca="1">IFERROR(__xludf.DUMMYFUNCTION("""COMPUTED_VALUE"""),23.54)</f>
        <v>23.54</v>
      </c>
      <c r="C300" s="112">
        <f ca="1">IFERROR(__xludf.DUMMYFUNCTION("""COMPUTED_VALUE"""),40653.7055555555)</f>
        <v>40653.705555555498</v>
      </c>
      <c r="D300" s="111">
        <f ca="1">IFERROR(__xludf.DUMMYFUNCTION("""COMPUTED_VALUE"""),18.98)</f>
        <v>18.98</v>
      </c>
      <c r="E300" s="112">
        <f ca="1">IFERROR(__xludf.DUMMYFUNCTION("""COMPUTED_VALUE"""),40652.7055555555)</f>
        <v>40652.705555555498</v>
      </c>
      <c r="F300" s="111">
        <f ca="1">IFERROR(__xludf.DUMMYFUNCTION("""COMPUTED_VALUE"""),7.96)</f>
        <v>7.96</v>
      </c>
      <c r="G300" s="112">
        <f ca="1">IFERROR(__xludf.DUMMYFUNCTION("""COMPUTED_VALUE"""),40653.7055555555)</f>
        <v>40653.705555555498</v>
      </c>
      <c r="H300" s="111">
        <f ca="1">IFERROR(__xludf.DUMMYFUNCTION("""COMPUTED_VALUE"""),26.29)</f>
        <v>26.29</v>
      </c>
      <c r="K300" s="112">
        <f ca="1">IFERROR(__xludf.DUMMYFUNCTION("""COMPUTED_VALUE"""),41148.7055555555)</f>
        <v>41148.705555555498</v>
      </c>
      <c r="L300" s="111">
        <f ca="1">IFERROR(__xludf.DUMMYFUNCTION("""COMPUTED_VALUE"""),0.36)</f>
        <v>0.36</v>
      </c>
      <c r="M300" s="112">
        <f ca="1">IFERROR(__xludf.DUMMYFUNCTION("""COMPUTED_VALUE"""),40619.7055555555)</f>
        <v>40619.705555555498</v>
      </c>
      <c r="N300" s="111">
        <f ca="1">IFERROR(__xludf.DUMMYFUNCTION("""COMPUTED_VALUE"""),11.92)</f>
        <v>11.92</v>
      </c>
      <c r="O300" s="112">
        <f ca="1">IFERROR(__xludf.DUMMYFUNCTION("""COMPUTED_VALUE"""),40652.7055555555)</f>
        <v>40652.705555555498</v>
      </c>
      <c r="P300" s="111">
        <f ca="1">IFERROR(__xludf.DUMMYFUNCTION("""COMPUTED_VALUE"""),51.1)</f>
        <v>51.1</v>
      </c>
      <c r="Q300" s="112">
        <f ca="1">IFERROR(__xludf.DUMMYFUNCTION("""COMPUTED_VALUE"""),40652.7055555555)</f>
        <v>40652.705555555498</v>
      </c>
      <c r="R300" s="111">
        <f ca="1">IFERROR(__xludf.DUMMYFUNCTION("""COMPUTED_VALUE"""),28.15)</f>
        <v>28.15</v>
      </c>
      <c r="S300" s="112">
        <f ca="1">IFERROR(__xludf.DUMMYFUNCTION("""COMPUTED_VALUE"""),40653.7055555555)</f>
        <v>40653.705555555498</v>
      </c>
      <c r="T300" s="111">
        <f ca="1">IFERROR(__xludf.DUMMYFUNCTION("""COMPUTED_VALUE"""),8.78)</f>
        <v>8.7799999999999994</v>
      </c>
    </row>
    <row r="301" spans="1:20" x14ac:dyDescent="0.3">
      <c r="A301" s="112">
        <f ca="1">IFERROR(__xludf.DUMMYFUNCTION("""COMPUTED_VALUE"""),40653.7055555555)</f>
        <v>40653.705555555498</v>
      </c>
      <c r="B301" s="111">
        <f ca="1">IFERROR(__xludf.DUMMYFUNCTION("""COMPUTED_VALUE"""),23.55)</f>
        <v>23.55</v>
      </c>
      <c r="C301" s="112">
        <f ca="1">IFERROR(__xludf.DUMMYFUNCTION("""COMPUTED_VALUE"""),40658.7055555555)</f>
        <v>40658.705555555498</v>
      </c>
      <c r="D301" s="111">
        <f ca="1">IFERROR(__xludf.DUMMYFUNCTION("""COMPUTED_VALUE"""),18.92)</f>
        <v>18.920000000000002</v>
      </c>
      <c r="E301" s="112">
        <f ca="1">IFERROR(__xludf.DUMMYFUNCTION("""COMPUTED_VALUE"""),40653.7055555555)</f>
        <v>40653.705555555498</v>
      </c>
      <c r="F301" s="111">
        <f ca="1">IFERROR(__xludf.DUMMYFUNCTION("""COMPUTED_VALUE"""),8.12)</f>
        <v>8.1199999999999992</v>
      </c>
      <c r="G301" s="112">
        <f ca="1">IFERROR(__xludf.DUMMYFUNCTION("""COMPUTED_VALUE"""),40658.7055555555)</f>
        <v>40658.705555555498</v>
      </c>
      <c r="H301" s="111">
        <f ca="1">IFERROR(__xludf.DUMMYFUNCTION("""COMPUTED_VALUE"""),26.18)</f>
        <v>26.18</v>
      </c>
      <c r="K301" s="112">
        <f ca="1">IFERROR(__xludf.DUMMYFUNCTION("""COMPUTED_VALUE"""),41149.7055555555)</f>
        <v>41149.705555555498</v>
      </c>
      <c r="L301" s="111">
        <f ca="1">IFERROR(__xludf.DUMMYFUNCTION("""COMPUTED_VALUE"""),0.37)</f>
        <v>0.37</v>
      </c>
      <c r="M301" s="112">
        <f ca="1">IFERROR(__xludf.DUMMYFUNCTION("""COMPUTED_VALUE"""),40620.7055555555)</f>
        <v>40620.705555555498</v>
      </c>
      <c r="N301" s="111">
        <f ca="1">IFERROR(__xludf.DUMMYFUNCTION("""COMPUTED_VALUE"""),12.07)</f>
        <v>12.07</v>
      </c>
      <c r="O301" s="112">
        <f ca="1">IFERROR(__xludf.DUMMYFUNCTION("""COMPUTED_VALUE"""),40653.7055555555)</f>
        <v>40653.705555555498</v>
      </c>
      <c r="P301" s="111">
        <f ca="1">IFERROR(__xludf.DUMMYFUNCTION("""COMPUTED_VALUE"""),52.03)</f>
        <v>52.03</v>
      </c>
      <c r="Q301" s="112">
        <f ca="1">IFERROR(__xludf.DUMMYFUNCTION("""COMPUTED_VALUE"""),40653.7055555555)</f>
        <v>40653.705555555498</v>
      </c>
      <c r="R301" s="111">
        <f ca="1">IFERROR(__xludf.DUMMYFUNCTION("""COMPUTED_VALUE"""),29.03)</f>
        <v>29.03</v>
      </c>
      <c r="S301" s="112">
        <f ca="1">IFERROR(__xludf.DUMMYFUNCTION("""COMPUTED_VALUE"""),40658.7055555555)</f>
        <v>40658.705555555498</v>
      </c>
      <c r="T301" s="111">
        <f ca="1">IFERROR(__xludf.DUMMYFUNCTION("""COMPUTED_VALUE"""),8.75)</f>
        <v>8.75</v>
      </c>
    </row>
    <row r="302" spans="1:20" x14ac:dyDescent="0.3">
      <c r="A302" s="112">
        <f ca="1">IFERROR(__xludf.DUMMYFUNCTION("""COMPUTED_VALUE"""),40658.7055555555)</f>
        <v>40658.705555555498</v>
      </c>
      <c r="B302" s="111">
        <f ca="1">IFERROR(__xludf.DUMMYFUNCTION("""COMPUTED_VALUE"""),23.28)</f>
        <v>23.28</v>
      </c>
      <c r="C302" s="112">
        <f ca="1">IFERROR(__xludf.DUMMYFUNCTION("""COMPUTED_VALUE"""),40659.7055555555)</f>
        <v>40659.705555555498</v>
      </c>
      <c r="D302" s="111">
        <f ca="1">IFERROR(__xludf.DUMMYFUNCTION("""COMPUTED_VALUE"""),19.12)</f>
        <v>19.12</v>
      </c>
      <c r="E302" s="112">
        <f ca="1">IFERROR(__xludf.DUMMYFUNCTION("""COMPUTED_VALUE"""),40658.7055555555)</f>
        <v>40658.705555555498</v>
      </c>
      <c r="F302" s="111">
        <f ca="1">IFERROR(__xludf.DUMMYFUNCTION("""COMPUTED_VALUE"""),8.06)</f>
        <v>8.06</v>
      </c>
      <c r="G302" s="112">
        <f ca="1">IFERROR(__xludf.DUMMYFUNCTION("""COMPUTED_VALUE"""),40659.7055555555)</f>
        <v>40659.705555555498</v>
      </c>
      <c r="H302" s="111">
        <f ca="1">IFERROR(__xludf.DUMMYFUNCTION("""COMPUTED_VALUE"""),26.2)</f>
        <v>26.2</v>
      </c>
      <c r="K302" s="112">
        <f ca="1">IFERROR(__xludf.DUMMYFUNCTION("""COMPUTED_VALUE"""),41150.7055555555)</f>
        <v>41150.705555555498</v>
      </c>
      <c r="L302" s="111">
        <f ca="1">IFERROR(__xludf.DUMMYFUNCTION("""COMPUTED_VALUE"""),0.35)</f>
        <v>0.35</v>
      </c>
      <c r="M302" s="112">
        <f ca="1">IFERROR(__xludf.DUMMYFUNCTION("""COMPUTED_VALUE"""),40623.7055555555)</f>
        <v>40623.705555555498</v>
      </c>
      <c r="N302" s="111">
        <f ca="1">IFERROR(__xludf.DUMMYFUNCTION("""COMPUTED_VALUE"""),12.18)</f>
        <v>12.18</v>
      </c>
      <c r="O302" s="112">
        <f ca="1">IFERROR(__xludf.DUMMYFUNCTION("""COMPUTED_VALUE"""),40658.7055555555)</f>
        <v>40658.705555555498</v>
      </c>
      <c r="P302" s="111">
        <f ca="1">IFERROR(__xludf.DUMMYFUNCTION("""COMPUTED_VALUE"""),52.54)</f>
        <v>52.54</v>
      </c>
      <c r="Q302" s="112">
        <f ca="1">IFERROR(__xludf.DUMMYFUNCTION("""COMPUTED_VALUE"""),40658.7055555555)</f>
        <v>40658.705555555498</v>
      </c>
      <c r="R302" s="111">
        <f ca="1">IFERROR(__xludf.DUMMYFUNCTION("""COMPUTED_VALUE"""),29)</f>
        <v>29</v>
      </c>
      <c r="S302" s="112">
        <f ca="1">IFERROR(__xludf.DUMMYFUNCTION("""COMPUTED_VALUE"""),40659.7055555555)</f>
        <v>40659.705555555498</v>
      </c>
      <c r="T302" s="111">
        <f ca="1">IFERROR(__xludf.DUMMYFUNCTION("""COMPUTED_VALUE"""),8.72)</f>
        <v>8.7200000000000006</v>
      </c>
    </row>
    <row r="303" spans="1:20" x14ac:dyDescent="0.3">
      <c r="A303" s="112">
        <f ca="1">IFERROR(__xludf.DUMMYFUNCTION("""COMPUTED_VALUE"""),40659.7055555555)</f>
        <v>40659.705555555498</v>
      </c>
      <c r="B303" s="111">
        <f ca="1">IFERROR(__xludf.DUMMYFUNCTION("""COMPUTED_VALUE"""),23.37)</f>
        <v>23.37</v>
      </c>
      <c r="C303" s="112">
        <f ca="1">IFERROR(__xludf.DUMMYFUNCTION("""COMPUTED_VALUE"""),40660.7055555555)</f>
        <v>40660.705555555498</v>
      </c>
      <c r="D303" s="111">
        <f ca="1">IFERROR(__xludf.DUMMYFUNCTION("""COMPUTED_VALUE"""),18.86)</f>
        <v>18.86</v>
      </c>
      <c r="E303" s="112">
        <f ca="1">IFERROR(__xludf.DUMMYFUNCTION("""COMPUTED_VALUE"""),40659.7055555555)</f>
        <v>40659.705555555498</v>
      </c>
      <c r="F303" s="111">
        <f ca="1">IFERROR(__xludf.DUMMYFUNCTION("""COMPUTED_VALUE"""),8.15)</f>
        <v>8.15</v>
      </c>
      <c r="G303" s="112">
        <f ca="1">IFERROR(__xludf.DUMMYFUNCTION("""COMPUTED_VALUE"""),40660.7055555555)</f>
        <v>40660.705555555498</v>
      </c>
      <c r="H303" s="111">
        <f ca="1">IFERROR(__xludf.DUMMYFUNCTION("""COMPUTED_VALUE"""),25.74)</f>
        <v>25.74</v>
      </c>
      <c r="K303" s="112">
        <f ca="1">IFERROR(__xludf.DUMMYFUNCTION("""COMPUTED_VALUE"""),41151.7055555555)</f>
        <v>41151.705555555498</v>
      </c>
      <c r="L303" s="111">
        <f ca="1">IFERROR(__xludf.DUMMYFUNCTION("""COMPUTED_VALUE"""),0.34)</f>
        <v>0.34</v>
      </c>
      <c r="M303" s="112">
        <f ca="1">IFERROR(__xludf.DUMMYFUNCTION("""COMPUTED_VALUE"""),40624.7055555555)</f>
        <v>40624.705555555498</v>
      </c>
      <c r="N303" s="111">
        <f ca="1">IFERROR(__xludf.DUMMYFUNCTION("""COMPUTED_VALUE"""),12.58)</f>
        <v>12.58</v>
      </c>
      <c r="O303" s="112">
        <f ca="1">IFERROR(__xludf.DUMMYFUNCTION("""COMPUTED_VALUE"""),40659.7055555555)</f>
        <v>40659.705555555498</v>
      </c>
      <c r="P303" s="111">
        <f ca="1">IFERROR(__xludf.DUMMYFUNCTION("""COMPUTED_VALUE"""),52.58)</f>
        <v>52.58</v>
      </c>
      <c r="Q303" s="112">
        <f ca="1">IFERROR(__xludf.DUMMYFUNCTION("""COMPUTED_VALUE"""),40659.7055555555)</f>
        <v>40659.705555555498</v>
      </c>
      <c r="R303" s="111">
        <f ca="1">IFERROR(__xludf.DUMMYFUNCTION("""COMPUTED_VALUE"""),29.4)</f>
        <v>29.4</v>
      </c>
      <c r="S303" s="112">
        <f ca="1">IFERROR(__xludf.DUMMYFUNCTION("""COMPUTED_VALUE"""),40660.7055555555)</f>
        <v>40660.705555555498</v>
      </c>
      <c r="T303" s="111">
        <f ca="1">IFERROR(__xludf.DUMMYFUNCTION("""COMPUTED_VALUE"""),8.69)</f>
        <v>8.69</v>
      </c>
    </row>
    <row r="304" spans="1:20" x14ac:dyDescent="0.3">
      <c r="A304" s="112">
        <f ca="1">IFERROR(__xludf.DUMMYFUNCTION("""COMPUTED_VALUE"""),40660.7055555555)</f>
        <v>40660.705555555498</v>
      </c>
      <c r="B304" s="111">
        <f ca="1">IFERROR(__xludf.DUMMYFUNCTION("""COMPUTED_VALUE"""),22.97)</f>
        <v>22.97</v>
      </c>
      <c r="C304" s="112">
        <f ca="1">IFERROR(__xludf.DUMMYFUNCTION("""COMPUTED_VALUE"""),40661.7055555555)</f>
        <v>40661.705555555498</v>
      </c>
      <c r="D304" s="111">
        <f ca="1">IFERROR(__xludf.DUMMYFUNCTION("""COMPUTED_VALUE"""),18.35)</f>
        <v>18.350000000000001</v>
      </c>
      <c r="E304" s="112">
        <f ca="1">IFERROR(__xludf.DUMMYFUNCTION("""COMPUTED_VALUE"""),40660.7055555555)</f>
        <v>40660.705555555498</v>
      </c>
      <c r="F304" s="111">
        <f ca="1">IFERROR(__xludf.DUMMYFUNCTION("""COMPUTED_VALUE"""),8)</f>
        <v>8</v>
      </c>
      <c r="G304" s="112">
        <f ca="1">IFERROR(__xludf.DUMMYFUNCTION("""COMPUTED_VALUE"""),40661.7055555555)</f>
        <v>40661.705555555498</v>
      </c>
      <c r="H304" s="111">
        <f ca="1">IFERROR(__xludf.DUMMYFUNCTION("""COMPUTED_VALUE"""),25.45)</f>
        <v>25.45</v>
      </c>
      <c r="K304" s="112">
        <f ca="1">IFERROR(__xludf.DUMMYFUNCTION("""COMPUTED_VALUE"""),41152.7055555555)</f>
        <v>41152.705555555498</v>
      </c>
      <c r="L304" s="111">
        <f ca="1">IFERROR(__xludf.DUMMYFUNCTION("""COMPUTED_VALUE"""),0.35)</f>
        <v>0.35</v>
      </c>
      <c r="M304" s="112">
        <f ca="1">IFERROR(__xludf.DUMMYFUNCTION("""COMPUTED_VALUE"""),40625.7055555555)</f>
        <v>40625.705555555498</v>
      </c>
      <c r="N304" s="111">
        <f ca="1">IFERROR(__xludf.DUMMYFUNCTION("""COMPUTED_VALUE"""),12.42)</f>
        <v>12.42</v>
      </c>
      <c r="O304" s="112">
        <f ca="1">IFERROR(__xludf.DUMMYFUNCTION("""COMPUTED_VALUE"""),40660.7055555555)</f>
        <v>40660.705555555498</v>
      </c>
      <c r="P304" s="111">
        <f ca="1">IFERROR(__xludf.DUMMYFUNCTION("""COMPUTED_VALUE"""),51.9)</f>
        <v>51.9</v>
      </c>
      <c r="Q304" s="112">
        <f ca="1">IFERROR(__xludf.DUMMYFUNCTION("""COMPUTED_VALUE"""),40660.7055555555)</f>
        <v>40660.705555555498</v>
      </c>
      <c r="R304" s="111">
        <f ca="1">IFERROR(__xludf.DUMMYFUNCTION("""COMPUTED_VALUE"""),29.4)</f>
        <v>29.4</v>
      </c>
      <c r="S304" s="112">
        <f ca="1">IFERROR(__xludf.DUMMYFUNCTION("""COMPUTED_VALUE"""),40661.7055555555)</f>
        <v>40661.705555555498</v>
      </c>
      <c r="T304" s="111">
        <f ca="1">IFERROR(__xludf.DUMMYFUNCTION("""COMPUTED_VALUE"""),8.48)</f>
        <v>8.48</v>
      </c>
    </row>
    <row r="305" spans="1:20" x14ac:dyDescent="0.3">
      <c r="A305" s="112">
        <f ca="1">IFERROR(__xludf.DUMMYFUNCTION("""COMPUTED_VALUE"""),40661.7055555555)</f>
        <v>40661.705555555498</v>
      </c>
      <c r="B305" s="111">
        <f ca="1">IFERROR(__xludf.DUMMYFUNCTION("""COMPUTED_VALUE"""),22.81)</f>
        <v>22.81</v>
      </c>
      <c r="C305" s="112">
        <f ca="1">IFERROR(__xludf.DUMMYFUNCTION("""COMPUTED_VALUE"""),40662.7055555555)</f>
        <v>40662.705555555498</v>
      </c>
      <c r="D305" s="111">
        <f ca="1">IFERROR(__xludf.DUMMYFUNCTION("""COMPUTED_VALUE"""),18.58)</f>
        <v>18.579999999999998</v>
      </c>
      <c r="E305" s="112">
        <f ca="1">IFERROR(__xludf.DUMMYFUNCTION("""COMPUTED_VALUE"""),40661.7055555555)</f>
        <v>40661.705555555498</v>
      </c>
      <c r="F305" s="111">
        <f ca="1">IFERROR(__xludf.DUMMYFUNCTION("""COMPUTED_VALUE"""),7.81)</f>
        <v>7.81</v>
      </c>
      <c r="G305" s="112">
        <f ca="1">IFERROR(__xludf.DUMMYFUNCTION("""COMPUTED_VALUE"""),40662.7055555555)</f>
        <v>40662.705555555498</v>
      </c>
      <c r="H305" s="111">
        <f ca="1">IFERROR(__xludf.DUMMYFUNCTION("""COMPUTED_VALUE"""),25.6)</f>
        <v>25.6</v>
      </c>
      <c r="K305" s="112">
        <f ca="1">IFERROR(__xludf.DUMMYFUNCTION("""COMPUTED_VALUE"""),41155.7055555555)</f>
        <v>41155.705555555498</v>
      </c>
      <c r="L305" s="111">
        <f ca="1">IFERROR(__xludf.DUMMYFUNCTION("""COMPUTED_VALUE"""),0.35)</f>
        <v>0.35</v>
      </c>
      <c r="M305" s="112">
        <f ca="1">IFERROR(__xludf.DUMMYFUNCTION("""COMPUTED_VALUE"""),40626.7055555555)</f>
        <v>40626.705555555498</v>
      </c>
      <c r="N305" s="111">
        <f ca="1">IFERROR(__xludf.DUMMYFUNCTION("""COMPUTED_VALUE"""),12.41)</f>
        <v>12.41</v>
      </c>
      <c r="O305" s="112">
        <f ca="1">IFERROR(__xludf.DUMMYFUNCTION("""COMPUTED_VALUE"""),40661.7055555555)</f>
        <v>40661.705555555498</v>
      </c>
      <c r="P305" s="111">
        <f ca="1">IFERROR(__xludf.DUMMYFUNCTION("""COMPUTED_VALUE"""),51.5)</f>
        <v>51.5</v>
      </c>
      <c r="Q305" s="112">
        <f ca="1">IFERROR(__xludf.DUMMYFUNCTION("""COMPUTED_VALUE"""),40661.7055555555)</f>
        <v>40661.705555555498</v>
      </c>
      <c r="R305" s="111">
        <f ca="1">IFERROR(__xludf.DUMMYFUNCTION("""COMPUTED_VALUE"""),28.7)</f>
        <v>28.7</v>
      </c>
      <c r="S305" s="112">
        <f ca="1">IFERROR(__xludf.DUMMYFUNCTION("""COMPUTED_VALUE"""),40662.7055555555)</f>
        <v>40662.705555555498</v>
      </c>
      <c r="T305" s="111">
        <f ca="1">IFERROR(__xludf.DUMMYFUNCTION("""COMPUTED_VALUE"""),8.72)</f>
        <v>8.7200000000000006</v>
      </c>
    </row>
    <row r="306" spans="1:20" x14ac:dyDescent="0.3">
      <c r="A306" s="112">
        <f ca="1">IFERROR(__xludf.DUMMYFUNCTION("""COMPUTED_VALUE"""),40662.7055555555)</f>
        <v>40662.705555555498</v>
      </c>
      <c r="B306" s="111">
        <f ca="1">IFERROR(__xludf.DUMMYFUNCTION("""COMPUTED_VALUE"""),22.65)</f>
        <v>22.65</v>
      </c>
      <c r="C306" s="112">
        <f ca="1">IFERROR(__xludf.DUMMYFUNCTION("""COMPUTED_VALUE"""),40665.7055555555)</f>
        <v>40665.705555555498</v>
      </c>
      <c r="D306" s="111">
        <f ca="1">IFERROR(__xludf.DUMMYFUNCTION("""COMPUTED_VALUE"""),18.31)</f>
        <v>18.309999999999999</v>
      </c>
      <c r="E306" s="112">
        <f ca="1">IFERROR(__xludf.DUMMYFUNCTION("""COMPUTED_VALUE"""),40662.7055555555)</f>
        <v>40662.705555555498</v>
      </c>
      <c r="F306" s="111">
        <f ca="1">IFERROR(__xludf.DUMMYFUNCTION("""COMPUTED_VALUE"""),7.9)</f>
        <v>7.9</v>
      </c>
      <c r="G306" s="112">
        <f ca="1">IFERROR(__xludf.DUMMYFUNCTION("""COMPUTED_VALUE"""),40665.7055555555)</f>
        <v>40665.705555555498</v>
      </c>
      <c r="H306" s="111">
        <f ca="1">IFERROR(__xludf.DUMMYFUNCTION("""COMPUTED_VALUE"""),25.73)</f>
        <v>25.73</v>
      </c>
      <c r="K306" s="112">
        <f ca="1">IFERROR(__xludf.DUMMYFUNCTION("""COMPUTED_VALUE"""),41157.7055555555)</f>
        <v>41157.705555555498</v>
      </c>
      <c r="L306" s="111">
        <f ca="1">IFERROR(__xludf.DUMMYFUNCTION("""COMPUTED_VALUE"""),0.36)</f>
        <v>0.36</v>
      </c>
      <c r="M306" s="112">
        <f ca="1">IFERROR(__xludf.DUMMYFUNCTION("""COMPUTED_VALUE"""),40627.7055555555)</f>
        <v>40627.705555555498</v>
      </c>
      <c r="N306" s="111">
        <f ca="1">IFERROR(__xludf.DUMMYFUNCTION("""COMPUTED_VALUE"""),12.39)</f>
        <v>12.39</v>
      </c>
      <c r="O306" s="112">
        <f ca="1">IFERROR(__xludf.DUMMYFUNCTION("""COMPUTED_VALUE"""),40662.7055555555)</f>
        <v>40662.705555555498</v>
      </c>
      <c r="P306" s="111">
        <f ca="1">IFERROR(__xludf.DUMMYFUNCTION("""COMPUTED_VALUE"""),51.79)</f>
        <v>51.79</v>
      </c>
      <c r="Q306" s="112">
        <f ca="1">IFERROR(__xludf.DUMMYFUNCTION("""COMPUTED_VALUE"""),40662.7055555555)</f>
        <v>40662.705555555498</v>
      </c>
      <c r="R306" s="111">
        <f ca="1">IFERROR(__xludf.DUMMYFUNCTION("""COMPUTED_VALUE"""),28.99)</f>
        <v>28.99</v>
      </c>
      <c r="S306" s="112">
        <f ca="1">IFERROR(__xludf.DUMMYFUNCTION("""COMPUTED_VALUE"""),40665.7055555555)</f>
        <v>40665.705555555498</v>
      </c>
      <c r="T306" s="111">
        <f ca="1">IFERROR(__xludf.DUMMYFUNCTION("""COMPUTED_VALUE"""),8.74)</f>
        <v>8.74</v>
      </c>
    </row>
    <row r="307" spans="1:20" x14ac:dyDescent="0.3">
      <c r="A307" s="112">
        <f ca="1">IFERROR(__xludf.DUMMYFUNCTION("""COMPUTED_VALUE"""),40665.7055555555)</f>
        <v>40665.705555555498</v>
      </c>
      <c r="B307" s="111">
        <f ca="1">IFERROR(__xludf.DUMMYFUNCTION("""COMPUTED_VALUE"""),22.1)</f>
        <v>22.1</v>
      </c>
      <c r="C307" s="112">
        <f ca="1">IFERROR(__xludf.DUMMYFUNCTION("""COMPUTED_VALUE"""),40666.7055555555)</f>
        <v>40666.705555555498</v>
      </c>
      <c r="D307" s="111">
        <f ca="1">IFERROR(__xludf.DUMMYFUNCTION("""COMPUTED_VALUE"""),17.68)</f>
        <v>17.68</v>
      </c>
      <c r="E307" s="112">
        <f ca="1">IFERROR(__xludf.DUMMYFUNCTION("""COMPUTED_VALUE"""),40665.7055555555)</f>
        <v>40665.705555555498</v>
      </c>
      <c r="F307" s="111">
        <f ca="1">IFERROR(__xludf.DUMMYFUNCTION("""COMPUTED_VALUE"""),7.77)</f>
        <v>7.77</v>
      </c>
      <c r="G307" s="112">
        <f ca="1">IFERROR(__xludf.DUMMYFUNCTION("""COMPUTED_VALUE"""),40666.7055555555)</f>
        <v>40666.705555555498</v>
      </c>
      <c r="H307" s="111">
        <f ca="1">IFERROR(__xludf.DUMMYFUNCTION("""COMPUTED_VALUE"""),25.45)</f>
        <v>25.45</v>
      </c>
      <c r="K307" s="112">
        <f ca="1">IFERROR(__xludf.DUMMYFUNCTION("""COMPUTED_VALUE"""),41158.7055555555)</f>
        <v>41158.705555555498</v>
      </c>
      <c r="L307" s="111">
        <f ca="1">IFERROR(__xludf.DUMMYFUNCTION("""COMPUTED_VALUE"""),0.38)</f>
        <v>0.38</v>
      </c>
      <c r="M307" s="112">
        <f ca="1">IFERROR(__xludf.DUMMYFUNCTION("""COMPUTED_VALUE"""),40630.7055555555)</f>
        <v>40630.705555555498</v>
      </c>
      <c r="N307" s="111">
        <f ca="1">IFERROR(__xludf.DUMMYFUNCTION("""COMPUTED_VALUE"""),12.35)</f>
        <v>12.35</v>
      </c>
      <c r="O307" s="112">
        <f ca="1">IFERROR(__xludf.DUMMYFUNCTION("""COMPUTED_VALUE"""),40665.7055555555)</f>
        <v>40665.705555555498</v>
      </c>
      <c r="P307" s="111">
        <f ca="1">IFERROR(__xludf.DUMMYFUNCTION("""COMPUTED_VALUE"""),51.22)</f>
        <v>51.22</v>
      </c>
      <c r="Q307" s="112">
        <f ca="1">IFERROR(__xludf.DUMMYFUNCTION("""COMPUTED_VALUE"""),40665.7055555555)</f>
        <v>40665.705555555498</v>
      </c>
      <c r="R307" s="111">
        <f ca="1">IFERROR(__xludf.DUMMYFUNCTION("""COMPUTED_VALUE"""),28.89)</f>
        <v>28.89</v>
      </c>
      <c r="S307" s="112">
        <f ca="1">IFERROR(__xludf.DUMMYFUNCTION("""COMPUTED_VALUE"""),40666.7055555555)</f>
        <v>40666.705555555498</v>
      </c>
      <c r="T307" s="111">
        <f ca="1">IFERROR(__xludf.DUMMYFUNCTION("""COMPUTED_VALUE"""),8.54)</f>
        <v>8.5399999999999991</v>
      </c>
    </row>
    <row r="308" spans="1:20" x14ac:dyDescent="0.3">
      <c r="A308" s="112">
        <f ca="1">IFERROR(__xludf.DUMMYFUNCTION("""COMPUTED_VALUE"""),40666.7055555555)</f>
        <v>40666.705555555498</v>
      </c>
      <c r="B308" s="111">
        <f ca="1">IFERROR(__xludf.DUMMYFUNCTION("""COMPUTED_VALUE"""),22.09)</f>
        <v>22.09</v>
      </c>
      <c r="C308" s="112">
        <f ca="1">IFERROR(__xludf.DUMMYFUNCTION("""COMPUTED_VALUE"""),40667.7055555555)</f>
        <v>40667.705555555498</v>
      </c>
      <c r="D308" s="111">
        <f ca="1">IFERROR(__xludf.DUMMYFUNCTION("""COMPUTED_VALUE"""),17.71)</f>
        <v>17.71</v>
      </c>
      <c r="E308" s="112">
        <f ca="1">IFERROR(__xludf.DUMMYFUNCTION("""COMPUTED_VALUE"""),40666.7055555555)</f>
        <v>40666.705555555498</v>
      </c>
      <c r="F308" s="111">
        <f ca="1">IFERROR(__xludf.DUMMYFUNCTION("""COMPUTED_VALUE"""),7.57)</f>
        <v>7.57</v>
      </c>
      <c r="G308" s="112">
        <f ca="1">IFERROR(__xludf.DUMMYFUNCTION("""COMPUTED_VALUE"""),40667.7055555555)</f>
        <v>40667.705555555498</v>
      </c>
      <c r="H308" s="111">
        <f ca="1">IFERROR(__xludf.DUMMYFUNCTION("""COMPUTED_VALUE"""),25.32)</f>
        <v>25.32</v>
      </c>
      <c r="K308" s="112">
        <f ca="1">IFERROR(__xludf.DUMMYFUNCTION("""COMPUTED_VALUE"""),41162.7055555555)</f>
        <v>41162.705555555498</v>
      </c>
      <c r="L308" s="111">
        <f ca="1">IFERROR(__xludf.DUMMYFUNCTION("""COMPUTED_VALUE"""),0.39)</f>
        <v>0.39</v>
      </c>
      <c r="M308" s="112">
        <f ca="1">IFERROR(__xludf.DUMMYFUNCTION("""COMPUTED_VALUE"""),40631.7055555555)</f>
        <v>40631.705555555498</v>
      </c>
      <c r="N308" s="111">
        <f ca="1">IFERROR(__xludf.DUMMYFUNCTION("""COMPUTED_VALUE"""),12.34)</f>
        <v>12.34</v>
      </c>
      <c r="O308" s="112">
        <f ca="1">IFERROR(__xludf.DUMMYFUNCTION("""COMPUTED_VALUE"""),40666.7055555555)</f>
        <v>40666.705555555498</v>
      </c>
      <c r="P308" s="111">
        <f ca="1">IFERROR(__xludf.DUMMYFUNCTION("""COMPUTED_VALUE"""),50.05)</f>
        <v>50.05</v>
      </c>
      <c r="Q308" s="112">
        <f ca="1">IFERROR(__xludf.DUMMYFUNCTION("""COMPUTED_VALUE"""),40666.7055555555)</f>
        <v>40666.705555555498</v>
      </c>
      <c r="R308" s="111">
        <f ca="1">IFERROR(__xludf.DUMMYFUNCTION("""COMPUTED_VALUE"""),28.1)</f>
        <v>28.1</v>
      </c>
      <c r="S308" s="112">
        <f ca="1">IFERROR(__xludf.DUMMYFUNCTION("""COMPUTED_VALUE"""),40667.7055555555)</f>
        <v>40667.705555555498</v>
      </c>
      <c r="T308" s="111">
        <f ca="1">IFERROR(__xludf.DUMMYFUNCTION("""COMPUTED_VALUE"""),8.37)</f>
        <v>8.3699999999999992</v>
      </c>
    </row>
    <row r="309" spans="1:20" x14ac:dyDescent="0.3">
      <c r="A309" s="112">
        <f ca="1">IFERROR(__xludf.DUMMYFUNCTION("""COMPUTED_VALUE"""),40667.7055555555)</f>
        <v>40667.705555555498</v>
      </c>
      <c r="B309" s="111">
        <f ca="1">IFERROR(__xludf.DUMMYFUNCTION("""COMPUTED_VALUE"""),22.3)</f>
        <v>22.3</v>
      </c>
      <c r="C309" s="112">
        <f ca="1">IFERROR(__xludf.DUMMYFUNCTION("""COMPUTED_VALUE"""),40668.7055555555)</f>
        <v>40668.705555555498</v>
      </c>
      <c r="D309" s="111">
        <f ca="1">IFERROR(__xludf.DUMMYFUNCTION("""COMPUTED_VALUE"""),17.91)</f>
        <v>17.91</v>
      </c>
      <c r="E309" s="112">
        <f ca="1">IFERROR(__xludf.DUMMYFUNCTION("""COMPUTED_VALUE"""),40667.7055555555)</f>
        <v>40667.705555555498</v>
      </c>
      <c r="F309" s="111">
        <f ca="1">IFERROR(__xludf.DUMMYFUNCTION("""COMPUTED_VALUE"""),7.57)</f>
        <v>7.57</v>
      </c>
      <c r="G309" s="112">
        <f ca="1">IFERROR(__xludf.DUMMYFUNCTION("""COMPUTED_VALUE"""),40668.7055555555)</f>
        <v>40668.705555555498</v>
      </c>
      <c r="H309" s="111">
        <f ca="1">IFERROR(__xludf.DUMMYFUNCTION("""COMPUTED_VALUE"""),24.47)</f>
        <v>24.47</v>
      </c>
      <c r="K309" s="112">
        <f ca="1">IFERROR(__xludf.DUMMYFUNCTION("""COMPUTED_VALUE"""),41163.7055555555)</f>
        <v>41163.705555555498</v>
      </c>
      <c r="L309" s="111">
        <f ca="1">IFERROR(__xludf.DUMMYFUNCTION("""COMPUTED_VALUE"""),0.4)</f>
        <v>0.4</v>
      </c>
      <c r="M309" s="112">
        <f ca="1">IFERROR(__xludf.DUMMYFUNCTION("""COMPUTED_VALUE"""),40632.7055555555)</f>
        <v>40632.705555555498</v>
      </c>
      <c r="N309" s="111">
        <f ca="1">IFERROR(__xludf.DUMMYFUNCTION("""COMPUTED_VALUE"""),12.72)</f>
        <v>12.72</v>
      </c>
      <c r="O309" s="112">
        <f ca="1">IFERROR(__xludf.DUMMYFUNCTION("""COMPUTED_VALUE"""),40667.7055555555)</f>
        <v>40667.705555555498</v>
      </c>
      <c r="P309" s="111">
        <f ca="1">IFERROR(__xludf.DUMMYFUNCTION("""COMPUTED_VALUE"""),49.12)</f>
        <v>49.12</v>
      </c>
      <c r="Q309" s="112">
        <f ca="1">IFERROR(__xludf.DUMMYFUNCTION("""COMPUTED_VALUE"""),40667.7055555555)</f>
        <v>40667.705555555498</v>
      </c>
      <c r="R309" s="111">
        <f ca="1">IFERROR(__xludf.DUMMYFUNCTION("""COMPUTED_VALUE"""),27.55)</f>
        <v>27.55</v>
      </c>
      <c r="S309" s="112">
        <f ca="1">IFERROR(__xludf.DUMMYFUNCTION("""COMPUTED_VALUE"""),40668.7055555555)</f>
        <v>40668.705555555498</v>
      </c>
      <c r="T309" s="111">
        <f ca="1">IFERROR(__xludf.DUMMYFUNCTION("""COMPUTED_VALUE"""),8.38)</f>
        <v>8.3800000000000008</v>
      </c>
    </row>
    <row r="310" spans="1:20" x14ac:dyDescent="0.3">
      <c r="A310" s="112">
        <f ca="1">IFERROR(__xludf.DUMMYFUNCTION("""COMPUTED_VALUE"""),40668.7055555555)</f>
        <v>40668.705555555498</v>
      </c>
      <c r="B310" s="111">
        <f ca="1">IFERROR(__xludf.DUMMYFUNCTION("""COMPUTED_VALUE"""),22.56)</f>
        <v>22.56</v>
      </c>
      <c r="C310" s="112">
        <f ca="1">IFERROR(__xludf.DUMMYFUNCTION("""COMPUTED_VALUE"""),40669.7055555555)</f>
        <v>40669.705555555498</v>
      </c>
      <c r="D310" s="111">
        <f ca="1">IFERROR(__xludf.DUMMYFUNCTION("""COMPUTED_VALUE"""),18.33)</f>
        <v>18.329999999999998</v>
      </c>
      <c r="E310" s="112">
        <f ca="1">IFERROR(__xludf.DUMMYFUNCTION("""COMPUTED_VALUE"""),40668.7055555555)</f>
        <v>40668.705555555498</v>
      </c>
      <c r="F310" s="111">
        <f ca="1">IFERROR(__xludf.DUMMYFUNCTION("""COMPUTED_VALUE"""),7.62)</f>
        <v>7.62</v>
      </c>
      <c r="G310" s="112">
        <f ca="1">IFERROR(__xludf.DUMMYFUNCTION("""COMPUTED_VALUE"""),40669.7055555555)</f>
        <v>40669.705555555498</v>
      </c>
      <c r="H310" s="111">
        <f ca="1">IFERROR(__xludf.DUMMYFUNCTION("""COMPUTED_VALUE"""),24.21)</f>
        <v>24.21</v>
      </c>
      <c r="K310" s="112">
        <f ca="1">IFERROR(__xludf.DUMMYFUNCTION("""COMPUTED_VALUE"""),41164.7055555555)</f>
        <v>41164.705555555498</v>
      </c>
      <c r="L310" s="111">
        <f ca="1">IFERROR(__xludf.DUMMYFUNCTION("""COMPUTED_VALUE"""),0.4)</f>
        <v>0.4</v>
      </c>
      <c r="M310" s="112">
        <f ca="1">IFERROR(__xludf.DUMMYFUNCTION("""COMPUTED_VALUE"""),40633.7055555555)</f>
        <v>40633.705555555498</v>
      </c>
      <c r="N310" s="111">
        <f ca="1">IFERROR(__xludf.DUMMYFUNCTION("""COMPUTED_VALUE"""),13.07)</f>
        <v>13.07</v>
      </c>
      <c r="O310" s="112">
        <f ca="1">IFERROR(__xludf.DUMMYFUNCTION("""COMPUTED_VALUE"""),40668.7055555555)</f>
        <v>40668.705555555498</v>
      </c>
      <c r="P310" s="111">
        <f ca="1">IFERROR(__xludf.DUMMYFUNCTION("""COMPUTED_VALUE"""),49.74)</f>
        <v>49.74</v>
      </c>
      <c r="Q310" s="112">
        <f ca="1">IFERROR(__xludf.DUMMYFUNCTION("""COMPUTED_VALUE"""),40668.7055555555)</f>
        <v>40668.705555555498</v>
      </c>
      <c r="R310" s="111">
        <f ca="1">IFERROR(__xludf.DUMMYFUNCTION("""COMPUTED_VALUE"""),27.64)</f>
        <v>27.64</v>
      </c>
      <c r="S310" s="112">
        <f ca="1">IFERROR(__xludf.DUMMYFUNCTION("""COMPUTED_VALUE"""),40669.7055555555)</f>
        <v>40669.705555555498</v>
      </c>
      <c r="T310" s="111">
        <f ca="1">IFERROR(__xludf.DUMMYFUNCTION("""COMPUTED_VALUE"""),8.65)</f>
        <v>8.65</v>
      </c>
    </row>
    <row r="311" spans="1:20" x14ac:dyDescent="0.3">
      <c r="A311" s="112">
        <f ca="1">IFERROR(__xludf.DUMMYFUNCTION("""COMPUTED_VALUE"""),40669.7055555555)</f>
        <v>40669.705555555498</v>
      </c>
      <c r="B311" s="111">
        <f ca="1">IFERROR(__xludf.DUMMYFUNCTION("""COMPUTED_VALUE"""),22.6)</f>
        <v>22.6</v>
      </c>
      <c r="C311" s="112">
        <f ca="1">IFERROR(__xludf.DUMMYFUNCTION("""COMPUTED_VALUE"""),40673.7055555555)</f>
        <v>40673.705555555498</v>
      </c>
      <c r="D311" s="111">
        <f ca="1">IFERROR(__xludf.DUMMYFUNCTION("""COMPUTED_VALUE"""),18.39)</f>
        <v>18.39</v>
      </c>
      <c r="E311" s="112">
        <f ca="1">IFERROR(__xludf.DUMMYFUNCTION("""COMPUTED_VALUE"""),40669.7055555555)</f>
        <v>40669.705555555498</v>
      </c>
      <c r="F311" s="111">
        <f ca="1">IFERROR(__xludf.DUMMYFUNCTION("""COMPUTED_VALUE"""),7.81)</f>
        <v>7.81</v>
      </c>
      <c r="G311" s="112">
        <f ca="1">IFERROR(__xludf.DUMMYFUNCTION("""COMPUTED_VALUE"""),40673.7055555555)</f>
        <v>40673.705555555498</v>
      </c>
      <c r="H311" s="111">
        <f ca="1">IFERROR(__xludf.DUMMYFUNCTION("""COMPUTED_VALUE"""),24.6)</f>
        <v>24.6</v>
      </c>
      <c r="K311" s="112">
        <f ca="1">IFERROR(__xludf.DUMMYFUNCTION("""COMPUTED_VALUE"""),41165.7055555555)</f>
        <v>41165.705555555498</v>
      </c>
      <c r="L311" s="111">
        <f ca="1">IFERROR(__xludf.DUMMYFUNCTION("""COMPUTED_VALUE"""),0.41)</f>
        <v>0.41</v>
      </c>
      <c r="M311" s="112">
        <f ca="1">IFERROR(__xludf.DUMMYFUNCTION("""COMPUTED_VALUE"""),40634.7055555555)</f>
        <v>40634.705555555498</v>
      </c>
      <c r="N311" s="111">
        <f ca="1">IFERROR(__xludf.DUMMYFUNCTION("""COMPUTED_VALUE"""),13.14)</f>
        <v>13.14</v>
      </c>
      <c r="O311" s="112">
        <f ca="1">IFERROR(__xludf.DUMMYFUNCTION("""COMPUTED_VALUE"""),40669.7055555555)</f>
        <v>40669.705555555498</v>
      </c>
      <c r="P311" s="111">
        <f ca="1">IFERROR(__xludf.DUMMYFUNCTION("""COMPUTED_VALUE"""),49.75)</f>
        <v>49.75</v>
      </c>
      <c r="Q311" s="112">
        <f ca="1">IFERROR(__xludf.DUMMYFUNCTION("""COMPUTED_VALUE"""),40669.7055555555)</f>
        <v>40669.705555555498</v>
      </c>
      <c r="R311" s="111">
        <f ca="1">IFERROR(__xludf.DUMMYFUNCTION("""COMPUTED_VALUE"""),28.36)</f>
        <v>28.36</v>
      </c>
      <c r="S311" s="112">
        <f ca="1">IFERROR(__xludf.DUMMYFUNCTION("""COMPUTED_VALUE"""),40673.7055555555)</f>
        <v>40673.705555555498</v>
      </c>
      <c r="T311" s="111">
        <f ca="1">IFERROR(__xludf.DUMMYFUNCTION("""COMPUTED_VALUE"""),8.84)</f>
        <v>8.84</v>
      </c>
    </row>
    <row r="312" spans="1:20" x14ac:dyDescent="0.3">
      <c r="A312" s="112">
        <f ca="1">IFERROR(__xludf.DUMMYFUNCTION("""COMPUTED_VALUE"""),40673.7055555555)</f>
        <v>40673.705555555498</v>
      </c>
      <c r="B312" s="111">
        <f ca="1">IFERROR(__xludf.DUMMYFUNCTION("""COMPUTED_VALUE"""),22.45)</f>
        <v>22.45</v>
      </c>
      <c r="C312" s="112">
        <f ca="1">IFERROR(__xludf.DUMMYFUNCTION("""COMPUTED_VALUE"""),40674.7055555555)</f>
        <v>40674.705555555498</v>
      </c>
      <c r="D312" s="111">
        <f ca="1">IFERROR(__xludf.DUMMYFUNCTION("""COMPUTED_VALUE"""),18.45)</f>
        <v>18.45</v>
      </c>
      <c r="E312" s="112">
        <f ca="1">IFERROR(__xludf.DUMMYFUNCTION("""COMPUTED_VALUE"""),40673.7055555555)</f>
        <v>40673.705555555498</v>
      </c>
      <c r="F312" s="111">
        <f ca="1">IFERROR(__xludf.DUMMYFUNCTION("""COMPUTED_VALUE"""),7.81)</f>
        <v>7.81</v>
      </c>
      <c r="G312" s="112">
        <f ca="1">IFERROR(__xludf.DUMMYFUNCTION("""COMPUTED_VALUE"""),40674.7055555555)</f>
        <v>40674.705555555498</v>
      </c>
      <c r="H312" s="111">
        <f ca="1">IFERROR(__xludf.DUMMYFUNCTION("""COMPUTED_VALUE"""),24.01)</f>
        <v>24.01</v>
      </c>
      <c r="K312" s="112">
        <f ca="1">IFERROR(__xludf.DUMMYFUNCTION("""COMPUTED_VALUE"""),41166.7055555555)</f>
        <v>41166.705555555498</v>
      </c>
      <c r="L312" s="111">
        <f ca="1">IFERROR(__xludf.DUMMYFUNCTION("""COMPUTED_VALUE"""),0.4)</f>
        <v>0.4</v>
      </c>
      <c r="M312" s="112">
        <f ca="1">IFERROR(__xludf.DUMMYFUNCTION("""COMPUTED_VALUE"""),40637.7055555555)</f>
        <v>40637.705555555498</v>
      </c>
      <c r="N312" s="111">
        <f ca="1">IFERROR(__xludf.DUMMYFUNCTION("""COMPUTED_VALUE"""),13.02)</f>
        <v>13.02</v>
      </c>
      <c r="O312" s="112">
        <f ca="1">IFERROR(__xludf.DUMMYFUNCTION("""COMPUTED_VALUE"""),40673.7055555555)</f>
        <v>40673.705555555498</v>
      </c>
      <c r="P312" s="111">
        <f ca="1">IFERROR(__xludf.DUMMYFUNCTION("""COMPUTED_VALUE"""),49.95)</f>
        <v>49.95</v>
      </c>
      <c r="Q312" s="112">
        <f ca="1">IFERROR(__xludf.DUMMYFUNCTION("""COMPUTED_VALUE"""),40673.7055555555)</f>
        <v>40673.705555555498</v>
      </c>
      <c r="R312" s="111">
        <f ca="1">IFERROR(__xludf.DUMMYFUNCTION("""COMPUTED_VALUE"""),28.48)</f>
        <v>28.48</v>
      </c>
      <c r="S312" s="112">
        <f ca="1">IFERROR(__xludf.DUMMYFUNCTION("""COMPUTED_VALUE"""),40674.7055555555)</f>
        <v>40674.705555555498</v>
      </c>
      <c r="T312" s="111">
        <f ca="1">IFERROR(__xludf.DUMMYFUNCTION("""COMPUTED_VALUE"""),8.68)</f>
        <v>8.68</v>
      </c>
    </row>
    <row r="313" spans="1:20" x14ac:dyDescent="0.3">
      <c r="A313" s="112">
        <f ca="1">IFERROR(__xludf.DUMMYFUNCTION("""COMPUTED_VALUE"""),40674.7055555555)</f>
        <v>40674.705555555498</v>
      </c>
      <c r="B313" s="111">
        <f ca="1">IFERROR(__xludf.DUMMYFUNCTION("""COMPUTED_VALUE"""),22.2)</f>
        <v>22.2</v>
      </c>
      <c r="C313" s="112">
        <f ca="1">IFERROR(__xludf.DUMMYFUNCTION("""COMPUTED_VALUE"""),40675.7055555555)</f>
        <v>40675.705555555498</v>
      </c>
      <c r="D313" s="111">
        <f ca="1">IFERROR(__xludf.DUMMYFUNCTION("""COMPUTED_VALUE"""),18.35)</f>
        <v>18.350000000000001</v>
      </c>
      <c r="E313" s="112">
        <f ca="1">IFERROR(__xludf.DUMMYFUNCTION("""COMPUTED_VALUE"""),40674.7055555555)</f>
        <v>40674.705555555498</v>
      </c>
      <c r="F313" s="111">
        <f ca="1">IFERROR(__xludf.DUMMYFUNCTION("""COMPUTED_VALUE"""),7.79)</f>
        <v>7.79</v>
      </c>
      <c r="G313" s="112">
        <f ca="1">IFERROR(__xludf.DUMMYFUNCTION("""COMPUTED_VALUE"""),40675.7055555555)</f>
        <v>40675.705555555498</v>
      </c>
      <c r="H313" s="111">
        <f ca="1">IFERROR(__xludf.DUMMYFUNCTION("""COMPUTED_VALUE"""),23.68)</f>
        <v>23.68</v>
      </c>
      <c r="K313" s="112">
        <f ca="1">IFERROR(__xludf.DUMMYFUNCTION("""COMPUTED_VALUE"""),41169.7055555555)</f>
        <v>41169.705555555498</v>
      </c>
      <c r="L313" s="111">
        <f ca="1">IFERROR(__xludf.DUMMYFUNCTION("""COMPUTED_VALUE"""),0.41)</f>
        <v>0.41</v>
      </c>
      <c r="M313" s="112">
        <f ca="1">IFERROR(__xludf.DUMMYFUNCTION("""COMPUTED_VALUE"""),40638.7055555555)</f>
        <v>40638.705555555498</v>
      </c>
      <c r="N313" s="111">
        <f ca="1">IFERROR(__xludf.DUMMYFUNCTION("""COMPUTED_VALUE"""),12.95)</f>
        <v>12.95</v>
      </c>
      <c r="O313" s="112">
        <f ca="1">IFERROR(__xludf.DUMMYFUNCTION("""COMPUTED_VALUE"""),40674.7055555555)</f>
        <v>40674.705555555498</v>
      </c>
      <c r="P313" s="111">
        <f ca="1">IFERROR(__xludf.DUMMYFUNCTION("""COMPUTED_VALUE"""),48.36)</f>
        <v>48.36</v>
      </c>
      <c r="Q313" s="112">
        <f ca="1">IFERROR(__xludf.DUMMYFUNCTION("""COMPUTED_VALUE"""),40674.7055555555)</f>
        <v>40674.705555555498</v>
      </c>
      <c r="R313" s="111">
        <f ca="1">IFERROR(__xludf.DUMMYFUNCTION("""COMPUTED_VALUE"""),29.05)</f>
        <v>29.05</v>
      </c>
      <c r="S313" s="112">
        <f ca="1">IFERROR(__xludf.DUMMYFUNCTION("""COMPUTED_VALUE"""),40675.7055555555)</f>
        <v>40675.705555555498</v>
      </c>
      <c r="T313" s="111">
        <f ca="1">IFERROR(__xludf.DUMMYFUNCTION("""COMPUTED_VALUE"""),8.91)</f>
        <v>8.91</v>
      </c>
    </row>
    <row r="314" spans="1:20" x14ac:dyDescent="0.3">
      <c r="A314" s="112">
        <f ca="1">IFERROR(__xludf.DUMMYFUNCTION("""COMPUTED_VALUE"""),40675.7055555555)</f>
        <v>40675.705555555498</v>
      </c>
      <c r="B314" s="111">
        <f ca="1">IFERROR(__xludf.DUMMYFUNCTION("""COMPUTED_VALUE"""),22.27)</f>
        <v>22.27</v>
      </c>
      <c r="C314" s="112">
        <f ca="1">IFERROR(__xludf.DUMMYFUNCTION("""COMPUTED_VALUE"""),40676.7055555555)</f>
        <v>40676.705555555498</v>
      </c>
      <c r="D314" s="111">
        <f ca="1">IFERROR(__xludf.DUMMYFUNCTION("""COMPUTED_VALUE"""),17.89)</f>
        <v>17.89</v>
      </c>
      <c r="E314" s="112">
        <f ca="1">IFERROR(__xludf.DUMMYFUNCTION("""COMPUTED_VALUE"""),40675.7055555555)</f>
        <v>40675.705555555498</v>
      </c>
      <c r="F314" s="111">
        <f ca="1">IFERROR(__xludf.DUMMYFUNCTION("""COMPUTED_VALUE"""),7.8)</f>
        <v>7.8</v>
      </c>
      <c r="G314" s="112">
        <f ca="1">IFERROR(__xludf.DUMMYFUNCTION("""COMPUTED_VALUE"""),40676.7055555555)</f>
        <v>40676.705555555498</v>
      </c>
      <c r="H314" s="111">
        <f ca="1">IFERROR(__xludf.DUMMYFUNCTION("""COMPUTED_VALUE"""),23.52)</f>
        <v>23.52</v>
      </c>
      <c r="K314" s="112">
        <f ca="1">IFERROR(__xludf.DUMMYFUNCTION("""COMPUTED_VALUE"""),41170.7055555555)</f>
        <v>41170.705555555498</v>
      </c>
      <c r="L314" s="111">
        <f ca="1">IFERROR(__xludf.DUMMYFUNCTION("""COMPUTED_VALUE"""),0.4)</f>
        <v>0.4</v>
      </c>
      <c r="M314" s="112">
        <f ca="1">IFERROR(__xludf.DUMMYFUNCTION("""COMPUTED_VALUE"""),40639.7055555555)</f>
        <v>40639.705555555498</v>
      </c>
      <c r="N314" s="111">
        <f ca="1">IFERROR(__xludf.DUMMYFUNCTION("""COMPUTED_VALUE"""),12.9)</f>
        <v>12.9</v>
      </c>
      <c r="O314" s="112">
        <f ca="1">IFERROR(__xludf.DUMMYFUNCTION("""COMPUTED_VALUE"""),40675.7055555555)</f>
        <v>40675.705555555498</v>
      </c>
      <c r="P314" s="111">
        <f ca="1">IFERROR(__xludf.DUMMYFUNCTION("""COMPUTED_VALUE"""),48.45)</f>
        <v>48.45</v>
      </c>
      <c r="Q314" s="112">
        <f ca="1">IFERROR(__xludf.DUMMYFUNCTION("""COMPUTED_VALUE"""),40675.7055555555)</f>
        <v>40675.705555555498</v>
      </c>
      <c r="R314" s="111">
        <f ca="1">IFERROR(__xludf.DUMMYFUNCTION("""COMPUTED_VALUE"""),29.3)</f>
        <v>29.3</v>
      </c>
      <c r="S314" s="112">
        <f ca="1">IFERROR(__xludf.DUMMYFUNCTION("""COMPUTED_VALUE"""),40676.7055555555)</f>
        <v>40676.705555555498</v>
      </c>
      <c r="T314" s="111">
        <f ca="1">IFERROR(__xludf.DUMMYFUNCTION("""COMPUTED_VALUE"""),8.87)</f>
        <v>8.8699999999999992</v>
      </c>
    </row>
    <row r="315" spans="1:20" x14ac:dyDescent="0.3">
      <c r="A315" s="112">
        <f ca="1">IFERROR(__xludf.DUMMYFUNCTION("""COMPUTED_VALUE"""),40676.7055555555)</f>
        <v>40676.705555555498</v>
      </c>
      <c r="B315" s="111">
        <f ca="1">IFERROR(__xludf.DUMMYFUNCTION("""COMPUTED_VALUE"""),22.17)</f>
        <v>22.17</v>
      </c>
      <c r="C315" s="112">
        <f ca="1">IFERROR(__xludf.DUMMYFUNCTION("""COMPUTED_VALUE"""),40680.7055555555)</f>
        <v>40680.705555555498</v>
      </c>
      <c r="D315" s="111">
        <f ca="1">IFERROR(__xludf.DUMMYFUNCTION("""COMPUTED_VALUE"""),17.78)</f>
        <v>17.78</v>
      </c>
      <c r="E315" s="112">
        <f ca="1">IFERROR(__xludf.DUMMYFUNCTION("""COMPUTED_VALUE"""),40676.7055555555)</f>
        <v>40676.705555555498</v>
      </c>
      <c r="F315" s="111">
        <f ca="1">IFERROR(__xludf.DUMMYFUNCTION("""COMPUTED_VALUE"""),7.59)</f>
        <v>7.59</v>
      </c>
      <c r="G315" s="112">
        <f ca="1">IFERROR(__xludf.DUMMYFUNCTION("""COMPUTED_VALUE"""),40680.7055555555)</f>
        <v>40680.705555555498</v>
      </c>
      <c r="H315" s="111">
        <f ca="1">IFERROR(__xludf.DUMMYFUNCTION("""COMPUTED_VALUE"""),24.4)</f>
        <v>24.4</v>
      </c>
      <c r="K315" s="112">
        <f ca="1">IFERROR(__xludf.DUMMYFUNCTION("""COMPUTED_VALUE"""),41171.7055555555)</f>
        <v>41171.705555555498</v>
      </c>
      <c r="L315" s="111">
        <f ca="1">IFERROR(__xludf.DUMMYFUNCTION("""COMPUTED_VALUE"""),0.4)</f>
        <v>0.4</v>
      </c>
      <c r="M315" s="112">
        <f ca="1">IFERROR(__xludf.DUMMYFUNCTION("""COMPUTED_VALUE"""),40640.7055555555)</f>
        <v>40640.705555555498</v>
      </c>
      <c r="N315" s="111">
        <f ca="1">IFERROR(__xludf.DUMMYFUNCTION("""COMPUTED_VALUE"""),12.99)</f>
        <v>12.99</v>
      </c>
      <c r="O315" s="112">
        <f ca="1">IFERROR(__xludf.DUMMYFUNCTION("""COMPUTED_VALUE"""),40676.7055555555)</f>
        <v>40676.705555555498</v>
      </c>
      <c r="P315" s="111">
        <f ca="1">IFERROR(__xludf.DUMMYFUNCTION("""COMPUTED_VALUE"""),47.66)</f>
        <v>47.66</v>
      </c>
      <c r="Q315" s="112">
        <f ca="1">IFERROR(__xludf.DUMMYFUNCTION("""COMPUTED_VALUE"""),40676.7055555555)</f>
        <v>40676.705555555498</v>
      </c>
      <c r="R315" s="111">
        <f ca="1">IFERROR(__xludf.DUMMYFUNCTION("""COMPUTED_VALUE"""),28.42)</f>
        <v>28.42</v>
      </c>
      <c r="S315" s="112">
        <f ca="1">IFERROR(__xludf.DUMMYFUNCTION("""COMPUTED_VALUE"""),40680.7055555555)</f>
        <v>40680.705555555498</v>
      </c>
      <c r="T315" s="111">
        <f ca="1">IFERROR(__xludf.DUMMYFUNCTION("""COMPUTED_VALUE"""),8.57)</f>
        <v>8.57</v>
      </c>
    </row>
    <row r="316" spans="1:20" x14ac:dyDescent="0.3">
      <c r="A316" s="112">
        <f ca="1">IFERROR(__xludf.DUMMYFUNCTION("""COMPUTED_VALUE"""),40680.7055555555)</f>
        <v>40680.705555555498</v>
      </c>
      <c r="B316" s="111">
        <f ca="1">IFERROR(__xludf.DUMMYFUNCTION("""COMPUTED_VALUE"""),22.15)</f>
        <v>22.15</v>
      </c>
      <c r="C316" s="112">
        <f ca="1">IFERROR(__xludf.DUMMYFUNCTION("""COMPUTED_VALUE"""),40681.7055555555)</f>
        <v>40681.705555555498</v>
      </c>
      <c r="D316" s="111">
        <f ca="1">IFERROR(__xludf.DUMMYFUNCTION("""COMPUTED_VALUE"""),17.38)</f>
        <v>17.38</v>
      </c>
      <c r="E316" s="112">
        <f ca="1">IFERROR(__xludf.DUMMYFUNCTION("""COMPUTED_VALUE"""),40680.7055555555)</f>
        <v>40680.705555555498</v>
      </c>
      <c r="F316" s="111">
        <f ca="1">IFERROR(__xludf.DUMMYFUNCTION("""COMPUTED_VALUE"""),7.49)</f>
        <v>7.49</v>
      </c>
      <c r="G316" s="112">
        <f ca="1">IFERROR(__xludf.DUMMYFUNCTION("""COMPUTED_VALUE"""),40681.7055555555)</f>
        <v>40681.705555555498</v>
      </c>
      <c r="H316" s="111">
        <f ca="1">IFERROR(__xludf.DUMMYFUNCTION("""COMPUTED_VALUE"""),24.1)</f>
        <v>24.1</v>
      </c>
      <c r="K316" s="112">
        <f ca="1">IFERROR(__xludf.DUMMYFUNCTION("""COMPUTED_VALUE"""),41172.7055555555)</f>
        <v>41172.705555555498</v>
      </c>
      <c r="L316" s="111">
        <f ca="1">IFERROR(__xludf.DUMMYFUNCTION("""COMPUTED_VALUE"""),0.41)</f>
        <v>0.41</v>
      </c>
      <c r="M316" s="112">
        <f ca="1">IFERROR(__xludf.DUMMYFUNCTION("""COMPUTED_VALUE"""),40641.7055555555)</f>
        <v>40641.705555555498</v>
      </c>
      <c r="N316" s="111">
        <f ca="1">IFERROR(__xludf.DUMMYFUNCTION("""COMPUTED_VALUE"""),12.72)</f>
        <v>12.72</v>
      </c>
      <c r="O316" s="112">
        <f ca="1">IFERROR(__xludf.DUMMYFUNCTION("""COMPUTED_VALUE"""),40680.7055555555)</f>
        <v>40680.705555555498</v>
      </c>
      <c r="P316" s="111">
        <f ca="1">IFERROR(__xludf.DUMMYFUNCTION("""COMPUTED_VALUE"""),47.96)</f>
        <v>47.96</v>
      </c>
      <c r="Q316" s="112">
        <f ca="1">IFERROR(__xludf.DUMMYFUNCTION("""COMPUTED_VALUE"""),40680.7055555555)</f>
        <v>40680.705555555498</v>
      </c>
      <c r="R316" s="111">
        <f ca="1">IFERROR(__xludf.DUMMYFUNCTION("""COMPUTED_VALUE"""),28)</f>
        <v>28</v>
      </c>
      <c r="S316" s="112">
        <f ca="1">IFERROR(__xludf.DUMMYFUNCTION("""COMPUTED_VALUE"""),40681.7055555555)</f>
        <v>40681.705555555498</v>
      </c>
      <c r="T316" s="111">
        <f ca="1">IFERROR(__xludf.DUMMYFUNCTION("""COMPUTED_VALUE"""),8.32)</f>
        <v>8.32</v>
      </c>
    </row>
    <row r="317" spans="1:20" x14ac:dyDescent="0.3">
      <c r="A317" s="112">
        <f ca="1">IFERROR(__xludf.DUMMYFUNCTION("""COMPUTED_VALUE"""),40681.7055555555)</f>
        <v>40681.705555555498</v>
      </c>
      <c r="B317" s="111">
        <f ca="1">IFERROR(__xludf.DUMMYFUNCTION("""COMPUTED_VALUE"""),22.26)</f>
        <v>22.26</v>
      </c>
      <c r="C317" s="112">
        <f ca="1">IFERROR(__xludf.DUMMYFUNCTION("""COMPUTED_VALUE"""),40682.7055555555)</f>
        <v>40682.705555555498</v>
      </c>
      <c r="D317" s="111">
        <f ca="1">IFERROR(__xludf.DUMMYFUNCTION("""COMPUTED_VALUE"""),17.35)</f>
        <v>17.350000000000001</v>
      </c>
      <c r="E317" s="112">
        <f ca="1">IFERROR(__xludf.DUMMYFUNCTION("""COMPUTED_VALUE"""),40681.7055555555)</f>
        <v>40681.705555555498</v>
      </c>
      <c r="F317" s="111">
        <f ca="1">IFERROR(__xludf.DUMMYFUNCTION("""COMPUTED_VALUE"""),7.4)</f>
        <v>7.4</v>
      </c>
      <c r="G317" s="112">
        <f ca="1">IFERROR(__xludf.DUMMYFUNCTION("""COMPUTED_VALUE"""),40682.7055555555)</f>
        <v>40682.705555555498</v>
      </c>
      <c r="H317" s="111">
        <f ca="1">IFERROR(__xludf.DUMMYFUNCTION("""COMPUTED_VALUE"""),23.64)</f>
        <v>23.64</v>
      </c>
      <c r="K317" s="112">
        <f ca="1">IFERROR(__xludf.DUMMYFUNCTION("""COMPUTED_VALUE"""),41173.7055555555)</f>
        <v>41173.705555555498</v>
      </c>
      <c r="L317" s="111">
        <f ca="1">IFERROR(__xludf.DUMMYFUNCTION("""COMPUTED_VALUE"""),0.41)</f>
        <v>0.41</v>
      </c>
      <c r="M317" s="112">
        <f ca="1">IFERROR(__xludf.DUMMYFUNCTION("""COMPUTED_VALUE"""),40644.7055555555)</f>
        <v>40644.705555555498</v>
      </c>
      <c r="N317" s="111">
        <f ca="1">IFERROR(__xludf.DUMMYFUNCTION("""COMPUTED_VALUE"""),12.64)</f>
        <v>12.64</v>
      </c>
      <c r="O317" s="112">
        <f ca="1">IFERROR(__xludf.DUMMYFUNCTION("""COMPUTED_VALUE"""),40681.7055555555)</f>
        <v>40681.705555555498</v>
      </c>
      <c r="P317" s="111">
        <f ca="1">IFERROR(__xludf.DUMMYFUNCTION("""COMPUTED_VALUE"""),48.11)</f>
        <v>48.11</v>
      </c>
      <c r="Q317" s="112">
        <f ca="1">IFERROR(__xludf.DUMMYFUNCTION("""COMPUTED_VALUE"""),40681.7055555555)</f>
        <v>40681.705555555498</v>
      </c>
      <c r="R317" s="111">
        <f ca="1">IFERROR(__xludf.DUMMYFUNCTION("""COMPUTED_VALUE"""),27.28)</f>
        <v>27.28</v>
      </c>
      <c r="S317" s="112">
        <f ca="1">IFERROR(__xludf.DUMMYFUNCTION("""COMPUTED_VALUE"""),40682.7055555555)</f>
        <v>40682.705555555498</v>
      </c>
      <c r="T317" s="111">
        <f ca="1">IFERROR(__xludf.DUMMYFUNCTION("""COMPUTED_VALUE"""),8.27)</f>
        <v>8.27</v>
      </c>
    </row>
    <row r="318" spans="1:20" x14ac:dyDescent="0.3">
      <c r="A318" s="112">
        <f ca="1">IFERROR(__xludf.DUMMYFUNCTION("""COMPUTED_VALUE"""),40682.7055555555)</f>
        <v>40682.705555555498</v>
      </c>
      <c r="B318" s="111">
        <f ca="1">IFERROR(__xludf.DUMMYFUNCTION("""COMPUTED_VALUE"""),22.24)</f>
        <v>22.24</v>
      </c>
      <c r="C318" s="112">
        <f ca="1">IFERROR(__xludf.DUMMYFUNCTION("""COMPUTED_VALUE"""),40683.7055555555)</f>
        <v>40683.705555555498</v>
      </c>
      <c r="D318" s="111">
        <f ca="1">IFERROR(__xludf.DUMMYFUNCTION("""COMPUTED_VALUE"""),17.31)</f>
        <v>17.309999999999999</v>
      </c>
      <c r="E318" s="112">
        <f ca="1">IFERROR(__xludf.DUMMYFUNCTION("""COMPUTED_VALUE"""),40682.7055555555)</f>
        <v>40682.705555555498</v>
      </c>
      <c r="F318" s="111">
        <f ca="1">IFERROR(__xludf.DUMMYFUNCTION("""COMPUTED_VALUE"""),7.34)</f>
        <v>7.34</v>
      </c>
      <c r="G318" s="112">
        <f ca="1">IFERROR(__xludf.DUMMYFUNCTION("""COMPUTED_VALUE"""),40683.7055555555)</f>
        <v>40683.705555555498</v>
      </c>
      <c r="H318" s="111">
        <f ca="1">IFERROR(__xludf.DUMMYFUNCTION("""COMPUTED_VALUE"""),23.99)</f>
        <v>23.99</v>
      </c>
      <c r="K318" s="112">
        <f ca="1">IFERROR(__xludf.DUMMYFUNCTION("""COMPUTED_VALUE"""),41176.7055555555)</f>
        <v>41176.705555555498</v>
      </c>
      <c r="L318" s="111">
        <f ca="1">IFERROR(__xludf.DUMMYFUNCTION("""COMPUTED_VALUE"""),0.41)</f>
        <v>0.41</v>
      </c>
      <c r="M318" s="112">
        <f ca="1">IFERROR(__xludf.DUMMYFUNCTION("""COMPUTED_VALUE"""),40645.7055555555)</f>
        <v>40645.705555555498</v>
      </c>
      <c r="N318" s="111">
        <f ca="1">IFERROR(__xludf.DUMMYFUNCTION("""COMPUTED_VALUE"""),12.48)</f>
        <v>12.48</v>
      </c>
      <c r="O318" s="112">
        <f ca="1">IFERROR(__xludf.DUMMYFUNCTION("""COMPUTED_VALUE"""),40682.7055555555)</f>
        <v>40682.705555555498</v>
      </c>
      <c r="P318" s="111">
        <f ca="1">IFERROR(__xludf.DUMMYFUNCTION("""COMPUTED_VALUE"""),48.54)</f>
        <v>48.54</v>
      </c>
      <c r="Q318" s="112">
        <f ca="1">IFERROR(__xludf.DUMMYFUNCTION("""COMPUTED_VALUE"""),40682.7055555555)</f>
        <v>40682.705555555498</v>
      </c>
      <c r="R318" s="111">
        <f ca="1">IFERROR(__xludf.DUMMYFUNCTION("""COMPUTED_VALUE"""),27.25)</f>
        <v>27.25</v>
      </c>
      <c r="S318" s="112">
        <f ca="1">IFERROR(__xludf.DUMMYFUNCTION("""COMPUTED_VALUE"""),40683.7055555555)</f>
        <v>40683.705555555498</v>
      </c>
      <c r="T318" s="111">
        <f ca="1">IFERROR(__xludf.DUMMYFUNCTION("""COMPUTED_VALUE"""),8.29)</f>
        <v>8.2899999999999991</v>
      </c>
    </row>
    <row r="319" spans="1:20" x14ac:dyDescent="0.3">
      <c r="A319" s="112">
        <f ca="1">IFERROR(__xludf.DUMMYFUNCTION("""COMPUTED_VALUE"""),40683.7055555555)</f>
        <v>40683.705555555498</v>
      </c>
      <c r="B319" s="111">
        <f ca="1">IFERROR(__xludf.DUMMYFUNCTION("""COMPUTED_VALUE"""),22.56)</f>
        <v>22.56</v>
      </c>
      <c r="C319" s="112">
        <f ca="1">IFERROR(__xludf.DUMMYFUNCTION("""COMPUTED_VALUE"""),40686.7055555555)</f>
        <v>40686.705555555498</v>
      </c>
      <c r="D319" s="111">
        <f ca="1">IFERROR(__xludf.DUMMYFUNCTION("""COMPUTED_VALUE"""),17.23)</f>
        <v>17.23</v>
      </c>
      <c r="E319" s="112">
        <f ca="1">IFERROR(__xludf.DUMMYFUNCTION("""COMPUTED_VALUE"""),40683.7055555555)</f>
        <v>40683.705555555498</v>
      </c>
      <c r="F319" s="111">
        <f ca="1">IFERROR(__xludf.DUMMYFUNCTION("""COMPUTED_VALUE"""),7.29)</f>
        <v>7.29</v>
      </c>
      <c r="G319" s="112">
        <f ca="1">IFERROR(__xludf.DUMMYFUNCTION("""COMPUTED_VALUE"""),40686.7055555555)</f>
        <v>40686.705555555498</v>
      </c>
      <c r="H319" s="111">
        <f ca="1">IFERROR(__xludf.DUMMYFUNCTION("""COMPUTED_VALUE"""),23.6)</f>
        <v>23.6</v>
      </c>
      <c r="K319" s="112">
        <f ca="1">IFERROR(__xludf.DUMMYFUNCTION("""COMPUTED_VALUE"""),41177.7055555555)</f>
        <v>41177.705555555498</v>
      </c>
      <c r="L319" s="111">
        <f ca="1">IFERROR(__xludf.DUMMYFUNCTION("""COMPUTED_VALUE"""),0.41)</f>
        <v>0.41</v>
      </c>
      <c r="M319" s="112">
        <f ca="1">IFERROR(__xludf.DUMMYFUNCTION("""COMPUTED_VALUE"""),40646.7055555555)</f>
        <v>40646.705555555498</v>
      </c>
      <c r="N319" s="111">
        <f ca="1">IFERROR(__xludf.DUMMYFUNCTION("""COMPUTED_VALUE"""),12.51)</f>
        <v>12.51</v>
      </c>
      <c r="O319" s="112">
        <f ca="1">IFERROR(__xludf.DUMMYFUNCTION("""COMPUTED_VALUE"""),40683.7055555555)</f>
        <v>40683.705555555498</v>
      </c>
      <c r="P319" s="111">
        <f ca="1">IFERROR(__xludf.DUMMYFUNCTION("""COMPUTED_VALUE"""),48.75)</f>
        <v>48.75</v>
      </c>
      <c r="Q319" s="112">
        <f ca="1">IFERROR(__xludf.DUMMYFUNCTION("""COMPUTED_VALUE"""),40683.7055555555)</f>
        <v>40683.705555555498</v>
      </c>
      <c r="R319" s="111">
        <f ca="1">IFERROR(__xludf.DUMMYFUNCTION("""COMPUTED_VALUE"""),27)</f>
        <v>27</v>
      </c>
      <c r="S319" s="112">
        <f ca="1">IFERROR(__xludf.DUMMYFUNCTION("""COMPUTED_VALUE"""),40686.7055555555)</f>
        <v>40686.705555555498</v>
      </c>
      <c r="T319" s="111">
        <f ca="1">IFERROR(__xludf.DUMMYFUNCTION("""COMPUTED_VALUE"""),8.38)</f>
        <v>8.3800000000000008</v>
      </c>
    </row>
    <row r="320" spans="1:20" x14ac:dyDescent="0.3">
      <c r="A320" s="112">
        <f ca="1">IFERROR(__xludf.DUMMYFUNCTION("""COMPUTED_VALUE"""),40686.7055555555)</f>
        <v>40686.705555555498</v>
      </c>
      <c r="B320" s="111">
        <f ca="1">IFERROR(__xludf.DUMMYFUNCTION("""COMPUTED_VALUE"""),22.45)</f>
        <v>22.45</v>
      </c>
      <c r="C320" s="112">
        <f ca="1">IFERROR(__xludf.DUMMYFUNCTION("""COMPUTED_VALUE"""),40687.7055555555)</f>
        <v>40687.705555555498</v>
      </c>
      <c r="D320" s="111">
        <f ca="1">IFERROR(__xludf.DUMMYFUNCTION("""COMPUTED_VALUE"""),17.59)</f>
        <v>17.59</v>
      </c>
      <c r="E320" s="112">
        <f ca="1">IFERROR(__xludf.DUMMYFUNCTION("""COMPUTED_VALUE"""),40686.7055555555)</f>
        <v>40686.705555555498</v>
      </c>
      <c r="F320" s="111">
        <f ca="1">IFERROR(__xludf.DUMMYFUNCTION("""COMPUTED_VALUE"""),7.25)</f>
        <v>7.25</v>
      </c>
      <c r="G320" s="112">
        <f ca="1">IFERROR(__xludf.DUMMYFUNCTION("""COMPUTED_VALUE"""),40687.7055555555)</f>
        <v>40687.705555555498</v>
      </c>
      <c r="H320" s="111">
        <f ca="1">IFERROR(__xludf.DUMMYFUNCTION("""COMPUTED_VALUE"""),23.85)</f>
        <v>23.85</v>
      </c>
      <c r="K320" s="112">
        <f ca="1">IFERROR(__xludf.DUMMYFUNCTION("""COMPUTED_VALUE"""),41178.7055555555)</f>
        <v>41178.705555555498</v>
      </c>
      <c r="L320" s="111">
        <f ca="1">IFERROR(__xludf.DUMMYFUNCTION("""COMPUTED_VALUE"""),0.4)</f>
        <v>0.4</v>
      </c>
      <c r="M320" s="112">
        <f ca="1">IFERROR(__xludf.DUMMYFUNCTION("""COMPUTED_VALUE"""),40647.7055555555)</f>
        <v>40647.705555555498</v>
      </c>
      <c r="N320" s="111">
        <f ca="1">IFERROR(__xludf.DUMMYFUNCTION("""COMPUTED_VALUE"""),12.4)</f>
        <v>12.4</v>
      </c>
      <c r="O320" s="112">
        <f ca="1">IFERROR(__xludf.DUMMYFUNCTION("""COMPUTED_VALUE"""),40686.7055555555)</f>
        <v>40686.705555555498</v>
      </c>
      <c r="P320" s="111">
        <f ca="1">IFERROR(__xludf.DUMMYFUNCTION("""COMPUTED_VALUE"""),48.7)</f>
        <v>48.7</v>
      </c>
      <c r="Q320" s="112">
        <f ca="1">IFERROR(__xludf.DUMMYFUNCTION("""COMPUTED_VALUE"""),40686.7055555555)</f>
        <v>40686.705555555498</v>
      </c>
      <c r="R320" s="111">
        <f ca="1">IFERROR(__xludf.DUMMYFUNCTION("""COMPUTED_VALUE"""),27.13)</f>
        <v>27.13</v>
      </c>
      <c r="S320" s="112">
        <f ca="1">IFERROR(__xludf.DUMMYFUNCTION("""COMPUTED_VALUE"""),40687.7055555555)</f>
        <v>40687.705555555498</v>
      </c>
      <c r="T320" s="111">
        <f ca="1">IFERROR(__xludf.DUMMYFUNCTION("""COMPUTED_VALUE"""),8.46)</f>
        <v>8.4600000000000009</v>
      </c>
    </row>
    <row r="321" spans="1:20" x14ac:dyDescent="0.3">
      <c r="A321" s="112">
        <f ca="1">IFERROR(__xludf.DUMMYFUNCTION("""COMPUTED_VALUE"""),40687.7055555555)</f>
        <v>40687.705555555498</v>
      </c>
      <c r="B321" s="111">
        <f ca="1">IFERROR(__xludf.DUMMYFUNCTION("""COMPUTED_VALUE"""),22.25)</f>
        <v>22.25</v>
      </c>
      <c r="C321" s="112">
        <f ca="1">IFERROR(__xludf.DUMMYFUNCTION("""COMPUTED_VALUE"""),40688.7055555555)</f>
        <v>40688.705555555498</v>
      </c>
      <c r="D321" s="111">
        <f ca="1">IFERROR(__xludf.DUMMYFUNCTION("""COMPUTED_VALUE"""),17.41)</f>
        <v>17.41</v>
      </c>
      <c r="E321" s="112">
        <f ca="1">IFERROR(__xludf.DUMMYFUNCTION("""COMPUTED_VALUE"""),40687.7055555555)</f>
        <v>40687.705555555498</v>
      </c>
      <c r="F321" s="111">
        <f ca="1">IFERROR(__xludf.DUMMYFUNCTION("""COMPUTED_VALUE"""),7.44)</f>
        <v>7.44</v>
      </c>
      <c r="G321" s="112">
        <f ca="1">IFERROR(__xludf.DUMMYFUNCTION("""COMPUTED_VALUE"""),40688.7055555555)</f>
        <v>40688.705555555498</v>
      </c>
      <c r="H321" s="111">
        <f ca="1">IFERROR(__xludf.DUMMYFUNCTION("""COMPUTED_VALUE"""),23.9)</f>
        <v>23.9</v>
      </c>
      <c r="K321" s="112">
        <f ca="1">IFERROR(__xludf.DUMMYFUNCTION("""COMPUTED_VALUE"""),41179.7055555555)</f>
        <v>41179.705555555498</v>
      </c>
      <c r="L321" s="111">
        <f ca="1">IFERROR(__xludf.DUMMYFUNCTION("""COMPUTED_VALUE"""),0.39)</f>
        <v>0.39</v>
      </c>
      <c r="M321" s="112">
        <f ca="1">IFERROR(__xludf.DUMMYFUNCTION("""COMPUTED_VALUE"""),40648.7055555555)</f>
        <v>40648.705555555498</v>
      </c>
      <c r="N321" s="111">
        <f ca="1">IFERROR(__xludf.DUMMYFUNCTION("""COMPUTED_VALUE"""),12.35)</f>
        <v>12.35</v>
      </c>
      <c r="O321" s="112">
        <f ca="1">IFERROR(__xludf.DUMMYFUNCTION("""COMPUTED_VALUE"""),40687.7055555555)</f>
        <v>40687.705555555498</v>
      </c>
      <c r="P321" s="111">
        <f ca="1">IFERROR(__xludf.DUMMYFUNCTION("""COMPUTED_VALUE"""),49.16)</f>
        <v>49.16</v>
      </c>
      <c r="Q321" s="112">
        <f ca="1">IFERROR(__xludf.DUMMYFUNCTION("""COMPUTED_VALUE"""),40687.7055555555)</f>
        <v>40687.705555555498</v>
      </c>
      <c r="R321" s="111">
        <f ca="1">IFERROR(__xludf.DUMMYFUNCTION("""COMPUTED_VALUE"""),27.53)</f>
        <v>27.53</v>
      </c>
      <c r="S321" s="112">
        <f ca="1">IFERROR(__xludf.DUMMYFUNCTION("""COMPUTED_VALUE"""),40688.7055555555)</f>
        <v>40688.705555555498</v>
      </c>
      <c r="T321" s="111">
        <f ca="1">IFERROR(__xludf.DUMMYFUNCTION("""COMPUTED_VALUE"""),8.27)</f>
        <v>8.27</v>
      </c>
    </row>
    <row r="322" spans="1:20" x14ac:dyDescent="0.3">
      <c r="A322" s="112">
        <f ca="1">IFERROR(__xludf.DUMMYFUNCTION("""COMPUTED_VALUE"""),40688.7055555555)</f>
        <v>40688.705555555498</v>
      </c>
      <c r="B322" s="111">
        <f ca="1">IFERROR(__xludf.DUMMYFUNCTION("""COMPUTED_VALUE"""),22.29)</f>
        <v>22.29</v>
      </c>
      <c r="C322" s="112">
        <f ca="1">IFERROR(__xludf.DUMMYFUNCTION("""COMPUTED_VALUE"""),40689.7055555555)</f>
        <v>40689.705555555498</v>
      </c>
      <c r="D322" s="111">
        <f ca="1">IFERROR(__xludf.DUMMYFUNCTION("""COMPUTED_VALUE"""),17.97)</f>
        <v>17.97</v>
      </c>
      <c r="E322" s="112">
        <f ca="1">IFERROR(__xludf.DUMMYFUNCTION("""COMPUTED_VALUE"""),40688.7055555555)</f>
        <v>40688.705555555498</v>
      </c>
      <c r="F322" s="111">
        <f ca="1">IFERROR(__xludf.DUMMYFUNCTION("""COMPUTED_VALUE"""),7.38)</f>
        <v>7.38</v>
      </c>
      <c r="G322" s="112">
        <f ca="1">IFERROR(__xludf.DUMMYFUNCTION("""COMPUTED_VALUE"""),40689.7055555555)</f>
        <v>40689.705555555498</v>
      </c>
      <c r="H322" s="111">
        <f ca="1">IFERROR(__xludf.DUMMYFUNCTION("""COMPUTED_VALUE"""),24.2)</f>
        <v>24.2</v>
      </c>
      <c r="K322" s="112">
        <f ca="1">IFERROR(__xludf.DUMMYFUNCTION("""COMPUTED_VALUE"""),41180.7055555555)</f>
        <v>41180.705555555498</v>
      </c>
      <c r="L322" s="111">
        <f ca="1">IFERROR(__xludf.DUMMYFUNCTION("""COMPUTED_VALUE"""),0.38)</f>
        <v>0.38</v>
      </c>
      <c r="M322" s="112">
        <f ca="1">IFERROR(__xludf.DUMMYFUNCTION("""COMPUTED_VALUE"""),40651.7055555555)</f>
        <v>40651.705555555498</v>
      </c>
      <c r="N322" s="111">
        <f ca="1">IFERROR(__xludf.DUMMYFUNCTION("""COMPUTED_VALUE"""),12.32)</f>
        <v>12.32</v>
      </c>
      <c r="O322" s="112">
        <f ca="1">IFERROR(__xludf.DUMMYFUNCTION("""COMPUTED_VALUE"""),40688.7055555555)</f>
        <v>40688.705555555498</v>
      </c>
      <c r="P322" s="111">
        <f ca="1">IFERROR(__xludf.DUMMYFUNCTION("""COMPUTED_VALUE"""),49.28)</f>
        <v>49.28</v>
      </c>
      <c r="Q322" s="112">
        <f ca="1">IFERROR(__xludf.DUMMYFUNCTION("""COMPUTED_VALUE"""),40688.7055555555)</f>
        <v>40688.705555555498</v>
      </c>
      <c r="R322" s="111">
        <f ca="1">IFERROR(__xludf.DUMMYFUNCTION("""COMPUTED_VALUE"""),27.25)</f>
        <v>27.25</v>
      </c>
      <c r="S322" s="112">
        <f ca="1">IFERROR(__xludf.DUMMYFUNCTION("""COMPUTED_VALUE"""),40689.7055555555)</f>
        <v>40689.705555555498</v>
      </c>
      <c r="T322" s="111">
        <f ca="1">IFERROR(__xludf.DUMMYFUNCTION("""COMPUTED_VALUE"""),8.64)</f>
        <v>8.64</v>
      </c>
    </row>
    <row r="323" spans="1:20" x14ac:dyDescent="0.3">
      <c r="A323" s="112">
        <f ca="1">IFERROR(__xludf.DUMMYFUNCTION("""COMPUTED_VALUE"""),40689.7055555555)</f>
        <v>40689.705555555498</v>
      </c>
      <c r="B323" s="111">
        <f ca="1">IFERROR(__xludf.DUMMYFUNCTION("""COMPUTED_VALUE"""),22.17)</f>
        <v>22.17</v>
      </c>
      <c r="C323" s="112">
        <f ca="1">IFERROR(__xludf.DUMMYFUNCTION("""COMPUTED_VALUE"""),40690.7055555555)</f>
        <v>40690.705555555498</v>
      </c>
      <c r="D323" s="111">
        <f ca="1">IFERROR(__xludf.DUMMYFUNCTION("""COMPUTED_VALUE"""),17.88)</f>
        <v>17.88</v>
      </c>
      <c r="E323" s="112">
        <f ca="1">IFERROR(__xludf.DUMMYFUNCTION("""COMPUTED_VALUE"""),40689.7055555555)</f>
        <v>40689.705555555498</v>
      </c>
      <c r="F323" s="111">
        <f ca="1">IFERROR(__xludf.DUMMYFUNCTION("""COMPUTED_VALUE"""),7.61)</f>
        <v>7.61</v>
      </c>
      <c r="G323" s="112">
        <f ca="1">IFERROR(__xludf.DUMMYFUNCTION("""COMPUTED_VALUE"""),40690.7055555555)</f>
        <v>40690.705555555498</v>
      </c>
      <c r="H323" s="111">
        <f ca="1">IFERROR(__xludf.DUMMYFUNCTION("""COMPUTED_VALUE"""),24.29)</f>
        <v>24.29</v>
      </c>
      <c r="K323" s="112">
        <f ca="1">IFERROR(__xludf.DUMMYFUNCTION("""COMPUTED_VALUE"""),41183.7055555555)</f>
        <v>41183.705555555498</v>
      </c>
      <c r="L323" s="111">
        <f ca="1">IFERROR(__xludf.DUMMYFUNCTION("""COMPUTED_VALUE"""),0.38)</f>
        <v>0.38</v>
      </c>
      <c r="M323" s="112">
        <f ca="1">IFERROR(__xludf.DUMMYFUNCTION("""COMPUTED_VALUE"""),40652.7055555555)</f>
        <v>40652.705555555498</v>
      </c>
      <c r="N323" s="111">
        <f ca="1">IFERROR(__xludf.DUMMYFUNCTION("""COMPUTED_VALUE"""),12.41)</f>
        <v>12.41</v>
      </c>
      <c r="O323" s="112">
        <f ca="1">IFERROR(__xludf.DUMMYFUNCTION("""COMPUTED_VALUE"""),40689.7055555555)</f>
        <v>40689.705555555498</v>
      </c>
      <c r="P323" s="111">
        <f ca="1">IFERROR(__xludf.DUMMYFUNCTION("""COMPUTED_VALUE"""),50.05)</f>
        <v>50.05</v>
      </c>
      <c r="Q323" s="112">
        <f ca="1">IFERROR(__xludf.DUMMYFUNCTION("""COMPUTED_VALUE"""),40689.7055555555)</f>
        <v>40689.705555555498</v>
      </c>
      <c r="R323" s="111">
        <f ca="1">IFERROR(__xludf.DUMMYFUNCTION("""COMPUTED_VALUE"""),28.1)</f>
        <v>28.1</v>
      </c>
      <c r="S323" s="112">
        <f ca="1">IFERROR(__xludf.DUMMYFUNCTION("""COMPUTED_VALUE"""),40690.7055555555)</f>
        <v>40690.705555555498</v>
      </c>
      <c r="T323" s="111">
        <f ca="1">IFERROR(__xludf.DUMMYFUNCTION("""COMPUTED_VALUE"""),8.9)</f>
        <v>8.9</v>
      </c>
    </row>
    <row r="324" spans="1:20" x14ac:dyDescent="0.3">
      <c r="A324" s="112">
        <f ca="1">IFERROR(__xludf.DUMMYFUNCTION("""COMPUTED_VALUE"""),40690.7055555555)</f>
        <v>40690.705555555498</v>
      </c>
      <c r="B324" s="111">
        <f ca="1">IFERROR(__xludf.DUMMYFUNCTION("""COMPUTED_VALUE"""),22)</f>
        <v>22</v>
      </c>
      <c r="C324" s="112">
        <f ca="1">IFERROR(__xludf.DUMMYFUNCTION("""COMPUTED_VALUE"""),40693.7055555555)</f>
        <v>40693.705555555498</v>
      </c>
      <c r="D324" s="111">
        <f ca="1">IFERROR(__xludf.DUMMYFUNCTION("""COMPUTED_VALUE"""),17.81)</f>
        <v>17.809999999999999</v>
      </c>
      <c r="E324" s="112">
        <f ca="1">IFERROR(__xludf.DUMMYFUNCTION("""COMPUTED_VALUE"""),40690.7055555555)</f>
        <v>40690.705555555498</v>
      </c>
      <c r="F324" s="111">
        <f ca="1">IFERROR(__xludf.DUMMYFUNCTION("""COMPUTED_VALUE"""),7.57)</f>
        <v>7.57</v>
      </c>
      <c r="G324" s="112">
        <f ca="1">IFERROR(__xludf.DUMMYFUNCTION("""COMPUTED_VALUE"""),40693.7055555555)</f>
        <v>40693.705555555498</v>
      </c>
      <c r="H324" s="111">
        <f ca="1">IFERROR(__xludf.DUMMYFUNCTION("""COMPUTED_VALUE"""),24.08)</f>
        <v>24.08</v>
      </c>
      <c r="K324" s="112">
        <f ca="1">IFERROR(__xludf.DUMMYFUNCTION("""COMPUTED_VALUE"""),41184.7055555555)</f>
        <v>41184.705555555498</v>
      </c>
      <c r="L324" s="111">
        <f ca="1">IFERROR(__xludf.DUMMYFUNCTION("""COMPUTED_VALUE"""),0.38)</f>
        <v>0.38</v>
      </c>
      <c r="M324" s="112">
        <f ca="1">IFERROR(__xludf.DUMMYFUNCTION("""COMPUTED_VALUE"""),40653.7055555555)</f>
        <v>40653.705555555498</v>
      </c>
      <c r="N324" s="111">
        <f ca="1">IFERROR(__xludf.DUMMYFUNCTION("""COMPUTED_VALUE"""),12.64)</f>
        <v>12.64</v>
      </c>
      <c r="O324" s="112">
        <f ca="1">IFERROR(__xludf.DUMMYFUNCTION("""COMPUTED_VALUE"""),40690.7055555555)</f>
        <v>40690.705555555498</v>
      </c>
      <c r="P324" s="111">
        <f ca="1">IFERROR(__xludf.DUMMYFUNCTION("""COMPUTED_VALUE"""),50.35)</f>
        <v>50.35</v>
      </c>
      <c r="Q324" s="112">
        <f ca="1">IFERROR(__xludf.DUMMYFUNCTION("""COMPUTED_VALUE"""),40690.7055555555)</f>
        <v>40690.705555555498</v>
      </c>
      <c r="R324" s="111">
        <f ca="1">IFERROR(__xludf.DUMMYFUNCTION("""COMPUTED_VALUE"""),28.38)</f>
        <v>28.38</v>
      </c>
      <c r="S324" s="112">
        <f ca="1">IFERROR(__xludf.DUMMYFUNCTION("""COMPUTED_VALUE"""),40693.7055555555)</f>
        <v>40693.705555555498</v>
      </c>
      <c r="T324" s="111">
        <f ca="1">IFERROR(__xludf.DUMMYFUNCTION("""COMPUTED_VALUE"""),8.89)</f>
        <v>8.89</v>
      </c>
    </row>
    <row r="325" spans="1:20" x14ac:dyDescent="0.3">
      <c r="A325" s="112">
        <f ca="1">IFERROR(__xludf.DUMMYFUNCTION("""COMPUTED_VALUE"""),40693.7055555555)</f>
        <v>40693.705555555498</v>
      </c>
      <c r="B325" s="111">
        <f ca="1">IFERROR(__xludf.DUMMYFUNCTION("""COMPUTED_VALUE"""),22)</f>
        <v>22</v>
      </c>
      <c r="C325" s="112">
        <f ca="1">IFERROR(__xludf.DUMMYFUNCTION("""COMPUTED_VALUE"""),40694.7055555555)</f>
        <v>40694.705555555498</v>
      </c>
      <c r="D325" s="111">
        <f ca="1">IFERROR(__xludf.DUMMYFUNCTION("""COMPUTED_VALUE"""),17.95)</f>
        <v>17.95</v>
      </c>
      <c r="E325" s="112">
        <f ca="1">IFERROR(__xludf.DUMMYFUNCTION("""COMPUTED_VALUE"""),40693.7055555555)</f>
        <v>40693.705555555498</v>
      </c>
      <c r="F325" s="111">
        <f ca="1">IFERROR(__xludf.DUMMYFUNCTION("""COMPUTED_VALUE"""),7.53)</f>
        <v>7.53</v>
      </c>
      <c r="G325" s="112">
        <f ca="1">IFERROR(__xludf.DUMMYFUNCTION("""COMPUTED_VALUE"""),40694.7055555555)</f>
        <v>40694.705555555498</v>
      </c>
      <c r="H325" s="111">
        <f ca="1">IFERROR(__xludf.DUMMYFUNCTION("""COMPUTED_VALUE"""),24.09)</f>
        <v>24.09</v>
      </c>
      <c r="K325" s="112">
        <f ca="1">IFERROR(__xludf.DUMMYFUNCTION("""COMPUTED_VALUE"""),41185.7055555555)</f>
        <v>41185.705555555498</v>
      </c>
      <c r="L325" s="111">
        <f ca="1">IFERROR(__xludf.DUMMYFUNCTION("""COMPUTED_VALUE"""),0.37)</f>
        <v>0.37</v>
      </c>
      <c r="M325" s="112">
        <f ca="1">IFERROR(__xludf.DUMMYFUNCTION("""COMPUTED_VALUE"""),40658.7055555555)</f>
        <v>40658.705555555498</v>
      </c>
      <c r="N325" s="111">
        <f ca="1">IFERROR(__xludf.DUMMYFUNCTION("""COMPUTED_VALUE"""),12.62)</f>
        <v>12.62</v>
      </c>
      <c r="O325" s="112">
        <f ca="1">IFERROR(__xludf.DUMMYFUNCTION("""COMPUTED_VALUE"""),40693.7055555555)</f>
        <v>40693.705555555498</v>
      </c>
      <c r="P325" s="111">
        <f ca="1">IFERROR(__xludf.DUMMYFUNCTION("""COMPUTED_VALUE"""),50.14)</f>
        <v>50.14</v>
      </c>
      <c r="Q325" s="112">
        <f ca="1">IFERROR(__xludf.DUMMYFUNCTION("""COMPUTED_VALUE"""),40693.7055555555)</f>
        <v>40693.705555555498</v>
      </c>
      <c r="R325" s="111">
        <f ca="1">IFERROR(__xludf.DUMMYFUNCTION("""COMPUTED_VALUE"""),28.3)</f>
        <v>28.3</v>
      </c>
      <c r="S325" s="112">
        <f ca="1">IFERROR(__xludf.DUMMYFUNCTION("""COMPUTED_VALUE"""),40694.7055555555)</f>
        <v>40694.705555555498</v>
      </c>
      <c r="T325" s="111">
        <f ca="1">IFERROR(__xludf.DUMMYFUNCTION("""COMPUTED_VALUE"""),8.99)</f>
        <v>8.99</v>
      </c>
    </row>
    <row r="326" spans="1:20" x14ac:dyDescent="0.3">
      <c r="A326" s="112">
        <f ca="1">IFERROR(__xludf.DUMMYFUNCTION("""COMPUTED_VALUE"""),40694.7055555555)</f>
        <v>40694.705555555498</v>
      </c>
      <c r="B326" s="111">
        <f ca="1">IFERROR(__xludf.DUMMYFUNCTION("""COMPUTED_VALUE"""),22.15)</f>
        <v>22.15</v>
      </c>
      <c r="C326" s="112">
        <f ca="1">IFERROR(__xludf.DUMMYFUNCTION("""COMPUTED_VALUE"""),40695.7055555555)</f>
        <v>40695.705555555498</v>
      </c>
      <c r="D326" s="111">
        <f ca="1">IFERROR(__xludf.DUMMYFUNCTION("""COMPUTED_VALUE"""),17.74)</f>
        <v>17.739999999999998</v>
      </c>
      <c r="E326" s="112">
        <f ca="1">IFERROR(__xludf.DUMMYFUNCTION("""COMPUTED_VALUE"""),40694.7055555555)</f>
        <v>40694.705555555498</v>
      </c>
      <c r="F326" s="111">
        <f ca="1">IFERROR(__xludf.DUMMYFUNCTION("""COMPUTED_VALUE"""),7.68)</f>
        <v>7.68</v>
      </c>
      <c r="G326" s="112">
        <f ca="1">IFERROR(__xludf.DUMMYFUNCTION("""COMPUTED_VALUE"""),40695.7055555555)</f>
        <v>40695.705555555498</v>
      </c>
      <c r="H326" s="111">
        <f ca="1">IFERROR(__xludf.DUMMYFUNCTION("""COMPUTED_VALUE"""),24)</f>
        <v>24</v>
      </c>
      <c r="K326" s="112">
        <f ca="1">IFERROR(__xludf.DUMMYFUNCTION("""COMPUTED_VALUE"""),41186.7055555555)</f>
        <v>41186.705555555498</v>
      </c>
      <c r="L326" s="111">
        <f ca="1">IFERROR(__xludf.DUMMYFUNCTION("""COMPUTED_VALUE"""),0.39)</f>
        <v>0.39</v>
      </c>
      <c r="M326" s="112">
        <f ca="1">IFERROR(__xludf.DUMMYFUNCTION("""COMPUTED_VALUE"""),40659.7055555555)</f>
        <v>40659.705555555498</v>
      </c>
      <c r="N326" s="111">
        <f ca="1">IFERROR(__xludf.DUMMYFUNCTION("""COMPUTED_VALUE"""),12.68)</f>
        <v>12.68</v>
      </c>
      <c r="O326" s="112">
        <f ca="1">IFERROR(__xludf.DUMMYFUNCTION("""COMPUTED_VALUE"""),40694.7055555555)</f>
        <v>40694.705555555498</v>
      </c>
      <c r="P326" s="111">
        <f ca="1">IFERROR(__xludf.DUMMYFUNCTION("""COMPUTED_VALUE"""),50.25)</f>
        <v>50.25</v>
      </c>
      <c r="Q326" s="112">
        <f ca="1">IFERROR(__xludf.DUMMYFUNCTION("""COMPUTED_VALUE"""),40694.7055555555)</f>
        <v>40694.705555555498</v>
      </c>
      <c r="R326" s="111">
        <f ca="1">IFERROR(__xludf.DUMMYFUNCTION("""COMPUTED_VALUE"""),28.05)</f>
        <v>28.05</v>
      </c>
      <c r="S326" s="112">
        <f ca="1">IFERROR(__xludf.DUMMYFUNCTION("""COMPUTED_VALUE"""),40695.7055555555)</f>
        <v>40695.705555555498</v>
      </c>
      <c r="T326" s="111">
        <f ca="1">IFERROR(__xludf.DUMMYFUNCTION("""COMPUTED_VALUE"""),8.72)</f>
        <v>8.7200000000000006</v>
      </c>
    </row>
    <row r="327" spans="1:20" x14ac:dyDescent="0.3">
      <c r="A327" s="112">
        <f ca="1">IFERROR(__xludf.DUMMYFUNCTION("""COMPUTED_VALUE"""),40695.7055555555)</f>
        <v>40695.705555555498</v>
      </c>
      <c r="B327" s="111">
        <f ca="1">IFERROR(__xludf.DUMMYFUNCTION("""COMPUTED_VALUE"""),22.04)</f>
        <v>22.04</v>
      </c>
      <c r="C327" s="112">
        <f ca="1">IFERROR(__xludf.DUMMYFUNCTION("""COMPUTED_VALUE"""),40696.7055555555)</f>
        <v>40696.705555555498</v>
      </c>
      <c r="D327" s="111">
        <f ca="1">IFERROR(__xludf.DUMMYFUNCTION("""COMPUTED_VALUE"""),17.91)</f>
        <v>17.91</v>
      </c>
      <c r="E327" s="112">
        <f ca="1">IFERROR(__xludf.DUMMYFUNCTION("""COMPUTED_VALUE"""),40695.7055555555)</f>
        <v>40695.705555555498</v>
      </c>
      <c r="F327" s="111">
        <f ca="1">IFERROR(__xludf.DUMMYFUNCTION("""COMPUTED_VALUE"""),7.57)</f>
        <v>7.57</v>
      </c>
      <c r="G327" s="112">
        <f ca="1">IFERROR(__xludf.DUMMYFUNCTION("""COMPUTED_VALUE"""),40696.7055555555)</f>
        <v>40696.705555555498</v>
      </c>
      <c r="H327" s="111">
        <f ca="1">IFERROR(__xludf.DUMMYFUNCTION("""COMPUTED_VALUE"""),23.95)</f>
        <v>23.95</v>
      </c>
      <c r="K327" s="112">
        <f ca="1">IFERROR(__xludf.DUMMYFUNCTION("""COMPUTED_VALUE"""),41187.7055555555)</f>
        <v>41187.705555555498</v>
      </c>
      <c r="L327" s="111">
        <f ca="1">IFERROR(__xludf.DUMMYFUNCTION("""COMPUTED_VALUE"""),0.4)</f>
        <v>0.4</v>
      </c>
      <c r="M327" s="112">
        <f ca="1">IFERROR(__xludf.DUMMYFUNCTION("""COMPUTED_VALUE"""),40660.7055555555)</f>
        <v>40660.705555555498</v>
      </c>
      <c r="N327" s="111">
        <f ca="1">IFERROR(__xludf.DUMMYFUNCTION("""COMPUTED_VALUE"""),12.48)</f>
        <v>12.48</v>
      </c>
      <c r="O327" s="112">
        <f ca="1">IFERROR(__xludf.DUMMYFUNCTION("""COMPUTED_VALUE"""),40695.7055555555)</f>
        <v>40695.705555555498</v>
      </c>
      <c r="P327" s="111">
        <f ca="1">IFERROR(__xludf.DUMMYFUNCTION("""COMPUTED_VALUE"""),49.77)</f>
        <v>49.77</v>
      </c>
      <c r="Q327" s="112">
        <f ca="1">IFERROR(__xludf.DUMMYFUNCTION("""COMPUTED_VALUE"""),40695.7055555555)</f>
        <v>40695.705555555498</v>
      </c>
      <c r="R327" s="111">
        <f ca="1">IFERROR(__xludf.DUMMYFUNCTION("""COMPUTED_VALUE"""),27.61)</f>
        <v>27.61</v>
      </c>
      <c r="S327" s="112">
        <f ca="1">IFERROR(__xludf.DUMMYFUNCTION("""COMPUTED_VALUE"""),40696.7055555555)</f>
        <v>40696.705555555498</v>
      </c>
      <c r="T327" s="111">
        <f ca="1">IFERROR(__xludf.DUMMYFUNCTION("""COMPUTED_VALUE"""),8.87)</f>
        <v>8.8699999999999992</v>
      </c>
    </row>
    <row r="328" spans="1:20" x14ac:dyDescent="0.3">
      <c r="A328" s="112">
        <f ca="1">IFERROR(__xludf.DUMMYFUNCTION("""COMPUTED_VALUE"""),40696.7055555555)</f>
        <v>40696.705555555498</v>
      </c>
      <c r="B328" s="111">
        <f ca="1">IFERROR(__xludf.DUMMYFUNCTION("""COMPUTED_VALUE"""),22.06)</f>
        <v>22.06</v>
      </c>
      <c r="C328" s="112">
        <f ca="1">IFERROR(__xludf.DUMMYFUNCTION("""COMPUTED_VALUE"""),40697.7055555555)</f>
        <v>40697.705555555498</v>
      </c>
      <c r="D328" s="111">
        <f ca="1">IFERROR(__xludf.DUMMYFUNCTION("""COMPUTED_VALUE"""),17.96)</f>
        <v>17.96</v>
      </c>
      <c r="E328" s="112">
        <f ca="1">IFERROR(__xludf.DUMMYFUNCTION("""COMPUTED_VALUE"""),40696.7055555555)</f>
        <v>40696.705555555498</v>
      </c>
      <c r="F328" s="111">
        <f ca="1">IFERROR(__xludf.DUMMYFUNCTION("""COMPUTED_VALUE"""),7.64)</f>
        <v>7.64</v>
      </c>
      <c r="G328" s="112">
        <f ca="1">IFERROR(__xludf.DUMMYFUNCTION("""COMPUTED_VALUE"""),40697.7055555555)</f>
        <v>40697.705555555498</v>
      </c>
      <c r="H328" s="111">
        <f ca="1">IFERROR(__xludf.DUMMYFUNCTION("""COMPUTED_VALUE"""),23.78)</f>
        <v>23.78</v>
      </c>
      <c r="K328" s="112">
        <f ca="1">IFERROR(__xludf.DUMMYFUNCTION("""COMPUTED_VALUE"""),41190.7055555555)</f>
        <v>41190.705555555498</v>
      </c>
      <c r="L328" s="111">
        <f ca="1">IFERROR(__xludf.DUMMYFUNCTION("""COMPUTED_VALUE"""),0.39)</f>
        <v>0.39</v>
      </c>
      <c r="M328" s="112">
        <f ca="1">IFERROR(__xludf.DUMMYFUNCTION("""COMPUTED_VALUE"""),40661.7055555555)</f>
        <v>40661.705555555498</v>
      </c>
      <c r="N328" s="111">
        <f ca="1">IFERROR(__xludf.DUMMYFUNCTION("""COMPUTED_VALUE"""),12.18)</f>
        <v>12.18</v>
      </c>
      <c r="O328" s="112">
        <f ca="1">IFERROR(__xludf.DUMMYFUNCTION("""COMPUTED_VALUE"""),40696.7055555555)</f>
        <v>40696.705555555498</v>
      </c>
      <c r="P328" s="111">
        <f ca="1">IFERROR(__xludf.DUMMYFUNCTION("""COMPUTED_VALUE"""),49.85)</f>
        <v>49.85</v>
      </c>
      <c r="Q328" s="112">
        <f ca="1">IFERROR(__xludf.DUMMYFUNCTION("""COMPUTED_VALUE"""),40696.7055555555)</f>
        <v>40696.705555555498</v>
      </c>
      <c r="R328" s="111">
        <f ca="1">IFERROR(__xludf.DUMMYFUNCTION("""COMPUTED_VALUE"""),27.4)</f>
        <v>27.4</v>
      </c>
      <c r="S328" s="112">
        <f ca="1">IFERROR(__xludf.DUMMYFUNCTION("""COMPUTED_VALUE"""),40697.7055555555)</f>
        <v>40697.705555555498</v>
      </c>
      <c r="T328" s="111">
        <f ca="1">IFERROR(__xludf.DUMMYFUNCTION("""COMPUTED_VALUE"""),9.23)</f>
        <v>9.23</v>
      </c>
    </row>
    <row r="329" spans="1:20" x14ac:dyDescent="0.3">
      <c r="A329" s="112">
        <f ca="1">IFERROR(__xludf.DUMMYFUNCTION("""COMPUTED_VALUE"""),40697.7055555555)</f>
        <v>40697.705555555498</v>
      </c>
      <c r="B329" s="111">
        <f ca="1">IFERROR(__xludf.DUMMYFUNCTION("""COMPUTED_VALUE"""),22.01)</f>
        <v>22.01</v>
      </c>
      <c r="C329" s="112">
        <f ca="1">IFERROR(__xludf.DUMMYFUNCTION("""COMPUTED_VALUE"""),40700.7055555555)</f>
        <v>40700.705555555498</v>
      </c>
      <c r="D329" s="111">
        <f ca="1">IFERROR(__xludf.DUMMYFUNCTION("""COMPUTED_VALUE"""),17.54)</f>
        <v>17.54</v>
      </c>
      <c r="E329" s="112">
        <f ca="1">IFERROR(__xludf.DUMMYFUNCTION("""COMPUTED_VALUE"""),40697.7055555555)</f>
        <v>40697.705555555498</v>
      </c>
      <c r="F329" s="111">
        <f ca="1">IFERROR(__xludf.DUMMYFUNCTION("""COMPUTED_VALUE"""),7.64)</f>
        <v>7.64</v>
      </c>
      <c r="G329" s="112">
        <f ca="1">IFERROR(__xludf.DUMMYFUNCTION("""COMPUTED_VALUE"""),40700.7055555555)</f>
        <v>40700.705555555498</v>
      </c>
      <c r="H329" s="111">
        <f ca="1">IFERROR(__xludf.DUMMYFUNCTION("""COMPUTED_VALUE"""),23.2)</f>
        <v>23.2</v>
      </c>
      <c r="K329" s="112">
        <f ca="1">IFERROR(__xludf.DUMMYFUNCTION("""COMPUTED_VALUE"""),41191.7055555555)</f>
        <v>41191.705555555498</v>
      </c>
      <c r="L329" s="111">
        <f ca="1">IFERROR(__xludf.DUMMYFUNCTION("""COMPUTED_VALUE"""),0.38)</f>
        <v>0.38</v>
      </c>
      <c r="M329" s="112">
        <f ca="1">IFERROR(__xludf.DUMMYFUNCTION("""COMPUTED_VALUE"""),40662.7055555555)</f>
        <v>40662.705555555498</v>
      </c>
      <c r="N329" s="111">
        <f ca="1">IFERROR(__xludf.DUMMYFUNCTION("""COMPUTED_VALUE"""),12.31)</f>
        <v>12.31</v>
      </c>
      <c r="O329" s="112">
        <f ca="1">IFERROR(__xludf.DUMMYFUNCTION("""COMPUTED_VALUE"""),40697.7055555555)</f>
        <v>40697.705555555498</v>
      </c>
      <c r="P329" s="111">
        <f ca="1">IFERROR(__xludf.DUMMYFUNCTION("""COMPUTED_VALUE"""),49.43)</f>
        <v>49.43</v>
      </c>
      <c r="Q329" s="112">
        <f ca="1">IFERROR(__xludf.DUMMYFUNCTION("""COMPUTED_VALUE"""),40697.7055555555)</f>
        <v>40697.705555555498</v>
      </c>
      <c r="R329" s="111">
        <f ca="1">IFERROR(__xludf.DUMMYFUNCTION("""COMPUTED_VALUE"""),27.4)</f>
        <v>27.4</v>
      </c>
      <c r="S329" s="112">
        <f ca="1">IFERROR(__xludf.DUMMYFUNCTION("""COMPUTED_VALUE"""),40700.7055555555)</f>
        <v>40700.705555555498</v>
      </c>
      <c r="T329" s="111">
        <f ca="1">IFERROR(__xludf.DUMMYFUNCTION("""COMPUTED_VALUE"""),9.18)</f>
        <v>9.18</v>
      </c>
    </row>
    <row r="330" spans="1:20" x14ac:dyDescent="0.3">
      <c r="A330" s="112">
        <f ca="1">IFERROR(__xludf.DUMMYFUNCTION("""COMPUTED_VALUE"""),40700.7055555555)</f>
        <v>40700.705555555498</v>
      </c>
      <c r="B330" s="111">
        <f ca="1">IFERROR(__xludf.DUMMYFUNCTION("""COMPUTED_VALUE"""),21.86)</f>
        <v>21.86</v>
      </c>
      <c r="C330" s="112">
        <f ca="1">IFERROR(__xludf.DUMMYFUNCTION("""COMPUTED_VALUE"""),40702.7055555555)</f>
        <v>40702.705555555498</v>
      </c>
      <c r="D330" s="111">
        <f ca="1">IFERROR(__xludf.DUMMYFUNCTION("""COMPUTED_VALUE"""),17.72)</f>
        <v>17.72</v>
      </c>
      <c r="E330" s="112">
        <f ca="1">IFERROR(__xludf.DUMMYFUNCTION("""COMPUTED_VALUE"""),40700.7055555555)</f>
        <v>40700.705555555498</v>
      </c>
      <c r="F330" s="111">
        <f ca="1">IFERROR(__xludf.DUMMYFUNCTION("""COMPUTED_VALUE"""),7.49)</f>
        <v>7.49</v>
      </c>
      <c r="G330" s="112">
        <f ca="1">IFERROR(__xludf.DUMMYFUNCTION("""COMPUTED_VALUE"""),40702.7055555555)</f>
        <v>40702.705555555498</v>
      </c>
      <c r="H330" s="111">
        <f ca="1">IFERROR(__xludf.DUMMYFUNCTION("""COMPUTED_VALUE"""),23.2)</f>
        <v>23.2</v>
      </c>
      <c r="K330" s="112">
        <f ca="1">IFERROR(__xludf.DUMMYFUNCTION("""COMPUTED_VALUE"""),41192.7055555555)</f>
        <v>41192.705555555498</v>
      </c>
      <c r="L330" s="111">
        <f ca="1">IFERROR(__xludf.DUMMYFUNCTION("""COMPUTED_VALUE"""),0.41)</f>
        <v>0.41</v>
      </c>
      <c r="M330" s="112">
        <f ca="1">IFERROR(__xludf.DUMMYFUNCTION("""COMPUTED_VALUE"""),40665.7055555555)</f>
        <v>40665.705555555498</v>
      </c>
      <c r="N330" s="111">
        <f ca="1">IFERROR(__xludf.DUMMYFUNCTION("""COMPUTED_VALUE"""),12.21)</f>
        <v>12.21</v>
      </c>
      <c r="O330" s="112">
        <f ca="1">IFERROR(__xludf.DUMMYFUNCTION("""COMPUTED_VALUE"""),40700.7055555555)</f>
        <v>40700.705555555498</v>
      </c>
      <c r="P330" s="111">
        <f ca="1">IFERROR(__xludf.DUMMYFUNCTION("""COMPUTED_VALUE"""),49.05)</f>
        <v>49.05</v>
      </c>
      <c r="Q330" s="112">
        <f ca="1">IFERROR(__xludf.DUMMYFUNCTION("""COMPUTED_VALUE"""),40700.7055555555)</f>
        <v>40700.705555555498</v>
      </c>
      <c r="R330" s="111">
        <f ca="1">IFERROR(__xludf.DUMMYFUNCTION("""COMPUTED_VALUE"""),27.33)</f>
        <v>27.33</v>
      </c>
      <c r="S330" s="112">
        <f ca="1">IFERROR(__xludf.DUMMYFUNCTION("""COMPUTED_VALUE"""),40702.7055555555)</f>
        <v>40702.705555555498</v>
      </c>
      <c r="T330" s="111">
        <f ca="1">IFERROR(__xludf.DUMMYFUNCTION("""COMPUTED_VALUE"""),9.11)</f>
        <v>9.11</v>
      </c>
    </row>
    <row r="331" spans="1:20" x14ac:dyDescent="0.3">
      <c r="A331" s="112">
        <f ca="1">IFERROR(__xludf.DUMMYFUNCTION("""COMPUTED_VALUE"""),40702.7055555555)</f>
        <v>40702.705555555498</v>
      </c>
      <c r="B331" s="111">
        <f ca="1">IFERROR(__xludf.DUMMYFUNCTION("""COMPUTED_VALUE"""),21.41)</f>
        <v>21.41</v>
      </c>
      <c r="C331" s="112">
        <f ca="1">IFERROR(__xludf.DUMMYFUNCTION("""COMPUTED_VALUE"""),40703.7055555555)</f>
        <v>40703.705555555498</v>
      </c>
      <c r="D331" s="111">
        <f ca="1">IFERROR(__xludf.DUMMYFUNCTION("""COMPUTED_VALUE"""),17.58)</f>
        <v>17.579999999999998</v>
      </c>
      <c r="E331" s="112">
        <f ca="1">IFERROR(__xludf.DUMMYFUNCTION("""COMPUTED_VALUE"""),40702.7055555555)</f>
        <v>40702.705555555498</v>
      </c>
      <c r="F331" s="111">
        <f ca="1">IFERROR(__xludf.DUMMYFUNCTION("""COMPUTED_VALUE"""),7.58)</f>
        <v>7.58</v>
      </c>
      <c r="G331" s="112">
        <f ca="1">IFERROR(__xludf.DUMMYFUNCTION("""COMPUTED_VALUE"""),40703.7055555555)</f>
        <v>40703.705555555498</v>
      </c>
      <c r="H331" s="111">
        <f ca="1">IFERROR(__xludf.DUMMYFUNCTION("""COMPUTED_VALUE"""),23.7)</f>
        <v>23.7</v>
      </c>
      <c r="K331" s="112">
        <f ca="1">IFERROR(__xludf.DUMMYFUNCTION("""COMPUTED_VALUE"""),41193.7055555555)</f>
        <v>41193.705555555498</v>
      </c>
      <c r="L331" s="111">
        <f ca="1">IFERROR(__xludf.DUMMYFUNCTION("""COMPUTED_VALUE"""),0.4)</f>
        <v>0.4</v>
      </c>
      <c r="M331" s="112">
        <f ca="1">IFERROR(__xludf.DUMMYFUNCTION("""COMPUTED_VALUE"""),40666.7055555555)</f>
        <v>40666.705555555498</v>
      </c>
      <c r="N331" s="111">
        <f ca="1">IFERROR(__xludf.DUMMYFUNCTION("""COMPUTED_VALUE"""),11.84)</f>
        <v>11.84</v>
      </c>
      <c r="O331" s="112">
        <f ca="1">IFERROR(__xludf.DUMMYFUNCTION("""COMPUTED_VALUE"""),40702.7055555555)</f>
        <v>40702.705555555498</v>
      </c>
      <c r="P331" s="111">
        <f ca="1">IFERROR(__xludf.DUMMYFUNCTION("""COMPUTED_VALUE"""),49)</f>
        <v>49</v>
      </c>
      <c r="Q331" s="112">
        <f ca="1">IFERROR(__xludf.DUMMYFUNCTION("""COMPUTED_VALUE"""),40702.7055555555)</f>
        <v>40702.705555555498</v>
      </c>
      <c r="R331" s="111">
        <f ca="1">IFERROR(__xludf.DUMMYFUNCTION("""COMPUTED_VALUE"""),27.75)</f>
        <v>27.75</v>
      </c>
      <c r="S331" s="112">
        <f ca="1">IFERROR(__xludf.DUMMYFUNCTION("""COMPUTED_VALUE"""),40703.7055555555)</f>
        <v>40703.705555555498</v>
      </c>
      <c r="T331" s="111">
        <f ca="1">IFERROR(__xludf.DUMMYFUNCTION("""COMPUTED_VALUE"""),9.2)</f>
        <v>9.1999999999999993</v>
      </c>
    </row>
    <row r="332" spans="1:20" x14ac:dyDescent="0.3">
      <c r="A332" s="112">
        <f ca="1">IFERROR(__xludf.DUMMYFUNCTION("""COMPUTED_VALUE"""),40703.7055555555)</f>
        <v>40703.705555555498</v>
      </c>
      <c r="B332" s="111">
        <f ca="1">IFERROR(__xludf.DUMMYFUNCTION("""COMPUTED_VALUE"""),21.51)</f>
        <v>21.51</v>
      </c>
      <c r="C332" s="112">
        <f ca="1">IFERROR(__xludf.DUMMYFUNCTION("""COMPUTED_VALUE"""),40704.7055555555)</f>
        <v>40704.705555555498</v>
      </c>
      <c r="D332" s="111">
        <f ca="1">IFERROR(__xludf.DUMMYFUNCTION("""COMPUTED_VALUE"""),17.48)</f>
        <v>17.48</v>
      </c>
      <c r="E332" s="112">
        <f ca="1">IFERROR(__xludf.DUMMYFUNCTION("""COMPUTED_VALUE"""),40703.7055555555)</f>
        <v>40703.705555555498</v>
      </c>
      <c r="F332" s="111">
        <f ca="1">IFERROR(__xludf.DUMMYFUNCTION("""COMPUTED_VALUE"""),7.51)</f>
        <v>7.51</v>
      </c>
      <c r="G332" s="112">
        <f ca="1">IFERROR(__xludf.DUMMYFUNCTION("""COMPUTED_VALUE"""),40704.7055555555)</f>
        <v>40704.705555555498</v>
      </c>
      <c r="H332" s="111">
        <f ca="1">IFERROR(__xludf.DUMMYFUNCTION("""COMPUTED_VALUE"""),23.72)</f>
        <v>23.72</v>
      </c>
      <c r="K332" s="112">
        <f ca="1">IFERROR(__xludf.DUMMYFUNCTION("""COMPUTED_VALUE"""),41197.7055555555)</f>
        <v>41197.705555555498</v>
      </c>
      <c r="L332" s="111">
        <f ca="1">IFERROR(__xludf.DUMMYFUNCTION("""COMPUTED_VALUE"""),0.41)</f>
        <v>0.41</v>
      </c>
      <c r="M332" s="112">
        <f ca="1">IFERROR(__xludf.DUMMYFUNCTION("""COMPUTED_VALUE"""),40667.7055555555)</f>
        <v>40667.705555555498</v>
      </c>
      <c r="N332" s="111">
        <f ca="1">IFERROR(__xludf.DUMMYFUNCTION("""COMPUTED_VALUE"""),11.83)</f>
        <v>11.83</v>
      </c>
      <c r="O332" s="112">
        <f ca="1">IFERROR(__xludf.DUMMYFUNCTION("""COMPUTED_VALUE"""),40703.7055555555)</f>
        <v>40703.705555555498</v>
      </c>
      <c r="P332" s="111">
        <f ca="1">IFERROR(__xludf.DUMMYFUNCTION("""COMPUTED_VALUE"""),49.54)</f>
        <v>49.54</v>
      </c>
      <c r="Q332" s="112">
        <f ca="1">IFERROR(__xludf.DUMMYFUNCTION("""COMPUTED_VALUE"""),40703.7055555555)</f>
        <v>40703.705555555498</v>
      </c>
      <c r="R332" s="111">
        <f ca="1">IFERROR(__xludf.DUMMYFUNCTION("""COMPUTED_VALUE"""),27.54)</f>
        <v>27.54</v>
      </c>
      <c r="S332" s="112">
        <f ca="1">IFERROR(__xludf.DUMMYFUNCTION("""COMPUTED_VALUE"""),40704.7055555555)</f>
        <v>40704.705555555498</v>
      </c>
      <c r="T332" s="111">
        <f ca="1">IFERROR(__xludf.DUMMYFUNCTION("""COMPUTED_VALUE"""),8.97)</f>
        <v>8.9700000000000006</v>
      </c>
    </row>
    <row r="333" spans="1:20" x14ac:dyDescent="0.3">
      <c r="A333" s="112">
        <f ca="1">IFERROR(__xludf.DUMMYFUNCTION("""COMPUTED_VALUE"""),40704.7055555555)</f>
        <v>40704.705555555498</v>
      </c>
      <c r="B333" s="111">
        <f ca="1">IFERROR(__xludf.DUMMYFUNCTION("""COMPUTED_VALUE"""),21.14)</f>
        <v>21.14</v>
      </c>
      <c r="C333" s="112">
        <f ca="1">IFERROR(__xludf.DUMMYFUNCTION("""COMPUTED_VALUE"""),40707.7055555555)</f>
        <v>40707.705555555498</v>
      </c>
      <c r="D333" s="111">
        <f ca="1">IFERROR(__xludf.DUMMYFUNCTION("""COMPUTED_VALUE"""),17.43)</f>
        <v>17.43</v>
      </c>
      <c r="E333" s="112">
        <f ca="1">IFERROR(__xludf.DUMMYFUNCTION("""COMPUTED_VALUE"""),40704.7055555555)</f>
        <v>40704.705555555498</v>
      </c>
      <c r="F333" s="111">
        <f ca="1">IFERROR(__xludf.DUMMYFUNCTION("""COMPUTED_VALUE"""),7.43)</f>
        <v>7.43</v>
      </c>
      <c r="G333" s="112">
        <f ca="1">IFERROR(__xludf.DUMMYFUNCTION("""COMPUTED_VALUE"""),40707.7055555555)</f>
        <v>40707.705555555498</v>
      </c>
      <c r="H333" s="111">
        <f ca="1">IFERROR(__xludf.DUMMYFUNCTION("""COMPUTED_VALUE"""),23.33)</f>
        <v>23.33</v>
      </c>
      <c r="K333" s="112">
        <f ca="1">IFERROR(__xludf.DUMMYFUNCTION("""COMPUTED_VALUE"""),41198.7055555555)</f>
        <v>41198.705555555498</v>
      </c>
      <c r="L333" s="111">
        <f ca="1">IFERROR(__xludf.DUMMYFUNCTION("""COMPUTED_VALUE"""),0.4)</f>
        <v>0.4</v>
      </c>
      <c r="M333" s="112">
        <f ca="1">IFERROR(__xludf.DUMMYFUNCTION("""COMPUTED_VALUE"""),40668.7055555555)</f>
        <v>40668.705555555498</v>
      </c>
      <c r="N333" s="111">
        <f ca="1">IFERROR(__xludf.DUMMYFUNCTION("""COMPUTED_VALUE"""),11.91)</f>
        <v>11.91</v>
      </c>
      <c r="O333" s="112">
        <f ca="1">IFERROR(__xludf.DUMMYFUNCTION("""COMPUTED_VALUE"""),40704.7055555555)</f>
        <v>40704.705555555498</v>
      </c>
      <c r="P333" s="111">
        <f ca="1">IFERROR(__xludf.DUMMYFUNCTION("""COMPUTED_VALUE"""),48.99)</f>
        <v>48.99</v>
      </c>
      <c r="Q333" s="112">
        <f ca="1">IFERROR(__xludf.DUMMYFUNCTION("""COMPUTED_VALUE"""),40704.7055555555)</f>
        <v>40704.705555555498</v>
      </c>
      <c r="R333" s="111">
        <f ca="1">IFERROR(__xludf.DUMMYFUNCTION("""COMPUTED_VALUE"""),27.1)</f>
        <v>27.1</v>
      </c>
      <c r="S333" s="112">
        <f ca="1">IFERROR(__xludf.DUMMYFUNCTION("""COMPUTED_VALUE"""),40707.7055555555)</f>
        <v>40707.705555555498</v>
      </c>
      <c r="T333" s="111">
        <f ca="1">IFERROR(__xludf.DUMMYFUNCTION("""COMPUTED_VALUE"""),8.87)</f>
        <v>8.8699999999999992</v>
      </c>
    </row>
    <row r="334" spans="1:20" x14ac:dyDescent="0.3">
      <c r="A334" s="112">
        <f ca="1">IFERROR(__xludf.DUMMYFUNCTION("""COMPUTED_VALUE"""),40707.7055555555)</f>
        <v>40707.705555555498</v>
      </c>
      <c r="B334" s="111">
        <f ca="1">IFERROR(__xludf.DUMMYFUNCTION("""COMPUTED_VALUE"""),21.11)</f>
        <v>21.11</v>
      </c>
      <c r="C334" s="112">
        <f ca="1">IFERROR(__xludf.DUMMYFUNCTION("""COMPUTED_VALUE"""),40708.7055555555)</f>
        <v>40708.705555555498</v>
      </c>
      <c r="D334" s="111">
        <f ca="1">IFERROR(__xludf.DUMMYFUNCTION("""COMPUTED_VALUE"""),17.66)</f>
        <v>17.66</v>
      </c>
      <c r="E334" s="112">
        <f ca="1">IFERROR(__xludf.DUMMYFUNCTION("""COMPUTED_VALUE"""),40707.7055555555)</f>
        <v>40707.705555555498</v>
      </c>
      <c r="F334" s="111">
        <f ca="1">IFERROR(__xludf.DUMMYFUNCTION("""COMPUTED_VALUE"""),7.42)</f>
        <v>7.42</v>
      </c>
      <c r="G334" s="112">
        <f ca="1">IFERROR(__xludf.DUMMYFUNCTION("""COMPUTED_VALUE"""),40708.7055555555)</f>
        <v>40708.705555555498</v>
      </c>
      <c r="H334" s="111">
        <f ca="1">IFERROR(__xludf.DUMMYFUNCTION("""COMPUTED_VALUE"""),23.6)</f>
        <v>23.6</v>
      </c>
      <c r="K334" s="112">
        <f ca="1">IFERROR(__xludf.DUMMYFUNCTION("""COMPUTED_VALUE"""),41199.7055555555)</f>
        <v>41199.705555555498</v>
      </c>
      <c r="L334" s="111">
        <f ca="1">IFERROR(__xludf.DUMMYFUNCTION("""COMPUTED_VALUE"""),0.4)</f>
        <v>0.4</v>
      </c>
      <c r="M334" s="112">
        <f ca="1">IFERROR(__xludf.DUMMYFUNCTION("""COMPUTED_VALUE"""),40669.7055555555)</f>
        <v>40669.705555555498</v>
      </c>
      <c r="N334" s="111">
        <f ca="1">IFERROR(__xludf.DUMMYFUNCTION("""COMPUTED_VALUE"""),12.15)</f>
        <v>12.15</v>
      </c>
      <c r="O334" s="112">
        <f ca="1">IFERROR(__xludf.DUMMYFUNCTION("""COMPUTED_VALUE"""),40707.7055555555)</f>
        <v>40707.705555555498</v>
      </c>
      <c r="P334" s="111">
        <f ca="1">IFERROR(__xludf.DUMMYFUNCTION("""COMPUTED_VALUE"""),48.08)</f>
        <v>48.08</v>
      </c>
      <c r="Q334" s="112">
        <f ca="1">IFERROR(__xludf.DUMMYFUNCTION("""COMPUTED_VALUE"""),40707.7055555555)</f>
        <v>40707.705555555498</v>
      </c>
      <c r="R334" s="111">
        <f ca="1">IFERROR(__xludf.DUMMYFUNCTION("""COMPUTED_VALUE"""),27.36)</f>
        <v>27.36</v>
      </c>
      <c r="S334" s="112">
        <f ca="1">IFERROR(__xludf.DUMMYFUNCTION("""COMPUTED_VALUE"""),40708.7055555555)</f>
        <v>40708.705555555498</v>
      </c>
      <c r="T334" s="111">
        <f ca="1">IFERROR(__xludf.DUMMYFUNCTION("""COMPUTED_VALUE"""),8.87)</f>
        <v>8.8699999999999992</v>
      </c>
    </row>
    <row r="335" spans="1:20" x14ac:dyDescent="0.3">
      <c r="A335" s="112">
        <f ca="1">IFERROR(__xludf.DUMMYFUNCTION("""COMPUTED_VALUE"""),40708.7055555555)</f>
        <v>40708.705555555498</v>
      </c>
      <c r="B335" s="111">
        <f ca="1">IFERROR(__xludf.DUMMYFUNCTION("""COMPUTED_VALUE"""),21.08)</f>
        <v>21.08</v>
      </c>
      <c r="C335" s="112">
        <f ca="1">IFERROR(__xludf.DUMMYFUNCTION("""COMPUTED_VALUE"""),40709.7055555555)</f>
        <v>40709.705555555498</v>
      </c>
      <c r="D335" s="111">
        <f ca="1">IFERROR(__xludf.DUMMYFUNCTION("""COMPUTED_VALUE"""),17.83)</f>
        <v>17.829999999999998</v>
      </c>
      <c r="E335" s="112">
        <f ca="1">IFERROR(__xludf.DUMMYFUNCTION("""COMPUTED_VALUE"""),40708.7055555555)</f>
        <v>40708.705555555498</v>
      </c>
      <c r="F335" s="111">
        <f ca="1">IFERROR(__xludf.DUMMYFUNCTION("""COMPUTED_VALUE"""),7.53)</f>
        <v>7.53</v>
      </c>
      <c r="G335" s="112">
        <f ca="1">IFERROR(__xludf.DUMMYFUNCTION("""COMPUTED_VALUE"""),40709.7055555555)</f>
        <v>40709.705555555498</v>
      </c>
      <c r="H335" s="111">
        <f ca="1">IFERROR(__xludf.DUMMYFUNCTION("""COMPUTED_VALUE"""),23.3)</f>
        <v>23.3</v>
      </c>
      <c r="K335" s="112">
        <f ca="1">IFERROR(__xludf.DUMMYFUNCTION("""COMPUTED_VALUE"""),41200.7055555555)</f>
        <v>41200.705555555498</v>
      </c>
      <c r="L335" s="111">
        <f ca="1">IFERROR(__xludf.DUMMYFUNCTION("""COMPUTED_VALUE"""),0.39)</f>
        <v>0.39</v>
      </c>
      <c r="M335" s="112">
        <f ca="1">IFERROR(__xludf.DUMMYFUNCTION("""COMPUTED_VALUE"""),40672.7055555555)</f>
        <v>40672.705555555498</v>
      </c>
      <c r="N335" s="111">
        <f ca="1">IFERROR(__xludf.DUMMYFUNCTION("""COMPUTED_VALUE"""),12.2)</f>
        <v>12.2</v>
      </c>
      <c r="O335" s="112">
        <f ca="1">IFERROR(__xludf.DUMMYFUNCTION("""COMPUTED_VALUE"""),40708.7055555555)</f>
        <v>40708.705555555498</v>
      </c>
      <c r="P335" s="111">
        <f ca="1">IFERROR(__xludf.DUMMYFUNCTION("""COMPUTED_VALUE"""),48.32)</f>
        <v>48.32</v>
      </c>
      <c r="Q335" s="112">
        <f ca="1">IFERROR(__xludf.DUMMYFUNCTION("""COMPUTED_VALUE"""),40708.7055555555)</f>
        <v>40708.705555555498</v>
      </c>
      <c r="R335" s="111">
        <f ca="1">IFERROR(__xludf.DUMMYFUNCTION("""COMPUTED_VALUE"""),27.64)</f>
        <v>27.64</v>
      </c>
      <c r="S335" s="112">
        <f ca="1">IFERROR(__xludf.DUMMYFUNCTION("""COMPUTED_VALUE"""),40709.7055555555)</f>
        <v>40709.705555555498</v>
      </c>
      <c r="T335" s="111">
        <f ca="1">IFERROR(__xludf.DUMMYFUNCTION("""COMPUTED_VALUE"""),8.79)</f>
        <v>8.7899999999999991</v>
      </c>
    </row>
    <row r="336" spans="1:20" x14ac:dyDescent="0.3">
      <c r="A336" s="112">
        <f ca="1">IFERROR(__xludf.DUMMYFUNCTION("""COMPUTED_VALUE"""),40709.7055555555)</f>
        <v>40709.705555555498</v>
      </c>
      <c r="B336" s="111">
        <f ca="1">IFERROR(__xludf.DUMMYFUNCTION("""COMPUTED_VALUE"""),21.06)</f>
        <v>21.06</v>
      </c>
      <c r="C336" s="112">
        <f ca="1">IFERROR(__xludf.DUMMYFUNCTION("""COMPUTED_VALUE"""),40710.7055555555)</f>
        <v>40710.705555555498</v>
      </c>
      <c r="D336" s="111">
        <f ca="1">IFERROR(__xludf.DUMMYFUNCTION("""COMPUTED_VALUE"""),17.72)</f>
        <v>17.72</v>
      </c>
      <c r="E336" s="112">
        <f ca="1">IFERROR(__xludf.DUMMYFUNCTION("""COMPUTED_VALUE"""),40709.7055555555)</f>
        <v>40709.705555555498</v>
      </c>
      <c r="F336" s="111">
        <f ca="1">IFERROR(__xludf.DUMMYFUNCTION("""COMPUTED_VALUE"""),7.57)</f>
        <v>7.57</v>
      </c>
      <c r="G336" s="112">
        <f ca="1">IFERROR(__xludf.DUMMYFUNCTION("""COMPUTED_VALUE"""),40710.7055555555)</f>
        <v>40710.705555555498</v>
      </c>
      <c r="H336" s="111">
        <f ca="1">IFERROR(__xludf.DUMMYFUNCTION("""COMPUTED_VALUE"""),23.29)</f>
        <v>23.29</v>
      </c>
      <c r="K336" s="112">
        <f ca="1">IFERROR(__xludf.DUMMYFUNCTION("""COMPUTED_VALUE"""),41201.7055555555)</f>
        <v>41201.705555555498</v>
      </c>
      <c r="L336" s="111">
        <f ca="1">IFERROR(__xludf.DUMMYFUNCTION("""COMPUTED_VALUE"""),0.38)</f>
        <v>0.38</v>
      </c>
      <c r="M336" s="112">
        <f ca="1">IFERROR(__xludf.DUMMYFUNCTION("""COMPUTED_VALUE"""),40673.7055555555)</f>
        <v>40673.705555555498</v>
      </c>
      <c r="N336" s="111">
        <f ca="1">IFERROR(__xludf.DUMMYFUNCTION("""COMPUTED_VALUE"""),12.39)</f>
        <v>12.39</v>
      </c>
      <c r="O336" s="112">
        <f ca="1">IFERROR(__xludf.DUMMYFUNCTION("""COMPUTED_VALUE"""),40709.7055555555)</f>
        <v>40709.705555555498</v>
      </c>
      <c r="P336" s="111">
        <f ca="1">IFERROR(__xludf.DUMMYFUNCTION("""COMPUTED_VALUE"""),48)</f>
        <v>48</v>
      </c>
      <c r="Q336" s="112">
        <f ca="1">IFERROR(__xludf.DUMMYFUNCTION("""COMPUTED_VALUE"""),40709.7055555555)</f>
        <v>40709.705555555498</v>
      </c>
      <c r="R336" s="111">
        <f ca="1">IFERROR(__xludf.DUMMYFUNCTION("""COMPUTED_VALUE"""),27.6)</f>
        <v>27.6</v>
      </c>
      <c r="S336" s="112">
        <f ca="1">IFERROR(__xludf.DUMMYFUNCTION("""COMPUTED_VALUE"""),40710.7055555555)</f>
        <v>40710.705555555498</v>
      </c>
      <c r="T336" s="111">
        <f ca="1">IFERROR(__xludf.DUMMYFUNCTION("""COMPUTED_VALUE"""),8.6)</f>
        <v>8.6</v>
      </c>
    </row>
    <row r="337" spans="1:20" x14ac:dyDescent="0.3">
      <c r="A337" s="112">
        <f ca="1">IFERROR(__xludf.DUMMYFUNCTION("""COMPUTED_VALUE"""),40710.7055555555)</f>
        <v>40710.705555555498</v>
      </c>
      <c r="B337" s="111">
        <f ca="1">IFERROR(__xludf.DUMMYFUNCTION("""COMPUTED_VALUE"""),21.15)</f>
        <v>21.15</v>
      </c>
      <c r="C337" s="112">
        <f ca="1">IFERROR(__xludf.DUMMYFUNCTION("""COMPUTED_VALUE"""),40711.7055555555)</f>
        <v>40711.705555555498</v>
      </c>
      <c r="D337" s="111">
        <f ca="1">IFERROR(__xludf.DUMMYFUNCTION("""COMPUTED_VALUE"""),17.53)</f>
        <v>17.53</v>
      </c>
      <c r="E337" s="112">
        <f ca="1">IFERROR(__xludf.DUMMYFUNCTION("""COMPUTED_VALUE"""),40710.7055555555)</f>
        <v>40710.705555555498</v>
      </c>
      <c r="F337" s="111">
        <f ca="1">IFERROR(__xludf.DUMMYFUNCTION("""COMPUTED_VALUE"""),7.51)</f>
        <v>7.51</v>
      </c>
      <c r="G337" s="112">
        <f ca="1">IFERROR(__xludf.DUMMYFUNCTION("""COMPUTED_VALUE"""),40711.7055555555)</f>
        <v>40711.705555555498</v>
      </c>
      <c r="H337" s="111">
        <f ca="1">IFERROR(__xludf.DUMMYFUNCTION("""COMPUTED_VALUE"""),23.24)</f>
        <v>23.24</v>
      </c>
      <c r="K337" s="112">
        <f ca="1">IFERROR(__xludf.DUMMYFUNCTION("""COMPUTED_VALUE"""),41204.7055555555)</f>
        <v>41204.705555555498</v>
      </c>
      <c r="L337" s="111">
        <f ca="1">IFERROR(__xludf.DUMMYFUNCTION("""COMPUTED_VALUE"""),0.39)</f>
        <v>0.39</v>
      </c>
      <c r="M337" s="112">
        <f ca="1">IFERROR(__xludf.DUMMYFUNCTION("""COMPUTED_VALUE"""),40674.7055555555)</f>
        <v>40674.705555555498</v>
      </c>
      <c r="N337" s="111">
        <f ca="1">IFERROR(__xludf.DUMMYFUNCTION("""COMPUTED_VALUE"""),12.34)</f>
        <v>12.34</v>
      </c>
      <c r="O337" s="112">
        <f ca="1">IFERROR(__xludf.DUMMYFUNCTION("""COMPUTED_VALUE"""),40710.7055555555)</f>
        <v>40710.705555555498</v>
      </c>
      <c r="P337" s="111">
        <f ca="1">IFERROR(__xludf.DUMMYFUNCTION("""COMPUTED_VALUE"""),47.46)</f>
        <v>47.46</v>
      </c>
      <c r="Q337" s="112">
        <f ca="1">IFERROR(__xludf.DUMMYFUNCTION("""COMPUTED_VALUE"""),40710.7055555555)</f>
        <v>40710.705555555498</v>
      </c>
      <c r="R337" s="111">
        <f ca="1">IFERROR(__xludf.DUMMYFUNCTION("""COMPUTED_VALUE"""),27.05)</f>
        <v>27.05</v>
      </c>
      <c r="S337" s="112">
        <f ca="1">IFERROR(__xludf.DUMMYFUNCTION("""COMPUTED_VALUE"""),40711.7055555555)</f>
        <v>40711.705555555498</v>
      </c>
      <c r="T337" s="111">
        <f ca="1">IFERROR(__xludf.DUMMYFUNCTION("""COMPUTED_VALUE"""),8.47)</f>
        <v>8.4700000000000006</v>
      </c>
    </row>
    <row r="338" spans="1:20" x14ac:dyDescent="0.3">
      <c r="A338" s="112">
        <f ca="1">IFERROR(__xludf.DUMMYFUNCTION("""COMPUTED_VALUE"""),40711.7055555555)</f>
        <v>40711.705555555498</v>
      </c>
      <c r="B338" s="111">
        <f ca="1">IFERROR(__xludf.DUMMYFUNCTION("""COMPUTED_VALUE"""),20.72)</f>
        <v>20.72</v>
      </c>
      <c r="C338" s="112">
        <f ca="1">IFERROR(__xludf.DUMMYFUNCTION("""COMPUTED_VALUE"""),40714.7055555555)</f>
        <v>40714.705555555498</v>
      </c>
      <c r="D338" s="111">
        <f ca="1">IFERROR(__xludf.DUMMYFUNCTION("""COMPUTED_VALUE"""),17.63)</f>
        <v>17.63</v>
      </c>
      <c r="E338" s="112">
        <f ca="1">IFERROR(__xludf.DUMMYFUNCTION("""COMPUTED_VALUE"""),40711.7055555555)</f>
        <v>40711.705555555498</v>
      </c>
      <c r="F338" s="111">
        <f ca="1">IFERROR(__xludf.DUMMYFUNCTION("""COMPUTED_VALUE"""),7.47)</f>
        <v>7.47</v>
      </c>
      <c r="G338" s="112">
        <f ca="1">IFERROR(__xludf.DUMMYFUNCTION("""COMPUTED_VALUE"""),40714.7055555555)</f>
        <v>40714.705555555498</v>
      </c>
      <c r="H338" s="111">
        <f ca="1">IFERROR(__xludf.DUMMYFUNCTION("""COMPUTED_VALUE"""),23.1)</f>
        <v>23.1</v>
      </c>
      <c r="K338" s="112">
        <f ca="1">IFERROR(__xludf.DUMMYFUNCTION("""COMPUTED_VALUE"""),41205.7055555555)</f>
        <v>41205.705555555498</v>
      </c>
      <c r="L338" s="111">
        <f ca="1">IFERROR(__xludf.DUMMYFUNCTION("""COMPUTED_VALUE"""),0.38)</f>
        <v>0.38</v>
      </c>
      <c r="M338" s="112">
        <f ca="1">IFERROR(__xludf.DUMMYFUNCTION("""COMPUTED_VALUE"""),40675.7055555555)</f>
        <v>40675.705555555498</v>
      </c>
      <c r="N338" s="111">
        <f ca="1">IFERROR(__xludf.DUMMYFUNCTION("""COMPUTED_VALUE"""),12.37)</f>
        <v>12.37</v>
      </c>
      <c r="O338" s="112">
        <f ca="1">IFERROR(__xludf.DUMMYFUNCTION("""COMPUTED_VALUE"""),40711.7055555555)</f>
        <v>40711.705555555498</v>
      </c>
      <c r="P338" s="111">
        <f ca="1">IFERROR(__xludf.DUMMYFUNCTION("""COMPUTED_VALUE"""),47.22)</f>
        <v>47.22</v>
      </c>
      <c r="Q338" s="112">
        <f ca="1">IFERROR(__xludf.DUMMYFUNCTION("""COMPUTED_VALUE"""),40711.7055555555)</f>
        <v>40711.705555555498</v>
      </c>
      <c r="R338" s="111">
        <f ca="1">IFERROR(__xludf.DUMMYFUNCTION("""COMPUTED_VALUE"""),27.05)</f>
        <v>27.05</v>
      </c>
      <c r="S338" s="112">
        <f ca="1">IFERROR(__xludf.DUMMYFUNCTION("""COMPUTED_VALUE"""),40714.7055555555)</f>
        <v>40714.705555555498</v>
      </c>
      <c r="T338" s="111">
        <f ca="1">IFERROR(__xludf.DUMMYFUNCTION("""COMPUTED_VALUE"""),8.68)</f>
        <v>8.68</v>
      </c>
    </row>
    <row r="339" spans="1:20" x14ac:dyDescent="0.3">
      <c r="A339" s="112">
        <f ca="1">IFERROR(__xludf.DUMMYFUNCTION("""COMPUTED_VALUE"""),40714.7055555555)</f>
        <v>40714.705555555498</v>
      </c>
      <c r="B339" s="111">
        <f ca="1">IFERROR(__xludf.DUMMYFUNCTION("""COMPUTED_VALUE"""),20.43)</f>
        <v>20.43</v>
      </c>
      <c r="C339" s="112">
        <f ca="1">IFERROR(__xludf.DUMMYFUNCTION("""COMPUTED_VALUE"""),40715.7055555555)</f>
        <v>40715.705555555498</v>
      </c>
      <c r="D339" s="111">
        <f ca="1">IFERROR(__xludf.DUMMYFUNCTION("""COMPUTED_VALUE"""),17.5)</f>
        <v>17.5</v>
      </c>
      <c r="E339" s="112">
        <f ca="1">IFERROR(__xludf.DUMMYFUNCTION("""COMPUTED_VALUE"""),40714.7055555555)</f>
        <v>40714.705555555498</v>
      </c>
      <c r="F339" s="111">
        <f ca="1">IFERROR(__xludf.DUMMYFUNCTION("""COMPUTED_VALUE"""),7.53)</f>
        <v>7.53</v>
      </c>
      <c r="G339" s="112">
        <f ca="1">IFERROR(__xludf.DUMMYFUNCTION("""COMPUTED_VALUE"""),40715.7055555555)</f>
        <v>40715.705555555498</v>
      </c>
      <c r="H339" s="111">
        <f ca="1">IFERROR(__xludf.DUMMYFUNCTION("""COMPUTED_VALUE"""),23.24)</f>
        <v>23.24</v>
      </c>
      <c r="K339" s="112">
        <f ca="1">IFERROR(__xludf.DUMMYFUNCTION("""COMPUTED_VALUE"""),41206.7055555555)</f>
        <v>41206.705555555498</v>
      </c>
      <c r="L339" s="111">
        <f ca="1">IFERROR(__xludf.DUMMYFUNCTION("""COMPUTED_VALUE"""),0.38)</f>
        <v>0.38</v>
      </c>
      <c r="M339" s="112">
        <f ca="1">IFERROR(__xludf.DUMMYFUNCTION("""COMPUTED_VALUE"""),40676.7055555555)</f>
        <v>40676.705555555498</v>
      </c>
      <c r="N339" s="111">
        <f ca="1">IFERROR(__xludf.DUMMYFUNCTION("""COMPUTED_VALUE"""),12.05)</f>
        <v>12.05</v>
      </c>
      <c r="O339" s="112">
        <f ca="1">IFERROR(__xludf.DUMMYFUNCTION("""COMPUTED_VALUE"""),40714.7055555555)</f>
        <v>40714.705555555498</v>
      </c>
      <c r="P339" s="111">
        <f ca="1">IFERROR(__xludf.DUMMYFUNCTION("""COMPUTED_VALUE"""),47.95)</f>
        <v>47.95</v>
      </c>
      <c r="Q339" s="112">
        <f ca="1">IFERROR(__xludf.DUMMYFUNCTION("""COMPUTED_VALUE"""),40714.7055555555)</f>
        <v>40714.705555555498</v>
      </c>
      <c r="R339" s="111">
        <f ca="1">IFERROR(__xludf.DUMMYFUNCTION("""COMPUTED_VALUE"""),27.25)</f>
        <v>27.25</v>
      </c>
      <c r="S339" s="112">
        <f ca="1">IFERROR(__xludf.DUMMYFUNCTION("""COMPUTED_VALUE"""),40715.7055555555)</f>
        <v>40715.705555555498</v>
      </c>
      <c r="T339" s="111">
        <f ca="1">IFERROR(__xludf.DUMMYFUNCTION("""COMPUTED_VALUE"""),8.88)</f>
        <v>8.8800000000000008</v>
      </c>
    </row>
    <row r="340" spans="1:20" x14ac:dyDescent="0.3">
      <c r="A340" s="112">
        <f ca="1">IFERROR(__xludf.DUMMYFUNCTION("""COMPUTED_VALUE"""),40715.7055555555)</f>
        <v>40715.705555555498</v>
      </c>
      <c r="B340" s="111">
        <f ca="1">IFERROR(__xludf.DUMMYFUNCTION("""COMPUTED_VALUE"""),20.47)</f>
        <v>20.47</v>
      </c>
      <c r="C340" s="112">
        <f ca="1">IFERROR(__xludf.DUMMYFUNCTION("""COMPUTED_VALUE"""),40716.7055555555)</f>
        <v>40716.705555555498</v>
      </c>
      <c r="D340" s="111">
        <f ca="1">IFERROR(__xludf.DUMMYFUNCTION("""COMPUTED_VALUE"""),17.63)</f>
        <v>17.63</v>
      </c>
      <c r="E340" s="112">
        <f ca="1">IFERROR(__xludf.DUMMYFUNCTION("""COMPUTED_VALUE"""),40715.7055555555)</f>
        <v>40715.705555555498</v>
      </c>
      <c r="F340" s="111">
        <f ca="1">IFERROR(__xludf.DUMMYFUNCTION("""COMPUTED_VALUE"""),7.47)</f>
        <v>7.47</v>
      </c>
      <c r="G340" s="112">
        <f ca="1">IFERROR(__xludf.DUMMYFUNCTION("""COMPUTED_VALUE"""),40716.7055555555)</f>
        <v>40716.705555555498</v>
      </c>
      <c r="H340" s="111">
        <f ca="1">IFERROR(__xludf.DUMMYFUNCTION("""COMPUTED_VALUE"""),23.26)</f>
        <v>23.26</v>
      </c>
      <c r="K340" s="112">
        <f ca="1">IFERROR(__xludf.DUMMYFUNCTION("""COMPUTED_VALUE"""),41207.7055555555)</f>
        <v>41207.705555555498</v>
      </c>
      <c r="L340" s="111">
        <f ca="1">IFERROR(__xludf.DUMMYFUNCTION("""COMPUTED_VALUE"""),0.37)</f>
        <v>0.37</v>
      </c>
      <c r="M340" s="112">
        <f ca="1">IFERROR(__xludf.DUMMYFUNCTION("""COMPUTED_VALUE"""),40679.7055555555)</f>
        <v>40679.705555555498</v>
      </c>
      <c r="N340" s="111">
        <f ca="1">IFERROR(__xludf.DUMMYFUNCTION("""COMPUTED_VALUE"""),11.95)</f>
        <v>11.95</v>
      </c>
      <c r="O340" s="112">
        <f ca="1">IFERROR(__xludf.DUMMYFUNCTION("""COMPUTED_VALUE"""),40715.7055555555)</f>
        <v>40715.705555555498</v>
      </c>
      <c r="P340" s="111">
        <f ca="1">IFERROR(__xludf.DUMMYFUNCTION("""COMPUTED_VALUE"""),48.39)</f>
        <v>48.39</v>
      </c>
      <c r="Q340" s="112">
        <f ca="1">IFERROR(__xludf.DUMMYFUNCTION("""COMPUTED_VALUE"""),40715.7055555555)</f>
        <v>40715.705555555498</v>
      </c>
      <c r="R340" s="111">
        <f ca="1">IFERROR(__xludf.DUMMYFUNCTION("""COMPUTED_VALUE"""),27.05)</f>
        <v>27.05</v>
      </c>
      <c r="S340" s="112">
        <f ca="1">IFERROR(__xludf.DUMMYFUNCTION("""COMPUTED_VALUE"""),40716.7055555555)</f>
        <v>40716.705555555498</v>
      </c>
      <c r="T340" s="111">
        <f ca="1">IFERROR(__xludf.DUMMYFUNCTION("""COMPUTED_VALUE"""),8.72)</f>
        <v>8.7200000000000006</v>
      </c>
    </row>
    <row r="341" spans="1:20" x14ac:dyDescent="0.3">
      <c r="A341" s="112">
        <f ca="1">IFERROR(__xludf.DUMMYFUNCTION("""COMPUTED_VALUE"""),40716.7055555555)</f>
        <v>40716.705555555498</v>
      </c>
      <c r="B341" s="111">
        <f ca="1">IFERROR(__xludf.DUMMYFUNCTION("""COMPUTED_VALUE"""),20.25)</f>
        <v>20.25</v>
      </c>
      <c r="C341" s="112">
        <f ca="1">IFERROR(__xludf.DUMMYFUNCTION("""COMPUTED_VALUE"""),40718.7055555555)</f>
        <v>40718.705555555498</v>
      </c>
      <c r="D341" s="111">
        <f ca="1">IFERROR(__xludf.DUMMYFUNCTION("""COMPUTED_VALUE"""),17.53)</f>
        <v>17.53</v>
      </c>
      <c r="E341" s="112">
        <f ca="1">IFERROR(__xludf.DUMMYFUNCTION("""COMPUTED_VALUE"""),40716.7055555555)</f>
        <v>40716.705555555498</v>
      </c>
      <c r="F341" s="111">
        <f ca="1">IFERROR(__xludf.DUMMYFUNCTION("""COMPUTED_VALUE"""),7.5)</f>
        <v>7.5</v>
      </c>
      <c r="G341" s="112">
        <f ca="1">IFERROR(__xludf.DUMMYFUNCTION("""COMPUTED_VALUE"""),40718.7055555555)</f>
        <v>40718.705555555498</v>
      </c>
      <c r="H341" s="111">
        <f ca="1">IFERROR(__xludf.DUMMYFUNCTION("""COMPUTED_VALUE"""),22.87)</f>
        <v>22.87</v>
      </c>
      <c r="K341" s="112">
        <f ca="1">IFERROR(__xludf.DUMMYFUNCTION("""COMPUTED_VALUE"""),41208.7055555555)</f>
        <v>41208.705555555498</v>
      </c>
      <c r="L341" s="111">
        <f ca="1">IFERROR(__xludf.DUMMYFUNCTION("""COMPUTED_VALUE"""),0.36)</f>
        <v>0.36</v>
      </c>
      <c r="M341" s="112">
        <f ca="1">IFERROR(__xludf.DUMMYFUNCTION("""COMPUTED_VALUE"""),40680.7055555555)</f>
        <v>40680.705555555498</v>
      </c>
      <c r="N341" s="111">
        <f ca="1">IFERROR(__xludf.DUMMYFUNCTION("""COMPUTED_VALUE"""),12.02)</f>
        <v>12.02</v>
      </c>
      <c r="O341" s="112">
        <f ca="1">IFERROR(__xludf.DUMMYFUNCTION("""COMPUTED_VALUE"""),40716.7055555555)</f>
        <v>40716.705555555498</v>
      </c>
      <c r="P341" s="111">
        <f ca="1">IFERROR(__xludf.DUMMYFUNCTION("""COMPUTED_VALUE"""),48.55)</f>
        <v>48.55</v>
      </c>
      <c r="Q341" s="112">
        <f ca="1">IFERROR(__xludf.DUMMYFUNCTION("""COMPUTED_VALUE"""),40716.7055555555)</f>
        <v>40716.705555555498</v>
      </c>
      <c r="R341" s="111">
        <f ca="1">IFERROR(__xludf.DUMMYFUNCTION("""COMPUTED_VALUE"""),27.26)</f>
        <v>27.26</v>
      </c>
      <c r="S341" s="112">
        <f ca="1">IFERROR(__xludf.DUMMYFUNCTION("""COMPUTED_VALUE"""),40718.7055555555)</f>
        <v>40718.705555555498</v>
      </c>
      <c r="T341" s="111">
        <f ca="1">IFERROR(__xludf.DUMMYFUNCTION("""COMPUTED_VALUE"""),8.64)</f>
        <v>8.64</v>
      </c>
    </row>
    <row r="342" spans="1:20" x14ac:dyDescent="0.3">
      <c r="A342" s="112">
        <f ca="1">IFERROR(__xludf.DUMMYFUNCTION("""COMPUTED_VALUE"""),40718.7055555555)</f>
        <v>40718.705555555498</v>
      </c>
      <c r="B342" s="111">
        <f ca="1">IFERROR(__xludf.DUMMYFUNCTION("""COMPUTED_VALUE"""),20.11)</f>
        <v>20.11</v>
      </c>
      <c r="C342" s="112">
        <f ca="1">IFERROR(__xludf.DUMMYFUNCTION("""COMPUTED_VALUE"""),40721.7055555555)</f>
        <v>40721.705555555498</v>
      </c>
      <c r="D342" s="111">
        <f ca="1">IFERROR(__xludf.DUMMYFUNCTION("""COMPUTED_VALUE"""),17.54)</f>
        <v>17.54</v>
      </c>
      <c r="E342" s="112">
        <f ca="1">IFERROR(__xludf.DUMMYFUNCTION("""COMPUTED_VALUE"""),40718.7055555555)</f>
        <v>40718.705555555498</v>
      </c>
      <c r="F342" s="111">
        <f ca="1">IFERROR(__xludf.DUMMYFUNCTION("""COMPUTED_VALUE"""),7.48)</f>
        <v>7.48</v>
      </c>
      <c r="G342" s="112">
        <f ca="1">IFERROR(__xludf.DUMMYFUNCTION("""COMPUTED_VALUE"""),40721.7055555555)</f>
        <v>40721.705555555498</v>
      </c>
      <c r="H342" s="111">
        <f ca="1">IFERROR(__xludf.DUMMYFUNCTION("""COMPUTED_VALUE"""),23.08)</f>
        <v>23.08</v>
      </c>
      <c r="K342" s="112">
        <f ca="1">IFERROR(__xludf.DUMMYFUNCTION("""COMPUTED_VALUE"""),41211.7055555555)</f>
        <v>41211.705555555498</v>
      </c>
      <c r="L342" s="111">
        <f ca="1">IFERROR(__xludf.DUMMYFUNCTION("""COMPUTED_VALUE"""),0.36)</f>
        <v>0.36</v>
      </c>
      <c r="M342" s="112">
        <f ca="1">IFERROR(__xludf.DUMMYFUNCTION("""COMPUTED_VALUE"""),40681.7055555555)</f>
        <v>40681.705555555498</v>
      </c>
      <c r="N342" s="111">
        <f ca="1">IFERROR(__xludf.DUMMYFUNCTION("""COMPUTED_VALUE"""),11.7)</f>
        <v>11.7</v>
      </c>
      <c r="O342" s="112">
        <f ca="1">IFERROR(__xludf.DUMMYFUNCTION("""COMPUTED_VALUE"""),40718.7055555555)</f>
        <v>40718.705555555498</v>
      </c>
      <c r="P342" s="111">
        <f ca="1">IFERROR(__xludf.DUMMYFUNCTION("""COMPUTED_VALUE"""),48.88)</f>
        <v>48.88</v>
      </c>
      <c r="Q342" s="112">
        <f ca="1">IFERROR(__xludf.DUMMYFUNCTION("""COMPUTED_VALUE"""),40718.7055555555)</f>
        <v>40718.705555555498</v>
      </c>
      <c r="R342" s="111">
        <f ca="1">IFERROR(__xludf.DUMMYFUNCTION("""COMPUTED_VALUE"""),26.95)</f>
        <v>26.95</v>
      </c>
      <c r="S342" s="112">
        <f ca="1">IFERROR(__xludf.DUMMYFUNCTION("""COMPUTED_VALUE"""),40721.7055555555)</f>
        <v>40721.705555555498</v>
      </c>
      <c r="T342" s="111">
        <f ca="1">IFERROR(__xludf.DUMMYFUNCTION("""COMPUTED_VALUE"""),8.81)</f>
        <v>8.81</v>
      </c>
    </row>
    <row r="343" spans="1:20" x14ac:dyDescent="0.3">
      <c r="A343" s="112">
        <f ca="1">IFERROR(__xludf.DUMMYFUNCTION("""COMPUTED_VALUE"""),40721.7055555555)</f>
        <v>40721.705555555498</v>
      </c>
      <c r="B343" s="111">
        <f ca="1">IFERROR(__xludf.DUMMYFUNCTION("""COMPUTED_VALUE"""),20.31)</f>
        <v>20.309999999999999</v>
      </c>
      <c r="C343" s="112">
        <f ca="1">IFERROR(__xludf.DUMMYFUNCTION("""COMPUTED_VALUE"""),40722.7055555555)</f>
        <v>40722.705555555498</v>
      </c>
      <c r="D343" s="111">
        <f ca="1">IFERROR(__xludf.DUMMYFUNCTION("""COMPUTED_VALUE"""),18.06)</f>
        <v>18.059999999999999</v>
      </c>
      <c r="E343" s="112">
        <f ca="1">IFERROR(__xludf.DUMMYFUNCTION("""COMPUTED_VALUE"""),40721.7055555555)</f>
        <v>40721.705555555498</v>
      </c>
      <c r="F343" s="111">
        <f ca="1">IFERROR(__xludf.DUMMYFUNCTION("""COMPUTED_VALUE"""),7.5)</f>
        <v>7.5</v>
      </c>
      <c r="G343" s="112">
        <f ca="1">IFERROR(__xludf.DUMMYFUNCTION("""COMPUTED_VALUE"""),40722.7055555555)</f>
        <v>40722.705555555498</v>
      </c>
      <c r="H343" s="111">
        <f ca="1">IFERROR(__xludf.DUMMYFUNCTION("""COMPUTED_VALUE"""),23.45)</f>
        <v>23.45</v>
      </c>
      <c r="K343" s="112">
        <f ca="1">IFERROR(__xludf.DUMMYFUNCTION("""COMPUTED_VALUE"""),41212.7055555555)</f>
        <v>41212.705555555498</v>
      </c>
      <c r="L343" s="111">
        <f ca="1">IFERROR(__xludf.DUMMYFUNCTION("""COMPUTED_VALUE"""),0.35)</f>
        <v>0.35</v>
      </c>
      <c r="M343" s="112">
        <f ca="1">IFERROR(__xludf.DUMMYFUNCTION("""COMPUTED_VALUE"""),40682.7055555555)</f>
        <v>40682.705555555498</v>
      </c>
      <c r="N343" s="111">
        <f ca="1">IFERROR(__xludf.DUMMYFUNCTION("""COMPUTED_VALUE"""),11.7)</f>
        <v>11.7</v>
      </c>
      <c r="O343" s="112">
        <f ca="1">IFERROR(__xludf.DUMMYFUNCTION("""COMPUTED_VALUE"""),40721.7055555555)</f>
        <v>40721.705555555498</v>
      </c>
      <c r="P343" s="111">
        <f ca="1">IFERROR(__xludf.DUMMYFUNCTION("""COMPUTED_VALUE"""),48.52)</f>
        <v>48.52</v>
      </c>
      <c r="Q343" s="112">
        <f ca="1">IFERROR(__xludf.DUMMYFUNCTION("""COMPUTED_VALUE"""),40721.7055555555)</f>
        <v>40721.705555555498</v>
      </c>
      <c r="R343" s="111">
        <f ca="1">IFERROR(__xludf.DUMMYFUNCTION("""COMPUTED_VALUE"""),26.83)</f>
        <v>26.83</v>
      </c>
      <c r="S343" s="112">
        <f ca="1">IFERROR(__xludf.DUMMYFUNCTION("""COMPUTED_VALUE"""),40722.7055555555)</f>
        <v>40722.705555555498</v>
      </c>
      <c r="T343" s="111">
        <f ca="1">IFERROR(__xludf.DUMMYFUNCTION("""COMPUTED_VALUE"""),9.16)</f>
        <v>9.16</v>
      </c>
    </row>
    <row r="344" spans="1:20" x14ac:dyDescent="0.3">
      <c r="A344" s="112">
        <f ca="1">IFERROR(__xludf.DUMMYFUNCTION("""COMPUTED_VALUE"""),40722.7055555555)</f>
        <v>40722.705555555498</v>
      </c>
      <c r="B344" s="111">
        <f ca="1">IFERROR(__xludf.DUMMYFUNCTION("""COMPUTED_VALUE"""),20.32)</f>
        <v>20.32</v>
      </c>
      <c r="C344" s="112">
        <f ca="1">IFERROR(__xludf.DUMMYFUNCTION("""COMPUTED_VALUE"""),40723.7055555555)</f>
        <v>40723.705555555498</v>
      </c>
      <c r="D344" s="111">
        <f ca="1">IFERROR(__xludf.DUMMYFUNCTION("""COMPUTED_VALUE"""),18.22)</f>
        <v>18.22</v>
      </c>
      <c r="E344" s="112">
        <f ca="1">IFERROR(__xludf.DUMMYFUNCTION("""COMPUTED_VALUE"""),40722.7055555555)</f>
        <v>40722.705555555498</v>
      </c>
      <c r="F344" s="111">
        <f ca="1">IFERROR(__xludf.DUMMYFUNCTION("""COMPUTED_VALUE"""),7.71)</f>
        <v>7.71</v>
      </c>
      <c r="G344" s="112">
        <f ca="1">IFERROR(__xludf.DUMMYFUNCTION("""COMPUTED_VALUE"""),40723.7055555555)</f>
        <v>40723.705555555498</v>
      </c>
      <c r="H344" s="111">
        <f ca="1">IFERROR(__xludf.DUMMYFUNCTION("""COMPUTED_VALUE"""),23.38)</f>
        <v>23.38</v>
      </c>
      <c r="K344" s="112">
        <f ca="1">IFERROR(__xludf.DUMMYFUNCTION("""COMPUTED_VALUE"""),41213.7055555555)</f>
        <v>41213.705555555498</v>
      </c>
      <c r="L344" s="111">
        <f ca="1">IFERROR(__xludf.DUMMYFUNCTION("""COMPUTED_VALUE"""),0.35)</f>
        <v>0.35</v>
      </c>
      <c r="M344" s="112">
        <f ca="1">IFERROR(__xludf.DUMMYFUNCTION("""COMPUTED_VALUE"""),40683.7055555555)</f>
        <v>40683.705555555498</v>
      </c>
      <c r="N344" s="111">
        <f ca="1">IFERROR(__xludf.DUMMYFUNCTION("""COMPUTED_VALUE"""),11.7)</f>
        <v>11.7</v>
      </c>
      <c r="O344" s="112">
        <f ca="1">IFERROR(__xludf.DUMMYFUNCTION("""COMPUTED_VALUE"""),40722.7055555555)</f>
        <v>40722.705555555498</v>
      </c>
      <c r="P344" s="111">
        <f ca="1">IFERROR(__xludf.DUMMYFUNCTION("""COMPUTED_VALUE"""),49.11)</f>
        <v>49.11</v>
      </c>
      <c r="Q344" s="112">
        <f ca="1">IFERROR(__xludf.DUMMYFUNCTION("""COMPUTED_VALUE"""),40722.7055555555)</f>
        <v>40722.705555555498</v>
      </c>
      <c r="R344" s="111">
        <f ca="1">IFERROR(__xludf.DUMMYFUNCTION("""COMPUTED_VALUE"""),27.42)</f>
        <v>27.42</v>
      </c>
      <c r="S344" s="112">
        <f ca="1">IFERROR(__xludf.DUMMYFUNCTION("""COMPUTED_VALUE"""),40723.7055555555)</f>
        <v>40723.705555555498</v>
      </c>
      <c r="T344" s="111">
        <f ca="1">IFERROR(__xludf.DUMMYFUNCTION("""COMPUTED_VALUE"""),9.07)</f>
        <v>9.07</v>
      </c>
    </row>
    <row r="345" spans="1:20" x14ac:dyDescent="0.3">
      <c r="A345" s="112">
        <f ca="1">IFERROR(__xludf.DUMMYFUNCTION("""COMPUTED_VALUE"""),40723.7055555555)</f>
        <v>40723.705555555498</v>
      </c>
      <c r="B345" s="111">
        <f ca="1">IFERROR(__xludf.DUMMYFUNCTION("""COMPUTED_VALUE"""),20.57)</f>
        <v>20.57</v>
      </c>
      <c r="C345" s="112">
        <f ca="1">IFERROR(__xludf.DUMMYFUNCTION("""COMPUTED_VALUE"""),40724.7055555555)</f>
        <v>40724.705555555498</v>
      </c>
      <c r="D345" s="111">
        <f ca="1">IFERROR(__xludf.DUMMYFUNCTION("""COMPUTED_VALUE"""),18.26)</f>
        <v>18.260000000000002</v>
      </c>
      <c r="E345" s="112">
        <f ca="1">IFERROR(__xludf.DUMMYFUNCTION("""COMPUTED_VALUE"""),40723.7055555555)</f>
        <v>40723.705555555498</v>
      </c>
      <c r="F345" s="111">
        <f ca="1">IFERROR(__xludf.DUMMYFUNCTION("""COMPUTED_VALUE"""),7.75)</f>
        <v>7.75</v>
      </c>
      <c r="G345" s="112">
        <f ca="1">IFERROR(__xludf.DUMMYFUNCTION("""COMPUTED_VALUE"""),40724.7055555555)</f>
        <v>40724.705555555498</v>
      </c>
      <c r="H345" s="111">
        <f ca="1">IFERROR(__xludf.DUMMYFUNCTION("""COMPUTED_VALUE"""),23.72)</f>
        <v>23.72</v>
      </c>
      <c r="K345" s="112">
        <f ca="1">IFERROR(__xludf.DUMMYFUNCTION("""COMPUTED_VALUE"""),41214.7055555555)</f>
        <v>41214.705555555498</v>
      </c>
      <c r="L345" s="111">
        <f ca="1">IFERROR(__xludf.DUMMYFUNCTION("""COMPUTED_VALUE"""),0.36)</f>
        <v>0.36</v>
      </c>
      <c r="M345" s="112">
        <f ca="1">IFERROR(__xludf.DUMMYFUNCTION("""COMPUTED_VALUE"""),40686.7055555555)</f>
        <v>40686.705555555498</v>
      </c>
      <c r="N345" s="111">
        <f ca="1">IFERROR(__xludf.DUMMYFUNCTION("""COMPUTED_VALUE"""),11.71)</f>
        <v>11.71</v>
      </c>
      <c r="O345" s="112">
        <f ca="1">IFERROR(__xludf.DUMMYFUNCTION("""COMPUTED_VALUE"""),40723.7055555555)</f>
        <v>40723.705555555498</v>
      </c>
      <c r="P345" s="111">
        <f ca="1">IFERROR(__xludf.DUMMYFUNCTION("""COMPUTED_VALUE"""),49.14)</f>
        <v>49.14</v>
      </c>
      <c r="Q345" s="112">
        <f ca="1">IFERROR(__xludf.DUMMYFUNCTION("""COMPUTED_VALUE"""),40723.7055555555)</f>
        <v>40723.705555555498</v>
      </c>
      <c r="R345" s="111">
        <f ca="1">IFERROR(__xludf.DUMMYFUNCTION("""COMPUTED_VALUE"""),27.81)</f>
        <v>27.81</v>
      </c>
      <c r="S345" s="112">
        <f ca="1">IFERROR(__xludf.DUMMYFUNCTION("""COMPUTED_VALUE"""),40724.7055555555)</f>
        <v>40724.705555555498</v>
      </c>
      <c r="T345" s="111">
        <f ca="1">IFERROR(__xludf.DUMMYFUNCTION("""COMPUTED_VALUE"""),8.94)</f>
        <v>8.94</v>
      </c>
    </row>
    <row r="346" spans="1:20" x14ac:dyDescent="0.3">
      <c r="A346" s="112">
        <f ca="1">IFERROR(__xludf.DUMMYFUNCTION("""COMPUTED_VALUE"""),40724.7055555555)</f>
        <v>40724.705555555498</v>
      </c>
      <c r="B346" s="111">
        <f ca="1">IFERROR(__xludf.DUMMYFUNCTION("""COMPUTED_VALUE"""),20.66)</f>
        <v>20.66</v>
      </c>
      <c r="C346" s="112">
        <f ca="1">IFERROR(__xludf.DUMMYFUNCTION("""COMPUTED_VALUE"""),40725.7055555555)</f>
        <v>40725.705555555498</v>
      </c>
      <c r="D346" s="111">
        <f ca="1">IFERROR(__xludf.DUMMYFUNCTION("""COMPUTED_VALUE"""),18.27)</f>
        <v>18.27</v>
      </c>
      <c r="E346" s="112">
        <f ca="1">IFERROR(__xludf.DUMMYFUNCTION("""COMPUTED_VALUE"""),40724.7055555555)</f>
        <v>40724.705555555498</v>
      </c>
      <c r="F346" s="111">
        <f ca="1">IFERROR(__xludf.DUMMYFUNCTION("""COMPUTED_VALUE"""),7.8)</f>
        <v>7.8</v>
      </c>
      <c r="G346" s="112">
        <f ca="1">IFERROR(__xludf.DUMMYFUNCTION("""COMPUTED_VALUE"""),40725.7055555555)</f>
        <v>40725.705555555498</v>
      </c>
      <c r="H346" s="111">
        <f ca="1">IFERROR(__xludf.DUMMYFUNCTION("""COMPUTED_VALUE"""),23.75)</f>
        <v>23.75</v>
      </c>
      <c r="K346" s="112">
        <f ca="1">IFERROR(__xludf.DUMMYFUNCTION("""COMPUTED_VALUE"""),41218.7055555555)</f>
        <v>41218.705555555498</v>
      </c>
      <c r="L346" s="111">
        <f ca="1">IFERROR(__xludf.DUMMYFUNCTION("""COMPUTED_VALUE"""),0.37)</f>
        <v>0.37</v>
      </c>
      <c r="M346" s="112">
        <f ca="1">IFERROR(__xludf.DUMMYFUNCTION("""COMPUTED_VALUE"""),40687.7055555555)</f>
        <v>40687.705555555498</v>
      </c>
      <c r="N346" s="111">
        <f ca="1">IFERROR(__xludf.DUMMYFUNCTION("""COMPUTED_VALUE"""),11.94)</f>
        <v>11.94</v>
      </c>
      <c r="O346" s="112">
        <f ca="1">IFERROR(__xludf.DUMMYFUNCTION("""COMPUTED_VALUE"""),40724.7055555555)</f>
        <v>40724.705555555498</v>
      </c>
      <c r="P346" s="111">
        <f ca="1">IFERROR(__xludf.DUMMYFUNCTION("""COMPUTED_VALUE"""),49.49)</f>
        <v>49.49</v>
      </c>
      <c r="Q346" s="112">
        <f ca="1">IFERROR(__xludf.DUMMYFUNCTION("""COMPUTED_VALUE"""),40724.7055555555)</f>
        <v>40724.705555555498</v>
      </c>
      <c r="R346" s="111">
        <f ca="1">IFERROR(__xludf.DUMMYFUNCTION("""COMPUTED_VALUE"""),28)</f>
        <v>28</v>
      </c>
      <c r="S346" s="112">
        <f ca="1">IFERROR(__xludf.DUMMYFUNCTION("""COMPUTED_VALUE"""),40725.7055555555)</f>
        <v>40725.705555555498</v>
      </c>
      <c r="T346" s="111">
        <f ca="1">IFERROR(__xludf.DUMMYFUNCTION("""COMPUTED_VALUE"""),9.11)</f>
        <v>9.11</v>
      </c>
    </row>
    <row r="347" spans="1:20" x14ac:dyDescent="0.3">
      <c r="A347" s="112">
        <f ca="1">IFERROR(__xludf.DUMMYFUNCTION("""COMPUTED_VALUE"""),40725.7055555555)</f>
        <v>40725.705555555498</v>
      </c>
      <c r="B347" s="111">
        <f ca="1">IFERROR(__xludf.DUMMYFUNCTION("""COMPUTED_VALUE"""),20.63)</f>
        <v>20.63</v>
      </c>
      <c r="C347" s="112">
        <f ca="1">IFERROR(__xludf.DUMMYFUNCTION("""COMPUTED_VALUE"""),40728.7055555555)</f>
        <v>40728.705555555498</v>
      </c>
      <c r="D347" s="111">
        <f ca="1">IFERROR(__xludf.DUMMYFUNCTION("""COMPUTED_VALUE"""),18.43)</f>
        <v>18.43</v>
      </c>
      <c r="E347" s="112">
        <f ca="1">IFERROR(__xludf.DUMMYFUNCTION("""COMPUTED_VALUE"""),40725.7055555555)</f>
        <v>40725.705555555498</v>
      </c>
      <c r="F347" s="111">
        <f ca="1">IFERROR(__xludf.DUMMYFUNCTION("""COMPUTED_VALUE"""),7.82)</f>
        <v>7.82</v>
      </c>
      <c r="G347" s="112">
        <f ca="1">IFERROR(__xludf.DUMMYFUNCTION("""COMPUTED_VALUE"""),40728.7055555555)</f>
        <v>40728.705555555498</v>
      </c>
      <c r="H347" s="111">
        <f ca="1">IFERROR(__xludf.DUMMYFUNCTION("""COMPUTED_VALUE"""),23.8)</f>
        <v>23.8</v>
      </c>
      <c r="K347" s="112">
        <f ca="1">IFERROR(__xludf.DUMMYFUNCTION("""COMPUTED_VALUE"""),41219.7055555555)</f>
        <v>41219.705555555498</v>
      </c>
      <c r="L347" s="111">
        <f ca="1">IFERROR(__xludf.DUMMYFUNCTION("""COMPUTED_VALUE"""),0.37)</f>
        <v>0.37</v>
      </c>
      <c r="M347" s="112">
        <f ca="1">IFERROR(__xludf.DUMMYFUNCTION("""COMPUTED_VALUE"""),40688.7055555555)</f>
        <v>40688.705555555498</v>
      </c>
      <c r="N347" s="111">
        <f ca="1">IFERROR(__xludf.DUMMYFUNCTION("""COMPUTED_VALUE"""),11.83)</f>
        <v>11.83</v>
      </c>
      <c r="O347" s="112">
        <f ca="1">IFERROR(__xludf.DUMMYFUNCTION("""COMPUTED_VALUE"""),40725.7055555555)</f>
        <v>40725.705555555498</v>
      </c>
      <c r="P347" s="111">
        <f ca="1">IFERROR(__xludf.DUMMYFUNCTION("""COMPUTED_VALUE"""),51.69)</f>
        <v>51.69</v>
      </c>
      <c r="Q347" s="112">
        <f ca="1">IFERROR(__xludf.DUMMYFUNCTION("""COMPUTED_VALUE"""),40725.7055555555)</f>
        <v>40725.705555555498</v>
      </c>
      <c r="R347" s="111">
        <f ca="1">IFERROR(__xludf.DUMMYFUNCTION("""COMPUTED_VALUE"""),28.12)</f>
        <v>28.12</v>
      </c>
      <c r="S347" s="112">
        <f ca="1">IFERROR(__xludf.DUMMYFUNCTION("""COMPUTED_VALUE"""),40728.7055555555)</f>
        <v>40728.705555555498</v>
      </c>
      <c r="T347" s="111">
        <f ca="1">IFERROR(__xludf.DUMMYFUNCTION("""COMPUTED_VALUE"""),9.2)</f>
        <v>9.1999999999999993</v>
      </c>
    </row>
    <row r="348" spans="1:20" x14ac:dyDescent="0.3">
      <c r="A348" s="112">
        <f ca="1">IFERROR(__xludf.DUMMYFUNCTION("""COMPUTED_VALUE"""),40728.7055555555)</f>
        <v>40728.705555555498</v>
      </c>
      <c r="B348" s="111">
        <f ca="1">IFERROR(__xludf.DUMMYFUNCTION("""COMPUTED_VALUE"""),20.52)</f>
        <v>20.52</v>
      </c>
      <c r="C348" s="112">
        <f ca="1">IFERROR(__xludf.DUMMYFUNCTION("""COMPUTED_VALUE"""),40729.7055555555)</f>
        <v>40729.705555555498</v>
      </c>
      <c r="D348" s="111">
        <f ca="1">IFERROR(__xludf.DUMMYFUNCTION("""COMPUTED_VALUE"""),18.41)</f>
        <v>18.41</v>
      </c>
      <c r="E348" s="112">
        <f ca="1">IFERROR(__xludf.DUMMYFUNCTION("""COMPUTED_VALUE"""),40728.7055555555)</f>
        <v>40728.705555555498</v>
      </c>
      <c r="F348" s="111">
        <f ca="1">IFERROR(__xludf.DUMMYFUNCTION("""COMPUTED_VALUE"""),7.85)</f>
        <v>7.85</v>
      </c>
      <c r="G348" s="112">
        <f ca="1">IFERROR(__xludf.DUMMYFUNCTION("""COMPUTED_VALUE"""),40729.7055555555)</f>
        <v>40729.705555555498</v>
      </c>
      <c r="H348" s="111">
        <f ca="1">IFERROR(__xludf.DUMMYFUNCTION("""COMPUTED_VALUE"""),23.56)</f>
        <v>23.56</v>
      </c>
      <c r="K348" s="112">
        <f ca="1">IFERROR(__xludf.DUMMYFUNCTION("""COMPUTED_VALUE"""),41220.7055555555)</f>
        <v>41220.705555555498</v>
      </c>
      <c r="L348" s="111">
        <f ca="1">IFERROR(__xludf.DUMMYFUNCTION("""COMPUTED_VALUE"""),0.36)</f>
        <v>0.36</v>
      </c>
      <c r="M348" s="112">
        <f ca="1">IFERROR(__xludf.DUMMYFUNCTION("""COMPUTED_VALUE"""),40689.7055555555)</f>
        <v>40689.705555555498</v>
      </c>
      <c r="N348" s="111">
        <f ca="1">IFERROR(__xludf.DUMMYFUNCTION("""COMPUTED_VALUE"""),12.17)</f>
        <v>12.17</v>
      </c>
      <c r="O348" s="112">
        <f ca="1">IFERROR(__xludf.DUMMYFUNCTION("""COMPUTED_VALUE"""),40728.7055555555)</f>
        <v>40728.705555555498</v>
      </c>
      <c r="P348" s="111">
        <f ca="1">IFERROR(__xludf.DUMMYFUNCTION("""COMPUTED_VALUE"""),52.35)</f>
        <v>52.35</v>
      </c>
      <c r="Q348" s="112">
        <f ca="1">IFERROR(__xludf.DUMMYFUNCTION("""COMPUTED_VALUE"""),40728.7055555555)</f>
        <v>40728.705555555498</v>
      </c>
      <c r="R348" s="111">
        <f ca="1">IFERROR(__xludf.DUMMYFUNCTION("""COMPUTED_VALUE"""),28.43)</f>
        <v>28.43</v>
      </c>
      <c r="S348" s="112">
        <f ca="1">IFERROR(__xludf.DUMMYFUNCTION("""COMPUTED_VALUE"""),40729.7055555555)</f>
        <v>40729.705555555498</v>
      </c>
      <c r="T348" s="111">
        <f ca="1">IFERROR(__xludf.DUMMYFUNCTION("""COMPUTED_VALUE"""),9.04)</f>
        <v>9.0399999999999991</v>
      </c>
    </row>
    <row r="349" spans="1:20" x14ac:dyDescent="0.3">
      <c r="A349" s="112">
        <f ca="1">IFERROR(__xludf.DUMMYFUNCTION("""COMPUTED_VALUE"""),40729.7055555555)</f>
        <v>40729.705555555498</v>
      </c>
      <c r="B349" s="111">
        <f ca="1">IFERROR(__xludf.DUMMYFUNCTION("""COMPUTED_VALUE"""),20.13)</f>
        <v>20.13</v>
      </c>
      <c r="C349" s="112">
        <f ca="1">IFERROR(__xludf.DUMMYFUNCTION("""COMPUTED_VALUE"""),40730.7055555555)</f>
        <v>40730.705555555498</v>
      </c>
      <c r="D349" s="111">
        <f ca="1">IFERROR(__xludf.DUMMYFUNCTION("""COMPUTED_VALUE"""),18.14)</f>
        <v>18.14</v>
      </c>
      <c r="E349" s="112">
        <f ca="1">IFERROR(__xludf.DUMMYFUNCTION("""COMPUTED_VALUE"""),40729.7055555555)</f>
        <v>40729.705555555498</v>
      </c>
      <c r="F349" s="111">
        <f ca="1">IFERROR(__xludf.DUMMYFUNCTION("""COMPUTED_VALUE"""),7.84)</f>
        <v>7.84</v>
      </c>
      <c r="G349" s="112">
        <f ca="1">IFERROR(__xludf.DUMMYFUNCTION("""COMPUTED_VALUE"""),40730.7055555555)</f>
        <v>40730.705555555498</v>
      </c>
      <c r="H349" s="111">
        <f ca="1">IFERROR(__xludf.DUMMYFUNCTION("""COMPUTED_VALUE"""),23.51)</f>
        <v>23.51</v>
      </c>
      <c r="K349" s="112">
        <f ca="1">IFERROR(__xludf.DUMMYFUNCTION("""COMPUTED_VALUE"""),41221.7055555555)</f>
        <v>41221.705555555498</v>
      </c>
      <c r="L349" s="111">
        <f ca="1">IFERROR(__xludf.DUMMYFUNCTION("""COMPUTED_VALUE"""),0.36)</f>
        <v>0.36</v>
      </c>
      <c r="M349" s="112">
        <f ca="1">IFERROR(__xludf.DUMMYFUNCTION("""COMPUTED_VALUE"""),40690.7055555555)</f>
        <v>40690.705555555498</v>
      </c>
      <c r="N349" s="111">
        <f ca="1">IFERROR(__xludf.DUMMYFUNCTION("""COMPUTED_VALUE"""),12.16)</f>
        <v>12.16</v>
      </c>
      <c r="O349" s="112">
        <f ca="1">IFERROR(__xludf.DUMMYFUNCTION("""COMPUTED_VALUE"""),40729.7055555555)</f>
        <v>40729.705555555498</v>
      </c>
      <c r="P349" s="111">
        <f ca="1">IFERROR(__xludf.DUMMYFUNCTION("""COMPUTED_VALUE"""),51.3)</f>
        <v>51.3</v>
      </c>
      <c r="Q349" s="112">
        <f ca="1">IFERROR(__xludf.DUMMYFUNCTION("""COMPUTED_VALUE"""),40729.7055555555)</f>
        <v>40729.705555555498</v>
      </c>
      <c r="R349" s="111">
        <f ca="1">IFERROR(__xludf.DUMMYFUNCTION("""COMPUTED_VALUE"""),28.29)</f>
        <v>28.29</v>
      </c>
      <c r="S349" s="112">
        <f ca="1">IFERROR(__xludf.DUMMYFUNCTION("""COMPUTED_VALUE"""),40730.7055555555)</f>
        <v>40730.705555555498</v>
      </c>
      <c r="T349" s="111">
        <f ca="1">IFERROR(__xludf.DUMMYFUNCTION("""COMPUTED_VALUE"""),8.99)</f>
        <v>8.99</v>
      </c>
    </row>
    <row r="350" spans="1:20" x14ac:dyDescent="0.3">
      <c r="A350" s="112">
        <f ca="1">IFERROR(__xludf.DUMMYFUNCTION("""COMPUTED_VALUE"""),40730.7055555555)</f>
        <v>40730.705555555498</v>
      </c>
      <c r="B350" s="111">
        <f ca="1">IFERROR(__xludf.DUMMYFUNCTION("""COMPUTED_VALUE"""),20.02)</f>
        <v>20.02</v>
      </c>
      <c r="C350" s="112">
        <f ca="1">IFERROR(__xludf.DUMMYFUNCTION("""COMPUTED_VALUE"""),40731.7055555555)</f>
        <v>40731.705555555498</v>
      </c>
      <c r="D350" s="111">
        <f ca="1">IFERROR(__xludf.DUMMYFUNCTION("""COMPUTED_VALUE"""),17.76)</f>
        <v>17.760000000000002</v>
      </c>
      <c r="E350" s="112">
        <f ca="1">IFERROR(__xludf.DUMMYFUNCTION("""COMPUTED_VALUE"""),40730.7055555555)</f>
        <v>40730.705555555498</v>
      </c>
      <c r="F350" s="111">
        <f ca="1">IFERROR(__xludf.DUMMYFUNCTION("""COMPUTED_VALUE"""),7.74)</f>
        <v>7.74</v>
      </c>
      <c r="G350" s="112">
        <f ca="1">IFERROR(__xludf.DUMMYFUNCTION("""COMPUTED_VALUE"""),40731.7055555555)</f>
        <v>40731.705555555498</v>
      </c>
      <c r="H350" s="111">
        <f ca="1">IFERROR(__xludf.DUMMYFUNCTION("""COMPUTED_VALUE"""),23.63)</f>
        <v>23.63</v>
      </c>
      <c r="K350" s="112">
        <f ca="1">IFERROR(__xludf.DUMMYFUNCTION("""COMPUTED_VALUE"""),41222.7055555555)</f>
        <v>41222.705555555498</v>
      </c>
      <c r="L350" s="111">
        <f ca="1">IFERROR(__xludf.DUMMYFUNCTION("""COMPUTED_VALUE"""),0.35)</f>
        <v>0.35</v>
      </c>
      <c r="M350" s="112">
        <f ca="1">IFERROR(__xludf.DUMMYFUNCTION("""COMPUTED_VALUE"""),40693.7055555555)</f>
        <v>40693.705555555498</v>
      </c>
      <c r="N350" s="111">
        <f ca="1">IFERROR(__xludf.DUMMYFUNCTION("""COMPUTED_VALUE"""),12.1)</f>
        <v>12.1</v>
      </c>
      <c r="O350" s="112">
        <f ca="1">IFERROR(__xludf.DUMMYFUNCTION("""COMPUTED_VALUE"""),40730.7055555555)</f>
        <v>40730.705555555498</v>
      </c>
      <c r="P350" s="111">
        <f ca="1">IFERROR(__xludf.DUMMYFUNCTION("""COMPUTED_VALUE"""),51.13)</f>
        <v>51.13</v>
      </c>
      <c r="Q350" s="112">
        <f ca="1">IFERROR(__xludf.DUMMYFUNCTION("""COMPUTED_VALUE"""),40730.7055555555)</f>
        <v>40730.705555555498</v>
      </c>
      <c r="R350" s="111">
        <f ca="1">IFERROR(__xludf.DUMMYFUNCTION("""COMPUTED_VALUE"""),28.05)</f>
        <v>28.05</v>
      </c>
      <c r="S350" s="112">
        <f ca="1">IFERROR(__xludf.DUMMYFUNCTION("""COMPUTED_VALUE"""),40731.7055555555)</f>
        <v>40731.705555555498</v>
      </c>
      <c r="T350" s="111">
        <f ca="1">IFERROR(__xludf.DUMMYFUNCTION("""COMPUTED_VALUE"""),8.72)</f>
        <v>8.7200000000000006</v>
      </c>
    </row>
    <row r="351" spans="1:20" x14ac:dyDescent="0.3">
      <c r="A351" s="112">
        <f ca="1">IFERROR(__xludf.DUMMYFUNCTION("""COMPUTED_VALUE"""),40731.7055555555)</f>
        <v>40731.705555555498</v>
      </c>
      <c r="B351" s="111">
        <f ca="1">IFERROR(__xludf.DUMMYFUNCTION("""COMPUTED_VALUE"""),19.81)</f>
        <v>19.809999999999999</v>
      </c>
      <c r="C351" s="112">
        <f ca="1">IFERROR(__xludf.DUMMYFUNCTION("""COMPUTED_VALUE"""),40732.7055555555)</f>
        <v>40732.705555555498</v>
      </c>
      <c r="D351" s="111">
        <f ca="1">IFERROR(__xludf.DUMMYFUNCTION("""COMPUTED_VALUE"""),17.38)</f>
        <v>17.38</v>
      </c>
      <c r="E351" s="112">
        <f ca="1">IFERROR(__xludf.DUMMYFUNCTION("""COMPUTED_VALUE"""),40731.7055555555)</f>
        <v>40731.705555555498</v>
      </c>
      <c r="F351" s="111">
        <f ca="1">IFERROR(__xludf.DUMMYFUNCTION("""COMPUTED_VALUE"""),7.56)</f>
        <v>7.56</v>
      </c>
      <c r="G351" s="112">
        <f ca="1">IFERROR(__xludf.DUMMYFUNCTION("""COMPUTED_VALUE"""),40732.7055555555)</f>
        <v>40732.705555555498</v>
      </c>
      <c r="H351" s="111">
        <f ca="1">IFERROR(__xludf.DUMMYFUNCTION("""COMPUTED_VALUE"""),23.44)</f>
        <v>23.44</v>
      </c>
      <c r="K351" s="112">
        <f ca="1">IFERROR(__xludf.DUMMYFUNCTION("""COMPUTED_VALUE"""),41225.7055555555)</f>
        <v>41225.705555555498</v>
      </c>
      <c r="L351" s="111">
        <f ca="1">IFERROR(__xludf.DUMMYFUNCTION("""COMPUTED_VALUE"""),0.34)</f>
        <v>0.34</v>
      </c>
      <c r="M351" s="112">
        <f ca="1">IFERROR(__xludf.DUMMYFUNCTION("""COMPUTED_VALUE"""),40694.7055555555)</f>
        <v>40694.705555555498</v>
      </c>
      <c r="N351" s="111">
        <f ca="1">IFERROR(__xludf.DUMMYFUNCTION("""COMPUTED_VALUE"""),12.16)</f>
        <v>12.16</v>
      </c>
      <c r="O351" s="112">
        <f ca="1">IFERROR(__xludf.DUMMYFUNCTION("""COMPUTED_VALUE"""),40731.7055555555)</f>
        <v>40731.705555555498</v>
      </c>
      <c r="P351" s="111">
        <f ca="1">IFERROR(__xludf.DUMMYFUNCTION("""COMPUTED_VALUE"""),51.45)</f>
        <v>51.45</v>
      </c>
      <c r="Q351" s="112">
        <f ca="1">IFERROR(__xludf.DUMMYFUNCTION("""COMPUTED_VALUE"""),40731.7055555555)</f>
        <v>40731.705555555498</v>
      </c>
      <c r="R351" s="111">
        <f ca="1">IFERROR(__xludf.DUMMYFUNCTION("""COMPUTED_VALUE"""),27.3)</f>
        <v>27.3</v>
      </c>
      <c r="S351" s="112">
        <f ca="1">IFERROR(__xludf.DUMMYFUNCTION("""COMPUTED_VALUE"""),40732.7055555555)</f>
        <v>40732.705555555498</v>
      </c>
      <c r="T351" s="111">
        <f ca="1">IFERROR(__xludf.DUMMYFUNCTION("""COMPUTED_VALUE"""),8.53)</f>
        <v>8.5299999999999994</v>
      </c>
    </row>
    <row r="352" spans="1:20" x14ac:dyDescent="0.3">
      <c r="A352" s="112">
        <f ca="1">IFERROR(__xludf.DUMMYFUNCTION("""COMPUTED_VALUE"""),40732.7055555555)</f>
        <v>40732.705555555498</v>
      </c>
      <c r="B352" s="111">
        <f ca="1">IFERROR(__xludf.DUMMYFUNCTION("""COMPUTED_VALUE"""),19.58)</f>
        <v>19.579999999999998</v>
      </c>
      <c r="C352" s="112">
        <f ca="1">IFERROR(__xludf.DUMMYFUNCTION("""COMPUTED_VALUE"""),40735.7055555555)</f>
        <v>40735.705555555498</v>
      </c>
      <c r="D352" s="111">
        <f ca="1">IFERROR(__xludf.DUMMYFUNCTION("""COMPUTED_VALUE"""),16.74)</f>
        <v>16.739999999999998</v>
      </c>
      <c r="E352" s="112">
        <f ca="1">IFERROR(__xludf.DUMMYFUNCTION("""COMPUTED_VALUE"""),40732.7055555555)</f>
        <v>40732.705555555498</v>
      </c>
      <c r="F352" s="111">
        <f ca="1">IFERROR(__xludf.DUMMYFUNCTION("""COMPUTED_VALUE"""),7.42)</f>
        <v>7.42</v>
      </c>
      <c r="G352" s="112">
        <f ca="1">IFERROR(__xludf.DUMMYFUNCTION("""COMPUTED_VALUE"""),40735.7055555555)</f>
        <v>40735.705555555498</v>
      </c>
      <c r="H352" s="111">
        <f ca="1">IFERROR(__xludf.DUMMYFUNCTION("""COMPUTED_VALUE"""),23.15)</f>
        <v>23.15</v>
      </c>
      <c r="K352" s="112">
        <f ca="1">IFERROR(__xludf.DUMMYFUNCTION("""COMPUTED_VALUE"""),41226.7055555555)</f>
        <v>41226.705555555498</v>
      </c>
      <c r="L352" s="111">
        <f ca="1">IFERROR(__xludf.DUMMYFUNCTION("""COMPUTED_VALUE"""),0.33)</f>
        <v>0.33</v>
      </c>
      <c r="M352" s="112">
        <f ca="1">IFERROR(__xludf.DUMMYFUNCTION("""COMPUTED_VALUE"""),40695.7055555555)</f>
        <v>40695.705555555498</v>
      </c>
      <c r="N352" s="111">
        <f ca="1">IFERROR(__xludf.DUMMYFUNCTION("""COMPUTED_VALUE"""),11.96)</f>
        <v>11.96</v>
      </c>
      <c r="O352" s="112">
        <f ca="1">IFERROR(__xludf.DUMMYFUNCTION("""COMPUTED_VALUE"""),40732.7055555555)</f>
        <v>40732.705555555498</v>
      </c>
      <c r="P352" s="111">
        <f ca="1">IFERROR(__xludf.DUMMYFUNCTION("""COMPUTED_VALUE"""),51.1)</f>
        <v>51.1</v>
      </c>
      <c r="Q352" s="112">
        <f ca="1">IFERROR(__xludf.DUMMYFUNCTION("""COMPUTED_VALUE"""),40732.7055555555)</f>
        <v>40732.705555555498</v>
      </c>
      <c r="R352" s="111">
        <f ca="1">IFERROR(__xludf.DUMMYFUNCTION("""COMPUTED_VALUE"""),26.55)</f>
        <v>26.55</v>
      </c>
      <c r="S352" s="112">
        <f ca="1">IFERROR(__xludf.DUMMYFUNCTION("""COMPUTED_VALUE"""),40735.7055555555)</f>
        <v>40735.705555555498</v>
      </c>
      <c r="T352" s="111">
        <f ca="1">IFERROR(__xludf.DUMMYFUNCTION("""COMPUTED_VALUE"""),8.48)</f>
        <v>8.48</v>
      </c>
    </row>
    <row r="353" spans="1:20" x14ac:dyDescent="0.3">
      <c r="A353" s="112">
        <f ca="1">IFERROR(__xludf.DUMMYFUNCTION("""COMPUTED_VALUE"""),40735.7055555555)</f>
        <v>40735.705555555498</v>
      </c>
      <c r="B353" s="111">
        <f ca="1">IFERROR(__xludf.DUMMYFUNCTION("""COMPUTED_VALUE"""),19.07)</f>
        <v>19.07</v>
      </c>
      <c r="C353" s="112">
        <f ca="1">IFERROR(__xludf.DUMMYFUNCTION("""COMPUTED_VALUE"""),40736.7055555555)</f>
        <v>40736.705555555498</v>
      </c>
      <c r="D353" s="111">
        <f ca="1">IFERROR(__xludf.DUMMYFUNCTION("""COMPUTED_VALUE"""),16.3)</f>
        <v>16.3</v>
      </c>
      <c r="E353" s="112">
        <f ca="1">IFERROR(__xludf.DUMMYFUNCTION("""COMPUTED_VALUE"""),40735.7055555555)</f>
        <v>40735.705555555498</v>
      </c>
      <c r="F353" s="111">
        <f ca="1">IFERROR(__xludf.DUMMYFUNCTION("""COMPUTED_VALUE"""),7.15)</f>
        <v>7.15</v>
      </c>
      <c r="G353" s="112">
        <f ca="1">IFERROR(__xludf.DUMMYFUNCTION("""COMPUTED_VALUE"""),40736.7055555555)</f>
        <v>40736.705555555498</v>
      </c>
      <c r="H353" s="111">
        <f ca="1">IFERROR(__xludf.DUMMYFUNCTION("""COMPUTED_VALUE"""),23.12)</f>
        <v>23.12</v>
      </c>
      <c r="K353" s="112">
        <f ca="1">IFERROR(__xludf.DUMMYFUNCTION("""COMPUTED_VALUE"""),41227.7055555555)</f>
        <v>41227.705555555498</v>
      </c>
      <c r="L353" s="111">
        <f ca="1">IFERROR(__xludf.DUMMYFUNCTION("""COMPUTED_VALUE"""),0.33)</f>
        <v>0.33</v>
      </c>
      <c r="M353" s="112">
        <f ca="1">IFERROR(__xludf.DUMMYFUNCTION("""COMPUTED_VALUE"""),40696.7055555555)</f>
        <v>40696.705555555498</v>
      </c>
      <c r="N353" s="111">
        <f ca="1">IFERROR(__xludf.DUMMYFUNCTION("""COMPUTED_VALUE"""),12.04)</f>
        <v>12.04</v>
      </c>
      <c r="O353" s="112">
        <f ca="1">IFERROR(__xludf.DUMMYFUNCTION("""COMPUTED_VALUE"""),40735.7055555555)</f>
        <v>40735.705555555498</v>
      </c>
      <c r="P353" s="111">
        <f ca="1">IFERROR(__xludf.DUMMYFUNCTION("""COMPUTED_VALUE"""),50.66)</f>
        <v>50.66</v>
      </c>
      <c r="Q353" s="112">
        <f ca="1">IFERROR(__xludf.DUMMYFUNCTION("""COMPUTED_VALUE"""),40735.7055555555)</f>
        <v>40735.705555555498</v>
      </c>
      <c r="R353" s="111">
        <f ca="1">IFERROR(__xludf.DUMMYFUNCTION("""COMPUTED_VALUE"""),25.8)</f>
        <v>25.8</v>
      </c>
      <c r="S353" s="112">
        <f ca="1">IFERROR(__xludf.DUMMYFUNCTION("""COMPUTED_VALUE"""),40736.7055555555)</f>
        <v>40736.705555555498</v>
      </c>
      <c r="T353" s="111">
        <f ca="1">IFERROR(__xludf.DUMMYFUNCTION("""COMPUTED_VALUE"""),8.67)</f>
        <v>8.67</v>
      </c>
    </row>
    <row r="354" spans="1:20" x14ac:dyDescent="0.3">
      <c r="A354" s="112">
        <f ca="1">IFERROR(__xludf.DUMMYFUNCTION("""COMPUTED_VALUE"""),40736.7055555555)</f>
        <v>40736.705555555498</v>
      </c>
      <c r="B354" s="111">
        <f ca="1">IFERROR(__xludf.DUMMYFUNCTION("""COMPUTED_VALUE"""),19.15)</f>
        <v>19.149999999999999</v>
      </c>
      <c r="C354" s="112">
        <f ca="1">IFERROR(__xludf.DUMMYFUNCTION("""COMPUTED_VALUE"""),40737.7055555555)</f>
        <v>40737.705555555498</v>
      </c>
      <c r="D354" s="111">
        <f ca="1">IFERROR(__xludf.DUMMYFUNCTION("""COMPUTED_VALUE"""),16.41)</f>
        <v>16.41</v>
      </c>
      <c r="E354" s="112">
        <f ca="1">IFERROR(__xludf.DUMMYFUNCTION("""COMPUTED_VALUE"""),40736.7055555555)</f>
        <v>40736.705555555498</v>
      </c>
      <c r="F354" s="111">
        <f ca="1">IFERROR(__xludf.DUMMYFUNCTION("""COMPUTED_VALUE"""),7)</f>
        <v>7</v>
      </c>
      <c r="G354" s="112">
        <f ca="1">IFERROR(__xludf.DUMMYFUNCTION("""COMPUTED_VALUE"""),40737.7055555555)</f>
        <v>40737.705555555498</v>
      </c>
      <c r="H354" s="111">
        <f ca="1">IFERROR(__xludf.DUMMYFUNCTION("""COMPUTED_VALUE"""),23.39)</f>
        <v>23.39</v>
      </c>
      <c r="K354" s="112">
        <f ca="1">IFERROR(__xludf.DUMMYFUNCTION("""COMPUTED_VALUE"""),41229.7055555555)</f>
        <v>41229.705555555498</v>
      </c>
      <c r="L354" s="111">
        <f ca="1">IFERROR(__xludf.DUMMYFUNCTION("""COMPUTED_VALUE"""),0.33)</f>
        <v>0.33</v>
      </c>
      <c r="M354" s="112">
        <f ca="1">IFERROR(__xludf.DUMMYFUNCTION("""COMPUTED_VALUE"""),40697.7055555555)</f>
        <v>40697.705555555498</v>
      </c>
      <c r="N354" s="111">
        <f ca="1">IFERROR(__xludf.DUMMYFUNCTION("""COMPUTED_VALUE"""),12.09)</f>
        <v>12.09</v>
      </c>
      <c r="O354" s="112">
        <f ca="1">IFERROR(__xludf.DUMMYFUNCTION("""COMPUTED_VALUE"""),40736.7055555555)</f>
        <v>40736.705555555498</v>
      </c>
      <c r="P354" s="111">
        <f ca="1">IFERROR(__xludf.DUMMYFUNCTION("""COMPUTED_VALUE"""),50.7)</f>
        <v>50.7</v>
      </c>
      <c r="Q354" s="112">
        <f ca="1">IFERROR(__xludf.DUMMYFUNCTION("""COMPUTED_VALUE"""),40736.7055555555)</f>
        <v>40736.705555555498</v>
      </c>
      <c r="R354" s="111">
        <f ca="1">IFERROR(__xludf.DUMMYFUNCTION("""COMPUTED_VALUE"""),25.85)</f>
        <v>25.85</v>
      </c>
      <c r="S354" s="112">
        <f ca="1">IFERROR(__xludf.DUMMYFUNCTION("""COMPUTED_VALUE"""),40737.7055555555)</f>
        <v>40737.705555555498</v>
      </c>
      <c r="T354" s="111">
        <f ca="1">IFERROR(__xludf.DUMMYFUNCTION("""COMPUTED_VALUE"""),8.82)</f>
        <v>8.82</v>
      </c>
    </row>
    <row r="355" spans="1:20" x14ac:dyDescent="0.3">
      <c r="A355" s="112">
        <f ca="1">IFERROR(__xludf.DUMMYFUNCTION("""COMPUTED_VALUE"""),40737.7055555555)</f>
        <v>40737.705555555498</v>
      </c>
      <c r="B355" s="111">
        <f ca="1">IFERROR(__xludf.DUMMYFUNCTION("""COMPUTED_VALUE"""),19.23)</f>
        <v>19.23</v>
      </c>
      <c r="C355" s="112">
        <f ca="1">IFERROR(__xludf.DUMMYFUNCTION("""COMPUTED_VALUE"""),40738.7055555555)</f>
        <v>40738.705555555498</v>
      </c>
      <c r="D355" s="111">
        <f ca="1">IFERROR(__xludf.DUMMYFUNCTION("""COMPUTED_VALUE"""),15.92)</f>
        <v>15.92</v>
      </c>
      <c r="E355" s="112">
        <f ca="1">IFERROR(__xludf.DUMMYFUNCTION("""COMPUTED_VALUE"""),40737.7055555555)</f>
        <v>40737.705555555498</v>
      </c>
      <c r="F355" s="111">
        <f ca="1">IFERROR(__xludf.DUMMYFUNCTION("""COMPUTED_VALUE"""),7.01)</f>
        <v>7.01</v>
      </c>
      <c r="G355" s="112">
        <f ca="1">IFERROR(__xludf.DUMMYFUNCTION("""COMPUTED_VALUE"""),40738.7055555555)</f>
        <v>40738.705555555498</v>
      </c>
      <c r="H355" s="111">
        <f ca="1">IFERROR(__xludf.DUMMYFUNCTION("""COMPUTED_VALUE"""),22.95)</f>
        <v>22.95</v>
      </c>
      <c r="K355" s="112">
        <f ca="1">IFERROR(__xludf.DUMMYFUNCTION("""COMPUTED_VALUE"""),41232.7055555555)</f>
        <v>41232.705555555498</v>
      </c>
      <c r="L355" s="111">
        <f ca="1">IFERROR(__xludf.DUMMYFUNCTION("""COMPUTED_VALUE"""),0.33)</f>
        <v>0.33</v>
      </c>
      <c r="M355" s="112">
        <f ca="1">IFERROR(__xludf.DUMMYFUNCTION("""COMPUTED_VALUE"""),40700.7055555555)</f>
        <v>40700.705555555498</v>
      </c>
      <c r="N355" s="111">
        <f ca="1">IFERROR(__xludf.DUMMYFUNCTION("""COMPUTED_VALUE"""),11.9)</f>
        <v>11.9</v>
      </c>
      <c r="O355" s="112">
        <f ca="1">IFERROR(__xludf.DUMMYFUNCTION("""COMPUTED_VALUE"""),40737.7055555555)</f>
        <v>40737.705555555498</v>
      </c>
      <c r="P355" s="111">
        <f ca="1">IFERROR(__xludf.DUMMYFUNCTION("""COMPUTED_VALUE"""),51.33)</f>
        <v>51.33</v>
      </c>
      <c r="Q355" s="112">
        <f ca="1">IFERROR(__xludf.DUMMYFUNCTION("""COMPUTED_VALUE"""),40737.7055555555)</f>
        <v>40737.705555555498</v>
      </c>
      <c r="R355" s="111">
        <f ca="1">IFERROR(__xludf.DUMMYFUNCTION("""COMPUTED_VALUE"""),26.45)</f>
        <v>26.45</v>
      </c>
      <c r="S355" s="112">
        <f ca="1">IFERROR(__xludf.DUMMYFUNCTION("""COMPUTED_VALUE"""),40738.7055555555)</f>
        <v>40738.705555555498</v>
      </c>
      <c r="T355" s="111">
        <f ca="1">IFERROR(__xludf.DUMMYFUNCTION("""COMPUTED_VALUE"""),8.69)</f>
        <v>8.69</v>
      </c>
    </row>
    <row r="356" spans="1:20" x14ac:dyDescent="0.3">
      <c r="A356" s="112">
        <f ca="1">IFERROR(__xludf.DUMMYFUNCTION("""COMPUTED_VALUE"""),40738.7055555555)</f>
        <v>40738.705555555498</v>
      </c>
      <c r="B356" s="111">
        <f ca="1">IFERROR(__xludf.DUMMYFUNCTION("""COMPUTED_VALUE"""),19.26)</f>
        <v>19.260000000000002</v>
      </c>
      <c r="C356" s="112">
        <f ca="1">IFERROR(__xludf.DUMMYFUNCTION("""COMPUTED_VALUE"""),40739.7055555555)</f>
        <v>40739.705555555498</v>
      </c>
      <c r="D356" s="111">
        <f ca="1">IFERROR(__xludf.DUMMYFUNCTION("""COMPUTED_VALUE"""),15.87)</f>
        <v>15.87</v>
      </c>
      <c r="E356" s="112">
        <f ca="1">IFERROR(__xludf.DUMMYFUNCTION("""COMPUTED_VALUE"""),40738.7055555555)</f>
        <v>40738.705555555498</v>
      </c>
      <c r="F356" s="111">
        <f ca="1">IFERROR(__xludf.DUMMYFUNCTION("""COMPUTED_VALUE"""),6.84)</f>
        <v>6.84</v>
      </c>
      <c r="G356" s="112">
        <f ca="1">IFERROR(__xludf.DUMMYFUNCTION("""COMPUTED_VALUE"""),40739.7055555555)</f>
        <v>40739.705555555498</v>
      </c>
      <c r="H356" s="111">
        <f ca="1">IFERROR(__xludf.DUMMYFUNCTION("""COMPUTED_VALUE"""),22.99)</f>
        <v>22.99</v>
      </c>
      <c r="K356" s="112">
        <f ca="1">IFERROR(__xludf.DUMMYFUNCTION("""COMPUTED_VALUE"""),41234.7055555555)</f>
        <v>41234.705555555498</v>
      </c>
      <c r="L356" s="111">
        <f ca="1">IFERROR(__xludf.DUMMYFUNCTION("""COMPUTED_VALUE"""),0.33)</f>
        <v>0.33</v>
      </c>
      <c r="M356" s="112">
        <f ca="1">IFERROR(__xludf.DUMMYFUNCTION("""COMPUTED_VALUE"""),40701.7055555555)</f>
        <v>40701.705555555498</v>
      </c>
      <c r="N356" s="111">
        <f ca="1">IFERROR(__xludf.DUMMYFUNCTION("""COMPUTED_VALUE"""),12.14)</f>
        <v>12.14</v>
      </c>
      <c r="O356" s="112">
        <f ca="1">IFERROR(__xludf.DUMMYFUNCTION("""COMPUTED_VALUE"""),40738.7055555555)</f>
        <v>40738.705555555498</v>
      </c>
      <c r="P356" s="111">
        <f ca="1">IFERROR(__xludf.DUMMYFUNCTION("""COMPUTED_VALUE"""),50.63)</f>
        <v>50.63</v>
      </c>
      <c r="Q356" s="112">
        <f ca="1">IFERROR(__xludf.DUMMYFUNCTION("""COMPUTED_VALUE"""),40738.7055555555)</f>
        <v>40738.705555555498</v>
      </c>
      <c r="R356" s="111">
        <f ca="1">IFERROR(__xludf.DUMMYFUNCTION("""COMPUTED_VALUE"""),25.98)</f>
        <v>25.98</v>
      </c>
      <c r="S356" s="112">
        <f ca="1">IFERROR(__xludf.DUMMYFUNCTION("""COMPUTED_VALUE"""),40739.7055555555)</f>
        <v>40739.705555555498</v>
      </c>
      <c r="T356" s="111">
        <f ca="1">IFERROR(__xludf.DUMMYFUNCTION("""COMPUTED_VALUE"""),8.49)</f>
        <v>8.49</v>
      </c>
    </row>
    <row r="357" spans="1:20" x14ac:dyDescent="0.3">
      <c r="A357" s="112">
        <f ca="1">IFERROR(__xludf.DUMMYFUNCTION("""COMPUTED_VALUE"""),40739.7055555555)</f>
        <v>40739.705555555498</v>
      </c>
      <c r="B357" s="111">
        <f ca="1">IFERROR(__xludf.DUMMYFUNCTION("""COMPUTED_VALUE"""),19.19)</f>
        <v>19.190000000000001</v>
      </c>
      <c r="C357" s="112">
        <f ca="1">IFERROR(__xludf.DUMMYFUNCTION("""COMPUTED_VALUE"""),40743.7055555555)</f>
        <v>40743.705555555498</v>
      </c>
      <c r="D357" s="111">
        <f ca="1">IFERROR(__xludf.DUMMYFUNCTION("""COMPUTED_VALUE"""),16.1)</f>
        <v>16.100000000000001</v>
      </c>
      <c r="E357" s="112">
        <f ca="1">IFERROR(__xludf.DUMMYFUNCTION("""COMPUTED_VALUE"""),40739.7055555555)</f>
        <v>40739.705555555498</v>
      </c>
      <c r="F357" s="111">
        <f ca="1">IFERROR(__xludf.DUMMYFUNCTION("""COMPUTED_VALUE"""),6.83)</f>
        <v>6.83</v>
      </c>
      <c r="G357" s="112">
        <f ca="1">IFERROR(__xludf.DUMMYFUNCTION("""COMPUTED_VALUE"""),40743.7055555555)</f>
        <v>40743.705555555498</v>
      </c>
      <c r="H357" s="111">
        <f ca="1">IFERROR(__xludf.DUMMYFUNCTION("""COMPUTED_VALUE"""),22.65)</f>
        <v>22.65</v>
      </c>
      <c r="K357" s="112">
        <f ca="1">IFERROR(__xludf.DUMMYFUNCTION("""COMPUTED_VALUE"""),41235.7055555555)</f>
        <v>41235.705555555498</v>
      </c>
      <c r="L357" s="111">
        <f ca="1">IFERROR(__xludf.DUMMYFUNCTION("""COMPUTED_VALUE"""),0.33)</f>
        <v>0.33</v>
      </c>
      <c r="M357" s="112">
        <f ca="1">IFERROR(__xludf.DUMMYFUNCTION("""COMPUTED_VALUE"""),40702.7055555555)</f>
        <v>40702.705555555498</v>
      </c>
      <c r="N357" s="111">
        <f ca="1">IFERROR(__xludf.DUMMYFUNCTION("""COMPUTED_VALUE"""),12.11)</f>
        <v>12.11</v>
      </c>
      <c r="O357" s="112">
        <f ca="1">IFERROR(__xludf.DUMMYFUNCTION("""COMPUTED_VALUE"""),40739.7055555555)</f>
        <v>40739.705555555498</v>
      </c>
      <c r="P357" s="111">
        <f ca="1">IFERROR(__xludf.DUMMYFUNCTION("""COMPUTED_VALUE"""),50.6)</f>
        <v>50.6</v>
      </c>
      <c r="Q357" s="112">
        <f ca="1">IFERROR(__xludf.DUMMYFUNCTION("""COMPUTED_VALUE"""),40739.7055555555)</f>
        <v>40739.705555555498</v>
      </c>
      <c r="R357" s="111">
        <f ca="1">IFERROR(__xludf.DUMMYFUNCTION("""COMPUTED_VALUE"""),25.77)</f>
        <v>25.77</v>
      </c>
      <c r="S357" s="112">
        <f ca="1">IFERROR(__xludf.DUMMYFUNCTION("""COMPUTED_VALUE"""),40743.7055555555)</f>
        <v>40743.705555555498</v>
      </c>
      <c r="T357" s="111">
        <f ca="1">IFERROR(__xludf.DUMMYFUNCTION("""COMPUTED_VALUE"""),8.02)</f>
        <v>8.02</v>
      </c>
    </row>
    <row r="358" spans="1:20" x14ac:dyDescent="0.3">
      <c r="A358" s="112">
        <f ca="1">IFERROR(__xludf.DUMMYFUNCTION("""COMPUTED_VALUE"""),40743.7055555555)</f>
        <v>40743.705555555498</v>
      </c>
      <c r="B358" s="111">
        <f ca="1">IFERROR(__xludf.DUMMYFUNCTION("""COMPUTED_VALUE"""),18.79)</f>
        <v>18.79</v>
      </c>
      <c r="C358" s="112">
        <f ca="1">IFERROR(__xludf.DUMMYFUNCTION("""COMPUTED_VALUE"""),40744.7055555555)</f>
        <v>40744.705555555498</v>
      </c>
      <c r="D358" s="111">
        <f ca="1">IFERROR(__xludf.DUMMYFUNCTION("""COMPUTED_VALUE"""),16.22)</f>
        <v>16.22</v>
      </c>
      <c r="E358" s="112">
        <f ca="1">IFERROR(__xludf.DUMMYFUNCTION("""COMPUTED_VALUE"""),40743.7055555555)</f>
        <v>40743.705555555498</v>
      </c>
      <c r="F358" s="111">
        <f ca="1">IFERROR(__xludf.DUMMYFUNCTION("""COMPUTED_VALUE"""),6.92)</f>
        <v>6.92</v>
      </c>
      <c r="G358" s="112">
        <f ca="1">IFERROR(__xludf.DUMMYFUNCTION("""COMPUTED_VALUE"""),40744.7055555555)</f>
        <v>40744.705555555498</v>
      </c>
      <c r="H358" s="111">
        <f ca="1">IFERROR(__xludf.DUMMYFUNCTION("""COMPUTED_VALUE"""),22.38)</f>
        <v>22.38</v>
      </c>
      <c r="K358" s="112">
        <f ca="1">IFERROR(__xludf.DUMMYFUNCTION("""COMPUTED_VALUE"""),41236.7055555555)</f>
        <v>41236.705555555498</v>
      </c>
      <c r="L358" s="111">
        <f ca="1">IFERROR(__xludf.DUMMYFUNCTION("""COMPUTED_VALUE"""),0.33)</f>
        <v>0.33</v>
      </c>
      <c r="M358" s="112">
        <f ca="1">IFERROR(__xludf.DUMMYFUNCTION("""COMPUTED_VALUE"""),40703.7055555555)</f>
        <v>40703.705555555498</v>
      </c>
      <c r="N358" s="111">
        <f ca="1">IFERROR(__xludf.DUMMYFUNCTION("""COMPUTED_VALUE"""),12.02)</f>
        <v>12.02</v>
      </c>
      <c r="O358" s="112">
        <f ca="1">IFERROR(__xludf.DUMMYFUNCTION("""COMPUTED_VALUE"""),40743.7055555555)</f>
        <v>40743.705555555498</v>
      </c>
      <c r="P358" s="111">
        <f ca="1">IFERROR(__xludf.DUMMYFUNCTION("""COMPUTED_VALUE"""),50.86)</f>
        <v>50.86</v>
      </c>
      <c r="Q358" s="112">
        <f ca="1">IFERROR(__xludf.DUMMYFUNCTION("""COMPUTED_VALUE"""),40743.7055555555)</f>
        <v>40743.705555555498</v>
      </c>
      <c r="R358" s="111">
        <f ca="1">IFERROR(__xludf.DUMMYFUNCTION("""COMPUTED_VALUE"""),25.65)</f>
        <v>25.65</v>
      </c>
      <c r="S358" s="112">
        <f ca="1">IFERROR(__xludf.DUMMYFUNCTION("""COMPUTED_VALUE"""),40744.7055555555)</f>
        <v>40744.705555555498</v>
      </c>
      <c r="T358" s="111">
        <f ca="1">IFERROR(__xludf.DUMMYFUNCTION("""COMPUTED_VALUE"""),8.31)</f>
        <v>8.31</v>
      </c>
    </row>
    <row r="359" spans="1:20" x14ac:dyDescent="0.3">
      <c r="A359" s="112">
        <f ca="1">IFERROR(__xludf.DUMMYFUNCTION("""COMPUTED_VALUE"""),40744.7055555555)</f>
        <v>40744.705555555498</v>
      </c>
      <c r="B359" s="111">
        <f ca="1">IFERROR(__xludf.DUMMYFUNCTION("""COMPUTED_VALUE"""),18.64)</f>
        <v>18.64</v>
      </c>
      <c r="C359" s="112">
        <f ca="1">IFERROR(__xludf.DUMMYFUNCTION("""COMPUTED_VALUE"""),40745.7055555555)</f>
        <v>40745.705555555498</v>
      </c>
      <c r="D359" s="111">
        <f ca="1">IFERROR(__xludf.DUMMYFUNCTION("""COMPUTED_VALUE"""),16.44)</f>
        <v>16.440000000000001</v>
      </c>
      <c r="E359" s="112">
        <f ca="1">IFERROR(__xludf.DUMMYFUNCTION("""COMPUTED_VALUE"""),40744.7055555555)</f>
        <v>40744.705555555498</v>
      </c>
      <c r="F359" s="111">
        <f ca="1">IFERROR(__xludf.DUMMYFUNCTION("""COMPUTED_VALUE"""),6.92)</f>
        <v>6.92</v>
      </c>
      <c r="G359" s="112">
        <f ca="1">IFERROR(__xludf.DUMMYFUNCTION("""COMPUTED_VALUE"""),40745.7055555555)</f>
        <v>40745.705555555498</v>
      </c>
      <c r="H359" s="111">
        <f ca="1">IFERROR(__xludf.DUMMYFUNCTION("""COMPUTED_VALUE"""),23)</f>
        <v>23</v>
      </c>
      <c r="K359" s="112">
        <f ca="1">IFERROR(__xludf.DUMMYFUNCTION("""COMPUTED_VALUE"""),41239.7055555555)</f>
        <v>41239.705555555498</v>
      </c>
      <c r="L359" s="111">
        <f ca="1">IFERROR(__xludf.DUMMYFUNCTION("""COMPUTED_VALUE"""),0.34)</f>
        <v>0.34</v>
      </c>
      <c r="M359" s="112">
        <f ca="1">IFERROR(__xludf.DUMMYFUNCTION("""COMPUTED_VALUE"""),40704.7055555555)</f>
        <v>40704.705555555498</v>
      </c>
      <c r="N359" s="111">
        <f ca="1">IFERROR(__xludf.DUMMYFUNCTION("""COMPUTED_VALUE"""),11.85)</f>
        <v>11.85</v>
      </c>
      <c r="O359" s="112">
        <f ca="1">IFERROR(__xludf.DUMMYFUNCTION("""COMPUTED_VALUE"""),40744.7055555555)</f>
        <v>40744.705555555498</v>
      </c>
      <c r="P359" s="111">
        <f ca="1">IFERROR(__xludf.DUMMYFUNCTION("""COMPUTED_VALUE"""),50.86)</f>
        <v>50.86</v>
      </c>
      <c r="Q359" s="112">
        <f ca="1">IFERROR(__xludf.DUMMYFUNCTION("""COMPUTED_VALUE"""),40744.7055555555)</f>
        <v>40744.705555555498</v>
      </c>
      <c r="R359" s="111">
        <f ca="1">IFERROR(__xludf.DUMMYFUNCTION("""COMPUTED_VALUE"""),26.18)</f>
        <v>26.18</v>
      </c>
      <c r="S359" s="112">
        <f ca="1">IFERROR(__xludf.DUMMYFUNCTION("""COMPUTED_VALUE"""),40745.7055555555)</f>
        <v>40745.705555555498</v>
      </c>
      <c r="T359" s="111">
        <f ca="1">IFERROR(__xludf.DUMMYFUNCTION("""COMPUTED_VALUE"""),8.52)</f>
        <v>8.52</v>
      </c>
    </row>
    <row r="360" spans="1:20" x14ac:dyDescent="0.3">
      <c r="A360" s="112">
        <f ca="1">IFERROR(__xludf.DUMMYFUNCTION("""COMPUTED_VALUE"""),40745.7055555555)</f>
        <v>40745.705555555498</v>
      </c>
      <c r="B360" s="111">
        <f ca="1">IFERROR(__xludf.DUMMYFUNCTION("""COMPUTED_VALUE"""),18.82)</f>
        <v>18.82</v>
      </c>
      <c r="C360" s="112">
        <f ca="1">IFERROR(__xludf.DUMMYFUNCTION("""COMPUTED_VALUE"""),40746.7055555555)</f>
        <v>40746.705555555498</v>
      </c>
      <c r="D360" s="111">
        <f ca="1">IFERROR(__xludf.DUMMYFUNCTION("""COMPUTED_VALUE"""),16.44)</f>
        <v>16.440000000000001</v>
      </c>
      <c r="E360" s="112">
        <f ca="1">IFERROR(__xludf.DUMMYFUNCTION("""COMPUTED_VALUE"""),40745.7055555555)</f>
        <v>40745.705555555498</v>
      </c>
      <c r="F360" s="111">
        <f ca="1">IFERROR(__xludf.DUMMYFUNCTION("""COMPUTED_VALUE"""),7.05)</f>
        <v>7.05</v>
      </c>
      <c r="G360" s="112">
        <f ca="1">IFERROR(__xludf.DUMMYFUNCTION("""COMPUTED_VALUE"""),40746.7055555555)</f>
        <v>40746.705555555498</v>
      </c>
      <c r="H360" s="111">
        <f ca="1">IFERROR(__xludf.DUMMYFUNCTION("""COMPUTED_VALUE"""),22.97)</f>
        <v>22.97</v>
      </c>
      <c r="K360" s="112">
        <f ca="1">IFERROR(__xludf.DUMMYFUNCTION("""COMPUTED_VALUE"""),41240.7055555555)</f>
        <v>41240.705555555498</v>
      </c>
      <c r="L360" s="111">
        <f ca="1">IFERROR(__xludf.DUMMYFUNCTION("""COMPUTED_VALUE"""),0.33)</f>
        <v>0.33</v>
      </c>
      <c r="M360" s="112">
        <f ca="1">IFERROR(__xludf.DUMMYFUNCTION("""COMPUTED_VALUE"""),40707.7055555555)</f>
        <v>40707.705555555498</v>
      </c>
      <c r="N360" s="111">
        <f ca="1">IFERROR(__xludf.DUMMYFUNCTION("""COMPUTED_VALUE"""),11.85)</f>
        <v>11.85</v>
      </c>
      <c r="O360" s="112">
        <f ca="1">IFERROR(__xludf.DUMMYFUNCTION("""COMPUTED_VALUE"""),40745.7055555555)</f>
        <v>40745.705555555498</v>
      </c>
      <c r="P360" s="111">
        <f ca="1">IFERROR(__xludf.DUMMYFUNCTION("""COMPUTED_VALUE"""),51.01)</f>
        <v>51.01</v>
      </c>
      <c r="Q360" s="112">
        <f ca="1">IFERROR(__xludf.DUMMYFUNCTION("""COMPUTED_VALUE"""),40745.7055555555)</f>
        <v>40745.705555555498</v>
      </c>
      <c r="R360" s="111">
        <f ca="1">IFERROR(__xludf.DUMMYFUNCTION("""COMPUTED_VALUE"""),26.82)</f>
        <v>26.82</v>
      </c>
      <c r="S360" s="112">
        <f ca="1">IFERROR(__xludf.DUMMYFUNCTION("""COMPUTED_VALUE"""),40746.7055555555)</f>
        <v>40746.705555555498</v>
      </c>
      <c r="T360" s="111">
        <f ca="1">IFERROR(__xludf.DUMMYFUNCTION("""COMPUTED_VALUE"""),8.6)</f>
        <v>8.6</v>
      </c>
    </row>
    <row r="361" spans="1:20" x14ac:dyDescent="0.3">
      <c r="A361" s="112">
        <f ca="1">IFERROR(__xludf.DUMMYFUNCTION("""COMPUTED_VALUE"""),40746.7055555555)</f>
        <v>40746.705555555498</v>
      </c>
      <c r="B361" s="111">
        <f ca="1">IFERROR(__xludf.DUMMYFUNCTION("""COMPUTED_VALUE"""),18.98)</f>
        <v>18.98</v>
      </c>
      <c r="C361" s="112">
        <f ca="1">IFERROR(__xludf.DUMMYFUNCTION("""COMPUTED_VALUE"""),40750.7055555555)</f>
        <v>40750.705555555498</v>
      </c>
      <c r="D361" s="111">
        <f ca="1">IFERROR(__xludf.DUMMYFUNCTION("""COMPUTED_VALUE"""),15.82)</f>
        <v>15.82</v>
      </c>
      <c r="E361" s="112">
        <f ca="1">IFERROR(__xludf.DUMMYFUNCTION("""COMPUTED_VALUE"""),40746.7055555555)</f>
        <v>40746.705555555498</v>
      </c>
      <c r="F361" s="111">
        <f ca="1">IFERROR(__xludf.DUMMYFUNCTION("""COMPUTED_VALUE"""),7.06)</f>
        <v>7.06</v>
      </c>
      <c r="G361" s="112">
        <f ca="1">IFERROR(__xludf.DUMMYFUNCTION("""COMPUTED_VALUE"""),40750.7055555555)</f>
        <v>40750.705555555498</v>
      </c>
      <c r="H361" s="111">
        <f ca="1">IFERROR(__xludf.DUMMYFUNCTION("""COMPUTED_VALUE"""),23.66)</f>
        <v>23.66</v>
      </c>
      <c r="K361" s="112">
        <f ca="1">IFERROR(__xludf.DUMMYFUNCTION("""COMPUTED_VALUE"""),41241.7055555555)</f>
        <v>41241.705555555498</v>
      </c>
      <c r="L361" s="111">
        <f ca="1">IFERROR(__xludf.DUMMYFUNCTION("""COMPUTED_VALUE"""),0.33)</f>
        <v>0.33</v>
      </c>
      <c r="M361" s="112">
        <f ca="1">IFERROR(__xludf.DUMMYFUNCTION("""COMPUTED_VALUE"""),40708.7055555555)</f>
        <v>40708.705555555498</v>
      </c>
      <c r="N361" s="111">
        <f ca="1">IFERROR(__xludf.DUMMYFUNCTION("""COMPUTED_VALUE"""),11.96)</f>
        <v>11.96</v>
      </c>
      <c r="O361" s="112">
        <f ca="1">IFERROR(__xludf.DUMMYFUNCTION("""COMPUTED_VALUE"""),40746.7055555555)</f>
        <v>40746.705555555498</v>
      </c>
      <c r="P361" s="111">
        <f ca="1">IFERROR(__xludf.DUMMYFUNCTION("""COMPUTED_VALUE"""),51.17)</f>
        <v>51.17</v>
      </c>
      <c r="Q361" s="112">
        <f ca="1">IFERROR(__xludf.DUMMYFUNCTION("""COMPUTED_VALUE"""),40746.7055555555)</f>
        <v>40746.705555555498</v>
      </c>
      <c r="R361" s="111">
        <f ca="1">IFERROR(__xludf.DUMMYFUNCTION("""COMPUTED_VALUE"""),27.07)</f>
        <v>27.07</v>
      </c>
      <c r="S361" s="112">
        <f ca="1">IFERROR(__xludf.DUMMYFUNCTION("""COMPUTED_VALUE"""),40750.7055555555)</f>
        <v>40750.705555555498</v>
      </c>
      <c r="T361" s="111">
        <f ca="1">IFERROR(__xludf.DUMMYFUNCTION("""COMPUTED_VALUE"""),8.37)</f>
        <v>8.3699999999999992</v>
      </c>
    </row>
    <row r="362" spans="1:20" x14ac:dyDescent="0.3">
      <c r="A362" s="112">
        <f ca="1">IFERROR(__xludf.DUMMYFUNCTION("""COMPUTED_VALUE"""),40750.7055555555)</f>
        <v>40750.705555555498</v>
      </c>
      <c r="B362" s="111">
        <f ca="1">IFERROR(__xludf.DUMMYFUNCTION("""COMPUTED_VALUE"""),18.38)</f>
        <v>18.38</v>
      </c>
      <c r="C362" s="112">
        <f ca="1">IFERROR(__xludf.DUMMYFUNCTION("""COMPUTED_VALUE"""),40751.7055555555)</f>
        <v>40751.705555555498</v>
      </c>
      <c r="D362" s="111">
        <f ca="1">IFERROR(__xludf.DUMMYFUNCTION("""COMPUTED_VALUE"""),15.51)</f>
        <v>15.51</v>
      </c>
      <c r="E362" s="112">
        <f ca="1">IFERROR(__xludf.DUMMYFUNCTION("""COMPUTED_VALUE"""),40750.7055555555)</f>
        <v>40750.705555555498</v>
      </c>
      <c r="F362" s="111">
        <f ca="1">IFERROR(__xludf.DUMMYFUNCTION("""COMPUTED_VALUE"""),6.82)</f>
        <v>6.82</v>
      </c>
      <c r="G362" s="112">
        <f ca="1">IFERROR(__xludf.DUMMYFUNCTION("""COMPUTED_VALUE"""),40751.7055555555)</f>
        <v>40751.705555555498</v>
      </c>
      <c r="H362" s="111">
        <f ca="1">IFERROR(__xludf.DUMMYFUNCTION("""COMPUTED_VALUE"""),23.59)</f>
        <v>23.59</v>
      </c>
      <c r="K362" s="112">
        <f ca="1">IFERROR(__xludf.DUMMYFUNCTION("""COMPUTED_VALUE"""),41242.7055555555)</f>
        <v>41242.705555555498</v>
      </c>
      <c r="L362" s="111">
        <f ca="1">IFERROR(__xludf.DUMMYFUNCTION("""COMPUTED_VALUE"""),0.35)</f>
        <v>0.35</v>
      </c>
      <c r="M362" s="112">
        <f ca="1">IFERROR(__xludf.DUMMYFUNCTION("""COMPUTED_VALUE"""),40709.7055555555)</f>
        <v>40709.705555555498</v>
      </c>
      <c r="N362" s="111">
        <f ca="1">IFERROR(__xludf.DUMMYFUNCTION("""COMPUTED_VALUE"""),12.05)</f>
        <v>12.05</v>
      </c>
      <c r="O362" s="112">
        <f ca="1">IFERROR(__xludf.DUMMYFUNCTION("""COMPUTED_VALUE"""),40750.7055555555)</f>
        <v>40750.705555555498</v>
      </c>
      <c r="P362" s="111">
        <f ca="1">IFERROR(__xludf.DUMMYFUNCTION("""COMPUTED_VALUE"""),51.08)</f>
        <v>51.08</v>
      </c>
      <c r="Q362" s="112">
        <f ca="1">IFERROR(__xludf.DUMMYFUNCTION("""COMPUTED_VALUE"""),40750.7055555555)</f>
        <v>40750.705555555498</v>
      </c>
      <c r="R362" s="111">
        <f ca="1">IFERROR(__xludf.DUMMYFUNCTION("""COMPUTED_VALUE"""),25.94)</f>
        <v>25.94</v>
      </c>
      <c r="S362" s="112">
        <f ca="1">IFERROR(__xludf.DUMMYFUNCTION("""COMPUTED_VALUE"""),40751.7055555555)</f>
        <v>40751.705555555498</v>
      </c>
      <c r="T362" s="111">
        <f ca="1">IFERROR(__xludf.DUMMYFUNCTION("""COMPUTED_VALUE"""),8.16)</f>
        <v>8.16</v>
      </c>
    </row>
    <row r="363" spans="1:20" x14ac:dyDescent="0.3">
      <c r="A363" s="112">
        <f ca="1">IFERROR(__xludf.DUMMYFUNCTION("""COMPUTED_VALUE"""),40751.7055555555)</f>
        <v>40751.705555555498</v>
      </c>
      <c r="B363" s="111">
        <f ca="1">IFERROR(__xludf.DUMMYFUNCTION("""COMPUTED_VALUE"""),18)</f>
        <v>18</v>
      </c>
      <c r="C363" s="112">
        <f ca="1">IFERROR(__xludf.DUMMYFUNCTION("""COMPUTED_VALUE"""),40752.7055555555)</f>
        <v>40752.705555555498</v>
      </c>
      <c r="D363" s="111">
        <f ca="1">IFERROR(__xludf.DUMMYFUNCTION("""COMPUTED_VALUE"""),15.55)</f>
        <v>15.55</v>
      </c>
      <c r="E363" s="112">
        <f ca="1">IFERROR(__xludf.DUMMYFUNCTION("""COMPUTED_VALUE"""),40751.7055555555)</f>
        <v>40751.705555555498</v>
      </c>
      <c r="F363" s="111">
        <f ca="1">IFERROR(__xludf.DUMMYFUNCTION("""COMPUTED_VALUE"""),6.67)</f>
        <v>6.67</v>
      </c>
      <c r="G363" s="112">
        <f ca="1">IFERROR(__xludf.DUMMYFUNCTION("""COMPUTED_VALUE"""),40752.7055555555)</f>
        <v>40752.705555555498</v>
      </c>
      <c r="H363" s="111">
        <f ca="1">IFERROR(__xludf.DUMMYFUNCTION("""COMPUTED_VALUE"""),23.5)</f>
        <v>23.5</v>
      </c>
      <c r="K363" s="112">
        <f ca="1">IFERROR(__xludf.DUMMYFUNCTION("""COMPUTED_VALUE"""),41243.7055555555)</f>
        <v>41243.705555555498</v>
      </c>
      <c r="L363" s="111">
        <f ca="1">IFERROR(__xludf.DUMMYFUNCTION("""COMPUTED_VALUE"""),0.35)</f>
        <v>0.35</v>
      </c>
      <c r="M363" s="112">
        <f ca="1">IFERROR(__xludf.DUMMYFUNCTION("""COMPUTED_VALUE"""),40710.7055555555)</f>
        <v>40710.705555555498</v>
      </c>
      <c r="N363" s="111">
        <f ca="1">IFERROR(__xludf.DUMMYFUNCTION("""COMPUTED_VALUE"""),11.92)</f>
        <v>11.92</v>
      </c>
      <c r="O363" s="112">
        <f ca="1">IFERROR(__xludf.DUMMYFUNCTION("""COMPUTED_VALUE"""),40751.7055555555)</f>
        <v>40751.705555555498</v>
      </c>
      <c r="P363" s="111">
        <f ca="1">IFERROR(__xludf.DUMMYFUNCTION("""COMPUTED_VALUE"""),50.69)</f>
        <v>50.69</v>
      </c>
      <c r="Q363" s="112">
        <f ca="1">IFERROR(__xludf.DUMMYFUNCTION("""COMPUTED_VALUE"""),40751.7055555555)</f>
        <v>40751.705555555498</v>
      </c>
      <c r="R363" s="111">
        <f ca="1">IFERROR(__xludf.DUMMYFUNCTION("""COMPUTED_VALUE"""),25.34)</f>
        <v>25.34</v>
      </c>
      <c r="S363" s="112">
        <f ca="1">IFERROR(__xludf.DUMMYFUNCTION("""COMPUTED_VALUE"""),40752.7055555555)</f>
        <v>40752.705555555498</v>
      </c>
      <c r="T363" s="111">
        <f ca="1">IFERROR(__xludf.DUMMYFUNCTION("""COMPUTED_VALUE"""),8.26)</f>
        <v>8.26</v>
      </c>
    </row>
    <row r="364" spans="1:20" x14ac:dyDescent="0.3">
      <c r="A364" s="112">
        <f ca="1">IFERROR(__xludf.DUMMYFUNCTION("""COMPUTED_VALUE"""),40752.7055555555)</f>
        <v>40752.705555555498</v>
      </c>
      <c r="B364" s="111">
        <f ca="1">IFERROR(__xludf.DUMMYFUNCTION("""COMPUTED_VALUE"""),18)</f>
        <v>18</v>
      </c>
      <c r="C364" s="112">
        <f ca="1">IFERROR(__xludf.DUMMYFUNCTION("""COMPUTED_VALUE"""),40756.7055555555)</f>
        <v>40756.705555555498</v>
      </c>
      <c r="D364" s="111">
        <f ca="1">IFERROR(__xludf.DUMMYFUNCTION("""COMPUTED_VALUE"""),15.73)</f>
        <v>15.73</v>
      </c>
      <c r="E364" s="112">
        <f ca="1">IFERROR(__xludf.DUMMYFUNCTION("""COMPUTED_VALUE"""),40752.7055555555)</f>
        <v>40752.705555555498</v>
      </c>
      <c r="F364" s="111">
        <f ca="1">IFERROR(__xludf.DUMMYFUNCTION("""COMPUTED_VALUE"""),6.67)</f>
        <v>6.67</v>
      </c>
      <c r="G364" s="112">
        <f ca="1">IFERROR(__xludf.DUMMYFUNCTION("""COMPUTED_VALUE"""),40756.7055555555)</f>
        <v>40756.705555555498</v>
      </c>
      <c r="H364" s="111">
        <f ca="1">IFERROR(__xludf.DUMMYFUNCTION("""COMPUTED_VALUE"""),23.5)</f>
        <v>23.5</v>
      </c>
      <c r="K364" s="112">
        <f ca="1">IFERROR(__xludf.DUMMYFUNCTION("""COMPUTED_VALUE"""),41246.7055555555)</f>
        <v>41246.705555555498</v>
      </c>
      <c r="L364" s="111">
        <f ca="1">IFERROR(__xludf.DUMMYFUNCTION("""COMPUTED_VALUE"""),0.36)</f>
        <v>0.36</v>
      </c>
      <c r="M364" s="112">
        <f ca="1">IFERROR(__xludf.DUMMYFUNCTION("""COMPUTED_VALUE"""),40711.7055555555)</f>
        <v>40711.705555555498</v>
      </c>
      <c r="N364" s="111">
        <f ca="1">IFERROR(__xludf.DUMMYFUNCTION("""COMPUTED_VALUE"""),11.88)</f>
        <v>11.88</v>
      </c>
      <c r="O364" s="112">
        <f ca="1">IFERROR(__xludf.DUMMYFUNCTION("""COMPUTED_VALUE"""),40752.7055555555)</f>
        <v>40752.705555555498</v>
      </c>
      <c r="P364" s="111">
        <f ca="1">IFERROR(__xludf.DUMMYFUNCTION("""COMPUTED_VALUE"""),51.15)</f>
        <v>51.15</v>
      </c>
      <c r="Q364" s="112">
        <f ca="1">IFERROR(__xludf.DUMMYFUNCTION("""COMPUTED_VALUE"""),40752.7055555555)</f>
        <v>40752.705555555498</v>
      </c>
      <c r="R364" s="111">
        <f ca="1">IFERROR(__xludf.DUMMYFUNCTION("""COMPUTED_VALUE"""),25.75)</f>
        <v>25.75</v>
      </c>
      <c r="S364" s="112">
        <f ca="1">IFERROR(__xludf.DUMMYFUNCTION("""COMPUTED_VALUE"""),40756.7055555555)</f>
        <v>40756.705555555498</v>
      </c>
      <c r="T364" s="111">
        <f ca="1">IFERROR(__xludf.DUMMYFUNCTION("""COMPUTED_VALUE"""),8.31)</f>
        <v>8.31</v>
      </c>
    </row>
    <row r="365" spans="1:20" x14ac:dyDescent="0.3">
      <c r="A365" s="112">
        <f ca="1">IFERROR(__xludf.DUMMYFUNCTION("""COMPUTED_VALUE"""),40756.7055555555)</f>
        <v>40756.705555555498</v>
      </c>
      <c r="B365" s="111">
        <f ca="1">IFERROR(__xludf.DUMMYFUNCTION("""COMPUTED_VALUE"""),18.1)</f>
        <v>18.100000000000001</v>
      </c>
      <c r="C365" s="112">
        <f ca="1">IFERROR(__xludf.DUMMYFUNCTION("""COMPUTED_VALUE"""),40757.7055555555)</f>
        <v>40757.705555555498</v>
      </c>
      <c r="D365" s="111">
        <f ca="1">IFERROR(__xludf.DUMMYFUNCTION("""COMPUTED_VALUE"""),14.82)</f>
        <v>14.82</v>
      </c>
      <c r="E365" s="112">
        <f ca="1">IFERROR(__xludf.DUMMYFUNCTION("""COMPUTED_VALUE"""),40756.7055555555)</f>
        <v>40756.705555555498</v>
      </c>
      <c r="F365" s="111">
        <f ca="1">IFERROR(__xludf.DUMMYFUNCTION("""COMPUTED_VALUE"""),6.71)</f>
        <v>6.71</v>
      </c>
      <c r="G365" s="112">
        <f ca="1">IFERROR(__xludf.DUMMYFUNCTION("""COMPUTED_VALUE"""),40757.7055555555)</f>
        <v>40757.705555555498</v>
      </c>
      <c r="H365" s="111">
        <f ca="1">IFERROR(__xludf.DUMMYFUNCTION("""COMPUTED_VALUE"""),23.17)</f>
        <v>23.17</v>
      </c>
      <c r="K365" s="112">
        <f ca="1">IFERROR(__xludf.DUMMYFUNCTION("""COMPUTED_VALUE"""),41247.7055555555)</f>
        <v>41247.705555555498</v>
      </c>
      <c r="L365" s="111">
        <f ca="1">IFERROR(__xludf.DUMMYFUNCTION("""COMPUTED_VALUE"""),0.36)</f>
        <v>0.36</v>
      </c>
      <c r="M365" s="112">
        <f ca="1">IFERROR(__xludf.DUMMYFUNCTION("""COMPUTED_VALUE"""),40714.7055555555)</f>
        <v>40714.705555555498</v>
      </c>
      <c r="N365" s="111">
        <f ca="1">IFERROR(__xludf.DUMMYFUNCTION("""COMPUTED_VALUE"""),11.92)</f>
        <v>11.92</v>
      </c>
      <c r="O365" s="112">
        <f ca="1">IFERROR(__xludf.DUMMYFUNCTION("""COMPUTED_VALUE"""),40756.7055555555)</f>
        <v>40756.705555555498</v>
      </c>
      <c r="P365" s="111">
        <f ca="1">IFERROR(__xludf.DUMMYFUNCTION("""COMPUTED_VALUE"""),50.2)</f>
        <v>50.2</v>
      </c>
      <c r="Q365" s="112">
        <f ca="1">IFERROR(__xludf.DUMMYFUNCTION("""COMPUTED_VALUE"""),40756.7055555555)</f>
        <v>40756.705555555498</v>
      </c>
      <c r="R365" s="111">
        <f ca="1">IFERROR(__xludf.DUMMYFUNCTION("""COMPUTED_VALUE"""),26.42)</f>
        <v>26.42</v>
      </c>
      <c r="S365" s="112">
        <f ca="1">IFERROR(__xludf.DUMMYFUNCTION("""COMPUTED_VALUE"""),40757.7055555555)</f>
        <v>40757.705555555498</v>
      </c>
      <c r="T365" s="111">
        <f ca="1">IFERROR(__xludf.DUMMYFUNCTION("""COMPUTED_VALUE"""),8.04)</f>
        <v>8.0399999999999991</v>
      </c>
    </row>
    <row r="366" spans="1:20" x14ac:dyDescent="0.3">
      <c r="A366" s="112">
        <f ca="1">IFERROR(__xludf.DUMMYFUNCTION("""COMPUTED_VALUE"""),40757.7055555555)</f>
        <v>40757.705555555498</v>
      </c>
      <c r="B366" s="111">
        <f ca="1">IFERROR(__xludf.DUMMYFUNCTION("""COMPUTED_VALUE"""),18.15)</f>
        <v>18.149999999999999</v>
      </c>
      <c r="C366" s="112">
        <f ca="1">IFERROR(__xludf.DUMMYFUNCTION("""COMPUTED_VALUE"""),40758.7055555555)</f>
        <v>40758.705555555498</v>
      </c>
      <c r="D366" s="111">
        <f ca="1">IFERROR(__xludf.DUMMYFUNCTION("""COMPUTED_VALUE"""),14.5)</f>
        <v>14.5</v>
      </c>
      <c r="E366" s="112">
        <f ca="1">IFERROR(__xludf.DUMMYFUNCTION("""COMPUTED_VALUE"""),40757.7055555555)</f>
        <v>40757.705555555498</v>
      </c>
      <c r="F366" s="111">
        <f ca="1">IFERROR(__xludf.DUMMYFUNCTION("""COMPUTED_VALUE"""),6.36)</f>
        <v>6.36</v>
      </c>
      <c r="G366" s="112">
        <f ca="1">IFERROR(__xludf.DUMMYFUNCTION("""COMPUTED_VALUE"""),40758.7055555555)</f>
        <v>40758.705555555498</v>
      </c>
      <c r="H366" s="111">
        <f ca="1">IFERROR(__xludf.DUMMYFUNCTION("""COMPUTED_VALUE"""),22.29)</f>
        <v>22.29</v>
      </c>
      <c r="K366" s="112">
        <f ca="1">IFERROR(__xludf.DUMMYFUNCTION("""COMPUTED_VALUE"""),41248.7055555555)</f>
        <v>41248.705555555498</v>
      </c>
      <c r="L366" s="111">
        <f ca="1">IFERROR(__xludf.DUMMYFUNCTION("""COMPUTED_VALUE"""),0.34)</f>
        <v>0.34</v>
      </c>
      <c r="M366" s="112">
        <f ca="1">IFERROR(__xludf.DUMMYFUNCTION("""COMPUTED_VALUE"""),40715.7055555555)</f>
        <v>40715.705555555498</v>
      </c>
      <c r="N366" s="111">
        <f ca="1">IFERROR(__xludf.DUMMYFUNCTION("""COMPUTED_VALUE"""),11.93)</f>
        <v>11.93</v>
      </c>
      <c r="O366" s="112">
        <f ca="1">IFERROR(__xludf.DUMMYFUNCTION("""COMPUTED_VALUE"""),40757.7055555555)</f>
        <v>40757.705555555498</v>
      </c>
      <c r="P366" s="111">
        <f ca="1">IFERROR(__xludf.DUMMYFUNCTION("""COMPUTED_VALUE"""),49.15)</f>
        <v>49.15</v>
      </c>
      <c r="Q366" s="112">
        <f ca="1">IFERROR(__xludf.DUMMYFUNCTION("""COMPUTED_VALUE"""),40757.7055555555)</f>
        <v>40757.705555555498</v>
      </c>
      <c r="R366" s="111">
        <f ca="1">IFERROR(__xludf.DUMMYFUNCTION("""COMPUTED_VALUE"""),25.55)</f>
        <v>25.55</v>
      </c>
      <c r="S366" s="112">
        <f ca="1">IFERROR(__xludf.DUMMYFUNCTION("""COMPUTED_VALUE"""),40758.7055555555)</f>
        <v>40758.705555555498</v>
      </c>
      <c r="T366" s="111">
        <f ca="1">IFERROR(__xludf.DUMMYFUNCTION("""COMPUTED_VALUE"""),7.72)</f>
        <v>7.72</v>
      </c>
    </row>
    <row r="367" spans="1:20" x14ac:dyDescent="0.3">
      <c r="A367" s="112">
        <f ca="1">IFERROR(__xludf.DUMMYFUNCTION("""COMPUTED_VALUE"""),40758.7055555555)</f>
        <v>40758.705555555498</v>
      </c>
      <c r="B367" s="111">
        <f ca="1">IFERROR(__xludf.DUMMYFUNCTION("""COMPUTED_VALUE"""),17.72)</f>
        <v>17.72</v>
      </c>
      <c r="C367" s="112">
        <f ca="1">IFERROR(__xludf.DUMMYFUNCTION("""COMPUTED_VALUE"""),40759.7055555555)</f>
        <v>40759.705555555498</v>
      </c>
      <c r="D367" s="111">
        <f ca="1">IFERROR(__xludf.DUMMYFUNCTION("""COMPUTED_VALUE"""),14.05)</f>
        <v>14.05</v>
      </c>
      <c r="E367" s="112">
        <f ca="1">IFERROR(__xludf.DUMMYFUNCTION("""COMPUTED_VALUE"""),40758.7055555555)</f>
        <v>40758.705555555498</v>
      </c>
      <c r="F367" s="111">
        <f ca="1">IFERROR(__xludf.DUMMYFUNCTION("""COMPUTED_VALUE"""),6.26)</f>
        <v>6.26</v>
      </c>
      <c r="G367" s="112">
        <f ca="1">IFERROR(__xludf.DUMMYFUNCTION("""COMPUTED_VALUE"""),40759.7055555555)</f>
        <v>40759.705555555498</v>
      </c>
      <c r="H367" s="111">
        <f ca="1">IFERROR(__xludf.DUMMYFUNCTION("""COMPUTED_VALUE"""),20.65)</f>
        <v>20.65</v>
      </c>
      <c r="K367" s="112">
        <f ca="1">IFERROR(__xludf.DUMMYFUNCTION("""COMPUTED_VALUE"""),41249.7055555555)</f>
        <v>41249.705555555498</v>
      </c>
      <c r="L367" s="111">
        <f ca="1">IFERROR(__xludf.DUMMYFUNCTION("""COMPUTED_VALUE"""),0.35)</f>
        <v>0.35</v>
      </c>
      <c r="M367" s="112">
        <f ca="1">IFERROR(__xludf.DUMMYFUNCTION("""COMPUTED_VALUE"""),40716.7055555555)</f>
        <v>40716.705555555498</v>
      </c>
      <c r="N367" s="111">
        <f ca="1">IFERROR(__xludf.DUMMYFUNCTION("""COMPUTED_VALUE"""),12.02)</f>
        <v>12.02</v>
      </c>
      <c r="O367" s="112">
        <f ca="1">IFERROR(__xludf.DUMMYFUNCTION("""COMPUTED_VALUE"""),40758.7055555555)</f>
        <v>40758.705555555498</v>
      </c>
      <c r="P367" s="111">
        <f ca="1">IFERROR(__xludf.DUMMYFUNCTION("""COMPUTED_VALUE"""),47.86)</f>
        <v>47.86</v>
      </c>
      <c r="Q367" s="112">
        <f ca="1">IFERROR(__xludf.DUMMYFUNCTION("""COMPUTED_VALUE"""),40758.7055555555)</f>
        <v>40758.705555555498</v>
      </c>
      <c r="R367" s="111">
        <f ca="1">IFERROR(__xludf.DUMMYFUNCTION("""COMPUTED_VALUE"""),25.25)</f>
        <v>25.25</v>
      </c>
      <c r="S367" s="112">
        <f ca="1">IFERROR(__xludf.DUMMYFUNCTION("""COMPUTED_VALUE"""),40759.7055555555)</f>
        <v>40759.705555555498</v>
      </c>
      <c r="T367" s="111">
        <f ca="1">IFERROR(__xludf.DUMMYFUNCTION("""COMPUTED_VALUE"""),7.21)</f>
        <v>7.21</v>
      </c>
    </row>
    <row r="368" spans="1:20" x14ac:dyDescent="0.3">
      <c r="A368" s="112">
        <f ca="1">IFERROR(__xludf.DUMMYFUNCTION("""COMPUTED_VALUE"""),40759.7055555555)</f>
        <v>40759.705555555498</v>
      </c>
      <c r="B368" s="111">
        <f ca="1">IFERROR(__xludf.DUMMYFUNCTION("""COMPUTED_VALUE"""),16.92)</f>
        <v>16.920000000000002</v>
      </c>
      <c r="C368" s="112">
        <f ca="1">IFERROR(__xludf.DUMMYFUNCTION("""COMPUTED_VALUE"""),40760.7055555555)</f>
        <v>40760.705555555498</v>
      </c>
      <c r="D368" s="111">
        <f ca="1">IFERROR(__xludf.DUMMYFUNCTION("""COMPUTED_VALUE"""),14.17)</f>
        <v>14.17</v>
      </c>
      <c r="E368" s="112">
        <f ca="1">IFERROR(__xludf.DUMMYFUNCTION("""COMPUTED_VALUE"""),40759.7055555555)</f>
        <v>40759.705555555498</v>
      </c>
      <c r="F368" s="111">
        <f ca="1">IFERROR(__xludf.DUMMYFUNCTION("""COMPUTED_VALUE"""),6.03)</f>
        <v>6.03</v>
      </c>
      <c r="G368" s="112">
        <f ca="1">IFERROR(__xludf.DUMMYFUNCTION("""COMPUTED_VALUE"""),40760.7055555555)</f>
        <v>40760.705555555498</v>
      </c>
      <c r="H368" s="111">
        <f ca="1">IFERROR(__xludf.DUMMYFUNCTION("""COMPUTED_VALUE"""),20.18)</f>
        <v>20.18</v>
      </c>
      <c r="K368" s="112">
        <f ca="1">IFERROR(__xludf.DUMMYFUNCTION("""COMPUTED_VALUE"""),41250.7055555555)</f>
        <v>41250.705555555498</v>
      </c>
      <c r="L368" s="111">
        <f ca="1">IFERROR(__xludf.DUMMYFUNCTION("""COMPUTED_VALUE"""),0.36)</f>
        <v>0.36</v>
      </c>
      <c r="M368" s="112">
        <f ca="1">IFERROR(__xludf.DUMMYFUNCTION("""COMPUTED_VALUE"""),40718.7055555555)</f>
        <v>40718.705555555498</v>
      </c>
      <c r="N368" s="111">
        <f ca="1">IFERROR(__xludf.DUMMYFUNCTION("""COMPUTED_VALUE"""),11.93)</f>
        <v>11.93</v>
      </c>
      <c r="O368" s="112">
        <f ca="1">IFERROR(__xludf.DUMMYFUNCTION("""COMPUTED_VALUE"""),40759.7055555555)</f>
        <v>40759.705555555498</v>
      </c>
      <c r="P368" s="111">
        <f ca="1">IFERROR(__xludf.DUMMYFUNCTION("""COMPUTED_VALUE"""),45.1)</f>
        <v>45.1</v>
      </c>
      <c r="Q368" s="112">
        <f ca="1">IFERROR(__xludf.DUMMYFUNCTION("""COMPUTED_VALUE"""),40759.7055555555)</f>
        <v>40759.705555555498</v>
      </c>
      <c r="R368" s="111">
        <f ca="1">IFERROR(__xludf.DUMMYFUNCTION("""COMPUTED_VALUE"""),24)</f>
        <v>24</v>
      </c>
      <c r="S368" s="112">
        <f ca="1">IFERROR(__xludf.DUMMYFUNCTION("""COMPUTED_VALUE"""),40760.7055555555)</f>
        <v>40760.705555555498</v>
      </c>
      <c r="T368" s="111">
        <f ca="1">IFERROR(__xludf.DUMMYFUNCTION("""COMPUTED_VALUE"""),7.24)</f>
        <v>7.24</v>
      </c>
    </row>
    <row r="369" spans="1:20" x14ac:dyDescent="0.3">
      <c r="A369" s="112">
        <f ca="1">IFERROR(__xludf.DUMMYFUNCTION("""COMPUTED_VALUE"""),40760.7055555555)</f>
        <v>40760.705555555498</v>
      </c>
      <c r="B369" s="111">
        <f ca="1">IFERROR(__xludf.DUMMYFUNCTION("""COMPUTED_VALUE"""),16.85)</f>
        <v>16.850000000000001</v>
      </c>
      <c r="C369" s="112">
        <f ca="1">IFERROR(__xludf.DUMMYFUNCTION("""COMPUTED_VALUE"""),40763.7055555555)</f>
        <v>40763.705555555498</v>
      </c>
      <c r="D369" s="111">
        <f ca="1">IFERROR(__xludf.DUMMYFUNCTION("""COMPUTED_VALUE"""),12.8)</f>
        <v>12.8</v>
      </c>
      <c r="E369" s="112">
        <f ca="1">IFERROR(__xludf.DUMMYFUNCTION("""COMPUTED_VALUE"""),40760.7055555555)</f>
        <v>40760.705555555498</v>
      </c>
      <c r="F369" s="111">
        <f ca="1">IFERROR(__xludf.DUMMYFUNCTION("""COMPUTED_VALUE"""),6.06)</f>
        <v>6.06</v>
      </c>
      <c r="G369" s="112">
        <f ca="1">IFERROR(__xludf.DUMMYFUNCTION("""COMPUTED_VALUE"""),40763.7055555555)</f>
        <v>40763.705555555498</v>
      </c>
      <c r="H369" s="111">
        <f ca="1">IFERROR(__xludf.DUMMYFUNCTION("""COMPUTED_VALUE"""),18.65)</f>
        <v>18.649999999999999</v>
      </c>
      <c r="K369" s="112">
        <f ca="1">IFERROR(__xludf.DUMMYFUNCTION("""COMPUTED_VALUE"""),41253.7055555555)</f>
        <v>41253.705555555498</v>
      </c>
      <c r="L369" s="111">
        <f ca="1">IFERROR(__xludf.DUMMYFUNCTION("""COMPUTED_VALUE"""),0.36)</f>
        <v>0.36</v>
      </c>
      <c r="M369" s="112">
        <f ca="1">IFERROR(__xludf.DUMMYFUNCTION("""COMPUTED_VALUE"""),40721.7055555555)</f>
        <v>40721.705555555498</v>
      </c>
      <c r="N369" s="111">
        <f ca="1">IFERROR(__xludf.DUMMYFUNCTION("""COMPUTED_VALUE"""),11.99)</f>
        <v>11.99</v>
      </c>
      <c r="O369" s="112">
        <f ca="1">IFERROR(__xludf.DUMMYFUNCTION("""COMPUTED_VALUE"""),40760.7055555555)</f>
        <v>40760.705555555498</v>
      </c>
      <c r="P369" s="111">
        <f ca="1">IFERROR(__xludf.DUMMYFUNCTION("""COMPUTED_VALUE"""),44)</f>
        <v>44</v>
      </c>
      <c r="Q369" s="112">
        <f ca="1">IFERROR(__xludf.DUMMYFUNCTION("""COMPUTED_VALUE"""),40760.7055555555)</f>
        <v>40760.705555555498</v>
      </c>
      <c r="R369" s="111">
        <f ca="1">IFERROR(__xludf.DUMMYFUNCTION("""COMPUTED_VALUE"""),23.99)</f>
        <v>23.99</v>
      </c>
      <c r="S369" s="112">
        <f ca="1">IFERROR(__xludf.DUMMYFUNCTION("""COMPUTED_VALUE"""),40763.7055555555)</f>
        <v>40763.705555555498</v>
      </c>
      <c r="T369" s="111">
        <f ca="1">IFERROR(__xludf.DUMMYFUNCTION("""COMPUTED_VALUE"""),6.76)</f>
        <v>6.76</v>
      </c>
    </row>
    <row r="370" spans="1:20" x14ac:dyDescent="0.3">
      <c r="A370" s="112">
        <f ca="1">IFERROR(__xludf.DUMMYFUNCTION("""COMPUTED_VALUE"""),40763.7055555555)</f>
        <v>40763.705555555498</v>
      </c>
      <c r="B370" s="111">
        <f ca="1">IFERROR(__xludf.DUMMYFUNCTION("""COMPUTED_VALUE"""),15.58)</f>
        <v>15.58</v>
      </c>
      <c r="C370" s="112">
        <f ca="1">IFERROR(__xludf.DUMMYFUNCTION("""COMPUTED_VALUE"""),40764.7055555555)</f>
        <v>40764.705555555498</v>
      </c>
      <c r="D370" s="111">
        <f ca="1">IFERROR(__xludf.DUMMYFUNCTION("""COMPUTED_VALUE"""),13.67)</f>
        <v>13.67</v>
      </c>
      <c r="E370" s="112">
        <f ca="1">IFERROR(__xludf.DUMMYFUNCTION("""COMPUTED_VALUE"""),40763.7055555555)</f>
        <v>40763.705555555498</v>
      </c>
      <c r="F370" s="111">
        <f ca="1">IFERROR(__xludf.DUMMYFUNCTION("""COMPUTED_VALUE"""),5.4)</f>
        <v>5.4</v>
      </c>
      <c r="G370" s="112">
        <f ca="1">IFERROR(__xludf.DUMMYFUNCTION("""COMPUTED_VALUE"""),40764.7055555555)</f>
        <v>40764.705555555498</v>
      </c>
      <c r="H370" s="111">
        <f ca="1">IFERROR(__xludf.DUMMYFUNCTION("""COMPUTED_VALUE"""),19.15)</f>
        <v>19.149999999999999</v>
      </c>
      <c r="K370" s="112">
        <f ca="1">IFERROR(__xludf.DUMMYFUNCTION("""COMPUTED_VALUE"""),41254.7055555555)</f>
        <v>41254.705555555498</v>
      </c>
      <c r="L370" s="111">
        <f ca="1">IFERROR(__xludf.DUMMYFUNCTION("""COMPUTED_VALUE"""),0.35)</f>
        <v>0.35</v>
      </c>
      <c r="M370" s="112">
        <f ca="1">IFERROR(__xludf.DUMMYFUNCTION("""COMPUTED_VALUE"""),40722.7055555555)</f>
        <v>40722.705555555498</v>
      </c>
      <c r="N370" s="111">
        <f ca="1">IFERROR(__xludf.DUMMYFUNCTION("""COMPUTED_VALUE"""),12.27)</f>
        <v>12.27</v>
      </c>
      <c r="O370" s="112">
        <f ca="1">IFERROR(__xludf.DUMMYFUNCTION("""COMPUTED_VALUE"""),40763.7055555555)</f>
        <v>40763.705555555498</v>
      </c>
      <c r="P370" s="111">
        <f ca="1">IFERROR(__xludf.DUMMYFUNCTION("""COMPUTED_VALUE"""),39.81)</f>
        <v>39.81</v>
      </c>
      <c r="Q370" s="112">
        <f ca="1">IFERROR(__xludf.DUMMYFUNCTION("""COMPUTED_VALUE"""),40763.7055555555)</f>
        <v>40763.705555555498</v>
      </c>
      <c r="R370" s="111">
        <f ca="1">IFERROR(__xludf.DUMMYFUNCTION("""COMPUTED_VALUE"""),22.63)</f>
        <v>22.63</v>
      </c>
      <c r="S370" s="112">
        <f ca="1">IFERROR(__xludf.DUMMYFUNCTION("""COMPUTED_VALUE"""),40764.7055555555)</f>
        <v>40764.705555555498</v>
      </c>
      <c r="T370" s="111">
        <f ca="1">IFERROR(__xludf.DUMMYFUNCTION("""COMPUTED_VALUE"""),7.52)</f>
        <v>7.52</v>
      </c>
    </row>
    <row r="371" spans="1:20" x14ac:dyDescent="0.3">
      <c r="A371" s="112">
        <f ca="1">IFERROR(__xludf.DUMMYFUNCTION("""COMPUTED_VALUE"""),40764.7055555555)</f>
        <v>40764.705555555498</v>
      </c>
      <c r="B371" s="111">
        <f ca="1">IFERROR(__xludf.DUMMYFUNCTION("""COMPUTED_VALUE"""),15.78)</f>
        <v>15.78</v>
      </c>
      <c r="C371" s="112">
        <f ca="1">IFERROR(__xludf.DUMMYFUNCTION("""COMPUTED_VALUE"""),40765.7055555555)</f>
        <v>40765.705555555498</v>
      </c>
      <c r="D371" s="111">
        <f ca="1">IFERROR(__xludf.DUMMYFUNCTION("""COMPUTED_VALUE"""),13.22)</f>
        <v>13.22</v>
      </c>
      <c r="E371" s="112">
        <f ca="1">IFERROR(__xludf.DUMMYFUNCTION("""COMPUTED_VALUE"""),40764.7055555555)</f>
        <v>40764.705555555498</v>
      </c>
      <c r="F371" s="111">
        <f ca="1">IFERROR(__xludf.DUMMYFUNCTION("""COMPUTED_VALUE"""),5.76)</f>
        <v>5.76</v>
      </c>
      <c r="G371" s="112">
        <f ca="1">IFERROR(__xludf.DUMMYFUNCTION("""COMPUTED_VALUE"""),40765.7055555555)</f>
        <v>40765.705555555498</v>
      </c>
      <c r="H371" s="111">
        <f ca="1">IFERROR(__xludf.DUMMYFUNCTION("""COMPUTED_VALUE"""),19.73)</f>
        <v>19.73</v>
      </c>
      <c r="K371" s="112">
        <f ca="1">IFERROR(__xludf.DUMMYFUNCTION("""COMPUTED_VALUE"""),41255.7055555555)</f>
        <v>41255.705555555498</v>
      </c>
      <c r="L371" s="111">
        <f ca="1">IFERROR(__xludf.DUMMYFUNCTION("""COMPUTED_VALUE"""),0.35)</f>
        <v>0.35</v>
      </c>
      <c r="M371" s="112">
        <f ca="1">IFERROR(__xludf.DUMMYFUNCTION("""COMPUTED_VALUE"""),40723.7055555555)</f>
        <v>40723.705555555498</v>
      </c>
      <c r="N371" s="111">
        <f ca="1">IFERROR(__xludf.DUMMYFUNCTION("""COMPUTED_VALUE"""),12.36)</f>
        <v>12.36</v>
      </c>
      <c r="O371" s="112">
        <f ca="1">IFERROR(__xludf.DUMMYFUNCTION("""COMPUTED_VALUE"""),40764.7055555555)</f>
        <v>40764.705555555498</v>
      </c>
      <c r="P371" s="111">
        <f ca="1">IFERROR(__xludf.DUMMYFUNCTION("""COMPUTED_VALUE"""),41.85)</f>
        <v>41.85</v>
      </c>
      <c r="Q371" s="112">
        <f ca="1">IFERROR(__xludf.DUMMYFUNCTION("""COMPUTED_VALUE"""),40764.7055555555)</f>
        <v>40764.705555555498</v>
      </c>
      <c r="R371" s="111">
        <f ca="1">IFERROR(__xludf.DUMMYFUNCTION("""COMPUTED_VALUE"""),24.24)</f>
        <v>24.24</v>
      </c>
      <c r="S371" s="112">
        <f ca="1">IFERROR(__xludf.DUMMYFUNCTION("""COMPUTED_VALUE"""),40765.7055555555)</f>
        <v>40765.705555555498</v>
      </c>
      <c r="T371" s="111">
        <f ca="1">IFERROR(__xludf.DUMMYFUNCTION("""COMPUTED_VALUE"""),7.86)</f>
        <v>7.86</v>
      </c>
    </row>
    <row r="372" spans="1:20" x14ac:dyDescent="0.3">
      <c r="A372" s="112">
        <f ca="1">IFERROR(__xludf.DUMMYFUNCTION("""COMPUTED_VALUE"""),40765.7055555555)</f>
        <v>40765.705555555498</v>
      </c>
      <c r="B372" s="111">
        <f ca="1">IFERROR(__xludf.DUMMYFUNCTION("""COMPUTED_VALUE"""),15.58)</f>
        <v>15.58</v>
      </c>
      <c r="C372" s="112">
        <f ca="1">IFERROR(__xludf.DUMMYFUNCTION("""COMPUTED_VALUE"""),40766.7055555555)</f>
        <v>40766.705555555498</v>
      </c>
      <c r="D372" s="111">
        <f ca="1">IFERROR(__xludf.DUMMYFUNCTION("""COMPUTED_VALUE"""),13.66)</f>
        <v>13.66</v>
      </c>
      <c r="E372" s="112">
        <f ca="1">IFERROR(__xludf.DUMMYFUNCTION("""COMPUTED_VALUE"""),40765.7055555555)</f>
        <v>40765.705555555498</v>
      </c>
      <c r="F372" s="111">
        <f ca="1">IFERROR(__xludf.DUMMYFUNCTION("""COMPUTED_VALUE"""),5.65)</f>
        <v>5.65</v>
      </c>
      <c r="G372" s="112">
        <f ca="1">IFERROR(__xludf.DUMMYFUNCTION("""COMPUTED_VALUE"""),40766.7055555555)</f>
        <v>40766.705555555498</v>
      </c>
      <c r="H372" s="111">
        <f ca="1">IFERROR(__xludf.DUMMYFUNCTION("""COMPUTED_VALUE"""),20.21)</f>
        <v>20.21</v>
      </c>
      <c r="K372" s="112">
        <f ca="1">IFERROR(__xludf.DUMMYFUNCTION("""COMPUTED_VALUE"""),41256.7055555555)</f>
        <v>41256.705555555498</v>
      </c>
      <c r="L372" s="111">
        <f ca="1">IFERROR(__xludf.DUMMYFUNCTION("""COMPUTED_VALUE"""),0.35)</f>
        <v>0.35</v>
      </c>
      <c r="M372" s="112">
        <f ca="1">IFERROR(__xludf.DUMMYFUNCTION("""COMPUTED_VALUE"""),40724.7055555555)</f>
        <v>40724.705555555498</v>
      </c>
      <c r="N372" s="111">
        <f ca="1">IFERROR(__xludf.DUMMYFUNCTION("""COMPUTED_VALUE"""),12.43)</f>
        <v>12.43</v>
      </c>
      <c r="O372" s="112">
        <f ca="1">IFERROR(__xludf.DUMMYFUNCTION("""COMPUTED_VALUE"""),40765.7055555555)</f>
        <v>40765.705555555498</v>
      </c>
      <c r="P372" s="111">
        <f ca="1">IFERROR(__xludf.DUMMYFUNCTION("""COMPUTED_VALUE"""),41.89)</f>
        <v>41.89</v>
      </c>
      <c r="Q372" s="112">
        <f ca="1">IFERROR(__xludf.DUMMYFUNCTION("""COMPUTED_VALUE"""),40765.7055555555)</f>
        <v>40765.705555555498</v>
      </c>
      <c r="R372" s="111">
        <f ca="1">IFERROR(__xludf.DUMMYFUNCTION("""COMPUTED_VALUE"""),23.8)</f>
        <v>23.8</v>
      </c>
      <c r="S372" s="112">
        <f ca="1">IFERROR(__xludf.DUMMYFUNCTION("""COMPUTED_VALUE"""),40766.7055555555)</f>
        <v>40766.705555555498</v>
      </c>
      <c r="T372" s="111">
        <f ca="1">IFERROR(__xludf.DUMMYFUNCTION("""COMPUTED_VALUE"""),8.08)</f>
        <v>8.08</v>
      </c>
    </row>
    <row r="373" spans="1:20" x14ac:dyDescent="0.3">
      <c r="A373" s="112">
        <f ca="1">IFERROR(__xludf.DUMMYFUNCTION("""COMPUTED_VALUE"""),40766.7055555555)</f>
        <v>40766.705555555498</v>
      </c>
      <c r="B373" s="111">
        <f ca="1">IFERROR(__xludf.DUMMYFUNCTION("""COMPUTED_VALUE"""),16.07)</f>
        <v>16.07</v>
      </c>
      <c r="C373" s="112">
        <f ca="1">IFERROR(__xludf.DUMMYFUNCTION("""COMPUTED_VALUE"""),40770.7055555555)</f>
        <v>40770.705555555498</v>
      </c>
      <c r="D373" s="111">
        <f ca="1">IFERROR(__xludf.DUMMYFUNCTION("""COMPUTED_VALUE"""),14.22)</f>
        <v>14.22</v>
      </c>
      <c r="E373" s="112">
        <f ca="1">IFERROR(__xludf.DUMMYFUNCTION("""COMPUTED_VALUE"""),40766.7055555555)</f>
        <v>40766.705555555498</v>
      </c>
      <c r="F373" s="111">
        <f ca="1">IFERROR(__xludf.DUMMYFUNCTION("""COMPUTED_VALUE"""),5.85)</f>
        <v>5.85</v>
      </c>
      <c r="G373" s="112">
        <f ca="1">IFERROR(__xludf.DUMMYFUNCTION("""COMPUTED_VALUE"""),40770.7055555555)</f>
        <v>40770.705555555498</v>
      </c>
      <c r="H373" s="111">
        <f ca="1">IFERROR(__xludf.DUMMYFUNCTION("""COMPUTED_VALUE"""),20.99)</f>
        <v>20.99</v>
      </c>
      <c r="K373" s="112">
        <f ca="1">IFERROR(__xludf.DUMMYFUNCTION("""COMPUTED_VALUE"""),41257.7055555555)</f>
        <v>41257.705555555498</v>
      </c>
      <c r="L373" s="111">
        <f ca="1">IFERROR(__xludf.DUMMYFUNCTION("""COMPUTED_VALUE"""),0.37)</f>
        <v>0.37</v>
      </c>
      <c r="M373" s="112">
        <f ca="1">IFERROR(__xludf.DUMMYFUNCTION("""COMPUTED_VALUE"""),40725.7055555555)</f>
        <v>40725.705555555498</v>
      </c>
      <c r="N373" s="111">
        <f ca="1">IFERROR(__xludf.DUMMYFUNCTION("""COMPUTED_VALUE"""),12.46)</f>
        <v>12.46</v>
      </c>
      <c r="O373" s="112">
        <f ca="1">IFERROR(__xludf.DUMMYFUNCTION("""COMPUTED_VALUE"""),40766.7055555555)</f>
        <v>40766.705555555498</v>
      </c>
      <c r="P373" s="111">
        <f ca="1">IFERROR(__xludf.DUMMYFUNCTION("""COMPUTED_VALUE"""),43.7)</f>
        <v>43.7</v>
      </c>
      <c r="Q373" s="112">
        <f ca="1">IFERROR(__xludf.DUMMYFUNCTION("""COMPUTED_VALUE"""),40766.7055555555)</f>
        <v>40766.705555555498</v>
      </c>
      <c r="R373" s="111">
        <f ca="1">IFERROR(__xludf.DUMMYFUNCTION("""COMPUTED_VALUE"""),24.27)</f>
        <v>24.27</v>
      </c>
      <c r="S373" s="112">
        <f ca="1">IFERROR(__xludf.DUMMYFUNCTION("""COMPUTED_VALUE"""),40770.7055555555)</f>
        <v>40770.705555555498</v>
      </c>
      <c r="T373" s="111">
        <f ca="1">IFERROR(__xludf.DUMMYFUNCTION("""COMPUTED_VALUE"""),8.3)</f>
        <v>8.3000000000000007</v>
      </c>
    </row>
    <row r="374" spans="1:20" x14ac:dyDescent="0.3">
      <c r="A374" s="112">
        <f ca="1">IFERROR(__xludf.DUMMYFUNCTION("""COMPUTED_VALUE"""),40770.7055555555)</f>
        <v>40770.705555555498</v>
      </c>
      <c r="B374" s="111">
        <f ca="1">IFERROR(__xludf.DUMMYFUNCTION("""COMPUTED_VALUE"""),16.4)</f>
        <v>16.399999999999999</v>
      </c>
      <c r="C374" s="112">
        <f ca="1">IFERROR(__xludf.DUMMYFUNCTION("""COMPUTED_VALUE"""),40771.7055555555)</f>
        <v>40771.705555555498</v>
      </c>
      <c r="D374" s="111">
        <f ca="1">IFERROR(__xludf.DUMMYFUNCTION("""COMPUTED_VALUE"""),14.03)</f>
        <v>14.03</v>
      </c>
      <c r="E374" s="112">
        <f ca="1">IFERROR(__xludf.DUMMYFUNCTION("""COMPUTED_VALUE"""),40770.7055555555)</f>
        <v>40770.705555555498</v>
      </c>
      <c r="F374" s="111">
        <f ca="1">IFERROR(__xludf.DUMMYFUNCTION("""COMPUTED_VALUE"""),6.11)</f>
        <v>6.11</v>
      </c>
      <c r="G374" s="112">
        <f ca="1">IFERROR(__xludf.DUMMYFUNCTION("""COMPUTED_VALUE"""),40771.7055555555)</f>
        <v>40771.705555555498</v>
      </c>
      <c r="H374" s="111">
        <f ca="1">IFERROR(__xludf.DUMMYFUNCTION("""COMPUTED_VALUE"""),20.76)</f>
        <v>20.76</v>
      </c>
      <c r="K374" s="112">
        <f ca="1">IFERROR(__xludf.DUMMYFUNCTION("""COMPUTED_VALUE"""),41260.7055555555)</f>
        <v>41260.705555555498</v>
      </c>
      <c r="L374" s="111">
        <f ca="1">IFERROR(__xludf.DUMMYFUNCTION("""COMPUTED_VALUE"""),0.38)</f>
        <v>0.38</v>
      </c>
      <c r="M374" s="112">
        <f ca="1">IFERROR(__xludf.DUMMYFUNCTION("""COMPUTED_VALUE"""),40728.7055555555)</f>
        <v>40728.705555555498</v>
      </c>
      <c r="N374" s="111">
        <f ca="1">IFERROR(__xludf.DUMMYFUNCTION("""COMPUTED_VALUE"""),12.65)</f>
        <v>12.65</v>
      </c>
      <c r="O374" s="112">
        <f ca="1">IFERROR(__xludf.DUMMYFUNCTION("""COMPUTED_VALUE"""),40770.7055555555)</f>
        <v>40770.705555555498</v>
      </c>
      <c r="P374" s="111">
        <f ca="1">IFERROR(__xludf.DUMMYFUNCTION("""COMPUTED_VALUE"""),43.37)</f>
        <v>43.37</v>
      </c>
      <c r="Q374" s="112">
        <f ca="1">IFERROR(__xludf.DUMMYFUNCTION("""COMPUTED_VALUE"""),40770.7055555555)</f>
        <v>40770.705555555498</v>
      </c>
      <c r="R374" s="111">
        <f ca="1">IFERROR(__xludf.DUMMYFUNCTION("""COMPUTED_VALUE"""),24.76)</f>
        <v>24.76</v>
      </c>
      <c r="S374" s="112">
        <f ca="1">IFERROR(__xludf.DUMMYFUNCTION("""COMPUTED_VALUE"""),40771.7055555555)</f>
        <v>40771.705555555498</v>
      </c>
      <c r="T374" s="111">
        <f ca="1">IFERROR(__xludf.DUMMYFUNCTION("""COMPUTED_VALUE"""),8.3)</f>
        <v>8.3000000000000007</v>
      </c>
    </row>
    <row r="375" spans="1:20" x14ac:dyDescent="0.3">
      <c r="A375" s="112">
        <f ca="1">IFERROR(__xludf.DUMMYFUNCTION("""COMPUTED_VALUE"""),40771.7055555555)</f>
        <v>40771.705555555498</v>
      </c>
      <c r="B375" s="111">
        <f ca="1">IFERROR(__xludf.DUMMYFUNCTION("""COMPUTED_VALUE"""),16.8)</f>
        <v>16.8</v>
      </c>
      <c r="C375" s="112">
        <f ca="1">IFERROR(__xludf.DUMMYFUNCTION("""COMPUTED_VALUE"""),40773.7055555555)</f>
        <v>40773.705555555498</v>
      </c>
      <c r="D375" s="111">
        <f ca="1">IFERROR(__xludf.DUMMYFUNCTION("""COMPUTED_VALUE"""),13.86)</f>
        <v>13.86</v>
      </c>
      <c r="E375" s="112">
        <f ca="1">IFERROR(__xludf.DUMMYFUNCTION("""COMPUTED_VALUE"""),40771.7055555555)</f>
        <v>40771.705555555498</v>
      </c>
      <c r="F375" s="111">
        <f ca="1">IFERROR(__xludf.DUMMYFUNCTION("""COMPUTED_VALUE"""),6.04)</f>
        <v>6.04</v>
      </c>
      <c r="G375" s="112">
        <f ca="1">IFERROR(__xludf.DUMMYFUNCTION("""COMPUTED_VALUE"""),40773.7055555555)</f>
        <v>40773.705555555498</v>
      </c>
      <c r="H375" s="111">
        <f ca="1">IFERROR(__xludf.DUMMYFUNCTION("""COMPUTED_VALUE"""),20.3)</f>
        <v>20.3</v>
      </c>
      <c r="K375" s="112">
        <f ca="1">IFERROR(__xludf.DUMMYFUNCTION("""COMPUTED_VALUE"""),41261.7055555555)</f>
        <v>41261.705555555498</v>
      </c>
      <c r="L375" s="111">
        <f ca="1">IFERROR(__xludf.DUMMYFUNCTION("""COMPUTED_VALUE"""),0.38)</f>
        <v>0.38</v>
      </c>
      <c r="M375" s="112">
        <f ca="1">IFERROR(__xludf.DUMMYFUNCTION("""COMPUTED_VALUE"""),40729.7055555555)</f>
        <v>40729.705555555498</v>
      </c>
      <c r="N375" s="111">
        <f ca="1">IFERROR(__xludf.DUMMYFUNCTION("""COMPUTED_VALUE"""),12.6)</f>
        <v>12.6</v>
      </c>
      <c r="O375" s="112">
        <f ca="1">IFERROR(__xludf.DUMMYFUNCTION("""COMPUTED_VALUE"""),40771.7055555555)</f>
        <v>40771.705555555498</v>
      </c>
      <c r="P375" s="111">
        <f ca="1">IFERROR(__xludf.DUMMYFUNCTION("""COMPUTED_VALUE"""),43.07)</f>
        <v>43.07</v>
      </c>
      <c r="Q375" s="112">
        <f ca="1">IFERROR(__xludf.DUMMYFUNCTION("""COMPUTED_VALUE"""),40771.7055555555)</f>
        <v>40771.705555555498</v>
      </c>
      <c r="R375" s="111">
        <f ca="1">IFERROR(__xludf.DUMMYFUNCTION("""COMPUTED_VALUE"""),24.99)</f>
        <v>24.99</v>
      </c>
      <c r="S375" s="112">
        <f ca="1">IFERROR(__xludf.DUMMYFUNCTION("""COMPUTED_VALUE"""),40773.7055555555)</f>
        <v>40773.705555555498</v>
      </c>
      <c r="T375" s="111">
        <f ca="1">IFERROR(__xludf.DUMMYFUNCTION("""COMPUTED_VALUE"""),8.21)</f>
        <v>8.2100000000000009</v>
      </c>
    </row>
    <row r="376" spans="1:20" x14ac:dyDescent="0.3">
      <c r="A376" s="112">
        <f ca="1">IFERROR(__xludf.DUMMYFUNCTION("""COMPUTED_VALUE"""),40773.7055555555)</f>
        <v>40773.705555555498</v>
      </c>
      <c r="B376" s="111">
        <f ca="1">IFERROR(__xludf.DUMMYFUNCTION("""COMPUTED_VALUE"""),16.47)</f>
        <v>16.47</v>
      </c>
      <c r="C376" s="112">
        <f ca="1">IFERROR(__xludf.DUMMYFUNCTION("""COMPUTED_VALUE"""),40774.7055555555)</f>
        <v>40774.705555555498</v>
      </c>
      <c r="D376" s="111">
        <f ca="1">IFERROR(__xludf.DUMMYFUNCTION("""COMPUTED_VALUE"""),13.35)</f>
        <v>13.35</v>
      </c>
      <c r="E376" s="112">
        <f ca="1">IFERROR(__xludf.DUMMYFUNCTION("""COMPUTED_VALUE"""),40773.7055555555)</f>
        <v>40773.705555555498</v>
      </c>
      <c r="F376" s="111">
        <f ca="1">IFERROR(__xludf.DUMMYFUNCTION("""COMPUTED_VALUE"""),5.93)</f>
        <v>5.93</v>
      </c>
      <c r="G376" s="112">
        <f ca="1">IFERROR(__xludf.DUMMYFUNCTION("""COMPUTED_VALUE"""),40774.7055555555)</f>
        <v>40774.705555555498</v>
      </c>
      <c r="H376" s="111">
        <f ca="1">IFERROR(__xludf.DUMMYFUNCTION("""COMPUTED_VALUE"""),19.7)</f>
        <v>19.7</v>
      </c>
      <c r="K376" s="112">
        <f ca="1">IFERROR(__xludf.DUMMYFUNCTION("""COMPUTED_VALUE"""),41262.7055555555)</f>
        <v>41262.705555555498</v>
      </c>
      <c r="L376" s="111">
        <f ca="1">IFERROR(__xludf.DUMMYFUNCTION("""COMPUTED_VALUE"""),0.38)</f>
        <v>0.38</v>
      </c>
      <c r="M376" s="112">
        <f ca="1">IFERROR(__xludf.DUMMYFUNCTION("""COMPUTED_VALUE"""),40730.7055555555)</f>
        <v>40730.705555555498</v>
      </c>
      <c r="N376" s="111">
        <f ca="1">IFERROR(__xludf.DUMMYFUNCTION("""COMPUTED_VALUE"""),12.45)</f>
        <v>12.45</v>
      </c>
      <c r="O376" s="112">
        <f ca="1">IFERROR(__xludf.DUMMYFUNCTION("""COMPUTED_VALUE"""),40773.7055555555)</f>
        <v>40773.705555555498</v>
      </c>
      <c r="P376" s="111">
        <f ca="1">IFERROR(__xludf.DUMMYFUNCTION("""COMPUTED_VALUE"""),41.6)</f>
        <v>41.6</v>
      </c>
      <c r="Q376" s="112">
        <f ca="1">IFERROR(__xludf.DUMMYFUNCTION("""COMPUTED_VALUE"""),40773.7055555555)</f>
        <v>40773.705555555498</v>
      </c>
      <c r="R376" s="111">
        <f ca="1">IFERROR(__xludf.DUMMYFUNCTION("""COMPUTED_VALUE"""),25.2)</f>
        <v>25.2</v>
      </c>
      <c r="S376" s="112">
        <f ca="1">IFERROR(__xludf.DUMMYFUNCTION("""COMPUTED_VALUE"""),40774.7055555555)</f>
        <v>40774.705555555498</v>
      </c>
      <c r="T376" s="111">
        <f ca="1">IFERROR(__xludf.DUMMYFUNCTION("""COMPUTED_VALUE"""),8.26)</f>
        <v>8.26</v>
      </c>
    </row>
    <row r="377" spans="1:20" x14ac:dyDescent="0.3">
      <c r="A377" s="112">
        <f ca="1">IFERROR(__xludf.DUMMYFUNCTION("""COMPUTED_VALUE"""),40774.7055555555)</f>
        <v>40774.705555555498</v>
      </c>
      <c r="B377" s="111">
        <f ca="1">IFERROR(__xludf.DUMMYFUNCTION("""COMPUTED_VALUE"""),16.12)</f>
        <v>16.12</v>
      </c>
      <c r="C377" s="112">
        <f ca="1">IFERROR(__xludf.DUMMYFUNCTION("""COMPUTED_VALUE"""),40777.7055555555)</f>
        <v>40777.705555555498</v>
      </c>
      <c r="D377" s="111">
        <f ca="1">IFERROR(__xludf.DUMMYFUNCTION("""COMPUTED_VALUE"""),13.17)</f>
        <v>13.17</v>
      </c>
      <c r="E377" s="112">
        <f ca="1">IFERROR(__xludf.DUMMYFUNCTION("""COMPUTED_VALUE"""),40774.7055555555)</f>
        <v>40774.705555555498</v>
      </c>
      <c r="F377" s="111">
        <f ca="1">IFERROR(__xludf.DUMMYFUNCTION("""COMPUTED_VALUE"""),5.79)</f>
        <v>5.79</v>
      </c>
      <c r="G377" s="112">
        <f ca="1">IFERROR(__xludf.DUMMYFUNCTION("""COMPUTED_VALUE"""),40777.7055555555)</f>
        <v>40777.705555555498</v>
      </c>
      <c r="H377" s="111">
        <f ca="1">IFERROR(__xludf.DUMMYFUNCTION("""COMPUTED_VALUE"""),19.65)</f>
        <v>19.649999999999999</v>
      </c>
      <c r="K377" s="112">
        <f ca="1">IFERROR(__xludf.DUMMYFUNCTION("""COMPUTED_VALUE"""),41263.7055555555)</f>
        <v>41263.705555555498</v>
      </c>
      <c r="L377" s="111">
        <f ca="1">IFERROR(__xludf.DUMMYFUNCTION("""COMPUTED_VALUE"""),0.39)</f>
        <v>0.39</v>
      </c>
      <c r="M377" s="112">
        <f ca="1">IFERROR(__xludf.DUMMYFUNCTION("""COMPUTED_VALUE"""),40731.7055555555)</f>
        <v>40731.705555555498</v>
      </c>
      <c r="N377" s="111">
        <f ca="1">IFERROR(__xludf.DUMMYFUNCTION("""COMPUTED_VALUE"""),12.27)</f>
        <v>12.27</v>
      </c>
      <c r="O377" s="112">
        <f ca="1">IFERROR(__xludf.DUMMYFUNCTION("""COMPUTED_VALUE"""),40774.7055555555)</f>
        <v>40774.705555555498</v>
      </c>
      <c r="P377" s="111">
        <f ca="1">IFERROR(__xludf.DUMMYFUNCTION("""COMPUTED_VALUE"""),41)</f>
        <v>41</v>
      </c>
      <c r="Q377" s="112">
        <f ca="1">IFERROR(__xludf.DUMMYFUNCTION("""COMPUTED_VALUE"""),40774.7055555555)</f>
        <v>40774.705555555498</v>
      </c>
      <c r="R377" s="111">
        <f ca="1">IFERROR(__xludf.DUMMYFUNCTION("""COMPUTED_VALUE"""),25.08)</f>
        <v>25.08</v>
      </c>
      <c r="S377" s="112">
        <f ca="1">IFERROR(__xludf.DUMMYFUNCTION("""COMPUTED_VALUE"""),40777.7055555555)</f>
        <v>40777.705555555498</v>
      </c>
      <c r="T377" s="111">
        <f ca="1">IFERROR(__xludf.DUMMYFUNCTION("""COMPUTED_VALUE"""),8.26)</f>
        <v>8.26</v>
      </c>
    </row>
    <row r="378" spans="1:20" x14ac:dyDescent="0.3">
      <c r="A378" s="112">
        <f ca="1">IFERROR(__xludf.DUMMYFUNCTION("""COMPUTED_VALUE"""),40777.7055555555)</f>
        <v>40777.705555555498</v>
      </c>
      <c r="B378" s="111">
        <f ca="1">IFERROR(__xludf.DUMMYFUNCTION("""COMPUTED_VALUE"""),16.43)</f>
        <v>16.43</v>
      </c>
      <c r="C378" s="112">
        <f ca="1">IFERROR(__xludf.DUMMYFUNCTION("""COMPUTED_VALUE"""),40778.7055555555)</f>
        <v>40778.705555555498</v>
      </c>
      <c r="D378" s="111">
        <f ca="1">IFERROR(__xludf.DUMMYFUNCTION("""COMPUTED_VALUE"""),13.27)</f>
        <v>13.27</v>
      </c>
      <c r="E378" s="112">
        <f ca="1">IFERROR(__xludf.DUMMYFUNCTION("""COMPUTED_VALUE"""),40777.7055555555)</f>
        <v>40777.705555555498</v>
      </c>
      <c r="F378" s="111">
        <f ca="1">IFERROR(__xludf.DUMMYFUNCTION("""COMPUTED_VALUE"""),5.65)</f>
        <v>5.65</v>
      </c>
      <c r="G378" s="112">
        <f ca="1">IFERROR(__xludf.DUMMYFUNCTION("""COMPUTED_VALUE"""),40778.7055555555)</f>
        <v>40778.705555555498</v>
      </c>
      <c r="H378" s="111">
        <f ca="1">IFERROR(__xludf.DUMMYFUNCTION("""COMPUTED_VALUE"""),20.16)</f>
        <v>20.16</v>
      </c>
      <c r="K378" s="112">
        <f ca="1">IFERROR(__xludf.DUMMYFUNCTION("""COMPUTED_VALUE"""),41264.7055555555)</f>
        <v>41264.705555555498</v>
      </c>
      <c r="L378" s="111">
        <f ca="1">IFERROR(__xludf.DUMMYFUNCTION("""COMPUTED_VALUE"""),0.38)</f>
        <v>0.38</v>
      </c>
      <c r="M378" s="112">
        <f ca="1">IFERROR(__xludf.DUMMYFUNCTION("""COMPUTED_VALUE"""),40732.7055555555)</f>
        <v>40732.705555555498</v>
      </c>
      <c r="N378" s="111">
        <f ca="1">IFERROR(__xludf.DUMMYFUNCTION("""COMPUTED_VALUE"""),12.06)</f>
        <v>12.06</v>
      </c>
      <c r="O378" s="112">
        <f ca="1">IFERROR(__xludf.DUMMYFUNCTION("""COMPUTED_VALUE"""),40777.7055555555)</f>
        <v>40777.705555555498</v>
      </c>
      <c r="P378" s="111">
        <f ca="1">IFERROR(__xludf.DUMMYFUNCTION("""COMPUTED_VALUE"""),40.94)</f>
        <v>40.94</v>
      </c>
      <c r="Q378" s="112">
        <f ca="1">IFERROR(__xludf.DUMMYFUNCTION("""COMPUTED_VALUE"""),40777.7055555555)</f>
        <v>40777.705555555498</v>
      </c>
      <c r="R378" s="111">
        <f ca="1">IFERROR(__xludf.DUMMYFUNCTION("""COMPUTED_VALUE"""),24.97)</f>
        <v>24.97</v>
      </c>
      <c r="S378" s="112">
        <f ca="1">IFERROR(__xludf.DUMMYFUNCTION("""COMPUTED_VALUE"""),40778.7055555555)</f>
        <v>40778.705555555498</v>
      </c>
      <c r="T378" s="111">
        <f ca="1">IFERROR(__xludf.DUMMYFUNCTION("""COMPUTED_VALUE"""),8.68)</f>
        <v>8.68</v>
      </c>
    </row>
    <row r="379" spans="1:20" x14ac:dyDescent="0.3">
      <c r="A379" s="112">
        <f ca="1">IFERROR(__xludf.DUMMYFUNCTION("""COMPUTED_VALUE"""),40778.7055555555)</f>
        <v>40778.705555555498</v>
      </c>
      <c r="B379" s="111">
        <f ca="1">IFERROR(__xludf.DUMMYFUNCTION("""COMPUTED_VALUE"""),15.82)</f>
        <v>15.82</v>
      </c>
      <c r="C379" s="112">
        <f ca="1">IFERROR(__xludf.DUMMYFUNCTION("""COMPUTED_VALUE"""),40779.7055555555)</f>
        <v>40779.705555555498</v>
      </c>
      <c r="D379" s="111">
        <f ca="1">IFERROR(__xludf.DUMMYFUNCTION("""COMPUTED_VALUE"""),13.2)</f>
        <v>13.2</v>
      </c>
      <c r="E379" s="112">
        <f ca="1">IFERROR(__xludf.DUMMYFUNCTION("""COMPUTED_VALUE"""),40778.7055555555)</f>
        <v>40778.705555555498</v>
      </c>
      <c r="F379" s="111">
        <f ca="1">IFERROR(__xludf.DUMMYFUNCTION("""COMPUTED_VALUE"""),5.7)</f>
        <v>5.7</v>
      </c>
      <c r="G379" s="112">
        <f ca="1">IFERROR(__xludf.DUMMYFUNCTION("""COMPUTED_VALUE"""),40779.7055555555)</f>
        <v>40779.705555555498</v>
      </c>
      <c r="H379" s="111">
        <f ca="1">IFERROR(__xludf.DUMMYFUNCTION("""COMPUTED_VALUE"""),20.23)</f>
        <v>20.23</v>
      </c>
      <c r="K379" s="112">
        <f ca="1">IFERROR(__xludf.DUMMYFUNCTION("""COMPUTED_VALUE"""),41269.7055555555)</f>
        <v>41269.705555555498</v>
      </c>
      <c r="L379" s="111">
        <f ca="1">IFERROR(__xludf.DUMMYFUNCTION("""COMPUTED_VALUE"""),0.39)</f>
        <v>0.39</v>
      </c>
      <c r="M379" s="112">
        <f ca="1">IFERROR(__xludf.DUMMYFUNCTION("""COMPUTED_VALUE"""),40735.7055555555)</f>
        <v>40735.705555555498</v>
      </c>
      <c r="N379" s="111">
        <f ca="1">IFERROR(__xludf.DUMMYFUNCTION("""COMPUTED_VALUE"""),11.7)</f>
        <v>11.7</v>
      </c>
      <c r="O379" s="112">
        <f ca="1">IFERROR(__xludf.DUMMYFUNCTION("""COMPUTED_VALUE"""),40778.7055555555)</f>
        <v>40778.705555555498</v>
      </c>
      <c r="P379" s="111">
        <f ca="1">IFERROR(__xludf.DUMMYFUNCTION("""COMPUTED_VALUE"""),42.3)</f>
        <v>42.3</v>
      </c>
      <c r="Q379" s="112">
        <f ca="1">IFERROR(__xludf.DUMMYFUNCTION("""COMPUTED_VALUE"""),40778.7055555555)</f>
        <v>40778.705555555498</v>
      </c>
      <c r="R379" s="111">
        <f ca="1">IFERROR(__xludf.DUMMYFUNCTION("""COMPUTED_VALUE"""),25.64)</f>
        <v>25.64</v>
      </c>
      <c r="S379" s="112">
        <f ca="1">IFERROR(__xludf.DUMMYFUNCTION("""COMPUTED_VALUE"""),40779.7055555555)</f>
        <v>40779.705555555498</v>
      </c>
      <c r="T379" s="111">
        <f ca="1">IFERROR(__xludf.DUMMYFUNCTION("""COMPUTED_VALUE"""),8.49)</f>
        <v>8.49</v>
      </c>
    </row>
    <row r="380" spans="1:20" x14ac:dyDescent="0.3">
      <c r="A380" s="112">
        <f ca="1">IFERROR(__xludf.DUMMYFUNCTION("""COMPUTED_VALUE"""),40779.7055555555)</f>
        <v>40779.705555555498</v>
      </c>
      <c r="B380" s="111">
        <f ca="1">IFERROR(__xludf.DUMMYFUNCTION("""COMPUTED_VALUE"""),15.67)</f>
        <v>15.67</v>
      </c>
      <c r="C380" s="112">
        <f ca="1">IFERROR(__xludf.DUMMYFUNCTION("""COMPUTED_VALUE"""),40780.7055555555)</f>
        <v>40780.705555555498</v>
      </c>
      <c r="D380" s="111">
        <f ca="1">IFERROR(__xludf.DUMMYFUNCTION("""COMPUTED_VALUE"""),13.32)</f>
        <v>13.32</v>
      </c>
      <c r="E380" s="112">
        <f ca="1">IFERROR(__xludf.DUMMYFUNCTION("""COMPUTED_VALUE"""),40779.7055555555)</f>
        <v>40779.705555555498</v>
      </c>
      <c r="F380" s="111">
        <f ca="1">IFERROR(__xludf.DUMMYFUNCTION("""COMPUTED_VALUE"""),5.73)</f>
        <v>5.73</v>
      </c>
      <c r="G380" s="112">
        <f ca="1">IFERROR(__xludf.DUMMYFUNCTION("""COMPUTED_VALUE"""),40780.7055555555)</f>
        <v>40780.705555555498</v>
      </c>
      <c r="H380" s="111">
        <f ca="1">IFERROR(__xludf.DUMMYFUNCTION("""COMPUTED_VALUE"""),19.86)</f>
        <v>19.86</v>
      </c>
      <c r="K380" s="112">
        <f ca="1">IFERROR(__xludf.DUMMYFUNCTION("""COMPUTED_VALUE"""),41270.7055555555)</f>
        <v>41270.705555555498</v>
      </c>
      <c r="L380" s="111">
        <f ca="1">IFERROR(__xludf.DUMMYFUNCTION("""COMPUTED_VALUE"""),0.38)</f>
        <v>0.38</v>
      </c>
      <c r="M380" s="112">
        <f ca="1">IFERROR(__xludf.DUMMYFUNCTION("""COMPUTED_VALUE"""),40736.7055555555)</f>
        <v>40736.705555555498</v>
      </c>
      <c r="N380" s="111">
        <f ca="1">IFERROR(__xludf.DUMMYFUNCTION("""COMPUTED_VALUE"""),11.45)</f>
        <v>11.45</v>
      </c>
      <c r="O380" s="112">
        <f ca="1">IFERROR(__xludf.DUMMYFUNCTION("""COMPUTED_VALUE"""),40779.7055555555)</f>
        <v>40779.705555555498</v>
      </c>
      <c r="P380" s="111">
        <f ca="1">IFERROR(__xludf.DUMMYFUNCTION("""COMPUTED_VALUE"""),42.57)</f>
        <v>42.57</v>
      </c>
      <c r="Q380" s="112">
        <f ca="1">IFERROR(__xludf.DUMMYFUNCTION("""COMPUTED_VALUE"""),40779.7055555555)</f>
        <v>40779.705555555498</v>
      </c>
      <c r="R380" s="111">
        <f ca="1">IFERROR(__xludf.DUMMYFUNCTION("""COMPUTED_VALUE"""),25.73)</f>
        <v>25.73</v>
      </c>
      <c r="S380" s="112">
        <f ca="1">IFERROR(__xludf.DUMMYFUNCTION("""COMPUTED_VALUE"""),40780.7055555555)</f>
        <v>40780.705555555498</v>
      </c>
      <c r="T380" s="111">
        <f ca="1">IFERROR(__xludf.DUMMYFUNCTION("""COMPUTED_VALUE"""),8.53)</f>
        <v>8.5299999999999994</v>
      </c>
    </row>
    <row r="381" spans="1:20" x14ac:dyDescent="0.3">
      <c r="A381" s="112">
        <f ca="1">IFERROR(__xludf.DUMMYFUNCTION("""COMPUTED_VALUE"""),40780.7055555555)</f>
        <v>40780.705555555498</v>
      </c>
      <c r="B381" s="111">
        <f ca="1">IFERROR(__xludf.DUMMYFUNCTION("""COMPUTED_VALUE"""),15.76)</f>
        <v>15.76</v>
      </c>
      <c r="C381" s="112">
        <f ca="1">IFERROR(__xludf.DUMMYFUNCTION("""COMPUTED_VALUE"""),40781.7055555555)</f>
        <v>40781.705555555498</v>
      </c>
      <c r="D381" s="111">
        <f ca="1">IFERROR(__xludf.DUMMYFUNCTION("""COMPUTED_VALUE"""),13.65)</f>
        <v>13.65</v>
      </c>
      <c r="E381" s="112">
        <f ca="1">IFERROR(__xludf.DUMMYFUNCTION("""COMPUTED_VALUE"""),40780.7055555555)</f>
        <v>40780.705555555498</v>
      </c>
      <c r="F381" s="111">
        <f ca="1">IFERROR(__xludf.DUMMYFUNCTION("""COMPUTED_VALUE"""),5.76)</f>
        <v>5.76</v>
      </c>
      <c r="G381" s="112">
        <f ca="1">IFERROR(__xludf.DUMMYFUNCTION("""COMPUTED_VALUE"""),40781.7055555555)</f>
        <v>40781.705555555498</v>
      </c>
      <c r="H381" s="111">
        <f ca="1">IFERROR(__xludf.DUMMYFUNCTION("""COMPUTED_VALUE"""),19.9)</f>
        <v>19.899999999999999</v>
      </c>
      <c r="K381" s="112">
        <f ca="1">IFERROR(__xludf.DUMMYFUNCTION("""COMPUTED_VALUE"""),41271.7055555555)</f>
        <v>41271.705555555498</v>
      </c>
      <c r="L381" s="111">
        <f ca="1">IFERROR(__xludf.DUMMYFUNCTION("""COMPUTED_VALUE"""),0.38)</f>
        <v>0.38</v>
      </c>
      <c r="M381" s="112">
        <f ca="1">IFERROR(__xludf.DUMMYFUNCTION("""COMPUTED_VALUE"""),40737.7055555555)</f>
        <v>40737.705555555498</v>
      </c>
      <c r="N381" s="111">
        <f ca="1">IFERROR(__xludf.DUMMYFUNCTION("""COMPUTED_VALUE"""),11.74)</f>
        <v>11.74</v>
      </c>
      <c r="O381" s="112">
        <f ca="1">IFERROR(__xludf.DUMMYFUNCTION("""COMPUTED_VALUE"""),40780.7055555555)</f>
        <v>40780.705555555498</v>
      </c>
      <c r="P381" s="111">
        <f ca="1">IFERROR(__xludf.DUMMYFUNCTION("""COMPUTED_VALUE"""),42.1)</f>
        <v>42.1</v>
      </c>
      <c r="Q381" s="112">
        <f ca="1">IFERROR(__xludf.DUMMYFUNCTION("""COMPUTED_VALUE"""),40780.7055555555)</f>
        <v>40780.705555555498</v>
      </c>
      <c r="R381" s="111">
        <f ca="1">IFERROR(__xludf.DUMMYFUNCTION("""COMPUTED_VALUE"""),25.59)</f>
        <v>25.59</v>
      </c>
      <c r="S381" s="112">
        <f ca="1">IFERROR(__xludf.DUMMYFUNCTION("""COMPUTED_VALUE"""),40781.7055555555)</f>
        <v>40781.705555555498</v>
      </c>
      <c r="T381" s="111">
        <f ca="1">IFERROR(__xludf.DUMMYFUNCTION("""COMPUTED_VALUE"""),8.41)</f>
        <v>8.41</v>
      </c>
    </row>
    <row r="382" spans="1:20" x14ac:dyDescent="0.3">
      <c r="A382" s="112">
        <f ca="1">IFERROR(__xludf.DUMMYFUNCTION("""COMPUTED_VALUE"""),40781.7055555555)</f>
        <v>40781.705555555498</v>
      </c>
      <c r="B382" s="111">
        <f ca="1">IFERROR(__xludf.DUMMYFUNCTION("""COMPUTED_VALUE"""),15.72)</f>
        <v>15.72</v>
      </c>
      <c r="C382" s="112">
        <f ca="1">IFERROR(__xludf.DUMMYFUNCTION("""COMPUTED_VALUE"""),40784.7055555555)</f>
        <v>40784.705555555498</v>
      </c>
      <c r="D382" s="111">
        <f ca="1">IFERROR(__xludf.DUMMYFUNCTION("""COMPUTED_VALUE"""),13.85)</f>
        <v>13.85</v>
      </c>
      <c r="E382" s="112">
        <f ca="1">IFERROR(__xludf.DUMMYFUNCTION("""COMPUTED_VALUE"""),40781.7055555555)</f>
        <v>40781.705555555498</v>
      </c>
      <c r="F382" s="111">
        <f ca="1">IFERROR(__xludf.DUMMYFUNCTION("""COMPUTED_VALUE"""),5.84)</f>
        <v>5.84</v>
      </c>
      <c r="G382" s="112">
        <f ca="1">IFERROR(__xludf.DUMMYFUNCTION("""COMPUTED_VALUE"""),40784.7055555555)</f>
        <v>40784.705555555498</v>
      </c>
      <c r="H382" s="111">
        <f ca="1">IFERROR(__xludf.DUMMYFUNCTION("""COMPUTED_VALUE"""),20.49)</f>
        <v>20.49</v>
      </c>
      <c r="K382" s="112">
        <f ca="1">IFERROR(__xludf.DUMMYFUNCTION("""COMPUTED_VALUE"""),41276.7055555555)</f>
        <v>41276.705555555498</v>
      </c>
      <c r="L382" s="111">
        <f ca="1">IFERROR(__xludf.DUMMYFUNCTION("""COMPUTED_VALUE"""),0.4)</f>
        <v>0.4</v>
      </c>
      <c r="M382" s="112">
        <f ca="1">IFERROR(__xludf.DUMMYFUNCTION("""COMPUTED_VALUE"""),40738.7055555555)</f>
        <v>40738.705555555498</v>
      </c>
      <c r="N382" s="111">
        <f ca="1">IFERROR(__xludf.DUMMYFUNCTION("""COMPUTED_VALUE"""),11.45)</f>
        <v>11.45</v>
      </c>
      <c r="O382" s="112">
        <f ca="1">IFERROR(__xludf.DUMMYFUNCTION("""COMPUTED_VALUE"""),40781.7055555555)</f>
        <v>40781.705555555498</v>
      </c>
      <c r="P382" s="111">
        <f ca="1">IFERROR(__xludf.DUMMYFUNCTION("""COMPUTED_VALUE"""),42.81)</f>
        <v>42.81</v>
      </c>
      <c r="Q382" s="112">
        <f ca="1">IFERROR(__xludf.DUMMYFUNCTION("""COMPUTED_VALUE"""),40781.7055555555)</f>
        <v>40781.705555555498</v>
      </c>
      <c r="R382" s="111">
        <f ca="1">IFERROR(__xludf.DUMMYFUNCTION("""COMPUTED_VALUE"""),25.43)</f>
        <v>25.43</v>
      </c>
      <c r="S382" s="112">
        <f ca="1">IFERROR(__xludf.DUMMYFUNCTION("""COMPUTED_VALUE"""),40784.7055555555)</f>
        <v>40784.705555555498</v>
      </c>
      <c r="T382" s="111">
        <f ca="1">IFERROR(__xludf.DUMMYFUNCTION("""COMPUTED_VALUE"""),8.75)</f>
        <v>8.75</v>
      </c>
    </row>
    <row r="383" spans="1:20" x14ac:dyDescent="0.3">
      <c r="A383" s="112">
        <f ca="1">IFERROR(__xludf.DUMMYFUNCTION("""COMPUTED_VALUE"""),40784.7055555555)</f>
        <v>40784.705555555498</v>
      </c>
      <c r="B383" s="111">
        <f ca="1">IFERROR(__xludf.DUMMYFUNCTION("""COMPUTED_VALUE"""),15.95)</f>
        <v>15.95</v>
      </c>
      <c r="C383" s="112">
        <f ca="1">IFERROR(__xludf.DUMMYFUNCTION("""COMPUTED_VALUE"""),40785.7055555555)</f>
        <v>40785.705555555498</v>
      </c>
      <c r="D383" s="111">
        <f ca="1">IFERROR(__xludf.DUMMYFUNCTION("""COMPUTED_VALUE"""),14.12)</f>
        <v>14.12</v>
      </c>
      <c r="E383" s="112">
        <f ca="1">IFERROR(__xludf.DUMMYFUNCTION("""COMPUTED_VALUE"""),40784.7055555555)</f>
        <v>40784.705555555498</v>
      </c>
      <c r="F383" s="111">
        <f ca="1">IFERROR(__xludf.DUMMYFUNCTION("""COMPUTED_VALUE"""),6.04)</f>
        <v>6.04</v>
      </c>
      <c r="G383" s="112">
        <f ca="1">IFERROR(__xludf.DUMMYFUNCTION("""COMPUTED_VALUE"""),40785.7055555555)</f>
        <v>40785.705555555498</v>
      </c>
      <c r="H383" s="111">
        <f ca="1">IFERROR(__xludf.DUMMYFUNCTION("""COMPUTED_VALUE"""),20.55)</f>
        <v>20.55</v>
      </c>
      <c r="K383" s="112">
        <f ca="1">IFERROR(__xludf.DUMMYFUNCTION("""COMPUTED_VALUE"""),41277.7055555555)</f>
        <v>41277.705555555498</v>
      </c>
      <c r="L383" s="111">
        <f ca="1">IFERROR(__xludf.DUMMYFUNCTION("""COMPUTED_VALUE"""),0.42)</f>
        <v>0.42</v>
      </c>
      <c r="M383" s="112">
        <f ca="1">IFERROR(__xludf.DUMMYFUNCTION("""COMPUTED_VALUE"""),40739.7055555555)</f>
        <v>40739.705555555498</v>
      </c>
      <c r="N383" s="111">
        <f ca="1">IFERROR(__xludf.DUMMYFUNCTION("""COMPUTED_VALUE"""),11.26)</f>
        <v>11.26</v>
      </c>
      <c r="O383" s="112">
        <f ca="1">IFERROR(__xludf.DUMMYFUNCTION("""COMPUTED_VALUE"""),40784.7055555555)</f>
        <v>40784.705555555498</v>
      </c>
      <c r="P383" s="111">
        <f ca="1">IFERROR(__xludf.DUMMYFUNCTION("""COMPUTED_VALUE"""),43.9)</f>
        <v>43.9</v>
      </c>
      <c r="Q383" s="112">
        <f ca="1">IFERROR(__xludf.DUMMYFUNCTION("""COMPUTED_VALUE"""),40784.7055555555)</f>
        <v>40784.705555555498</v>
      </c>
      <c r="R383" s="111">
        <f ca="1">IFERROR(__xludf.DUMMYFUNCTION("""COMPUTED_VALUE"""),26)</f>
        <v>26</v>
      </c>
      <c r="S383" s="112">
        <f ca="1">IFERROR(__xludf.DUMMYFUNCTION("""COMPUTED_VALUE"""),40785.7055555555)</f>
        <v>40785.705555555498</v>
      </c>
      <c r="T383" s="111">
        <f ca="1">IFERROR(__xludf.DUMMYFUNCTION("""COMPUTED_VALUE"""),8.7)</f>
        <v>8.6999999999999993</v>
      </c>
    </row>
    <row r="384" spans="1:20" x14ac:dyDescent="0.3">
      <c r="A384" s="112">
        <f ca="1">IFERROR(__xludf.DUMMYFUNCTION("""COMPUTED_VALUE"""),40785.7055555555)</f>
        <v>40785.705555555498</v>
      </c>
      <c r="B384" s="111">
        <f ca="1">IFERROR(__xludf.DUMMYFUNCTION("""COMPUTED_VALUE"""),15.91)</f>
        <v>15.91</v>
      </c>
      <c r="C384" s="112">
        <f ca="1">IFERROR(__xludf.DUMMYFUNCTION("""COMPUTED_VALUE"""),40786.7055555555)</f>
        <v>40786.705555555498</v>
      </c>
      <c r="D384" s="111">
        <f ca="1">IFERROR(__xludf.DUMMYFUNCTION("""COMPUTED_VALUE"""),14.45)</f>
        <v>14.45</v>
      </c>
      <c r="E384" s="112">
        <f ca="1">IFERROR(__xludf.DUMMYFUNCTION("""COMPUTED_VALUE"""),40785.7055555555)</f>
        <v>40785.705555555498</v>
      </c>
      <c r="F384" s="111">
        <f ca="1">IFERROR(__xludf.DUMMYFUNCTION("""COMPUTED_VALUE"""),6.08)</f>
        <v>6.08</v>
      </c>
      <c r="G384" s="112">
        <f ca="1">IFERROR(__xludf.DUMMYFUNCTION("""COMPUTED_VALUE"""),40786.7055555555)</f>
        <v>40786.705555555498</v>
      </c>
      <c r="H384" s="111">
        <f ca="1">IFERROR(__xludf.DUMMYFUNCTION("""COMPUTED_VALUE"""),20.8)</f>
        <v>20.8</v>
      </c>
      <c r="K384" s="112">
        <f ca="1">IFERROR(__xludf.DUMMYFUNCTION("""COMPUTED_VALUE"""),41278.7055555555)</f>
        <v>41278.705555555498</v>
      </c>
      <c r="L384" s="111">
        <f ca="1">IFERROR(__xludf.DUMMYFUNCTION("""COMPUTED_VALUE"""),0.42)</f>
        <v>0.42</v>
      </c>
      <c r="M384" s="112">
        <f ca="1">IFERROR(__xludf.DUMMYFUNCTION("""COMPUTED_VALUE"""),40742.7055555555)</f>
        <v>40742.705555555498</v>
      </c>
      <c r="N384" s="111">
        <f ca="1">IFERROR(__xludf.DUMMYFUNCTION("""COMPUTED_VALUE"""),11.02)</f>
        <v>11.02</v>
      </c>
      <c r="O384" s="112">
        <f ca="1">IFERROR(__xludf.DUMMYFUNCTION("""COMPUTED_VALUE"""),40785.7055555555)</f>
        <v>40785.705555555498</v>
      </c>
      <c r="P384" s="111">
        <f ca="1">IFERROR(__xludf.DUMMYFUNCTION("""COMPUTED_VALUE"""),44)</f>
        <v>44</v>
      </c>
      <c r="Q384" s="112">
        <f ca="1">IFERROR(__xludf.DUMMYFUNCTION("""COMPUTED_VALUE"""),40785.7055555555)</f>
        <v>40785.705555555498</v>
      </c>
      <c r="R384" s="111">
        <f ca="1">IFERROR(__xludf.DUMMYFUNCTION("""COMPUTED_VALUE"""),26.2)</f>
        <v>26.2</v>
      </c>
      <c r="S384" s="112">
        <f ca="1">IFERROR(__xludf.DUMMYFUNCTION("""COMPUTED_VALUE"""),40786.7055555555)</f>
        <v>40786.705555555498</v>
      </c>
      <c r="T384" s="111">
        <f ca="1">IFERROR(__xludf.DUMMYFUNCTION("""COMPUTED_VALUE"""),8.99)</f>
        <v>8.99</v>
      </c>
    </row>
    <row r="385" spans="1:20" x14ac:dyDescent="0.3">
      <c r="A385" s="112">
        <f ca="1">IFERROR(__xludf.DUMMYFUNCTION("""COMPUTED_VALUE"""),40786.7055555555)</f>
        <v>40786.705555555498</v>
      </c>
      <c r="B385" s="111">
        <f ca="1">IFERROR(__xludf.DUMMYFUNCTION("""COMPUTED_VALUE"""),16.12)</f>
        <v>16.12</v>
      </c>
      <c r="C385" s="112">
        <f ca="1">IFERROR(__xludf.DUMMYFUNCTION("""COMPUTED_VALUE"""),40787.7055555555)</f>
        <v>40787.705555555498</v>
      </c>
      <c r="D385" s="111">
        <f ca="1">IFERROR(__xludf.DUMMYFUNCTION("""COMPUTED_VALUE"""),15.43)</f>
        <v>15.43</v>
      </c>
      <c r="E385" s="112">
        <f ca="1">IFERROR(__xludf.DUMMYFUNCTION("""COMPUTED_VALUE"""),40786.7055555555)</f>
        <v>40786.705555555498</v>
      </c>
      <c r="F385" s="111">
        <f ca="1">IFERROR(__xludf.DUMMYFUNCTION("""COMPUTED_VALUE"""),6.23)</f>
        <v>6.23</v>
      </c>
      <c r="G385" s="112">
        <f ca="1">IFERROR(__xludf.DUMMYFUNCTION("""COMPUTED_VALUE"""),40787.7055555555)</f>
        <v>40787.705555555498</v>
      </c>
      <c r="H385" s="111">
        <f ca="1">IFERROR(__xludf.DUMMYFUNCTION("""COMPUTED_VALUE"""),21.04)</f>
        <v>21.04</v>
      </c>
      <c r="K385" s="112">
        <f ca="1">IFERROR(__xludf.DUMMYFUNCTION("""COMPUTED_VALUE"""),41281.7055555555)</f>
        <v>41281.705555555498</v>
      </c>
      <c r="L385" s="111">
        <f ca="1">IFERROR(__xludf.DUMMYFUNCTION("""COMPUTED_VALUE"""),0.41)</f>
        <v>0.41</v>
      </c>
      <c r="M385" s="112">
        <f ca="1">IFERROR(__xludf.DUMMYFUNCTION("""COMPUTED_VALUE"""),40743.7055555555)</f>
        <v>40743.705555555498</v>
      </c>
      <c r="N385" s="111">
        <f ca="1">IFERROR(__xludf.DUMMYFUNCTION("""COMPUTED_VALUE"""),11.17)</f>
        <v>11.17</v>
      </c>
      <c r="O385" s="112">
        <f ca="1">IFERROR(__xludf.DUMMYFUNCTION("""COMPUTED_VALUE"""),40786.7055555555)</f>
        <v>40786.705555555498</v>
      </c>
      <c r="P385" s="111">
        <f ca="1">IFERROR(__xludf.DUMMYFUNCTION("""COMPUTED_VALUE"""),44.8)</f>
        <v>44.8</v>
      </c>
      <c r="Q385" s="112">
        <f ca="1">IFERROR(__xludf.DUMMYFUNCTION("""COMPUTED_VALUE"""),40786.7055555555)</f>
        <v>40786.705555555498</v>
      </c>
      <c r="R385" s="111">
        <f ca="1">IFERROR(__xludf.DUMMYFUNCTION("""COMPUTED_VALUE"""),26.72)</f>
        <v>26.72</v>
      </c>
      <c r="S385" s="112">
        <f ca="1">IFERROR(__xludf.DUMMYFUNCTION("""COMPUTED_VALUE"""),40787.7055555555)</f>
        <v>40787.705555555498</v>
      </c>
      <c r="T385" s="111">
        <f ca="1">IFERROR(__xludf.DUMMYFUNCTION("""COMPUTED_VALUE"""),9.43)</f>
        <v>9.43</v>
      </c>
    </row>
    <row r="386" spans="1:20" x14ac:dyDescent="0.3">
      <c r="A386" s="112">
        <f ca="1">IFERROR(__xludf.DUMMYFUNCTION("""COMPUTED_VALUE"""),40787.7055555555)</f>
        <v>40787.705555555498</v>
      </c>
      <c r="B386" s="111">
        <f ca="1">IFERROR(__xludf.DUMMYFUNCTION("""COMPUTED_VALUE"""),16.12)</f>
        <v>16.12</v>
      </c>
      <c r="C386" s="112">
        <f ca="1">IFERROR(__xludf.DUMMYFUNCTION("""COMPUTED_VALUE"""),40788.7055555555)</f>
        <v>40788.705555555498</v>
      </c>
      <c r="D386" s="111">
        <f ca="1">IFERROR(__xludf.DUMMYFUNCTION("""COMPUTED_VALUE"""),15.02)</f>
        <v>15.02</v>
      </c>
      <c r="E386" s="112">
        <f ca="1">IFERROR(__xludf.DUMMYFUNCTION("""COMPUTED_VALUE"""),40787.7055555555)</f>
        <v>40787.705555555498</v>
      </c>
      <c r="F386" s="111">
        <f ca="1">IFERROR(__xludf.DUMMYFUNCTION("""COMPUTED_VALUE"""),6.58)</f>
        <v>6.58</v>
      </c>
      <c r="G386" s="112">
        <f ca="1">IFERROR(__xludf.DUMMYFUNCTION("""COMPUTED_VALUE"""),40788.7055555555)</f>
        <v>40788.705555555498</v>
      </c>
      <c r="H386" s="111">
        <f ca="1">IFERROR(__xludf.DUMMYFUNCTION("""COMPUTED_VALUE"""),20.37)</f>
        <v>20.37</v>
      </c>
      <c r="K386" s="112">
        <f ca="1">IFERROR(__xludf.DUMMYFUNCTION("""COMPUTED_VALUE"""),41282.7055555555)</f>
        <v>41282.705555555498</v>
      </c>
      <c r="L386" s="111">
        <f ca="1">IFERROR(__xludf.DUMMYFUNCTION("""COMPUTED_VALUE"""),0.4)</f>
        <v>0.4</v>
      </c>
      <c r="M386" s="112">
        <f ca="1">IFERROR(__xludf.DUMMYFUNCTION("""COMPUTED_VALUE"""),40744.7055555555)</f>
        <v>40744.705555555498</v>
      </c>
      <c r="N386" s="111">
        <f ca="1">IFERROR(__xludf.DUMMYFUNCTION("""COMPUTED_VALUE"""),11.31)</f>
        <v>11.31</v>
      </c>
      <c r="O386" s="112">
        <f ca="1">IFERROR(__xludf.DUMMYFUNCTION("""COMPUTED_VALUE"""),40787.7055555555)</f>
        <v>40787.705555555498</v>
      </c>
      <c r="P386" s="111">
        <f ca="1">IFERROR(__xludf.DUMMYFUNCTION("""COMPUTED_VALUE"""),45.07)</f>
        <v>45.07</v>
      </c>
      <c r="Q386" s="112">
        <f ca="1">IFERROR(__xludf.DUMMYFUNCTION("""COMPUTED_VALUE"""),40787.7055555555)</f>
        <v>40787.705555555498</v>
      </c>
      <c r="R386" s="111">
        <f ca="1">IFERROR(__xludf.DUMMYFUNCTION("""COMPUTED_VALUE"""),28.35)</f>
        <v>28.35</v>
      </c>
      <c r="S386" s="112">
        <f ca="1">IFERROR(__xludf.DUMMYFUNCTION("""COMPUTED_VALUE"""),40788.7055555555)</f>
        <v>40788.705555555498</v>
      </c>
      <c r="T386" s="111">
        <f ca="1">IFERROR(__xludf.DUMMYFUNCTION("""COMPUTED_VALUE"""),9.07)</f>
        <v>9.07</v>
      </c>
    </row>
    <row r="387" spans="1:20" x14ac:dyDescent="0.3">
      <c r="A387" s="112">
        <f ca="1">IFERROR(__xludf.DUMMYFUNCTION("""COMPUTED_VALUE"""),40788.7055555555)</f>
        <v>40788.705555555498</v>
      </c>
      <c r="B387" s="111">
        <f ca="1">IFERROR(__xludf.DUMMYFUNCTION("""COMPUTED_VALUE"""),15.89)</f>
        <v>15.89</v>
      </c>
      <c r="C387" s="112">
        <f ca="1">IFERROR(__xludf.DUMMYFUNCTION("""COMPUTED_VALUE"""),40791.7055555555)</f>
        <v>40791.705555555498</v>
      </c>
      <c r="D387" s="111">
        <f ca="1">IFERROR(__xludf.DUMMYFUNCTION("""COMPUTED_VALUE"""),14.43)</f>
        <v>14.43</v>
      </c>
      <c r="E387" s="112">
        <f ca="1">IFERROR(__xludf.DUMMYFUNCTION("""COMPUTED_VALUE"""),40788.7055555555)</f>
        <v>40788.705555555498</v>
      </c>
      <c r="F387" s="111">
        <f ca="1">IFERROR(__xludf.DUMMYFUNCTION("""COMPUTED_VALUE"""),6.41)</f>
        <v>6.41</v>
      </c>
      <c r="G387" s="112">
        <f ca="1">IFERROR(__xludf.DUMMYFUNCTION("""COMPUTED_VALUE"""),40791.7055555555)</f>
        <v>40791.705555555498</v>
      </c>
      <c r="H387" s="111">
        <f ca="1">IFERROR(__xludf.DUMMYFUNCTION("""COMPUTED_VALUE"""),20.03)</f>
        <v>20.03</v>
      </c>
      <c r="K387" s="112">
        <f ca="1">IFERROR(__xludf.DUMMYFUNCTION("""COMPUTED_VALUE"""),41283.7055555555)</f>
        <v>41283.705555555498</v>
      </c>
      <c r="L387" s="111">
        <f ca="1">IFERROR(__xludf.DUMMYFUNCTION("""COMPUTED_VALUE"""),0.4)</f>
        <v>0.4</v>
      </c>
      <c r="M387" s="112">
        <f ca="1">IFERROR(__xludf.DUMMYFUNCTION("""COMPUTED_VALUE"""),40745.7055555555)</f>
        <v>40745.705555555498</v>
      </c>
      <c r="N387" s="111">
        <f ca="1">IFERROR(__xludf.DUMMYFUNCTION("""COMPUTED_VALUE"""),11.58)</f>
        <v>11.58</v>
      </c>
      <c r="O387" s="112">
        <f ca="1">IFERROR(__xludf.DUMMYFUNCTION("""COMPUTED_VALUE"""),40788.7055555555)</f>
        <v>40788.705555555498</v>
      </c>
      <c r="P387" s="111">
        <f ca="1">IFERROR(__xludf.DUMMYFUNCTION("""COMPUTED_VALUE"""),44.41)</f>
        <v>44.41</v>
      </c>
      <c r="Q387" s="112">
        <f ca="1">IFERROR(__xludf.DUMMYFUNCTION("""COMPUTED_VALUE"""),40788.7055555555)</f>
        <v>40788.705555555498</v>
      </c>
      <c r="R387" s="111">
        <f ca="1">IFERROR(__xludf.DUMMYFUNCTION("""COMPUTED_VALUE"""),27.62)</f>
        <v>27.62</v>
      </c>
      <c r="S387" s="112">
        <f ca="1">IFERROR(__xludf.DUMMYFUNCTION("""COMPUTED_VALUE"""),40791.7055555555)</f>
        <v>40791.705555555498</v>
      </c>
      <c r="T387" s="111">
        <f ca="1">IFERROR(__xludf.DUMMYFUNCTION("""COMPUTED_VALUE"""),8.6)</f>
        <v>8.6</v>
      </c>
    </row>
    <row r="388" spans="1:20" x14ac:dyDescent="0.3">
      <c r="A388" s="112">
        <f ca="1">IFERROR(__xludf.DUMMYFUNCTION("""COMPUTED_VALUE"""),40791.7055555555)</f>
        <v>40791.705555555498</v>
      </c>
      <c r="B388" s="111">
        <f ca="1">IFERROR(__xludf.DUMMYFUNCTION("""COMPUTED_VALUE"""),15.86)</f>
        <v>15.86</v>
      </c>
      <c r="C388" s="112">
        <f ca="1">IFERROR(__xludf.DUMMYFUNCTION("""COMPUTED_VALUE"""),40792.7055555555)</f>
        <v>40792.705555555498</v>
      </c>
      <c r="D388" s="111">
        <f ca="1">IFERROR(__xludf.DUMMYFUNCTION("""COMPUTED_VALUE"""),14.68)</f>
        <v>14.68</v>
      </c>
      <c r="E388" s="112">
        <f ca="1">IFERROR(__xludf.DUMMYFUNCTION("""COMPUTED_VALUE"""),40791.7055555555)</f>
        <v>40791.705555555498</v>
      </c>
      <c r="F388" s="111">
        <f ca="1">IFERROR(__xludf.DUMMYFUNCTION("""COMPUTED_VALUE"""),6.18)</f>
        <v>6.18</v>
      </c>
      <c r="G388" s="112">
        <f ca="1">IFERROR(__xludf.DUMMYFUNCTION("""COMPUTED_VALUE"""),40792.7055555555)</f>
        <v>40792.705555555498</v>
      </c>
      <c r="H388" s="111">
        <f ca="1">IFERROR(__xludf.DUMMYFUNCTION("""COMPUTED_VALUE"""),20.47)</f>
        <v>20.47</v>
      </c>
      <c r="K388" s="112">
        <f ca="1">IFERROR(__xludf.DUMMYFUNCTION("""COMPUTED_VALUE"""),41284.7055555555)</f>
        <v>41284.705555555498</v>
      </c>
      <c r="L388" s="111">
        <f ca="1">IFERROR(__xludf.DUMMYFUNCTION("""COMPUTED_VALUE"""),0.4)</f>
        <v>0.4</v>
      </c>
      <c r="M388" s="112">
        <f ca="1">IFERROR(__xludf.DUMMYFUNCTION("""COMPUTED_VALUE"""),40746.7055555555)</f>
        <v>40746.705555555498</v>
      </c>
      <c r="N388" s="111">
        <f ca="1">IFERROR(__xludf.DUMMYFUNCTION("""COMPUTED_VALUE"""),11.6)</f>
        <v>11.6</v>
      </c>
      <c r="O388" s="112">
        <f ca="1">IFERROR(__xludf.DUMMYFUNCTION("""COMPUTED_VALUE"""),40791.7055555555)</f>
        <v>40791.705555555498</v>
      </c>
      <c r="P388" s="111">
        <f ca="1">IFERROR(__xludf.DUMMYFUNCTION("""COMPUTED_VALUE"""),43.4)</f>
        <v>43.4</v>
      </c>
      <c r="Q388" s="112">
        <f ca="1">IFERROR(__xludf.DUMMYFUNCTION("""COMPUTED_VALUE"""),40791.7055555555)</f>
        <v>40791.705555555498</v>
      </c>
      <c r="R388" s="111">
        <f ca="1">IFERROR(__xludf.DUMMYFUNCTION("""COMPUTED_VALUE"""),26.68)</f>
        <v>26.68</v>
      </c>
      <c r="S388" s="112">
        <f ca="1">IFERROR(__xludf.DUMMYFUNCTION("""COMPUTED_VALUE"""),40792.7055555555)</f>
        <v>40792.705555555498</v>
      </c>
      <c r="T388" s="111">
        <f ca="1">IFERROR(__xludf.DUMMYFUNCTION("""COMPUTED_VALUE"""),9.09)</f>
        <v>9.09</v>
      </c>
    </row>
    <row r="389" spans="1:20" x14ac:dyDescent="0.3">
      <c r="A389" s="112">
        <f ca="1">IFERROR(__xludf.DUMMYFUNCTION("""COMPUTED_VALUE"""),40792.7055555555)</f>
        <v>40792.705555555498</v>
      </c>
      <c r="B389" s="111">
        <f ca="1">IFERROR(__xludf.DUMMYFUNCTION("""COMPUTED_VALUE"""),16.57)</f>
        <v>16.57</v>
      </c>
      <c r="C389" s="112">
        <f ca="1">IFERROR(__xludf.DUMMYFUNCTION("""COMPUTED_VALUE"""),40794.7055555555)</f>
        <v>40794.705555555498</v>
      </c>
      <c r="D389" s="111">
        <f ca="1">IFERROR(__xludf.DUMMYFUNCTION("""COMPUTED_VALUE"""),14.86)</f>
        <v>14.86</v>
      </c>
      <c r="E389" s="112">
        <f ca="1">IFERROR(__xludf.DUMMYFUNCTION("""COMPUTED_VALUE"""),40792.7055555555)</f>
        <v>40792.705555555498</v>
      </c>
      <c r="F389" s="111">
        <f ca="1">IFERROR(__xludf.DUMMYFUNCTION("""COMPUTED_VALUE"""),6.34)</f>
        <v>6.34</v>
      </c>
      <c r="G389" s="112">
        <f ca="1">IFERROR(__xludf.DUMMYFUNCTION("""COMPUTED_VALUE"""),40794.7055555555)</f>
        <v>40794.705555555498</v>
      </c>
      <c r="H389" s="111">
        <f ca="1">IFERROR(__xludf.DUMMYFUNCTION("""COMPUTED_VALUE"""),20.66)</f>
        <v>20.66</v>
      </c>
      <c r="K389" s="112">
        <f ca="1">IFERROR(__xludf.DUMMYFUNCTION("""COMPUTED_VALUE"""),41285.7055555555)</f>
        <v>41285.705555555498</v>
      </c>
      <c r="L389" s="111">
        <f ca="1">IFERROR(__xludf.DUMMYFUNCTION("""COMPUTED_VALUE"""),0.39)</f>
        <v>0.39</v>
      </c>
      <c r="M389" s="112">
        <f ca="1">IFERROR(__xludf.DUMMYFUNCTION("""COMPUTED_VALUE"""),40749.7055555555)</f>
        <v>40749.705555555498</v>
      </c>
      <c r="N389" s="111">
        <f ca="1">IFERROR(__xludf.DUMMYFUNCTION("""COMPUTED_VALUE"""),11.45)</f>
        <v>11.45</v>
      </c>
      <c r="O389" s="112">
        <f ca="1">IFERROR(__xludf.DUMMYFUNCTION("""COMPUTED_VALUE"""),40792.7055555555)</f>
        <v>40792.705555555498</v>
      </c>
      <c r="P389" s="111">
        <f ca="1">IFERROR(__xludf.DUMMYFUNCTION("""COMPUTED_VALUE"""),44.62)</f>
        <v>44.62</v>
      </c>
      <c r="Q389" s="112">
        <f ca="1">IFERROR(__xludf.DUMMYFUNCTION("""COMPUTED_VALUE"""),40792.7055555555)</f>
        <v>40792.705555555498</v>
      </c>
      <c r="R389" s="111">
        <f ca="1">IFERROR(__xludf.DUMMYFUNCTION("""COMPUTED_VALUE"""),27.12)</f>
        <v>27.12</v>
      </c>
      <c r="S389" s="112">
        <f ca="1">IFERROR(__xludf.DUMMYFUNCTION("""COMPUTED_VALUE"""),40794.7055555555)</f>
        <v>40794.705555555498</v>
      </c>
      <c r="T389" s="111">
        <f ca="1">IFERROR(__xludf.DUMMYFUNCTION("""COMPUTED_VALUE"""),9.47)</f>
        <v>9.4700000000000006</v>
      </c>
    </row>
    <row r="390" spans="1:20" x14ac:dyDescent="0.3">
      <c r="A390" s="112">
        <f ca="1">IFERROR(__xludf.DUMMYFUNCTION("""COMPUTED_VALUE"""),40794.7055555555)</f>
        <v>40794.705555555498</v>
      </c>
      <c r="B390" s="111">
        <f ca="1">IFERROR(__xludf.DUMMYFUNCTION("""COMPUTED_VALUE"""),16.38)</f>
        <v>16.38</v>
      </c>
      <c r="C390" s="112">
        <f ca="1">IFERROR(__xludf.DUMMYFUNCTION("""COMPUTED_VALUE"""),40795.7055555555)</f>
        <v>40795.705555555498</v>
      </c>
      <c r="D390" s="111">
        <f ca="1">IFERROR(__xludf.DUMMYFUNCTION("""COMPUTED_VALUE"""),14.43)</f>
        <v>14.43</v>
      </c>
      <c r="E390" s="112">
        <f ca="1">IFERROR(__xludf.DUMMYFUNCTION("""COMPUTED_VALUE"""),40794.7055555555)</f>
        <v>40794.705555555498</v>
      </c>
      <c r="F390" s="111">
        <f ca="1">IFERROR(__xludf.DUMMYFUNCTION("""COMPUTED_VALUE"""),6.4)</f>
        <v>6.4</v>
      </c>
      <c r="G390" s="112">
        <f ca="1">IFERROR(__xludf.DUMMYFUNCTION("""COMPUTED_VALUE"""),40795.7055555555)</f>
        <v>40795.705555555498</v>
      </c>
      <c r="H390" s="111">
        <f ca="1">IFERROR(__xludf.DUMMYFUNCTION("""COMPUTED_VALUE"""),20.15)</f>
        <v>20.149999999999999</v>
      </c>
      <c r="K390" s="112">
        <f ca="1">IFERROR(__xludf.DUMMYFUNCTION("""COMPUTED_VALUE"""),41288.7055555555)</f>
        <v>41288.705555555498</v>
      </c>
      <c r="L390" s="111">
        <f ca="1">IFERROR(__xludf.DUMMYFUNCTION("""COMPUTED_VALUE"""),0.41)</f>
        <v>0.41</v>
      </c>
      <c r="M390" s="112">
        <f ca="1">IFERROR(__xludf.DUMMYFUNCTION("""COMPUTED_VALUE"""),40750.7055555555)</f>
        <v>40750.705555555498</v>
      </c>
      <c r="N390" s="111">
        <f ca="1">IFERROR(__xludf.DUMMYFUNCTION("""COMPUTED_VALUE"""),11.45)</f>
        <v>11.45</v>
      </c>
      <c r="O390" s="112">
        <f ca="1">IFERROR(__xludf.DUMMYFUNCTION("""COMPUTED_VALUE"""),40794.7055555555)</f>
        <v>40794.705555555498</v>
      </c>
      <c r="P390" s="111">
        <f ca="1">IFERROR(__xludf.DUMMYFUNCTION("""COMPUTED_VALUE"""),45.6)</f>
        <v>45.6</v>
      </c>
      <c r="Q390" s="112">
        <f ca="1">IFERROR(__xludf.DUMMYFUNCTION("""COMPUTED_VALUE"""),40794.7055555555)</f>
        <v>40794.705555555498</v>
      </c>
      <c r="R390" s="111">
        <f ca="1">IFERROR(__xludf.DUMMYFUNCTION("""COMPUTED_VALUE"""),27.72)</f>
        <v>27.72</v>
      </c>
      <c r="S390" s="112">
        <f ca="1">IFERROR(__xludf.DUMMYFUNCTION("""COMPUTED_VALUE"""),40795.7055555555)</f>
        <v>40795.705555555498</v>
      </c>
      <c r="T390" s="111">
        <f ca="1">IFERROR(__xludf.DUMMYFUNCTION("""COMPUTED_VALUE"""),8.97)</f>
        <v>8.9700000000000006</v>
      </c>
    </row>
    <row r="391" spans="1:20" x14ac:dyDescent="0.3">
      <c r="A391" s="112">
        <f ca="1">IFERROR(__xludf.DUMMYFUNCTION("""COMPUTED_VALUE"""),40795.7055555555)</f>
        <v>40795.705555555498</v>
      </c>
      <c r="B391" s="111">
        <f ca="1">IFERROR(__xludf.DUMMYFUNCTION("""COMPUTED_VALUE"""),16.1)</f>
        <v>16.100000000000001</v>
      </c>
      <c r="C391" s="112">
        <f ca="1">IFERROR(__xludf.DUMMYFUNCTION("""COMPUTED_VALUE"""),40798.7055555555)</f>
        <v>40798.705555555498</v>
      </c>
      <c r="D391" s="111">
        <f ca="1">IFERROR(__xludf.DUMMYFUNCTION("""COMPUTED_VALUE"""),14.17)</f>
        <v>14.17</v>
      </c>
      <c r="E391" s="112">
        <f ca="1">IFERROR(__xludf.DUMMYFUNCTION("""COMPUTED_VALUE"""),40795.7055555555)</f>
        <v>40795.705555555498</v>
      </c>
      <c r="F391" s="111">
        <f ca="1">IFERROR(__xludf.DUMMYFUNCTION("""COMPUTED_VALUE"""),6.2)</f>
        <v>6.2</v>
      </c>
      <c r="G391" s="112">
        <f ca="1">IFERROR(__xludf.DUMMYFUNCTION("""COMPUTED_VALUE"""),40798.7055555555)</f>
        <v>40798.705555555498</v>
      </c>
      <c r="H391" s="111">
        <f ca="1">IFERROR(__xludf.DUMMYFUNCTION("""COMPUTED_VALUE"""),20.34)</f>
        <v>20.34</v>
      </c>
      <c r="K391" s="112">
        <f ca="1">IFERROR(__xludf.DUMMYFUNCTION("""COMPUTED_VALUE"""),41289.7055555555)</f>
        <v>41289.705555555498</v>
      </c>
      <c r="L391" s="111">
        <f ca="1">IFERROR(__xludf.DUMMYFUNCTION("""COMPUTED_VALUE"""),0.4)</f>
        <v>0.4</v>
      </c>
      <c r="M391" s="112">
        <f ca="1">IFERROR(__xludf.DUMMYFUNCTION("""COMPUTED_VALUE"""),40751.7055555555)</f>
        <v>40751.705555555498</v>
      </c>
      <c r="N391" s="111">
        <f ca="1">IFERROR(__xludf.DUMMYFUNCTION("""COMPUTED_VALUE"""),11.3)</f>
        <v>11.3</v>
      </c>
      <c r="O391" s="112">
        <f ca="1">IFERROR(__xludf.DUMMYFUNCTION("""COMPUTED_VALUE"""),40795.7055555555)</f>
        <v>40795.705555555498</v>
      </c>
      <c r="P391" s="111">
        <f ca="1">IFERROR(__xludf.DUMMYFUNCTION("""COMPUTED_VALUE"""),44.9)</f>
        <v>44.9</v>
      </c>
      <c r="Q391" s="112">
        <f ca="1">IFERROR(__xludf.DUMMYFUNCTION("""COMPUTED_VALUE"""),40795.7055555555)</f>
        <v>40795.705555555498</v>
      </c>
      <c r="R391" s="111">
        <f ca="1">IFERROR(__xludf.DUMMYFUNCTION("""COMPUTED_VALUE"""),26.61)</f>
        <v>26.61</v>
      </c>
      <c r="S391" s="112">
        <f ca="1">IFERROR(__xludf.DUMMYFUNCTION("""COMPUTED_VALUE"""),40798.7055555555)</f>
        <v>40798.705555555498</v>
      </c>
      <c r="T391" s="111">
        <f ca="1">IFERROR(__xludf.DUMMYFUNCTION("""COMPUTED_VALUE"""),9.09)</f>
        <v>9.09</v>
      </c>
    </row>
    <row r="392" spans="1:20" x14ac:dyDescent="0.3">
      <c r="A392" s="112">
        <f ca="1">IFERROR(__xludf.DUMMYFUNCTION("""COMPUTED_VALUE"""),40798.7055555555)</f>
        <v>40798.705555555498</v>
      </c>
      <c r="B392" s="111">
        <f ca="1">IFERROR(__xludf.DUMMYFUNCTION("""COMPUTED_VALUE"""),16.15)</f>
        <v>16.149999999999999</v>
      </c>
      <c r="C392" s="112">
        <f ca="1">IFERROR(__xludf.DUMMYFUNCTION("""COMPUTED_VALUE"""),40799.7055555555)</f>
        <v>40799.705555555498</v>
      </c>
      <c r="D392" s="111">
        <f ca="1">IFERROR(__xludf.DUMMYFUNCTION("""COMPUTED_VALUE"""),14.03)</f>
        <v>14.03</v>
      </c>
      <c r="E392" s="112">
        <f ca="1">IFERROR(__xludf.DUMMYFUNCTION("""COMPUTED_VALUE"""),40798.7055555555)</f>
        <v>40798.705555555498</v>
      </c>
      <c r="F392" s="111">
        <f ca="1">IFERROR(__xludf.DUMMYFUNCTION("""COMPUTED_VALUE"""),6.09)</f>
        <v>6.09</v>
      </c>
      <c r="G392" s="112">
        <f ca="1">IFERROR(__xludf.DUMMYFUNCTION("""COMPUTED_VALUE"""),40799.7055555555)</f>
        <v>40799.705555555498</v>
      </c>
      <c r="H392" s="111">
        <f ca="1">IFERROR(__xludf.DUMMYFUNCTION("""COMPUTED_VALUE"""),20.32)</f>
        <v>20.32</v>
      </c>
      <c r="K392" s="112">
        <f ca="1">IFERROR(__xludf.DUMMYFUNCTION("""COMPUTED_VALUE"""),41290.7055555555)</f>
        <v>41290.705555555498</v>
      </c>
      <c r="L392" s="111">
        <f ca="1">IFERROR(__xludf.DUMMYFUNCTION("""COMPUTED_VALUE"""),0.4)</f>
        <v>0.4</v>
      </c>
      <c r="M392" s="112">
        <f ca="1">IFERROR(__xludf.DUMMYFUNCTION("""COMPUTED_VALUE"""),40752.7055555555)</f>
        <v>40752.705555555498</v>
      </c>
      <c r="N392" s="111">
        <f ca="1">IFERROR(__xludf.DUMMYFUNCTION("""COMPUTED_VALUE"""),11.51)</f>
        <v>11.51</v>
      </c>
      <c r="O392" s="112">
        <f ca="1">IFERROR(__xludf.DUMMYFUNCTION("""COMPUTED_VALUE"""),40798.7055555555)</f>
        <v>40798.705555555498</v>
      </c>
      <c r="P392" s="111">
        <f ca="1">IFERROR(__xludf.DUMMYFUNCTION("""COMPUTED_VALUE"""),45.16)</f>
        <v>45.16</v>
      </c>
      <c r="Q392" s="112">
        <f ca="1">IFERROR(__xludf.DUMMYFUNCTION("""COMPUTED_VALUE"""),40798.7055555555)</f>
        <v>40798.705555555498</v>
      </c>
      <c r="R392" s="111">
        <f ca="1">IFERROR(__xludf.DUMMYFUNCTION("""COMPUTED_VALUE"""),26.1)</f>
        <v>26.1</v>
      </c>
      <c r="S392" s="112">
        <f ca="1">IFERROR(__xludf.DUMMYFUNCTION("""COMPUTED_VALUE"""),40799.7055555555)</f>
        <v>40799.705555555498</v>
      </c>
      <c r="T392" s="111">
        <f ca="1">IFERROR(__xludf.DUMMYFUNCTION("""COMPUTED_VALUE"""),8.55)</f>
        <v>8.5500000000000007</v>
      </c>
    </row>
    <row r="393" spans="1:20" x14ac:dyDescent="0.3">
      <c r="A393" s="112">
        <f ca="1">IFERROR(__xludf.DUMMYFUNCTION("""COMPUTED_VALUE"""),40799.7055555555)</f>
        <v>40799.705555555498</v>
      </c>
      <c r="B393" s="111">
        <f ca="1">IFERROR(__xludf.DUMMYFUNCTION("""COMPUTED_VALUE"""),16.2)</f>
        <v>16.2</v>
      </c>
      <c r="C393" s="112">
        <f ca="1">IFERROR(__xludf.DUMMYFUNCTION("""COMPUTED_VALUE"""),40800.7055555555)</f>
        <v>40800.705555555498</v>
      </c>
      <c r="D393" s="111">
        <f ca="1">IFERROR(__xludf.DUMMYFUNCTION("""COMPUTED_VALUE"""),14.16)</f>
        <v>14.16</v>
      </c>
      <c r="E393" s="112">
        <f ca="1">IFERROR(__xludf.DUMMYFUNCTION("""COMPUTED_VALUE"""),40799.7055555555)</f>
        <v>40799.705555555498</v>
      </c>
      <c r="F393" s="111">
        <f ca="1">IFERROR(__xludf.DUMMYFUNCTION("""COMPUTED_VALUE"""),6.02)</f>
        <v>6.02</v>
      </c>
      <c r="G393" s="112">
        <f ca="1">IFERROR(__xludf.DUMMYFUNCTION("""COMPUTED_VALUE"""),40800.7055555555)</f>
        <v>40800.705555555498</v>
      </c>
      <c r="H393" s="111">
        <f ca="1">IFERROR(__xludf.DUMMYFUNCTION("""COMPUTED_VALUE"""),20.52)</f>
        <v>20.52</v>
      </c>
      <c r="K393" s="112">
        <f ca="1">IFERROR(__xludf.DUMMYFUNCTION("""COMPUTED_VALUE"""),41291.7055555555)</f>
        <v>41291.705555555498</v>
      </c>
      <c r="L393" s="111">
        <f ca="1">IFERROR(__xludf.DUMMYFUNCTION("""COMPUTED_VALUE"""),0.39)</f>
        <v>0.39</v>
      </c>
      <c r="M393" s="112">
        <f ca="1">IFERROR(__xludf.DUMMYFUNCTION("""COMPUTED_VALUE"""),40753.7055555555)</f>
        <v>40753.705555555498</v>
      </c>
      <c r="N393" s="111">
        <f ca="1">IFERROR(__xludf.DUMMYFUNCTION("""COMPUTED_VALUE"""),11.56)</f>
        <v>11.56</v>
      </c>
      <c r="O393" s="112">
        <f ca="1">IFERROR(__xludf.DUMMYFUNCTION("""COMPUTED_VALUE"""),40799.7055555555)</f>
        <v>40799.705555555498</v>
      </c>
      <c r="P393" s="111">
        <f ca="1">IFERROR(__xludf.DUMMYFUNCTION("""COMPUTED_VALUE"""),45.5)</f>
        <v>45.5</v>
      </c>
      <c r="Q393" s="112">
        <f ca="1">IFERROR(__xludf.DUMMYFUNCTION("""COMPUTED_VALUE"""),40799.7055555555)</f>
        <v>40799.705555555498</v>
      </c>
      <c r="R393" s="111">
        <f ca="1">IFERROR(__xludf.DUMMYFUNCTION("""COMPUTED_VALUE"""),25.99)</f>
        <v>25.99</v>
      </c>
      <c r="S393" s="112">
        <f ca="1">IFERROR(__xludf.DUMMYFUNCTION("""COMPUTED_VALUE"""),40800.7055555555)</f>
        <v>40800.705555555498</v>
      </c>
      <c r="T393" s="111">
        <f ca="1">IFERROR(__xludf.DUMMYFUNCTION("""COMPUTED_VALUE"""),8.41)</f>
        <v>8.41</v>
      </c>
    </row>
    <row r="394" spans="1:20" x14ac:dyDescent="0.3">
      <c r="A394" s="112">
        <f ca="1">IFERROR(__xludf.DUMMYFUNCTION("""COMPUTED_VALUE"""),40800.7055555555)</f>
        <v>40800.705555555498</v>
      </c>
      <c r="B394" s="111">
        <f ca="1">IFERROR(__xludf.DUMMYFUNCTION("""COMPUTED_VALUE"""),16.27)</f>
        <v>16.27</v>
      </c>
      <c r="C394" s="112">
        <f ca="1">IFERROR(__xludf.DUMMYFUNCTION("""COMPUTED_VALUE"""),40801.7055555555)</f>
        <v>40801.705555555498</v>
      </c>
      <c r="D394" s="111">
        <f ca="1">IFERROR(__xludf.DUMMYFUNCTION("""COMPUTED_VALUE"""),14.4)</f>
        <v>14.4</v>
      </c>
      <c r="E394" s="112">
        <f ca="1">IFERROR(__xludf.DUMMYFUNCTION("""COMPUTED_VALUE"""),40800.7055555555)</f>
        <v>40800.705555555498</v>
      </c>
      <c r="F394" s="111">
        <f ca="1">IFERROR(__xludf.DUMMYFUNCTION("""COMPUTED_VALUE"""),6.11)</f>
        <v>6.11</v>
      </c>
      <c r="G394" s="112">
        <f ca="1">IFERROR(__xludf.DUMMYFUNCTION("""COMPUTED_VALUE"""),40801.7055555555)</f>
        <v>40801.705555555498</v>
      </c>
      <c r="H394" s="111">
        <f ca="1">IFERROR(__xludf.DUMMYFUNCTION("""COMPUTED_VALUE"""),20.55)</f>
        <v>20.55</v>
      </c>
      <c r="K394" s="112">
        <f ca="1">IFERROR(__xludf.DUMMYFUNCTION("""COMPUTED_VALUE"""),41292.7055555555)</f>
        <v>41292.705555555498</v>
      </c>
      <c r="L394" s="111">
        <f ca="1">IFERROR(__xludf.DUMMYFUNCTION("""COMPUTED_VALUE"""),0.38)</f>
        <v>0.38</v>
      </c>
      <c r="M394" s="112">
        <f ca="1">IFERROR(__xludf.DUMMYFUNCTION("""COMPUTED_VALUE"""),40756.7055555555)</f>
        <v>40756.705555555498</v>
      </c>
      <c r="N394" s="111">
        <f ca="1">IFERROR(__xludf.DUMMYFUNCTION("""COMPUTED_VALUE"""),11.67)</f>
        <v>11.67</v>
      </c>
      <c r="O394" s="112">
        <f ca="1">IFERROR(__xludf.DUMMYFUNCTION("""COMPUTED_VALUE"""),40800.7055555555)</f>
        <v>40800.705555555498</v>
      </c>
      <c r="P394" s="111">
        <f ca="1">IFERROR(__xludf.DUMMYFUNCTION("""COMPUTED_VALUE"""),46.05)</f>
        <v>46.05</v>
      </c>
      <c r="Q394" s="112">
        <f ca="1">IFERROR(__xludf.DUMMYFUNCTION("""COMPUTED_VALUE"""),40800.7055555555)</f>
        <v>40800.705555555498</v>
      </c>
      <c r="R394" s="111">
        <f ca="1">IFERROR(__xludf.DUMMYFUNCTION("""COMPUTED_VALUE"""),26.04)</f>
        <v>26.04</v>
      </c>
      <c r="S394" s="112">
        <f ca="1">IFERROR(__xludf.DUMMYFUNCTION("""COMPUTED_VALUE"""),40801.7055555555)</f>
        <v>40801.705555555498</v>
      </c>
      <c r="T394" s="111">
        <f ca="1">IFERROR(__xludf.DUMMYFUNCTION("""COMPUTED_VALUE"""),8.41)</f>
        <v>8.41</v>
      </c>
    </row>
    <row r="395" spans="1:20" x14ac:dyDescent="0.3">
      <c r="A395" s="112">
        <f ca="1">IFERROR(__xludf.DUMMYFUNCTION("""COMPUTED_VALUE"""),40801.7055555555)</f>
        <v>40801.705555555498</v>
      </c>
      <c r="B395" s="111">
        <f ca="1">IFERROR(__xludf.DUMMYFUNCTION("""COMPUTED_VALUE"""),16.1)</f>
        <v>16.100000000000001</v>
      </c>
      <c r="C395" s="112">
        <f ca="1">IFERROR(__xludf.DUMMYFUNCTION("""COMPUTED_VALUE"""),40802.7055555555)</f>
        <v>40802.705555555498</v>
      </c>
      <c r="D395" s="111">
        <f ca="1">IFERROR(__xludf.DUMMYFUNCTION("""COMPUTED_VALUE"""),14.68)</f>
        <v>14.68</v>
      </c>
      <c r="E395" s="112">
        <f ca="1">IFERROR(__xludf.DUMMYFUNCTION("""COMPUTED_VALUE"""),40801.7055555555)</f>
        <v>40801.705555555498</v>
      </c>
      <c r="F395" s="111">
        <f ca="1">IFERROR(__xludf.DUMMYFUNCTION("""COMPUTED_VALUE"""),6.21)</f>
        <v>6.21</v>
      </c>
      <c r="G395" s="112">
        <f ca="1">IFERROR(__xludf.DUMMYFUNCTION("""COMPUTED_VALUE"""),40802.7055555555)</f>
        <v>40802.705555555498</v>
      </c>
      <c r="H395" s="111">
        <f ca="1">IFERROR(__xludf.DUMMYFUNCTION("""COMPUTED_VALUE"""),20.65)</f>
        <v>20.65</v>
      </c>
      <c r="K395" s="112">
        <f ca="1">IFERROR(__xludf.DUMMYFUNCTION("""COMPUTED_VALUE"""),41295.7055555555)</f>
        <v>41295.705555555498</v>
      </c>
      <c r="L395" s="111">
        <f ca="1">IFERROR(__xludf.DUMMYFUNCTION("""COMPUTED_VALUE"""),0.38)</f>
        <v>0.38</v>
      </c>
      <c r="M395" s="112">
        <f ca="1">IFERROR(__xludf.DUMMYFUNCTION("""COMPUTED_VALUE"""),40757.7055555555)</f>
        <v>40757.705555555498</v>
      </c>
      <c r="N395" s="111">
        <f ca="1">IFERROR(__xludf.DUMMYFUNCTION("""COMPUTED_VALUE"""),11.29)</f>
        <v>11.29</v>
      </c>
      <c r="O395" s="112">
        <f ca="1">IFERROR(__xludf.DUMMYFUNCTION("""COMPUTED_VALUE"""),40801.7055555555)</f>
        <v>40801.705555555498</v>
      </c>
      <c r="P395" s="111">
        <f ca="1">IFERROR(__xludf.DUMMYFUNCTION("""COMPUTED_VALUE"""),46.56)</f>
        <v>46.56</v>
      </c>
      <c r="Q395" s="112">
        <f ca="1">IFERROR(__xludf.DUMMYFUNCTION("""COMPUTED_VALUE"""),40801.7055555555)</f>
        <v>40801.705555555498</v>
      </c>
      <c r="R395" s="111">
        <f ca="1">IFERROR(__xludf.DUMMYFUNCTION("""COMPUTED_VALUE"""),26.2)</f>
        <v>26.2</v>
      </c>
      <c r="S395" s="112">
        <f ca="1">IFERROR(__xludf.DUMMYFUNCTION("""COMPUTED_VALUE"""),40802.7055555555)</f>
        <v>40802.705555555498</v>
      </c>
      <c r="T395" s="111">
        <f ca="1">IFERROR(__xludf.DUMMYFUNCTION("""COMPUTED_VALUE"""),8.56)</f>
        <v>8.56</v>
      </c>
    </row>
    <row r="396" spans="1:20" x14ac:dyDescent="0.3">
      <c r="A396" s="112">
        <f ca="1">IFERROR(__xludf.DUMMYFUNCTION("""COMPUTED_VALUE"""),40802.7055555555)</f>
        <v>40802.705555555498</v>
      </c>
      <c r="B396" s="111">
        <f ca="1">IFERROR(__xludf.DUMMYFUNCTION("""COMPUTED_VALUE"""),17.44)</f>
        <v>17.440000000000001</v>
      </c>
      <c r="C396" s="112">
        <f ca="1">IFERROR(__xludf.DUMMYFUNCTION("""COMPUTED_VALUE"""),40806.7055555555)</f>
        <v>40806.705555555498</v>
      </c>
      <c r="D396" s="111">
        <f ca="1">IFERROR(__xludf.DUMMYFUNCTION("""COMPUTED_VALUE"""),14.51)</f>
        <v>14.51</v>
      </c>
      <c r="E396" s="112">
        <f ca="1">IFERROR(__xludf.DUMMYFUNCTION("""COMPUTED_VALUE"""),40802.7055555555)</f>
        <v>40802.705555555498</v>
      </c>
      <c r="F396" s="111">
        <f ca="1">IFERROR(__xludf.DUMMYFUNCTION("""COMPUTED_VALUE"""),6.26)</f>
        <v>6.26</v>
      </c>
      <c r="G396" s="112">
        <f ca="1">IFERROR(__xludf.DUMMYFUNCTION("""COMPUTED_VALUE"""),40805.7055555555)</f>
        <v>40805.705555555498</v>
      </c>
      <c r="H396" s="111">
        <f ca="1">IFERROR(__xludf.DUMMYFUNCTION("""COMPUTED_VALUE"""),20.8)</f>
        <v>20.8</v>
      </c>
      <c r="K396" s="112">
        <f ca="1">IFERROR(__xludf.DUMMYFUNCTION("""COMPUTED_VALUE"""),41296.7055555555)</f>
        <v>41296.705555555498</v>
      </c>
      <c r="L396" s="111">
        <f ca="1">IFERROR(__xludf.DUMMYFUNCTION("""COMPUTED_VALUE"""),0.37)</f>
        <v>0.37</v>
      </c>
      <c r="M396" s="112">
        <f ca="1">IFERROR(__xludf.DUMMYFUNCTION("""COMPUTED_VALUE"""),40758.7055555555)</f>
        <v>40758.705555555498</v>
      </c>
      <c r="N396" s="111">
        <f ca="1">IFERROR(__xludf.DUMMYFUNCTION("""COMPUTED_VALUE"""),11.11)</f>
        <v>11.11</v>
      </c>
      <c r="O396" s="112">
        <f ca="1">IFERROR(__xludf.DUMMYFUNCTION("""COMPUTED_VALUE"""),40802.7055555555)</f>
        <v>40802.705555555498</v>
      </c>
      <c r="P396" s="111">
        <f ca="1">IFERROR(__xludf.DUMMYFUNCTION("""COMPUTED_VALUE"""),46.8)</f>
        <v>46.8</v>
      </c>
      <c r="Q396" s="112">
        <f ca="1">IFERROR(__xludf.DUMMYFUNCTION("""COMPUTED_VALUE"""),40802.7055555555)</f>
        <v>40802.705555555498</v>
      </c>
      <c r="R396" s="111">
        <f ca="1">IFERROR(__xludf.DUMMYFUNCTION("""COMPUTED_VALUE"""),26.61)</f>
        <v>26.61</v>
      </c>
      <c r="S396" s="112">
        <f ca="1">IFERROR(__xludf.DUMMYFUNCTION("""COMPUTED_VALUE"""),40805.7055555555)</f>
        <v>40805.705555555498</v>
      </c>
      <c r="T396" s="111">
        <f ca="1">IFERROR(__xludf.DUMMYFUNCTION("""COMPUTED_VALUE"""),8.22)</f>
        <v>8.2200000000000006</v>
      </c>
    </row>
    <row r="397" spans="1:20" x14ac:dyDescent="0.3">
      <c r="A397" s="112">
        <f ca="1">IFERROR(__xludf.DUMMYFUNCTION("""COMPUTED_VALUE"""),40805.7055555555)</f>
        <v>40805.705555555498</v>
      </c>
      <c r="B397" s="111">
        <f ca="1">IFERROR(__xludf.DUMMYFUNCTION("""COMPUTED_VALUE"""),17.27)</f>
        <v>17.27</v>
      </c>
      <c r="C397" s="112">
        <f ca="1">IFERROR(__xludf.DUMMYFUNCTION("""COMPUTED_VALUE"""),40807.7055555555)</f>
        <v>40807.705555555498</v>
      </c>
      <c r="D397" s="111">
        <f ca="1">IFERROR(__xludf.DUMMYFUNCTION("""COMPUTED_VALUE"""),14.47)</f>
        <v>14.47</v>
      </c>
      <c r="E397" s="112">
        <f ca="1">IFERROR(__xludf.DUMMYFUNCTION("""COMPUTED_VALUE"""),40806.7055555555)</f>
        <v>40806.705555555498</v>
      </c>
      <c r="F397" s="111">
        <f ca="1">IFERROR(__xludf.DUMMYFUNCTION("""COMPUTED_VALUE"""),6.23)</f>
        <v>6.23</v>
      </c>
      <c r="G397" s="112">
        <f ca="1">IFERROR(__xludf.DUMMYFUNCTION("""COMPUTED_VALUE"""),40806.7055555555)</f>
        <v>40806.705555555498</v>
      </c>
      <c r="H397" s="111">
        <f ca="1">IFERROR(__xludf.DUMMYFUNCTION("""COMPUTED_VALUE"""),20.6)</f>
        <v>20.6</v>
      </c>
      <c r="K397" s="112">
        <f ca="1">IFERROR(__xludf.DUMMYFUNCTION("""COMPUTED_VALUE"""),41297.7055555555)</f>
        <v>41297.705555555498</v>
      </c>
      <c r="L397" s="111">
        <f ca="1">IFERROR(__xludf.DUMMYFUNCTION("""COMPUTED_VALUE"""),0.37)</f>
        <v>0.37</v>
      </c>
      <c r="M397" s="112">
        <f ca="1">IFERROR(__xludf.DUMMYFUNCTION("""COMPUTED_VALUE"""),40759.7055555555)</f>
        <v>40759.705555555498</v>
      </c>
      <c r="N397" s="111">
        <f ca="1">IFERROR(__xludf.DUMMYFUNCTION("""COMPUTED_VALUE"""),10.7)</f>
        <v>10.7</v>
      </c>
      <c r="O397" s="112">
        <f ca="1">IFERROR(__xludf.DUMMYFUNCTION("""COMPUTED_VALUE"""),40805.7055555555)</f>
        <v>40805.705555555498</v>
      </c>
      <c r="P397" s="111">
        <f ca="1">IFERROR(__xludf.DUMMYFUNCTION("""COMPUTED_VALUE"""),47.44)</f>
        <v>47.44</v>
      </c>
      <c r="Q397" s="112">
        <f ca="1">IFERROR(__xludf.DUMMYFUNCTION("""COMPUTED_VALUE"""),40805.7055555555)</f>
        <v>40805.705555555498</v>
      </c>
      <c r="R397" s="111">
        <f ca="1">IFERROR(__xludf.DUMMYFUNCTION("""COMPUTED_VALUE"""),26.16)</f>
        <v>26.16</v>
      </c>
      <c r="S397" s="112">
        <f ca="1">IFERROR(__xludf.DUMMYFUNCTION("""COMPUTED_VALUE"""),40806.7055555555)</f>
        <v>40806.705555555498</v>
      </c>
      <c r="T397" s="111">
        <f ca="1">IFERROR(__xludf.DUMMYFUNCTION("""COMPUTED_VALUE"""),8.22)</f>
        <v>8.2200000000000006</v>
      </c>
    </row>
    <row r="398" spans="1:20" x14ac:dyDescent="0.3">
      <c r="A398" s="112">
        <f ca="1">IFERROR(__xludf.DUMMYFUNCTION("""COMPUTED_VALUE"""),40806.7055555555)</f>
        <v>40806.705555555498</v>
      </c>
      <c r="B398" s="111">
        <f ca="1">IFERROR(__xludf.DUMMYFUNCTION("""COMPUTED_VALUE"""),17.14)</f>
        <v>17.14</v>
      </c>
      <c r="C398" s="112">
        <f ca="1">IFERROR(__xludf.DUMMYFUNCTION("""COMPUTED_VALUE"""),40808.7055555555)</f>
        <v>40808.705555555498</v>
      </c>
      <c r="D398" s="111">
        <f ca="1">IFERROR(__xludf.DUMMYFUNCTION("""COMPUTED_VALUE"""),13.9)</f>
        <v>13.9</v>
      </c>
      <c r="E398" s="112">
        <f ca="1">IFERROR(__xludf.DUMMYFUNCTION("""COMPUTED_VALUE"""),40807.7055555555)</f>
        <v>40807.705555555498</v>
      </c>
      <c r="F398" s="111">
        <f ca="1">IFERROR(__xludf.DUMMYFUNCTION("""COMPUTED_VALUE"""),6.21)</f>
        <v>6.21</v>
      </c>
      <c r="G398" s="112">
        <f ca="1">IFERROR(__xludf.DUMMYFUNCTION("""COMPUTED_VALUE"""),40807.7055555555)</f>
        <v>40807.705555555498</v>
      </c>
      <c r="H398" s="111">
        <f ca="1">IFERROR(__xludf.DUMMYFUNCTION("""COMPUTED_VALUE"""),20.6)</f>
        <v>20.6</v>
      </c>
      <c r="K398" s="112">
        <f ca="1">IFERROR(__xludf.DUMMYFUNCTION("""COMPUTED_VALUE"""),41298.7055555555)</f>
        <v>41298.705555555498</v>
      </c>
      <c r="L398" s="111">
        <f ca="1">IFERROR(__xludf.DUMMYFUNCTION("""COMPUTED_VALUE"""),0.36)</f>
        <v>0.36</v>
      </c>
      <c r="M398" s="112">
        <f ca="1">IFERROR(__xludf.DUMMYFUNCTION("""COMPUTED_VALUE"""),40760.7055555555)</f>
        <v>40760.705555555498</v>
      </c>
      <c r="N398" s="111">
        <f ca="1">IFERROR(__xludf.DUMMYFUNCTION("""COMPUTED_VALUE"""),10.85)</f>
        <v>10.85</v>
      </c>
      <c r="O398" s="112">
        <f ca="1">IFERROR(__xludf.DUMMYFUNCTION("""COMPUTED_VALUE"""),40806.7055555555)</f>
        <v>40806.705555555498</v>
      </c>
      <c r="P398" s="111">
        <f ca="1">IFERROR(__xludf.DUMMYFUNCTION("""COMPUTED_VALUE"""),47.92)</f>
        <v>47.92</v>
      </c>
      <c r="Q398" s="112">
        <f ca="1">IFERROR(__xludf.DUMMYFUNCTION("""COMPUTED_VALUE"""),40806.7055555555)</f>
        <v>40806.705555555498</v>
      </c>
      <c r="R398" s="111">
        <f ca="1">IFERROR(__xludf.DUMMYFUNCTION("""COMPUTED_VALUE"""),25.7)</f>
        <v>25.7</v>
      </c>
      <c r="S398" s="112">
        <f ca="1">IFERROR(__xludf.DUMMYFUNCTION("""COMPUTED_VALUE"""),40807.7055555555)</f>
        <v>40807.705555555498</v>
      </c>
      <c r="T398" s="111">
        <f ca="1">IFERROR(__xludf.DUMMYFUNCTION("""COMPUTED_VALUE"""),7.84)</f>
        <v>7.84</v>
      </c>
    </row>
    <row r="399" spans="1:20" x14ac:dyDescent="0.3">
      <c r="A399" s="112">
        <f ca="1">IFERROR(__xludf.DUMMYFUNCTION("""COMPUTED_VALUE"""),40807.7055555555)</f>
        <v>40807.705555555498</v>
      </c>
      <c r="B399" s="111">
        <f ca="1">IFERROR(__xludf.DUMMYFUNCTION("""COMPUTED_VALUE"""),17.38)</f>
        <v>17.38</v>
      </c>
      <c r="C399" s="112">
        <f ca="1">IFERROR(__xludf.DUMMYFUNCTION("""COMPUTED_VALUE"""),40809.7055555555)</f>
        <v>40809.705555555498</v>
      </c>
      <c r="D399" s="111">
        <f ca="1">IFERROR(__xludf.DUMMYFUNCTION("""COMPUTED_VALUE"""),13.74)</f>
        <v>13.74</v>
      </c>
      <c r="E399" s="112">
        <f ca="1">IFERROR(__xludf.DUMMYFUNCTION("""COMPUTED_VALUE"""),40808.7055555555)</f>
        <v>40808.705555555498</v>
      </c>
      <c r="F399" s="111">
        <f ca="1">IFERROR(__xludf.DUMMYFUNCTION("""COMPUTED_VALUE"""),5.93)</f>
        <v>5.93</v>
      </c>
      <c r="G399" s="112">
        <f ca="1">IFERROR(__xludf.DUMMYFUNCTION("""COMPUTED_VALUE"""),40808.7055555555)</f>
        <v>40808.705555555498</v>
      </c>
      <c r="H399" s="111">
        <f ca="1">IFERROR(__xludf.DUMMYFUNCTION("""COMPUTED_VALUE"""),19.5)</f>
        <v>19.5</v>
      </c>
      <c r="K399" s="112">
        <f ca="1">IFERROR(__xludf.DUMMYFUNCTION("""COMPUTED_VALUE"""),41302.7055555555)</f>
        <v>41302.705555555498</v>
      </c>
      <c r="L399" s="111">
        <f ca="1">IFERROR(__xludf.DUMMYFUNCTION("""COMPUTED_VALUE"""),0.37)</f>
        <v>0.37</v>
      </c>
      <c r="M399" s="112">
        <f ca="1">IFERROR(__xludf.DUMMYFUNCTION("""COMPUTED_VALUE"""),40763.7055555555)</f>
        <v>40763.705555555498</v>
      </c>
      <c r="N399" s="111">
        <f ca="1">IFERROR(__xludf.DUMMYFUNCTION("""COMPUTED_VALUE"""),9.9)</f>
        <v>9.9</v>
      </c>
      <c r="O399" s="112">
        <f ca="1">IFERROR(__xludf.DUMMYFUNCTION("""COMPUTED_VALUE"""),40807.7055555555)</f>
        <v>40807.705555555498</v>
      </c>
      <c r="P399" s="111">
        <f ca="1">IFERROR(__xludf.DUMMYFUNCTION("""COMPUTED_VALUE"""),47.12)</f>
        <v>47.12</v>
      </c>
      <c r="Q399" s="112">
        <f ca="1">IFERROR(__xludf.DUMMYFUNCTION("""COMPUTED_VALUE"""),40807.7055555555)</f>
        <v>40807.705555555498</v>
      </c>
      <c r="R399" s="111">
        <f ca="1">IFERROR(__xludf.DUMMYFUNCTION("""COMPUTED_VALUE"""),25.1)</f>
        <v>25.1</v>
      </c>
      <c r="S399" s="112">
        <f ca="1">IFERROR(__xludf.DUMMYFUNCTION("""COMPUTED_VALUE"""),40808.7055555555)</f>
        <v>40808.705555555498</v>
      </c>
      <c r="T399" s="111">
        <f ca="1">IFERROR(__xludf.DUMMYFUNCTION("""COMPUTED_VALUE"""),7.21)</f>
        <v>7.21</v>
      </c>
    </row>
    <row r="400" spans="1:20" x14ac:dyDescent="0.3">
      <c r="A400" s="112">
        <f ca="1">IFERROR(__xludf.DUMMYFUNCTION("""COMPUTED_VALUE"""),40808.7055555555)</f>
        <v>40808.705555555498</v>
      </c>
      <c r="B400" s="111">
        <f ca="1">IFERROR(__xludf.DUMMYFUNCTION("""COMPUTED_VALUE"""),16.26)</f>
        <v>16.260000000000002</v>
      </c>
      <c r="C400" s="112">
        <f ca="1">IFERROR(__xludf.DUMMYFUNCTION("""COMPUTED_VALUE"""),40813.7055555555)</f>
        <v>40813.705555555498</v>
      </c>
      <c r="D400" s="111">
        <f ca="1">IFERROR(__xludf.DUMMYFUNCTION("""COMPUTED_VALUE"""),14.62)</f>
        <v>14.62</v>
      </c>
      <c r="E400" s="112">
        <f ca="1">IFERROR(__xludf.DUMMYFUNCTION("""COMPUTED_VALUE"""),40809.7055555555)</f>
        <v>40809.705555555498</v>
      </c>
      <c r="F400" s="111">
        <f ca="1">IFERROR(__xludf.DUMMYFUNCTION("""COMPUTED_VALUE"""),5.89)</f>
        <v>5.89</v>
      </c>
      <c r="G400" s="112">
        <f ca="1">IFERROR(__xludf.DUMMYFUNCTION("""COMPUTED_VALUE"""),40809.7055555555)</f>
        <v>40809.705555555498</v>
      </c>
      <c r="H400" s="111">
        <f ca="1">IFERROR(__xludf.DUMMYFUNCTION("""COMPUTED_VALUE"""),19.16)</f>
        <v>19.16</v>
      </c>
      <c r="K400" s="112">
        <f ca="1">IFERROR(__xludf.DUMMYFUNCTION("""COMPUTED_VALUE"""),41303.7055555555)</f>
        <v>41303.705555555498</v>
      </c>
      <c r="L400" s="111">
        <f ca="1">IFERROR(__xludf.DUMMYFUNCTION("""COMPUTED_VALUE"""),0.38)</f>
        <v>0.38</v>
      </c>
      <c r="M400" s="112">
        <f ca="1">IFERROR(__xludf.DUMMYFUNCTION("""COMPUTED_VALUE"""),40764.7055555555)</f>
        <v>40764.705555555498</v>
      </c>
      <c r="N400" s="111">
        <f ca="1">IFERROR(__xludf.DUMMYFUNCTION("""COMPUTED_VALUE"""),10.45)</f>
        <v>10.45</v>
      </c>
      <c r="O400" s="112">
        <f ca="1">IFERROR(__xludf.DUMMYFUNCTION("""COMPUTED_VALUE"""),40808.7055555555)</f>
        <v>40808.705555555498</v>
      </c>
      <c r="P400" s="111">
        <f ca="1">IFERROR(__xludf.DUMMYFUNCTION("""COMPUTED_VALUE"""),44.62)</f>
        <v>44.62</v>
      </c>
      <c r="Q400" s="112">
        <f ca="1">IFERROR(__xludf.DUMMYFUNCTION("""COMPUTED_VALUE"""),40808.7055555555)</f>
        <v>40808.705555555498</v>
      </c>
      <c r="R400" s="111">
        <f ca="1">IFERROR(__xludf.DUMMYFUNCTION("""COMPUTED_VALUE"""),24.15)</f>
        <v>24.15</v>
      </c>
      <c r="S400" s="112">
        <f ca="1">IFERROR(__xludf.DUMMYFUNCTION("""COMPUTED_VALUE"""),40809.7055555555)</f>
        <v>40809.705555555498</v>
      </c>
      <c r="T400" s="111">
        <f ca="1">IFERROR(__xludf.DUMMYFUNCTION("""COMPUTED_VALUE"""),7.81)</f>
        <v>7.81</v>
      </c>
    </row>
    <row r="401" spans="1:20" x14ac:dyDescent="0.3">
      <c r="A401" s="112">
        <f ca="1">IFERROR(__xludf.DUMMYFUNCTION("""COMPUTED_VALUE"""),40809.7055555555)</f>
        <v>40809.705555555498</v>
      </c>
      <c r="B401" s="111">
        <f ca="1">IFERROR(__xludf.DUMMYFUNCTION("""COMPUTED_VALUE"""),15.82)</f>
        <v>15.82</v>
      </c>
      <c r="C401" s="112">
        <f ca="1">IFERROR(__xludf.DUMMYFUNCTION("""COMPUTED_VALUE"""),40814.7055555555)</f>
        <v>40814.705555555498</v>
      </c>
      <c r="D401" s="111">
        <f ca="1">IFERROR(__xludf.DUMMYFUNCTION("""COMPUTED_VALUE"""),14.58)</f>
        <v>14.58</v>
      </c>
      <c r="E401" s="112">
        <f ca="1">IFERROR(__xludf.DUMMYFUNCTION("""COMPUTED_VALUE"""),40813.7055555555)</f>
        <v>40813.705555555498</v>
      </c>
      <c r="F401" s="111">
        <f ca="1">IFERROR(__xludf.DUMMYFUNCTION("""COMPUTED_VALUE"""),6.22)</f>
        <v>6.22</v>
      </c>
      <c r="G401" s="112">
        <f ca="1">IFERROR(__xludf.DUMMYFUNCTION("""COMPUTED_VALUE"""),40813.7055555555)</f>
        <v>40813.705555555498</v>
      </c>
      <c r="H401" s="111">
        <f ca="1">IFERROR(__xludf.DUMMYFUNCTION("""COMPUTED_VALUE"""),19.55)</f>
        <v>19.55</v>
      </c>
      <c r="K401" s="112">
        <f ca="1">IFERROR(__xludf.DUMMYFUNCTION("""COMPUTED_VALUE"""),41304.7055555555)</f>
        <v>41304.705555555498</v>
      </c>
      <c r="L401" s="111">
        <f ca="1">IFERROR(__xludf.DUMMYFUNCTION("""COMPUTED_VALUE"""),0.37)</f>
        <v>0.37</v>
      </c>
      <c r="M401" s="112">
        <f ca="1">IFERROR(__xludf.DUMMYFUNCTION("""COMPUTED_VALUE"""),40765.7055555555)</f>
        <v>40765.705555555498</v>
      </c>
      <c r="N401" s="111">
        <f ca="1">IFERROR(__xludf.DUMMYFUNCTION("""COMPUTED_VALUE"""),10.3)</f>
        <v>10.3</v>
      </c>
      <c r="O401" s="112">
        <f ca="1">IFERROR(__xludf.DUMMYFUNCTION("""COMPUTED_VALUE"""),40809.7055555555)</f>
        <v>40809.705555555498</v>
      </c>
      <c r="P401" s="111">
        <f ca="1">IFERROR(__xludf.DUMMYFUNCTION("""COMPUTED_VALUE"""),44.3)</f>
        <v>44.3</v>
      </c>
      <c r="Q401" s="112">
        <f ca="1">IFERROR(__xludf.DUMMYFUNCTION("""COMPUTED_VALUE"""),40809.7055555555)</f>
        <v>40809.705555555498</v>
      </c>
      <c r="R401" s="111">
        <f ca="1">IFERROR(__xludf.DUMMYFUNCTION("""COMPUTED_VALUE"""),23.9)</f>
        <v>23.9</v>
      </c>
      <c r="S401" s="112">
        <f ca="1">IFERROR(__xludf.DUMMYFUNCTION("""COMPUTED_VALUE"""),40813.7055555555)</f>
        <v>40813.705555555498</v>
      </c>
      <c r="T401" s="111">
        <f ca="1">IFERROR(__xludf.DUMMYFUNCTION("""COMPUTED_VALUE"""),7.96)</f>
        <v>7.96</v>
      </c>
    </row>
    <row r="402" spans="1:20" x14ac:dyDescent="0.3">
      <c r="A402" s="112">
        <f ca="1">IFERROR(__xludf.DUMMYFUNCTION("""COMPUTED_VALUE"""),40813.7055555555)</f>
        <v>40813.705555555498</v>
      </c>
      <c r="B402" s="111">
        <f ca="1">IFERROR(__xludf.DUMMYFUNCTION("""COMPUTED_VALUE"""),16)</f>
        <v>16</v>
      </c>
      <c r="C402" s="112">
        <f ca="1">IFERROR(__xludf.DUMMYFUNCTION("""COMPUTED_VALUE"""),40815.7055555555)</f>
        <v>40815.705555555498</v>
      </c>
      <c r="D402" s="111">
        <f ca="1">IFERROR(__xludf.DUMMYFUNCTION("""COMPUTED_VALUE"""),14.68)</f>
        <v>14.68</v>
      </c>
      <c r="E402" s="112">
        <f ca="1">IFERROR(__xludf.DUMMYFUNCTION("""COMPUTED_VALUE"""),40814.7055555555)</f>
        <v>40814.705555555498</v>
      </c>
      <c r="F402" s="111">
        <f ca="1">IFERROR(__xludf.DUMMYFUNCTION("""COMPUTED_VALUE"""),6.18)</f>
        <v>6.18</v>
      </c>
      <c r="G402" s="112">
        <f ca="1">IFERROR(__xludf.DUMMYFUNCTION("""COMPUTED_VALUE"""),40814.7055555555)</f>
        <v>40814.705555555498</v>
      </c>
      <c r="H402" s="111">
        <f ca="1">IFERROR(__xludf.DUMMYFUNCTION("""COMPUTED_VALUE"""),19.35)</f>
        <v>19.350000000000001</v>
      </c>
      <c r="K402" s="112">
        <f ca="1">IFERROR(__xludf.DUMMYFUNCTION("""COMPUTED_VALUE"""),41305.7055555555)</f>
        <v>41305.705555555498</v>
      </c>
      <c r="L402" s="111">
        <f ca="1">IFERROR(__xludf.DUMMYFUNCTION("""COMPUTED_VALUE"""),0.38)</f>
        <v>0.38</v>
      </c>
      <c r="M402" s="112">
        <f ca="1">IFERROR(__xludf.DUMMYFUNCTION("""COMPUTED_VALUE"""),40766.7055555555)</f>
        <v>40766.705555555498</v>
      </c>
      <c r="N402" s="111">
        <f ca="1">IFERROR(__xludf.DUMMYFUNCTION("""COMPUTED_VALUE"""),10.58)</f>
        <v>10.58</v>
      </c>
      <c r="O402" s="112">
        <f ca="1">IFERROR(__xludf.DUMMYFUNCTION("""COMPUTED_VALUE"""),40813.7055555555)</f>
        <v>40813.705555555498</v>
      </c>
      <c r="P402" s="111">
        <f ca="1">IFERROR(__xludf.DUMMYFUNCTION("""COMPUTED_VALUE"""),44.22)</f>
        <v>44.22</v>
      </c>
      <c r="Q402" s="112">
        <f ca="1">IFERROR(__xludf.DUMMYFUNCTION("""COMPUTED_VALUE"""),40813.7055555555)</f>
        <v>40813.705555555498</v>
      </c>
      <c r="R402" s="111">
        <f ca="1">IFERROR(__xludf.DUMMYFUNCTION("""COMPUTED_VALUE"""),24.68)</f>
        <v>24.68</v>
      </c>
      <c r="S402" s="112">
        <f ca="1">IFERROR(__xludf.DUMMYFUNCTION("""COMPUTED_VALUE"""),40814.7055555555)</f>
        <v>40814.705555555498</v>
      </c>
      <c r="T402" s="111">
        <f ca="1">IFERROR(__xludf.DUMMYFUNCTION("""COMPUTED_VALUE"""),7.84)</f>
        <v>7.84</v>
      </c>
    </row>
    <row r="403" spans="1:20" x14ac:dyDescent="0.3">
      <c r="A403" s="112">
        <f ca="1">IFERROR(__xludf.DUMMYFUNCTION("""COMPUTED_VALUE"""),40814.7055555555)</f>
        <v>40814.705555555498</v>
      </c>
      <c r="B403" s="111">
        <f ca="1">IFERROR(__xludf.DUMMYFUNCTION("""COMPUTED_VALUE"""),15.82)</f>
        <v>15.82</v>
      </c>
      <c r="C403" s="112">
        <f ca="1">IFERROR(__xludf.DUMMYFUNCTION("""COMPUTED_VALUE"""),40816.7055555555)</f>
        <v>40816.705555555498</v>
      </c>
      <c r="D403" s="111">
        <f ca="1">IFERROR(__xludf.DUMMYFUNCTION("""COMPUTED_VALUE"""),14.55)</f>
        <v>14.55</v>
      </c>
      <c r="E403" s="112">
        <f ca="1">IFERROR(__xludf.DUMMYFUNCTION("""COMPUTED_VALUE"""),40815.7055555555)</f>
        <v>40815.705555555498</v>
      </c>
      <c r="F403" s="111">
        <f ca="1">IFERROR(__xludf.DUMMYFUNCTION("""COMPUTED_VALUE"""),6.22)</f>
        <v>6.22</v>
      </c>
      <c r="G403" s="112">
        <f ca="1">IFERROR(__xludf.DUMMYFUNCTION("""COMPUTED_VALUE"""),40815.7055555555)</f>
        <v>40815.705555555498</v>
      </c>
      <c r="H403" s="111">
        <f ca="1">IFERROR(__xludf.DUMMYFUNCTION("""COMPUTED_VALUE"""),19.4)</f>
        <v>19.399999999999999</v>
      </c>
      <c r="K403" s="112">
        <f ca="1">IFERROR(__xludf.DUMMYFUNCTION("""COMPUTED_VALUE"""),41306.7055555555)</f>
        <v>41306.705555555498</v>
      </c>
      <c r="L403" s="111">
        <f ca="1">IFERROR(__xludf.DUMMYFUNCTION("""COMPUTED_VALUE"""),0.39)</f>
        <v>0.39</v>
      </c>
      <c r="M403" s="112">
        <f ca="1">IFERROR(__xludf.DUMMYFUNCTION("""COMPUTED_VALUE"""),40767.7055555555)</f>
        <v>40767.705555555498</v>
      </c>
      <c r="N403" s="111">
        <f ca="1">IFERROR(__xludf.DUMMYFUNCTION("""COMPUTED_VALUE"""),10.6)</f>
        <v>10.6</v>
      </c>
      <c r="O403" s="112">
        <f ca="1">IFERROR(__xludf.DUMMYFUNCTION("""COMPUTED_VALUE"""),40814.7055555555)</f>
        <v>40814.705555555498</v>
      </c>
      <c r="P403" s="111">
        <f ca="1">IFERROR(__xludf.DUMMYFUNCTION("""COMPUTED_VALUE"""),43.98)</f>
        <v>43.98</v>
      </c>
      <c r="Q403" s="112">
        <f ca="1">IFERROR(__xludf.DUMMYFUNCTION("""COMPUTED_VALUE"""),40814.7055555555)</f>
        <v>40814.705555555498</v>
      </c>
      <c r="R403" s="111">
        <f ca="1">IFERROR(__xludf.DUMMYFUNCTION("""COMPUTED_VALUE"""),24.6)</f>
        <v>24.6</v>
      </c>
      <c r="S403" s="112">
        <f ca="1">IFERROR(__xludf.DUMMYFUNCTION("""COMPUTED_VALUE"""),40815.7055555555)</f>
        <v>40815.705555555498</v>
      </c>
      <c r="T403" s="111">
        <f ca="1">IFERROR(__xludf.DUMMYFUNCTION("""COMPUTED_VALUE"""),7.86)</f>
        <v>7.86</v>
      </c>
    </row>
    <row r="404" spans="1:20" x14ac:dyDescent="0.3">
      <c r="A404" s="112">
        <f ca="1">IFERROR(__xludf.DUMMYFUNCTION("""COMPUTED_VALUE"""),40815.7055555555)</f>
        <v>40815.705555555498</v>
      </c>
      <c r="B404" s="111">
        <f ca="1">IFERROR(__xludf.DUMMYFUNCTION("""COMPUTED_VALUE"""),15.77)</f>
        <v>15.77</v>
      </c>
      <c r="C404" s="112">
        <f ca="1">IFERROR(__xludf.DUMMYFUNCTION("""COMPUTED_VALUE"""),40819.7055555555)</f>
        <v>40819.705555555498</v>
      </c>
      <c r="D404" s="111">
        <f ca="1">IFERROR(__xludf.DUMMYFUNCTION("""COMPUTED_VALUE"""),14.36)</f>
        <v>14.36</v>
      </c>
      <c r="E404" s="112">
        <f ca="1">IFERROR(__xludf.DUMMYFUNCTION("""COMPUTED_VALUE"""),40816.7055555555)</f>
        <v>40816.705555555498</v>
      </c>
      <c r="F404" s="111">
        <f ca="1">IFERROR(__xludf.DUMMYFUNCTION("""COMPUTED_VALUE"""),6.2)</f>
        <v>6.2</v>
      </c>
      <c r="G404" s="112">
        <f ca="1">IFERROR(__xludf.DUMMYFUNCTION("""COMPUTED_VALUE"""),40816.7055555555)</f>
        <v>40816.705555555498</v>
      </c>
      <c r="H404" s="111">
        <f ca="1">IFERROR(__xludf.DUMMYFUNCTION("""COMPUTED_VALUE"""),19.1)</f>
        <v>19.100000000000001</v>
      </c>
      <c r="K404" s="112">
        <f ca="1">IFERROR(__xludf.DUMMYFUNCTION("""COMPUTED_VALUE"""),41309.7055555555)</f>
        <v>41309.705555555498</v>
      </c>
      <c r="L404" s="111">
        <f ca="1">IFERROR(__xludf.DUMMYFUNCTION("""COMPUTED_VALUE"""),0.39)</f>
        <v>0.39</v>
      </c>
      <c r="M404" s="112">
        <f ca="1">IFERROR(__xludf.DUMMYFUNCTION("""COMPUTED_VALUE"""),40770.7055555555)</f>
        <v>40770.705555555498</v>
      </c>
      <c r="N404" s="111">
        <f ca="1">IFERROR(__xludf.DUMMYFUNCTION("""COMPUTED_VALUE"""),10.76)</f>
        <v>10.76</v>
      </c>
      <c r="O404" s="112">
        <f ca="1">IFERROR(__xludf.DUMMYFUNCTION("""COMPUTED_VALUE"""),40815.7055555555)</f>
        <v>40815.705555555498</v>
      </c>
      <c r="P404" s="111">
        <f ca="1">IFERROR(__xludf.DUMMYFUNCTION("""COMPUTED_VALUE"""),43.71)</f>
        <v>43.71</v>
      </c>
      <c r="Q404" s="112">
        <f ca="1">IFERROR(__xludf.DUMMYFUNCTION("""COMPUTED_VALUE"""),40815.7055555555)</f>
        <v>40815.705555555498</v>
      </c>
      <c r="R404" s="111">
        <f ca="1">IFERROR(__xludf.DUMMYFUNCTION("""COMPUTED_VALUE"""),24.89)</f>
        <v>24.89</v>
      </c>
      <c r="S404" s="112">
        <f ca="1">IFERROR(__xludf.DUMMYFUNCTION("""COMPUTED_VALUE"""),40816.7055555555)</f>
        <v>40816.705555555498</v>
      </c>
      <c r="T404" s="111">
        <f ca="1">IFERROR(__xludf.DUMMYFUNCTION("""COMPUTED_VALUE"""),7.61)</f>
        <v>7.61</v>
      </c>
    </row>
    <row r="405" spans="1:20" x14ac:dyDescent="0.3">
      <c r="A405" s="112">
        <f ca="1">IFERROR(__xludf.DUMMYFUNCTION("""COMPUTED_VALUE"""),40816.7055555555)</f>
        <v>40816.705555555498</v>
      </c>
      <c r="B405" s="111">
        <f ca="1">IFERROR(__xludf.DUMMYFUNCTION("""COMPUTED_VALUE"""),16.02)</f>
        <v>16.02</v>
      </c>
      <c r="C405" s="112">
        <f ca="1">IFERROR(__xludf.DUMMYFUNCTION("""COMPUTED_VALUE"""),40821.7055555555)</f>
        <v>40821.705555555498</v>
      </c>
      <c r="D405" s="111">
        <f ca="1">IFERROR(__xludf.DUMMYFUNCTION("""COMPUTED_VALUE"""),14.43)</f>
        <v>14.43</v>
      </c>
      <c r="E405" s="112">
        <f ca="1">IFERROR(__xludf.DUMMYFUNCTION("""COMPUTED_VALUE"""),40819.7055555555)</f>
        <v>40819.705555555498</v>
      </c>
      <c r="F405" s="111">
        <f ca="1">IFERROR(__xludf.DUMMYFUNCTION("""COMPUTED_VALUE"""),6.08)</f>
        <v>6.08</v>
      </c>
      <c r="G405" s="112">
        <f ca="1">IFERROR(__xludf.DUMMYFUNCTION("""COMPUTED_VALUE"""),40819.7055555555)</f>
        <v>40819.705555555498</v>
      </c>
      <c r="H405" s="111">
        <f ca="1">IFERROR(__xludf.DUMMYFUNCTION("""COMPUTED_VALUE"""),18.41)</f>
        <v>18.41</v>
      </c>
      <c r="K405" s="112">
        <f ca="1">IFERROR(__xludf.DUMMYFUNCTION("""COMPUTED_VALUE"""),41310.7055555555)</f>
        <v>41310.705555555498</v>
      </c>
      <c r="L405" s="111">
        <f ca="1">IFERROR(__xludf.DUMMYFUNCTION("""COMPUTED_VALUE"""),0.37)</f>
        <v>0.37</v>
      </c>
      <c r="M405" s="112">
        <f ca="1">IFERROR(__xludf.DUMMYFUNCTION("""COMPUTED_VALUE"""),40771.7055555555)</f>
        <v>40771.705555555498</v>
      </c>
      <c r="N405" s="111">
        <f ca="1">IFERROR(__xludf.DUMMYFUNCTION("""COMPUTED_VALUE"""),10.77)</f>
        <v>10.77</v>
      </c>
      <c r="O405" s="112">
        <f ca="1">IFERROR(__xludf.DUMMYFUNCTION("""COMPUTED_VALUE"""),40816.7055555555)</f>
        <v>40816.705555555498</v>
      </c>
      <c r="P405" s="111">
        <f ca="1">IFERROR(__xludf.DUMMYFUNCTION("""COMPUTED_VALUE"""),42.65)</f>
        <v>42.65</v>
      </c>
      <c r="Q405" s="112">
        <f ca="1">IFERROR(__xludf.DUMMYFUNCTION("""COMPUTED_VALUE"""),40816.7055555555)</f>
        <v>40816.705555555498</v>
      </c>
      <c r="R405" s="111">
        <f ca="1">IFERROR(__xludf.DUMMYFUNCTION("""COMPUTED_VALUE"""),24.84)</f>
        <v>24.84</v>
      </c>
      <c r="S405" s="112">
        <f ca="1">IFERROR(__xludf.DUMMYFUNCTION("""COMPUTED_VALUE"""),40819.7055555555)</f>
        <v>40819.705555555498</v>
      </c>
      <c r="T405" s="111">
        <f ca="1">IFERROR(__xludf.DUMMYFUNCTION("""COMPUTED_VALUE"""),7.49)</f>
        <v>7.49</v>
      </c>
    </row>
    <row r="406" spans="1:20" x14ac:dyDescent="0.3">
      <c r="A406" s="112">
        <f ca="1">IFERROR(__xludf.DUMMYFUNCTION("""COMPUTED_VALUE"""),40819.7055555555)</f>
        <v>40819.705555555498</v>
      </c>
      <c r="B406" s="111">
        <f ca="1">IFERROR(__xludf.DUMMYFUNCTION("""COMPUTED_VALUE"""),15.77)</f>
        <v>15.77</v>
      </c>
      <c r="C406" s="112">
        <f ca="1">IFERROR(__xludf.DUMMYFUNCTION("""COMPUTED_VALUE"""),40822.7055555555)</f>
        <v>40822.705555555498</v>
      </c>
      <c r="D406" s="111">
        <f ca="1">IFERROR(__xludf.DUMMYFUNCTION("""COMPUTED_VALUE"""),14.7)</f>
        <v>14.7</v>
      </c>
      <c r="E406" s="112">
        <f ca="1">IFERROR(__xludf.DUMMYFUNCTION("""COMPUTED_VALUE"""),40821.7055555555)</f>
        <v>40821.705555555498</v>
      </c>
      <c r="F406" s="111">
        <f ca="1">IFERROR(__xludf.DUMMYFUNCTION("""COMPUTED_VALUE"""),6.08)</f>
        <v>6.08</v>
      </c>
      <c r="G406" s="112">
        <f ca="1">IFERROR(__xludf.DUMMYFUNCTION("""COMPUTED_VALUE"""),40821.7055555555)</f>
        <v>40821.705555555498</v>
      </c>
      <c r="H406" s="111">
        <f ca="1">IFERROR(__xludf.DUMMYFUNCTION("""COMPUTED_VALUE"""),18.21)</f>
        <v>18.21</v>
      </c>
      <c r="K406" s="112">
        <f ca="1">IFERROR(__xludf.DUMMYFUNCTION("""COMPUTED_VALUE"""),41311.7055555555)</f>
        <v>41311.705555555498</v>
      </c>
      <c r="L406" s="111">
        <f ca="1">IFERROR(__xludf.DUMMYFUNCTION("""COMPUTED_VALUE"""),0.36)</f>
        <v>0.36</v>
      </c>
      <c r="M406" s="112">
        <f ca="1">IFERROR(__xludf.DUMMYFUNCTION("""COMPUTED_VALUE"""),40772.7055555555)</f>
        <v>40772.705555555498</v>
      </c>
      <c r="N406" s="111">
        <f ca="1">IFERROR(__xludf.DUMMYFUNCTION("""COMPUTED_VALUE"""),10.97)</f>
        <v>10.97</v>
      </c>
      <c r="O406" s="112">
        <f ca="1">IFERROR(__xludf.DUMMYFUNCTION("""COMPUTED_VALUE"""),40819.7055555555)</f>
        <v>40819.705555555498</v>
      </c>
      <c r="P406" s="111">
        <f ca="1">IFERROR(__xludf.DUMMYFUNCTION("""COMPUTED_VALUE"""),41.37)</f>
        <v>41.37</v>
      </c>
      <c r="Q406" s="112">
        <f ca="1">IFERROR(__xludf.DUMMYFUNCTION("""COMPUTED_VALUE"""),40819.7055555555)</f>
        <v>40819.705555555498</v>
      </c>
      <c r="R406" s="111">
        <f ca="1">IFERROR(__xludf.DUMMYFUNCTION("""COMPUTED_VALUE"""),23.93)</f>
        <v>23.93</v>
      </c>
      <c r="S406" s="112">
        <f ca="1">IFERROR(__xludf.DUMMYFUNCTION("""COMPUTED_VALUE"""),40821.7055555555)</f>
        <v>40821.705555555498</v>
      </c>
      <c r="T406" s="111">
        <f ca="1">IFERROR(__xludf.DUMMYFUNCTION("""COMPUTED_VALUE"""),7.49)</f>
        <v>7.49</v>
      </c>
    </row>
    <row r="407" spans="1:20" x14ac:dyDescent="0.3">
      <c r="A407" s="112">
        <f ca="1">IFERROR(__xludf.DUMMYFUNCTION("""COMPUTED_VALUE"""),40821.7055555555)</f>
        <v>40821.705555555498</v>
      </c>
      <c r="B407" s="111">
        <f ca="1">IFERROR(__xludf.DUMMYFUNCTION("""COMPUTED_VALUE"""),15.28)</f>
        <v>15.28</v>
      </c>
      <c r="C407" s="112">
        <f ca="1">IFERROR(__xludf.DUMMYFUNCTION("""COMPUTED_VALUE"""),40823.7055555555)</f>
        <v>40823.705555555498</v>
      </c>
      <c r="D407" s="111">
        <f ca="1">IFERROR(__xludf.DUMMYFUNCTION("""COMPUTED_VALUE"""),14.52)</f>
        <v>14.52</v>
      </c>
      <c r="E407" s="112">
        <f ca="1">IFERROR(__xludf.DUMMYFUNCTION("""COMPUTED_VALUE"""),40822.7055555555)</f>
        <v>40822.705555555498</v>
      </c>
      <c r="F407" s="111">
        <f ca="1">IFERROR(__xludf.DUMMYFUNCTION("""COMPUTED_VALUE"""),6.21)</f>
        <v>6.21</v>
      </c>
      <c r="G407" s="112">
        <f ca="1">IFERROR(__xludf.DUMMYFUNCTION("""COMPUTED_VALUE"""),40822.7055555555)</f>
        <v>40822.705555555498</v>
      </c>
      <c r="H407" s="111">
        <f ca="1">IFERROR(__xludf.DUMMYFUNCTION("""COMPUTED_VALUE"""),18.85)</f>
        <v>18.850000000000001</v>
      </c>
      <c r="K407" s="112">
        <f ca="1">IFERROR(__xludf.DUMMYFUNCTION("""COMPUTED_VALUE"""),41312.7055555555)</f>
        <v>41312.705555555498</v>
      </c>
      <c r="L407" s="111">
        <f ca="1">IFERROR(__xludf.DUMMYFUNCTION("""COMPUTED_VALUE"""),0.36)</f>
        <v>0.36</v>
      </c>
      <c r="M407" s="112">
        <f ca="1">IFERROR(__xludf.DUMMYFUNCTION("""COMPUTED_VALUE"""),40773.7055555555)</f>
        <v>40773.705555555498</v>
      </c>
      <c r="N407" s="111">
        <f ca="1">IFERROR(__xludf.DUMMYFUNCTION("""COMPUTED_VALUE"""),10.55)</f>
        <v>10.55</v>
      </c>
      <c r="O407" s="112">
        <f ca="1">IFERROR(__xludf.DUMMYFUNCTION("""COMPUTED_VALUE"""),40821.7055555555)</f>
        <v>40821.705555555498</v>
      </c>
      <c r="P407" s="111">
        <f ca="1">IFERROR(__xludf.DUMMYFUNCTION("""COMPUTED_VALUE"""),41.85)</f>
        <v>41.85</v>
      </c>
      <c r="Q407" s="112">
        <f ca="1">IFERROR(__xludf.DUMMYFUNCTION("""COMPUTED_VALUE"""),40821.7055555555)</f>
        <v>40821.705555555498</v>
      </c>
      <c r="R407" s="111">
        <f ca="1">IFERROR(__xludf.DUMMYFUNCTION("""COMPUTED_VALUE"""),23.6)</f>
        <v>23.6</v>
      </c>
      <c r="S407" s="112">
        <f ca="1">IFERROR(__xludf.DUMMYFUNCTION("""COMPUTED_VALUE"""),40822.7055555555)</f>
        <v>40822.705555555498</v>
      </c>
      <c r="T407" s="111">
        <f ca="1">IFERROR(__xludf.DUMMYFUNCTION("""COMPUTED_VALUE"""),7.8)</f>
        <v>7.8</v>
      </c>
    </row>
    <row r="408" spans="1:20" x14ac:dyDescent="0.3">
      <c r="A408" s="112">
        <f ca="1">IFERROR(__xludf.DUMMYFUNCTION("""COMPUTED_VALUE"""),40822.7055555555)</f>
        <v>40822.705555555498</v>
      </c>
      <c r="B408" s="111">
        <f ca="1">IFERROR(__xludf.DUMMYFUNCTION("""COMPUTED_VALUE"""),15.5)</f>
        <v>15.5</v>
      </c>
      <c r="C408" s="112">
        <f ca="1">IFERROR(__xludf.DUMMYFUNCTION("""COMPUTED_VALUE"""),40826.7055555555)</f>
        <v>40826.705555555498</v>
      </c>
      <c r="D408" s="111">
        <f ca="1">IFERROR(__xludf.DUMMYFUNCTION("""COMPUTED_VALUE"""),15.09)</f>
        <v>15.09</v>
      </c>
      <c r="E408" s="112">
        <f ca="1">IFERROR(__xludf.DUMMYFUNCTION("""COMPUTED_VALUE"""),40823.7055555555)</f>
        <v>40823.705555555498</v>
      </c>
      <c r="F408" s="111">
        <f ca="1">IFERROR(__xludf.DUMMYFUNCTION("""COMPUTED_VALUE"""),6.1)</f>
        <v>6.1</v>
      </c>
      <c r="G408" s="112">
        <f ca="1">IFERROR(__xludf.DUMMYFUNCTION("""COMPUTED_VALUE"""),40823.7055555555)</f>
        <v>40823.705555555498</v>
      </c>
      <c r="H408" s="111">
        <f ca="1">IFERROR(__xludf.DUMMYFUNCTION("""COMPUTED_VALUE"""),18.3)</f>
        <v>18.3</v>
      </c>
      <c r="K408" s="112">
        <f ca="1">IFERROR(__xludf.DUMMYFUNCTION("""COMPUTED_VALUE"""),41313.7055555555)</f>
        <v>41313.705555555498</v>
      </c>
      <c r="L408" s="111">
        <f ca="1">IFERROR(__xludf.DUMMYFUNCTION("""COMPUTED_VALUE"""),0.35)</f>
        <v>0.35</v>
      </c>
      <c r="M408" s="112">
        <f ca="1">IFERROR(__xludf.DUMMYFUNCTION("""COMPUTED_VALUE"""),40774.7055555555)</f>
        <v>40774.705555555498</v>
      </c>
      <c r="N408" s="111">
        <f ca="1">IFERROR(__xludf.DUMMYFUNCTION("""COMPUTED_VALUE"""),10.29)</f>
        <v>10.29</v>
      </c>
      <c r="O408" s="112">
        <f ca="1">IFERROR(__xludf.DUMMYFUNCTION("""COMPUTED_VALUE"""),40822.7055555555)</f>
        <v>40822.705555555498</v>
      </c>
      <c r="P408" s="111">
        <f ca="1">IFERROR(__xludf.DUMMYFUNCTION("""COMPUTED_VALUE"""),42.45)</f>
        <v>42.45</v>
      </c>
      <c r="Q408" s="112">
        <f ca="1">IFERROR(__xludf.DUMMYFUNCTION("""COMPUTED_VALUE"""),40822.7055555555)</f>
        <v>40822.705555555498</v>
      </c>
      <c r="R408" s="111">
        <f ca="1">IFERROR(__xludf.DUMMYFUNCTION("""COMPUTED_VALUE"""),23.7)</f>
        <v>23.7</v>
      </c>
      <c r="S408" s="112">
        <f ca="1">IFERROR(__xludf.DUMMYFUNCTION("""COMPUTED_VALUE"""),40823.7055555555)</f>
        <v>40823.705555555498</v>
      </c>
      <c r="T408" s="111">
        <f ca="1">IFERROR(__xludf.DUMMYFUNCTION("""COMPUTED_VALUE"""),7.36)</f>
        <v>7.36</v>
      </c>
    </row>
    <row r="409" spans="1:20" x14ac:dyDescent="0.3">
      <c r="A409" s="112">
        <f ca="1">IFERROR(__xludf.DUMMYFUNCTION("""COMPUTED_VALUE"""),40823.7055555555)</f>
        <v>40823.705555555498</v>
      </c>
      <c r="B409" s="111">
        <f ca="1">IFERROR(__xludf.DUMMYFUNCTION("""COMPUTED_VALUE"""),15.18)</f>
        <v>15.18</v>
      </c>
      <c r="C409" s="112">
        <f ca="1">IFERROR(__xludf.DUMMYFUNCTION("""COMPUTED_VALUE"""),40827.7055555555)</f>
        <v>40827.705555555498</v>
      </c>
      <c r="D409" s="111">
        <f ca="1">IFERROR(__xludf.DUMMYFUNCTION("""COMPUTED_VALUE"""),15.38)</f>
        <v>15.38</v>
      </c>
      <c r="E409" s="112">
        <f ca="1">IFERROR(__xludf.DUMMYFUNCTION("""COMPUTED_VALUE"""),40826.7055555555)</f>
        <v>40826.705555555498</v>
      </c>
      <c r="F409" s="111">
        <f ca="1">IFERROR(__xludf.DUMMYFUNCTION("""COMPUTED_VALUE"""),6.36)</f>
        <v>6.36</v>
      </c>
      <c r="G409" s="112">
        <f ca="1">IFERROR(__xludf.DUMMYFUNCTION("""COMPUTED_VALUE"""),40826.7055555555)</f>
        <v>40826.705555555498</v>
      </c>
      <c r="H409" s="111">
        <f ca="1">IFERROR(__xludf.DUMMYFUNCTION("""COMPUTED_VALUE"""),18.91)</f>
        <v>18.91</v>
      </c>
      <c r="K409" s="112">
        <f ca="1">IFERROR(__xludf.DUMMYFUNCTION("""COMPUTED_VALUE"""),41318.7055555555)</f>
        <v>41318.705555555498</v>
      </c>
      <c r="L409" s="111">
        <f ca="1">IFERROR(__xludf.DUMMYFUNCTION("""COMPUTED_VALUE"""),0.35)</f>
        <v>0.35</v>
      </c>
      <c r="M409" s="112">
        <f ca="1">IFERROR(__xludf.DUMMYFUNCTION("""COMPUTED_VALUE"""),40777.7055555555)</f>
        <v>40777.705555555498</v>
      </c>
      <c r="N409" s="111">
        <f ca="1">IFERROR(__xludf.DUMMYFUNCTION("""COMPUTED_VALUE"""),10.27)</f>
        <v>10.27</v>
      </c>
      <c r="O409" s="112">
        <f ca="1">IFERROR(__xludf.DUMMYFUNCTION("""COMPUTED_VALUE"""),40823.7055555555)</f>
        <v>40823.705555555498</v>
      </c>
      <c r="P409" s="111">
        <f ca="1">IFERROR(__xludf.DUMMYFUNCTION("""COMPUTED_VALUE"""),41.21)</f>
        <v>41.21</v>
      </c>
      <c r="Q409" s="112">
        <f ca="1">IFERROR(__xludf.DUMMYFUNCTION("""COMPUTED_VALUE"""),40823.7055555555)</f>
        <v>40823.705555555498</v>
      </c>
      <c r="R409" s="111">
        <f ca="1">IFERROR(__xludf.DUMMYFUNCTION("""COMPUTED_VALUE"""),23)</f>
        <v>23</v>
      </c>
      <c r="S409" s="112">
        <f ca="1">IFERROR(__xludf.DUMMYFUNCTION("""COMPUTED_VALUE"""),40826.7055555555)</f>
        <v>40826.705555555498</v>
      </c>
      <c r="T409" s="111">
        <f ca="1">IFERROR(__xludf.DUMMYFUNCTION("""COMPUTED_VALUE"""),7.89)</f>
        <v>7.89</v>
      </c>
    </row>
    <row r="410" spans="1:20" x14ac:dyDescent="0.3">
      <c r="A410" s="112">
        <f ca="1">IFERROR(__xludf.DUMMYFUNCTION("""COMPUTED_VALUE"""),40826.7055555555)</f>
        <v>40826.705555555498</v>
      </c>
      <c r="B410" s="111">
        <f ca="1">IFERROR(__xludf.DUMMYFUNCTION("""COMPUTED_VALUE"""),15.95)</f>
        <v>15.95</v>
      </c>
      <c r="C410" s="112">
        <f ca="1">IFERROR(__xludf.DUMMYFUNCTION("""COMPUTED_VALUE"""),40829.7055555555)</f>
        <v>40829.705555555498</v>
      </c>
      <c r="D410" s="111">
        <f ca="1">IFERROR(__xludf.DUMMYFUNCTION("""COMPUTED_VALUE"""),15.55)</f>
        <v>15.55</v>
      </c>
      <c r="E410" s="112">
        <f ca="1">IFERROR(__xludf.DUMMYFUNCTION("""COMPUTED_VALUE"""),40827.7055555555)</f>
        <v>40827.705555555498</v>
      </c>
      <c r="F410" s="111">
        <f ca="1">IFERROR(__xludf.DUMMYFUNCTION("""COMPUTED_VALUE"""),6.49)</f>
        <v>6.49</v>
      </c>
      <c r="G410" s="112">
        <f ca="1">IFERROR(__xludf.DUMMYFUNCTION("""COMPUTED_VALUE"""),40827.7055555555)</f>
        <v>40827.705555555498</v>
      </c>
      <c r="H410" s="111">
        <f ca="1">IFERROR(__xludf.DUMMYFUNCTION("""COMPUTED_VALUE"""),19.16)</f>
        <v>19.16</v>
      </c>
      <c r="K410" s="112">
        <f ca="1">IFERROR(__xludf.DUMMYFUNCTION("""COMPUTED_VALUE"""),41319.7055555555)</f>
        <v>41319.705555555498</v>
      </c>
      <c r="L410" s="111">
        <f ca="1">IFERROR(__xludf.DUMMYFUNCTION("""COMPUTED_VALUE"""),0.35)</f>
        <v>0.35</v>
      </c>
      <c r="M410" s="112">
        <f ca="1">IFERROR(__xludf.DUMMYFUNCTION("""COMPUTED_VALUE"""),40778.7055555555)</f>
        <v>40778.705555555498</v>
      </c>
      <c r="N410" s="111">
        <f ca="1">IFERROR(__xludf.DUMMYFUNCTION("""COMPUTED_VALUE"""),10.43)</f>
        <v>10.43</v>
      </c>
      <c r="O410" s="112">
        <f ca="1">IFERROR(__xludf.DUMMYFUNCTION("""COMPUTED_VALUE"""),40826.7055555555)</f>
        <v>40826.705555555498</v>
      </c>
      <c r="P410" s="111">
        <f ca="1">IFERROR(__xludf.DUMMYFUNCTION("""COMPUTED_VALUE"""),42.5)</f>
        <v>42.5</v>
      </c>
      <c r="Q410" s="112">
        <f ca="1">IFERROR(__xludf.DUMMYFUNCTION("""COMPUTED_VALUE"""),40826.7055555555)</f>
        <v>40826.705555555498</v>
      </c>
      <c r="R410" s="111">
        <f ca="1">IFERROR(__xludf.DUMMYFUNCTION("""COMPUTED_VALUE"""),24.17)</f>
        <v>24.17</v>
      </c>
      <c r="S410" s="112">
        <f ca="1">IFERROR(__xludf.DUMMYFUNCTION("""COMPUTED_VALUE"""),40827.7055555555)</f>
        <v>40827.705555555498</v>
      </c>
      <c r="T410" s="111">
        <f ca="1">IFERROR(__xludf.DUMMYFUNCTION("""COMPUTED_VALUE"""),7.99)</f>
        <v>7.99</v>
      </c>
    </row>
    <row r="411" spans="1:20" x14ac:dyDescent="0.3">
      <c r="A411" s="112">
        <f ca="1">IFERROR(__xludf.DUMMYFUNCTION("""COMPUTED_VALUE"""),40827.7055555555)</f>
        <v>40827.705555555498</v>
      </c>
      <c r="B411" s="111">
        <f ca="1">IFERROR(__xludf.DUMMYFUNCTION("""COMPUTED_VALUE"""),16.28)</f>
        <v>16.28</v>
      </c>
      <c r="C411" s="112">
        <f ca="1">IFERROR(__xludf.DUMMYFUNCTION("""COMPUTED_VALUE"""),40830.7055555555)</f>
        <v>40830.705555555498</v>
      </c>
      <c r="D411" s="111">
        <f ca="1">IFERROR(__xludf.DUMMYFUNCTION("""COMPUTED_VALUE"""),15.73)</f>
        <v>15.73</v>
      </c>
      <c r="E411" s="112">
        <f ca="1">IFERROR(__xludf.DUMMYFUNCTION("""COMPUTED_VALUE"""),40829.7055555555)</f>
        <v>40829.705555555498</v>
      </c>
      <c r="F411" s="111">
        <f ca="1">IFERROR(__xludf.DUMMYFUNCTION("""COMPUTED_VALUE"""),6.58)</f>
        <v>6.58</v>
      </c>
      <c r="G411" s="112">
        <f ca="1">IFERROR(__xludf.DUMMYFUNCTION("""COMPUTED_VALUE"""),40829.7055555555)</f>
        <v>40829.705555555498</v>
      </c>
      <c r="H411" s="111">
        <f ca="1">IFERROR(__xludf.DUMMYFUNCTION("""COMPUTED_VALUE"""),19.39)</f>
        <v>19.39</v>
      </c>
      <c r="K411" s="112">
        <f ca="1">IFERROR(__xludf.DUMMYFUNCTION("""COMPUTED_VALUE"""),41320.7055555555)</f>
        <v>41320.705555555498</v>
      </c>
      <c r="L411" s="111">
        <f ca="1">IFERROR(__xludf.DUMMYFUNCTION("""COMPUTED_VALUE"""),0.34)</f>
        <v>0.34</v>
      </c>
      <c r="M411" s="112">
        <f ca="1">IFERROR(__xludf.DUMMYFUNCTION("""COMPUTED_VALUE"""),40779.7055555555)</f>
        <v>40779.705555555498</v>
      </c>
      <c r="N411" s="111">
        <f ca="1">IFERROR(__xludf.DUMMYFUNCTION("""COMPUTED_VALUE"""),10.51)</f>
        <v>10.51</v>
      </c>
      <c r="O411" s="112">
        <f ca="1">IFERROR(__xludf.DUMMYFUNCTION("""COMPUTED_VALUE"""),40827.7055555555)</f>
        <v>40827.705555555498</v>
      </c>
      <c r="P411" s="111">
        <f ca="1">IFERROR(__xludf.DUMMYFUNCTION("""COMPUTED_VALUE"""),43.12)</f>
        <v>43.12</v>
      </c>
      <c r="Q411" s="112">
        <f ca="1">IFERROR(__xludf.DUMMYFUNCTION("""COMPUTED_VALUE"""),40827.7055555555)</f>
        <v>40827.705555555498</v>
      </c>
      <c r="R411" s="111">
        <f ca="1">IFERROR(__xludf.DUMMYFUNCTION("""COMPUTED_VALUE"""),23.35)</f>
        <v>23.35</v>
      </c>
      <c r="S411" s="112">
        <f ca="1">IFERROR(__xludf.DUMMYFUNCTION("""COMPUTED_VALUE"""),40829.7055555555)</f>
        <v>40829.705555555498</v>
      </c>
      <c r="T411" s="111">
        <f ca="1">IFERROR(__xludf.DUMMYFUNCTION("""COMPUTED_VALUE"""),8.17)</f>
        <v>8.17</v>
      </c>
    </row>
    <row r="412" spans="1:20" x14ac:dyDescent="0.3">
      <c r="A412" s="112">
        <f ca="1">IFERROR(__xludf.DUMMYFUNCTION("""COMPUTED_VALUE"""),40829.7055555555)</f>
        <v>40829.705555555498</v>
      </c>
      <c r="B412" s="111">
        <f ca="1">IFERROR(__xludf.DUMMYFUNCTION("""COMPUTED_VALUE"""),16.25)</f>
        <v>16.25</v>
      </c>
      <c r="C412" s="112">
        <f ca="1">IFERROR(__xludf.DUMMYFUNCTION("""COMPUTED_VALUE"""),40834.7055555555)</f>
        <v>40834.705555555498</v>
      </c>
      <c r="D412" s="111">
        <f ca="1">IFERROR(__xludf.DUMMYFUNCTION("""COMPUTED_VALUE"""),15.68)</f>
        <v>15.68</v>
      </c>
      <c r="E412" s="112">
        <f ca="1">IFERROR(__xludf.DUMMYFUNCTION("""COMPUTED_VALUE"""),40830.7055555555)</f>
        <v>40830.705555555498</v>
      </c>
      <c r="F412" s="111">
        <f ca="1">IFERROR(__xludf.DUMMYFUNCTION("""COMPUTED_VALUE"""),6.63)</f>
        <v>6.63</v>
      </c>
      <c r="G412" s="112">
        <f ca="1">IFERROR(__xludf.DUMMYFUNCTION("""COMPUTED_VALUE"""),40830.7055555555)</f>
        <v>40830.705555555498</v>
      </c>
      <c r="H412" s="111">
        <f ca="1">IFERROR(__xludf.DUMMYFUNCTION("""COMPUTED_VALUE"""),19.64)</f>
        <v>19.64</v>
      </c>
      <c r="K412" s="112">
        <f ca="1">IFERROR(__xludf.DUMMYFUNCTION("""COMPUTED_VALUE"""),41323.7055555555)</f>
        <v>41323.705555555498</v>
      </c>
      <c r="L412" s="111">
        <f ca="1">IFERROR(__xludf.DUMMYFUNCTION("""COMPUTED_VALUE"""),0.33)</f>
        <v>0.33</v>
      </c>
      <c r="M412" s="112">
        <f ca="1">IFERROR(__xludf.DUMMYFUNCTION("""COMPUTED_VALUE"""),40780.7055555555)</f>
        <v>40780.705555555498</v>
      </c>
      <c r="N412" s="111">
        <f ca="1">IFERROR(__xludf.DUMMYFUNCTION("""COMPUTED_VALUE"""),10.43)</f>
        <v>10.43</v>
      </c>
      <c r="O412" s="112">
        <f ca="1">IFERROR(__xludf.DUMMYFUNCTION("""COMPUTED_VALUE"""),40829.7055555555)</f>
        <v>40829.705555555498</v>
      </c>
      <c r="P412" s="111">
        <f ca="1">IFERROR(__xludf.DUMMYFUNCTION("""COMPUTED_VALUE"""),43.95)</f>
        <v>43.95</v>
      </c>
      <c r="Q412" s="112">
        <f ca="1">IFERROR(__xludf.DUMMYFUNCTION("""COMPUTED_VALUE"""),40829.7055555555)</f>
        <v>40829.705555555498</v>
      </c>
      <c r="R412" s="111">
        <f ca="1">IFERROR(__xludf.DUMMYFUNCTION("""COMPUTED_VALUE"""),23.55)</f>
        <v>23.55</v>
      </c>
      <c r="S412" s="112">
        <f ca="1">IFERROR(__xludf.DUMMYFUNCTION("""COMPUTED_VALUE"""),40830.7055555555)</f>
        <v>40830.705555555498</v>
      </c>
      <c r="T412" s="111">
        <f ca="1">IFERROR(__xludf.DUMMYFUNCTION("""COMPUTED_VALUE"""),8.06)</f>
        <v>8.06</v>
      </c>
    </row>
    <row r="413" spans="1:20" x14ac:dyDescent="0.3">
      <c r="A413" s="112">
        <f ca="1">IFERROR(__xludf.DUMMYFUNCTION("""COMPUTED_VALUE"""),40830.7055555555)</f>
        <v>40830.705555555498</v>
      </c>
      <c r="B413" s="111">
        <f ca="1">IFERROR(__xludf.DUMMYFUNCTION("""COMPUTED_VALUE"""),16.29)</f>
        <v>16.29</v>
      </c>
      <c r="C413" s="112">
        <f ca="1">IFERROR(__xludf.DUMMYFUNCTION("""COMPUTED_VALUE"""),40835.7055555555)</f>
        <v>40835.705555555498</v>
      </c>
      <c r="D413" s="111">
        <f ca="1">IFERROR(__xludf.DUMMYFUNCTION("""COMPUTED_VALUE"""),16.03)</f>
        <v>16.03</v>
      </c>
      <c r="E413" s="112">
        <f ca="1">IFERROR(__xludf.DUMMYFUNCTION("""COMPUTED_VALUE"""),40834.7055555555)</f>
        <v>40834.705555555498</v>
      </c>
      <c r="F413" s="111">
        <f ca="1">IFERROR(__xludf.DUMMYFUNCTION("""COMPUTED_VALUE"""),6.62)</f>
        <v>6.62</v>
      </c>
      <c r="G413" s="112">
        <f ca="1">IFERROR(__xludf.DUMMYFUNCTION("""COMPUTED_VALUE"""),40834.7055555555)</f>
        <v>40834.705555555498</v>
      </c>
      <c r="H413" s="111">
        <f ca="1">IFERROR(__xludf.DUMMYFUNCTION("""COMPUTED_VALUE"""),19.3)</f>
        <v>19.3</v>
      </c>
      <c r="K413" s="112">
        <f ca="1">IFERROR(__xludf.DUMMYFUNCTION("""COMPUTED_VALUE"""),41324.7055555555)</f>
        <v>41324.705555555498</v>
      </c>
      <c r="L413" s="111">
        <f ca="1">IFERROR(__xludf.DUMMYFUNCTION("""COMPUTED_VALUE"""),0.34)</f>
        <v>0.34</v>
      </c>
      <c r="M413" s="112">
        <f ca="1">IFERROR(__xludf.DUMMYFUNCTION("""COMPUTED_VALUE"""),40781.7055555555)</f>
        <v>40781.705555555498</v>
      </c>
      <c r="N413" s="111">
        <f ca="1">IFERROR(__xludf.DUMMYFUNCTION("""COMPUTED_VALUE"""),10.41)</f>
        <v>10.41</v>
      </c>
      <c r="O413" s="112">
        <f ca="1">IFERROR(__xludf.DUMMYFUNCTION("""COMPUTED_VALUE"""),40830.7055555555)</f>
        <v>40830.705555555498</v>
      </c>
      <c r="P413" s="111">
        <f ca="1">IFERROR(__xludf.DUMMYFUNCTION("""COMPUTED_VALUE"""),44.02)</f>
        <v>44.02</v>
      </c>
      <c r="Q413" s="112">
        <f ca="1">IFERROR(__xludf.DUMMYFUNCTION("""COMPUTED_VALUE"""),40830.7055555555)</f>
        <v>40830.705555555498</v>
      </c>
      <c r="R413" s="111">
        <f ca="1">IFERROR(__xludf.DUMMYFUNCTION("""COMPUTED_VALUE"""),23.69)</f>
        <v>23.69</v>
      </c>
      <c r="S413" s="112">
        <f ca="1">IFERROR(__xludf.DUMMYFUNCTION("""COMPUTED_VALUE"""),40834.7055555555)</f>
        <v>40834.705555555498</v>
      </c>
      <c r="T413" s="111">
        <f ca="1">IFERROR(__xludf.DUMMYFUNCTION("""COMPUTED_VALUE"""),7.93)</f>
        <v>7.93</v>
      </c>
    </row>
    <row r="414" spans="1:20" x14ac:dyDescent="0.3">
      <c r="A414" s="112">
        <f ca="1">IFERROR(__xludf.DUMMYFUNCTION("""COMPUTED_VALUE"""),40834.7055555555)</f>
        <v>40834.705555555498</v>
      </c>
      <c r="B414" s="111">
        <f ca="1">IFERROR(__xludf.DUMMYFUNCTION("""COMPUTED_VALUE"""),16.42)</f>
        <v>16.420000000000002</v>
      </c>
      <c r="C414" s="112">
        <f ca="1">IFERROR(__xludf.DUMMYFUNCTION("""COMPUTED_VALUE"""),40836.7055555555)</f>
        <v>40836.705555555498</v>
      </c>
      <c r="D414" s="111">
        <f ca="1">IFERROR(__xludf.DUMMYFUNCTION("""COMPUTED_VALUE"""),15.83)</f>
        <v>15.83</v>
      </c>
      <c r="E414" s="112">
        <f ca="1">IFERROR(__xludf.DUMMYFUNCTION("""COMPUTED_VALUE"""),40835.7055555555)</f>
        <v>40835.705555555498</v>
      </c>
      <c r="F414" s="111">
        <f ca="1">IFERROR(__xludf.DUMMYFUNCTION("""COMPUTED_VALUE"""),6.77)</f>
        <v>6.77</v>
      </c>
      <c r="G414" s="112">
        <f ca="1">IFERROR(__xludf.DUMMYFUNCTION("""COMPUTED_VALUE"""),40835.7055555555)</f>
        <v>40835.705555555498</v>
      </c>
      <c r="H414" s="111">
        <f ca="1">IFERROR(__xludf.DUMMYFUNCTION("""COMPUTED_VALUE"""),19.23)</f>
        <v>19.23</v>
      </c>
      <c r="K414" s="112">
        <f ca="1">IFERROR(__xludf.DUMMYFUNCTION("""COMPUTED_VALUE"""),41325.7055555555)</f>
        <v>41325.705555555498</v>
      </c>
      <c r="L414" s="111">
        <f ca="1">IFERROR(__xludf.DUMMYFUNCTION("""COMPUTED_VALUE"""),0.33)</f>
        <v>0.33</v>
      </c>
      <c r="M414" s="112">
        <f ca="1">IFERROR(__xludf.DUMMYFUNCTION("""COMPUTED_VALUE"""),40784.7055555555)</f>
        <v>40784.705555555498</v>
      </c>
      <c r="N414" s="111">
        <f ca="1">IFERROR(__xludf.DUMMYFUNCTION("""COMPUTED_VALUE"""),10.65)</f>
        <v>10.65</v>
      </c>
      <c r="O414" s="112">
        <f ca="1">IFERROR(__xludf.DUMMYFUNCTION("""COMPUTED_VALUE"""),40834.7055555555)</f>
        <v>40834.705555555498</v>
      </c>
      <c r="P414" s="111">
        <f ca="1">IFERROR(__xludf.DUMMYFUNCTION("""COMPUTED_VALUE"""),41.38)</f>
        <v>41.38</v>
      </c>
      <c r="Q414" s="112">
        <f ca="1">IFERROR(__xludf.DUMMYFUNCTION("""COMPUTED_VALUE"""),40834.7055555555)</f>
        <v>40834.705555555498</v>
      </c>
      <c r="R414" s="111">
        <f ca="1">IFERROR(__xludf.DUMMYFUNCTION("""COMPUTED_VALUE"""),23.45)</f>
        <v>23.45</v>
      </c>
      <c r="S414" s="112">
        <f ca="1">IFERROR(__xludf.DUMMYFUNCTION("""COMPUTED_VALUE"""),40835.7055555555)</f>
        <v>40835.705555555498</v>
      </c>
      <c r="T414" s="111">
        <f ca="1">IFERROR(__xludf.DUMMYFUNCTION("""COMPUTED_VALUE"""),8.51)</f>
        <v>8.51</v>
      </c>
    </row>
    <row r="415" spans="1:20" x14ac:dyDescent="0.3">
      <c r="A415" s="112">
        <f ca="1">IFERROR(__xludf.DUMMYFUNCTION("""COMPUTED_VALUE"""),40835.7055555555)</f>
        <v>40835.705555555498</v>
      </c>
      <c r="B415" s="111">
        <f ca="1">IFERROR(__xludf.DUMMYFUNCTION("""COMPUTED_VALUE"""),16.36)</f>
        <v>16.36</v>
      </c>
      <c r="C415" s="112">
        <f ca="1">IFERROR(__xludf.DUMMYFUNCTION("""COMPUTED_VALUE"""),40837.7055555555)</f>
        <v>40837.705555555498</v>
      </c>
      <c r="D415" s="111">
        <f ca="1">IFERROR(__xludf.DUMMYFUNCTION("""COMPUTED_VALUE"""),16.13)</f>
        <v>16.13</v>
      </c>
      <c r="E415" s="112">
        <f ca="1">IFERROR(__xludf.DUMMYFUNCTION("""COMPUTED_VALUE"""),40836.7055555555)</f>
        <v>40836.705555555498</v>
      </c>
      <c r="F415" s="111">
        <f ca="1">IFERROR(__xludf.DUMMYFUNCTION("""COMPUTED_VALUE"""),6.72)</f>
        <v>6.72</v>
      </c>
      <c r="G415" s="112">
        <f ca="1">IFERROR(__xludf.DUMMYFUNCTION("""COMPUTED_VALUE"""),40836.7055555555)</f>
        <v>40836.705555555498</v>
      </c>
      <c r="H415" s="111">
        <f ca="1">IFERROR(__xludf.DUMMYFUNCTION("""COMPUTED_VALUE"""),18.82)</f>
        <v>18.82</v>
      </c>
      <c r="K415" s="112">
        <f ca="1">IFERROR(__xludf.DUMMYFUNCTION("""COMPUTED_VALUE"""),41326.7055555555)</f>
        <v>41326.705555555498</v>
      </c>
      <c r="L415" s="111">
        <f ca="1">IFERROR(__xludf.DUMMYFUNCTION("""COMPUTED_VALUE"""),0.34)</f>
        <v>0.34</v>
      </c>
      <c r="M415" s="112">
        <f ca="1">IFERROR(__xludf.DUMMYFUNCTION("""COMPUTED_VALUE"""),40785.7055555555)</f>
        <v>40785.705555555498</v>
      </c>
      <c r="N415" s="111">
        <f ca="1">IFERROR(__xludf.DUMMYFUNCTION("""COMPUTED_VALUE"""),10.74)</f>
        <v>10.74</v>
      </c>
      <c r="O415" s="112">
        <f ca="1">IFERROR(__xludf.DUMMYFUNCTION("""COMPUTED_VALUE"""),40835.7055555555)</f>
        <v>40835.705555555498</v>
      </c>
      <c r="P415" s="111">
        <f ca="1">IFERROR(__xludf.DUMMYFUNCTION("""COMPUTED_VALUE"""),40.15)</f>
        <v>40.15</v>
      </c>
      <c r="Q415" s="112">
        <f ca="1">IFERROR(__xludf.DUMMYFUNCTION("""COMPUTED_VALUE"""),40835.7055555555)</f>
        <v>40835.705555555498</v>
      </c>
      <c r="R415" s="111">
        <f ca="1">IFERROR(__xludf.DUMMYFUNCTION("""COMPUTED_VALUE"""),24.09)</f>
        <v>24.09</v>
      </c>
      <c r="S415" s="112">
        <f ca="1">IFERROR(__xludf.DUMMYFUNCTION("""COMPUTED_VALUE"""),40836.7055555555)</f>
        <v>40836.705555555498</v>
      </c>
      <c r="T415" s="111">
        <f ca="1">IFERROR(__xludf.DUMMYFUNCTION("""COMPUTED_VALUE"""),8.04)</f>
        <v>8.0399999999999991</v>
      </c>
    </row>
    <row r="416" spans="1:20" x14ac:dyDescent="0.3">
      <c r="A416" s="112">
        <f ca="1">IFERROR(__xludf.DUMMYFUNCTION("""COMPUTED_VALUE"""),40836.7055555555)</f>
        <v>40836.705555555498</v>
      </c>
      <c r="B416" s="111">
        <f ca="1">IFERROR(__xludf.DUMMYFUNCTION("""COMPUTED_VALUE"""),16.15)</f>
        <v>16.149999999999999</v>
      </c>
      <c r="C416" s="112">
        <f ca="1">IFERROR(__xludf.DUMMYFUNCTION("""COMPUTED_VALUE"""),40841.7055555555)</f>
        <v>40841.705555555498</v>
      </c>
      <c r="D416" s="111">
        <f ca="1">IFERROR(__xludf.DUMMYFUNCTION("""COMPUTED_VALUE"""),16.5)</f>
        <v>16.5</v>
      </c>
      <c r="E416" s="112">
        <f ca="1">IFERROR(__xludf.DUMMYFUNCTION("""COMPUTED_VALUE"""),40837.7055555555)</f>
        <v>40837.705555555498</v>
      </c>
      <c r="F416" s="111">
        <f ca="1">IFERROR(__xludf.DUMMYFUNCTION("""COMPUTED_VALUE"""),6.78)</f>
        <v>6.78</v>
      </c>
      <c r="G416" s="112">
        <f ca="1">IFERROR(__xludf.DUMMYFUNCTION("""COMPUTED_VALUE"""),40837.7055555555)</f>
        <v>40837.705555555498</v>
      </c>
      <c r="H416" s="111">
        <f ca="1">IFERROR(__xludf.DUMMYFUNCTION("""COMPUTED_VALUE"""),19.27)</f>
        <v>19.27</v>
      </c>
      <c r="K416" s="112">
        <f ca="1">IFERROR(__xludf.DUMMYFUNCTION("""COMPUTED_VALUE"""),41327.7055555555)</f>
        <v>41327.705555555498</v>
      </c>
      <c r="L416" s="111">
        <f ca="1">IFERROR(__xludf.DUMMYFUNCTION("""COMPUTED_VALUE"""),0.34)</f>
        <v>0.34</v>
      </c>
      <c r="M416" s="112">
        <f ca="1">IFERROR(__xludf.DUMMYFUNCTION("""COMPUTED_VALUE"""),40786.7055555555)</f>
        <v>40786.705555555498</v>
      </c>
      <c r="N416" s="111">
        <f ca="1">IFERROR(__xludf.DUMMYFUNCTION("""COMPUTED_VALUE"""),11.04)</f>
        <v>11.04</v>
      </c>
      <c r="O416" s="112">
        <f ca="1">IFERROR(__xludf.DUMMYFUNCTION("""COMPUTED_VALUE"""),40836.7055555555)</f>
        <v>40836.705555555498</v>
      </c>
      <c r="P416" s="111">
        <f ca="1">IFERROR(__xludf.DUMMYFUNCTION("""COMPUTED_VALUE"""),39.65)</f>
        <v>39.65</v>
      </c>
      <c r="Q416" s="112">
        <f ca="1">IFERROR(__xludf.DUMMYFUNCTION("""COMPUTED_VALUE"""),40836.7055555555)</f>
        <v>40836.705555555498</v>
      </c>
      <c r="R416" s="111">
        <f ca="1">IFERROR(__xludf.DUMMYFUNCTION("""COMPUTED_VALUE"""),23.8)</f>
        <v>23.8</v>
      </c>
      <c r="S416" s="112">
        <f ca="1">IFERROR(__xludf.DUMMYFUNCTION("""COMPUTED_VALUE"""),40837.7055555555)</f>
        <v>40837.705555555498</v>
      </c>
      <c r="T416" s="111">
        <f ca="1">IFERROR(__xludf.DUMMYFUNCTION("""COMPUTED_VALUE"""),8.31)</f>
        <v>8.31</v>
      </c>
    </row>
    <row r="417" spans="1:20" x14ac:dyDescent="0.3">
      <c r="A417" s="112">
        <f ca="1">IFERROR(__xludf.DUMMYFUNCTION("""COMPUTED_VALUE"""),40837.7055555555)</f>
        <v>40837.705555555498</v>
      </c>
      <c r="B417" s="111">
        <f ca="1">IFERROR(__xludf.DUMMYFUNCTION("""COMPUTED_VALUE"""),16.77)</f>
        <v>16.77</v>
      </c>
      <c r="C417" s="112">
        <f ca="1">IFERROR(__xludf.DUMMYFUNCTION("""COMPUTED_VALUE"""),40842.7055555555)</f>
        <v>40842.705555555498</v>
      </c>
      <c r="D417" s="111">
        <f ca="1">IFERROR(__xludf.DUMMYFUNCTION("""COMPUTED_VALUE"""),16.04)</f>
        <v>16.04</v>
      </c>
      <c r="E417" s="112">
        <f ca="1">IFERROR(__xludf.DUMMYFUNCTION("""COMPUTED_VALUE"""),40841.7055555555)</f>
        <v>40841.705555555498</v>
      </c>
      <c r="F417" s="111">
        <f ca="1">IFERROR(__xludf.DUMMYFUNCTION("""COMPUTED_VALUE"""),6.93)</f>
        <v>6.93</v>
      </c>
      <c r="G417" s="112">
        <f ca="1">IFERROR(__xludf.DUMMYFUNCTION("""COMPUTED_VALUE"""),40841.7055555555)</f>
        <v>40841.705555555498</v>
      </c>
      <c r="H417" s="111">
        <f ca="1">IFERROR(__xludf.DUMMYFUNCTION("""COMPUTED_VALUE"""),19.78)</f>
        <v>19.78</v>
      </c>
      <c r="K417" s="112">
        <f ca="1">IFERROR(__xludf.DUMMYFUNCTION("""COMPUTED_VALUE"""),41330.7055555555)</f>
        <v>41330.705555555498</v>
      </c>
      <c r="L417" s="111">
        <f ca="1">IFERROR(__xludf.DUMMYFUNCTION("""COMPUTED_VALUE"""),0.33)</f>
        <v>0.33</v>
      </c>
      <c r="M417" s="112">
        <f ca="1">IFERROR(__xludf.DUMMYFUNCTION("""COMPUTED_VALUE"""),40787.7055555555)</f>
        <v>40787.705555555498</v>
      </c>
      <c r="N417" s="111">
        <f ca="1">IFERROR(__xludf.DUMMYFUNCTION("""COMPUTED_VALUE"""),11.85)</f>
        <v>11.85</v>
      </c>
      <c r="O417" s="112">
        <f ca="1">IFERROR(__xludf.DUMMYFUNCTION("""COMPUTED_VALUE"""),40837.7055555555)</f>
        <v>40837.705555555498</v>
      </c>
      <c r="P417" s="111">
        <f ca="1">IFERROR(__xludf.DUMMYFUNCTION("""COMPUTED_VALUE"""),40.55)</f>
        <v>40.549999999999997</v>
      </c>
      <c r="Q417" s="112">
        <f ca="1">IFERROR(__xludf.DUMMYFUNCTION("""COMPUTED_VALUE"""),40837.7055555555)</f>
        <v>40837.705555555498</v>
      </c>
      <c r="R417" s="111">
        <f ca="1">IFERROR(__xludf.DUMMYFUNCTION("""COMPUTED_VALUE"""),24.29)</f>
        <v>24.29</v>
      </c>
      <c r="S417" s="112">
        <f ca="1">IFERROR(__xludf.DUMMYFUNCTION("""COMPUTED_VALUE"""),40841.7055555555)</f>
        <v>40841.705555555498</v>
      </c>
      <c r="T417" s="111">
        <f ca="1">IFERROR(__xludf.DUMMYFUNCTION("""COMPUTED_VALUE"""),8.43)</f>
        <v>8.43</v>
      </c>
    </row>
    <row r="418" spans="1:20" x14ac:dyDescent="0.3">
      <c r="A418" s="112">
        <f ca="1">IFERROR(__xludf.DUMMYFUNCTION("""COMPUTED_VALUE"""),40841.7055555555)</f>
        <v>40841.705555555498</v>
      </c>
      <c r="B418" s="111">
        <f ca="1">IFERROR(__xludf.DUMMYFUNCTION("""COMPUTED_VALUE"""),17.25)</f>
        <v>17.25</v>
      </c>
      <c r="C418" s="112">
        <f ca="1">IFERROR(__xludf.DUMMYFUNCTION("""COMPUTED_VALUE"""),40843.7055555555)</f>
        <v>40843.705555555498</v>
      </c>
      <c r="D418" s="111">
        <f ca="1">IFERROR(__xludf.DUMMYFUNCTION("""COMPUTED_VALUE"""),16.32)</f>
        <v>16.32</v>
      </c>
      <c r="E418" s="112">
        <f ca="1">IFERROR(__xludf.DUMMYFUNCTION("""COMPUTED_VALUE"""),40842.7055555555)</f>
        <v>40842.705555555498</v>
      </c>
      <c r="F418" s="111">
        <f ca="1">IFERROR(__xludf.DUMMYFUNCTION("""COMPUTED_VALUE"""),6.81)</f>
        <v>6.81</v>
      </c>
      <c r="G418" s="112">
        <f ca="1">IFERROR(__xludf.DUMMYFUNCTION("""COMPUTED_VALUE"""),40842.7055555555)</f>
        <v>40842.705555555498</v>
      </c>
      <c r="H418" s="111">
        <f ca="1">IFERROR(__xludf.DUMMYFUNCTION("""COMPUTED_VALUE"""),19.93)</f>
        <v>19.93</v>
      </c>
      <c r="K418" s="112">
        <f ca="1">IFERROR(__xludf.DUMMYFUNCTION("""COMPUTED_VALUE"""),41331.7055555555)</f>
        <v>41331.705555555498</v>
      </c>
      <c r="L418" s="111">
        <f ca="1">IFERROR(__xludf.DUMMYFUNCTION("""COMPUTED_VALUE"""),0.33)</f>
        <v>0.33</v>
      </c>
      <c r="M418" s="112">
        <f ca="1">IFERROR(__xludf.DUMMYFUNCTION("""COMPUTED_VALUE"""),40788.7055555555)</f>
        <v>40788.705555555498</v>
      </c>
      <c r="N418" s="111">
        <f ca="1">IFERROR(__xludf.DUMMYFUNCTION("""COMPUTED_VALUE"""),11.41)</f>
        <v>11.41</v>
      </c>
      <c r="O418" s="112">
        <f ca="1">IFERROR(__xludf.DUMMYFUNCTION("""COMPUTED_VALUE"""),40841.7055555555)</f>
        <v>40841.705555555498</v>
      </c>
      <c r="P418" s="111">
        <f ca="1">IFERROR(__xludf.DUMMYFUNCTION("""COMPUTED_VALUE"""),42.95)</f>
        <v>42.95</v>
      </c>
      <c r="Q418" s="112">
        <f ca="1">IFERROR(__xludf.DUMMYFUNCTION("""COMPUTED_VALUE"""),40841.7055555555)</f>
        <v>40841.705555555498</v>
      </c>
      <c r="R418" s="111">
        <f ca="1">IFERROR(__xludf.DUMMYFUNCTION("""COMPUTED_VALUE"""),24.88)</f>
        <v>24.88</v>
      </c>
      <c r="S418" s="112">
        <f ca="1">IFERROR(__xludf.DUMMYFUNCTION("""COMPUTED_VALUE"""),40842.7055555555)</f>
        <v>40842.705555555498</v>
      </c>
      <c r="T418" s="111">
        <f ca="1">IFERROR(__xludf.DUMMYFUNCTION("""COMPUTED_VALUE"""),8.23)</f>
        <v>8.23</v>
      </c>
    </row>
    <row r="419" spans="1:20" x14ac:dyDescent="0.3">
      <c r="A419" s="112">
        <f ca="1">IFERROR(__xludf.DUMMYFUNCTION("""COMPUTED_VALUE"""),40842.7055555555)</f>
        <v>40842.705555555498</v>
      </c>
      <c r="B419" s="111">
        <f ca="1">IFERROR(__xludf.DUMMYFUNCTION("""COMPUTED_VALUE"""),16.59)</f>
        <v>16.59</v>
      </c>
      <c r="C419" s="112">
        <f ca="1">IFERROR(__xludf.DUMMYFUNCTION("""COMPUTED_VALUE"""),40844.7055555555)</f>
        <v>40844.705555555498</v>
      </c>
      <c r="D419" s="111">
        <f ca="1">IFERROR(__xludf.DUMMYFUNCTION("""COMPUTED_VALUE"""),16.82)</f>
        <v>16.82</v>
      </c>
      <c r="E419" s="112">
        <f ca="1">IFERROR(__xludf.DUMMYFUNCTION("""COMPUTED_VALUE"""),40843.7055555555)</f>
        <v>40843.705555555498</v>
      </c>
      <c r="F419" s="111">
        <f ca="1">IFERROR(__xludf.DUMMYFUNCTION("""COMPUTED_VALUE"""),6.86)</f>
        <v>6.86</v>
      </c>
      <c r="G419" s="112">
        <f ca="1">IFERROR(__xludf.DUMMYFUNCTION("""COMPUTED_VALUE"""),40843.7055555555)</f>
        <v>40843.705555555498</v>
      </c>
      <c r="H419" s="111">
        <f ca="1">IFERROR(__xludf.DUMMYFUNCTION("""COMPUTED_VALUE"""),20.08)</f>
        <v>20.079999999999998</v>
      </c>
      <c r="K419" s="112">
        <f ca="1">IFERROR(__xludf.DUMMYFUNCTION("""COMPUTED_VALUE"""),41332.7055555555)</f>
        <v>41332.705555555498</v>
      </c>
      <c r="L419" s="111">
        <f ca="1">IFERROR(__xludf.DUMMYFUNCTION("""COMPUTED_VALUE"""),0.32)</f>
        <v>0.32</v>
      </c>
      <c r="M419" s="112">
        <f ca="1">IFERROR(__xludf.DUMMYFUNCTION("""COMPUTED_VALUE"""),40791.7055555555)</f>
        <v>40791.705555555498</v>
      </c>
      <c r="N419" s="111">
        <f ca="1">IFERROR(__xludf.DUMMYFUNCTION("""COMPUTED_VALUE"""),11.01)</f>
        <v>11.01</v>
      </c>
      <c r="O419" s="112">
        <f ca="1">IFERROR(__xludf.DUMMYFUNCTION("""COMPUTED_VALUE"""),40842.7055555555)</f>
        <v>40842.705555555498</v>
      </c>
      <c r="P419" s="111">
        <f ca="1">IFERROR(__xludf.DUMMYFUNCTION("""COMPUTED_VALUE"""),42.42)</f>
        <v>42.42</v>
      </c>
      <c r="Q419" s="112">
        <f ca="1">IFERROR(__xludf.DUMMYFUNCTION("""COMPUTED_VALUE"""),40842.7055555555)</f>
        <v>40842.705555555498</v>
      </c>
      <c r="R419" s="111">
        <f ca="1">IFERROR(__xludf.DUMMYFUNCTION("""COMPUTED_VALUE"""),24.22)</f>
        <v>24.22</v>
      </c>
      <c r="S419" s="112">
        <f ca="1">IFERROR(__xludf.DUMMYFUNCTION("""COMPUTED_VALUE"""),40843.7055555555)</f>
        <v>40843.705555555498</v>
      </c>
      <c r="T419" s="111">
        <f ca="1">IFERROR(__xludf.DUMMYFUNCTION("""COMPUTED_VALUE"""),8.26)</f>
        <v>8.26</v>
      </c>
    </row>
    <row r="420" spans="1:20" x14ac:dyDescent="0.3">
      <c r="A420" s="112">
        <f ca="1">IFERROR(__xludf.DUMMYFUNCTION("""COMPUTED_VALUE"""),40843.7055555555)</f>
        <v>40843.705555555498</v>
      </c>
      <c r="B420" s="111">
        <f ca="1">IFERROR(__xludf.DUMMYFUNCTION("""COMPUTED_VALUE"""),16.71)</f>
        <v>16.71</v>
      </c>
      <c r="C420" s="112">
        <f ca="1">IFERROR(__xludf.DUMMYFUNCTION("""COMPUTED_VALUE"""),40847.7055555555)</f>
        <v>40847.705555555498</v>
      </c>
      <c r="D420" s="111">
        <f ca="1">IFERROR(__xludf.DUMMYFUNCTION("""COMPUTED_VALUE"""),16.58)</f>
        <v>16.579999999999998</v>
      </c>
      <c r="E420" s="112">
        <f ca="1">IFERROR(__xludf.DUMMYFUNCTION("""COMPUTED_VALUE"""),40844.7055555555)</f>
        <v>40844.705555555498</v>
      </c>
      <c r="F420" s="111">
        <f ca="1">IFERROR(__xludf.DUMMYFUNCTION("""COMPUTED_VALUE"""),7.08)</f>
        <v>7.08</v>
      </c>
      <c r="G420" s="112">
        <f ca="1">IFERROR(__xludf.DUMMYFUNCTION("""COMPUTED_VALUE"""),40844.7055555555)</f>
        <v>40844.705555555498</v>
      </c>
      <c r="H420" s="111">
        <f ca="1">IFERROR(__xludf.DUMMYFUNCTION("""COMPUTED_VALUE"""),20.94)</f>
        <v>20.94</v>
      </c>
      <c r="K420" s="112">
        <f ca="1">IFERROR(__xludf.DUMMYFUNCTION("""COMPUTED_VALUE"""),41333.7055555555)</f>
        <v>41333.705555555498</v>
      </c>
      <c r="L420" s="111">
        <f ca="1">IFERROR(__xludf.DUMMYFUNCTION("""COMPUTED_VALUE"""),0.32)</f>
        <v>0.32</v>
      </c>
      <c r="M420" s="112">
        <f ca="1">IFERROR(__xludf.DUMMYFUNCTION("""COMPUTED_VALUE"""),40792.7055555555)</f>
        <v>40792.705555555498</v>
      </c>
      <c r="N420" s="111">
        <f ca="1">IFERROR(__xludf.DUMMYFUNCTION("""COMPUTED_VALUE"""),11.43)</f>
        <v>11.43</v>
      </c>
      <c r="O420" s="112">
        <f ca="1">IFERROR(__xludf.DUMMYFUNCTION("""COMPUTED_VALUE"""),40843.7055555555)</f>
        <v>40843.705555555498</v>
      </c>
      <c r="P420" s="111">
        <f ca="1">IFERROR(__xludf.DUMMYFUNCTION("""COMPUTED_VALUE"""),43.63)</f>
        <v>43.63</v>
      </c>
      <c r="Q420" s="112">
        <f ca="1">IFERROR(__xludf.DUMMYFUNCTION("""COMPUTED_VALUE"""),40843.7055555555)</f>
        <v>40843.705555555498</v>
      </c>
      <c r="R420" s="111">
        <f ca="1">IFERROR(__xludf.DUMMYFUNCTION("""COMPUTED_VALUE"""),24.65)</f>
        <v>24.65</v>
      </c>
      <c r="S420" s="112">
        <f ca="1">IFERROR(__xludf.DUMMYFUNCTION("""COMPUTED_VALUE"""),40844.7055555555)</f>
        <v>40844.705555555498</v>
      </c>
      <c r="T420" s="111">
        <f ca="1">IFERROR(__xludf.DUMMYFUNCTION("""COMPUTED_VALUE"""),8.58)</f>
        <v>8.58</v>
      </c>
    </row>
    <row r="421" spans="1:20" x14ac:dyDescent="0.3">
      <c r="A421" s="112">
        <f ca="1">IFERROR(__xludf.DUMMYFUNCTION("""COMPUTED_VALUE"""),40844.7055555555)</f>
        <v>40844.705555555498</v>
      </c>
      <c r="B421" s="111">
        <f ca="1">IFERROR(__xludf.DUMMYFUNCTION("""COMPUTED_VALUE"""),17.45)</f>
        <v>17.45</v>
      </c>
      <c r="C421" s="112">
        <f ca="1">IFERROR(__xludf.DUMMYFUNCTION("""COMPUTED_VALUE"""),40848.7055555555)</f>
        <v>40848.705555555498</v>
      </c>
      <c r="D421" s="111">
        <f ca="1">IFERROR(__xludf.DUMMYFUNCTION("""COMPUTED_VALUE"""),16.09)</f>
        <v>16.09</v>
      </c>
      <c r="E421" s="112">
        <f ca="1">IFERROR(__xludf.DUMMYFUNCTION("""COMPUTED_VALUE"""),40847.7055555555)</f>
        <v>40847.705555555498</v>
      </c>
      <c r="F421" s="111">
        <f ca="1">IFERROR(__xludf.DUMMYFUNCTION("""COMPUTED_VALUE"""),7.03)</f>
        <v>7.03</v>
      </c>
      <c r="G421" s="112">
        <f ca="1">IFERROR(__xludf.DUMMYFUNCTION("""COMPUTED_VALUE"""),40847.7055555555)</f>
        <v>40847.705555555498</v>
      </c>
      <c r="H421" s="111">
        <f ca="1">IFERROR(__xludf.DUMMYFUNCTION("""COMPUTED_VALUE"""),21.58)</f>
        <v>21.58</v>
      </c>
      <c r="K421" s="112">
        <f ca="1">IFERROR(__xludf.DUMMYFUNCTION("""COMPUTED_VALUE"""),41334.7055555555)</f>
        <v>41334.705555555498</v>
      </c>
      <c r="L421" s="111">
        <f ca="1">IFERROR(__xludf.DUMMYFUNCTION("""COMPUTED_VALUE"""),0.31)</f>
        <v>0.31</v>
      </c>
      <c r="M421" s="112">
        <f ca="1">IFERROR(__xludf.DUMMYFUNCTION("""COMPUTED_VALUE"""),40794.7055555555)</f>
        <v>40794.705555555498</v>
      </c>
      <c r="N421" s="111">
        <f ca="1">IFERROR(__xludf.DUMMYFUNCTION("""COMPUTED_VALUE"""),11.58)</f>
        <v>11.58</v>
      </c>
      <c r="O421" s="112">
        <f ca="1">IFERROR(__xludf.DUMMYFUNCTION("""COMPUTED_VALUE"""),40844.7055555555)</f>
        <v>40844.705555555498</v>
      </c>
      <c r="P421" s="111">
        <f ca="1">IFERROR(__xludf.DUMMYFUNCTION("""COMPUTED_VALUE"""),44.81)</f>
        <v>44.81</v>
      </c>
      <c r="Q421" s="112">
        <f ca="1">IFERROR(__xludf.DUMMYFUNCTION("""COMPUTED_VALUE"""),40844.7055555555)</f>
        <v>40844.705555555498</v>
      </c>
      <c r="R421" s="111">
        <f ca="1">IFERROR(__xludf.DUMMYFUNCTION("""COMPUTED_VALUE"""),25.9)</f>
        <v>25.9</v>
      </c>
      <c r="S421" s="112">
        <f ca="1">IFERROR(__xludf.DUMMYFUNCTION("""COMPUTED_VALUE"""),40847.7055555555)</f>
        <v>40847.705555555498</v>
      </c>
      <c r="T421" s="111">
        <f ca="1">IFERROR(__xludf.DUMMYFUNCTION("""COMPUTED_VALUE"""),7.93)</f>
        <v>7.93</v>
      </c>
    </row>
    <row r="422" spans="1:20" x14ac:dyDescent="0.3">
      <c r="A422" s="112">
        <f ca="1">IFERROR(__xludf.DUMMYFUNCTION("""COMPUTED_VALUE"""),40847.7055555555)</f>
        <v>40847.705555555498</v>
      </c>
      <c r="B422" s="111">
        <f ca="1">IFERROR(__xludf.DUMMYFUNCTION("""COMPUTED_VALUE"""),17.11)</f>
        <v>17.11</v>
      </c>
      <c r="C422" s="112">
        <f ca="1">IFERROR(__xludf.DUMMYFUNCTION("""COMPUTED_VALUE"""),40850.7055555555)</f>
        <v>40850.705555555498</v>
      </c>
      <c r="D422" s="111">
        <f ca="1">IFERROR(__xludf.DUMMYFUNCTION("""COMPUTED_VALUE"""),16.28)</f>
        <v>16.28</v>
      </c>
      <c r="E422" s="112">
        <f ca="1">IFERROR(__xludf.DUMMYFUNCTION("""COMPUTED_VALUE"""),40848.7055555555)</f>
        <v>40848.705555555498</v>
      </c>
      <c r="F422" s="111">
        <f ca="1">IFERROR(__xludf.DUMMYFUNCTION("""COMPUTED_VALUE"""),6.86)</f>
        <v>6.86</v>
      </c>
      <c r="G422" s="112">
        <f ca="1">IFERROR(__xludf.DUMMYFUNCTION("""COMPUTED_VALUE"""),40848.7055555555)</f>
        <v>40848.705555555498</v>
      </c>
      <c r="H422" s="111">
        <f ca="1">IFERROR(__xludf.DUMMYFUNCTION("""COMPUTED_VALUE"""),21.13)</f>
        <v>21.13</v>
      </c>
      <c r="K422" s="112">
        <f ca="1">IFERROR(__xludf.DUMMYFUNCTION("""COMPUTED_VALUE"""),41337.7055555555)</f>
        <v>41337.705555555498</v>
      </c>
      <c r="L422" s="111">
        <f ca="1">IFERROR(__xludf.DUMMYFUNCTION("""COMPUTED_VALUE"""),0.3)</f>
        <v>0.3</v>
      </c>
      <c r="M422" s="112">
        <f ca="1">IFERROR(__xludf.DUMMYFUNCTION("""COMPUTED_VALUE"""),40795.7055555555)</f>
        <v>40795.705555555498</v>
      </c>
      <c r="N422" s="111">
        <f ca="1">IFERROR(__xludf.DUMMYFUNCTION("""COMPUTED_VALUE"""),11.25)</f>
        <v>11.25</v>
      </c>
      <c r="O422" s="112">
        <f ca="1">IFERROR(__xludf.DUMMYFUNCTION("""COMPUTED_VALUE"""),40847.7055555555)</f>
        <v>40847.705555555498</v>
      </c>
      <c r="P422" s="111">
        <f ca="1">IFERROR(__xludf.DUMMYFUNCTION("""COMPUTED_VALUE"""),44.6)</f>
        <v>44.6</v>
      </c>
      <c r="Q422" s="112">
        <f ca="1">IFERROR(__xludf.DUMMYFUNCTION("""COMPUTED_VALUE"""),40847.7055555555)</f>
        <v>40847.705555555498</v>
      </c>
      <c r="R422" s="111">
        <f ca="1">IFERROR(__xludf.DUMMYFUNCTION("""COMPUTED_VALUE"""),26.1)</f>
        <v>26.1</v>
      </c>
      <c r="S422" s="112">
        <f ca="1">IFERROR(__xludf.DUMMYFUNCTION("""COMPUTED_VALUE"""),40848.7055555555)</f>
        <v>40848.705555555498</v>
      </c>
      <c r="T422" s="111">
        <f ca="1">IFERROR(__xludf.DUMMYFUNCTION("""COMPUTED_VALUE"""),7.71)</f>
        <v>7.71</v>
      </c>
    </row>
    <row r="423" spans="1:20" x14ac:dyDescent="0.3">
      <c r="A423" s="112">
        <f ca="1">IFERROR(__xludf.DUMMYFUNCTION("""COMPUTED_VALUE"""),40848.7055555555)</f>
        <v>40848.705555555498</v>
      </c>
      <c r="B423" s="111">
        <f ca="1">IFERROR(__xludf.DUMMYFUNCTION("""COMPUTED_VALUE"""),16.78)</f>
        <v>16.78</v>
      </c>
      <c r="C423" s="112">
        <f ca="1">IFERROR(__xludf.DUMMYFUNCTION("""COMPUTED_VALUE"""),40851.7055555555)</f>
        <v>40851.705555555498</v>
      </c>
      <c r="D423" s="111">
        <f ca="1">IFERROR(__xludf.DUMMYFUNCTION("""COMPUTED_VALUE"""),16.34)</f>
        <v>16.34</v>
      </c>
      <c r="E423" s="112">
        <f ca="1">IFERROR(__xludf.DUMMYFUNCTION("""COMPUTED_VALUE"""),40850.7055555555)</f>
        <v>40850.705555555498</v>
      </c>
      <c r="F423" s="111">
        <f ca="1">IFERROR(__xludf.DUMMYFUNCTION("""COMPUTED_VALUE"""),6.91)</f>
        <v>6.91</v>
      </c>
      <c r="G423" s="112">
        <f ca="1">IFERROR(__xludf.DUMMYFUNCTION("""COMPUTED_VALUE"""),40850.7055555555)</f>
        <v>40850.705555555498</v>
      </c>
      <c r="H423" s="111">
        <f ca="1">IFERROR(__xludf.DUMMYFUNCTION("""COMPUTED_VALUE"""),21.92)</f>
        <v>21.92</v>
      </c>
      <c r="K423" s="112">
        <f ca="1">IFERROR(__xludf.DUMMYFUNCTION("""COMPUTED_VALUE"""),41338.7055555555)</f>
        <v>41338.705555555498</v>
      </c>
      <c r="L423" s="111">
        <f ca="1">IFERROR(__xludf.DUMMYFUNCTION("""COMPUTED_VALUE"""),0.3)</f>
        <v>0.3</v>
      </c>
      <c r="M423" s="112">
        <f ca="1">IFERROR(__xludf.DUMMYFUNCTION("""COMPUTED_VALUE"""),40798.7055555555)</f>
        <v>40798.705555555498</v>
      </c>
      <c r="N423" s="111">
        <f ca="1">IFERROR(__xludf.DUMMYFUNCTION("""COMPUTED_VALUE"""),11.05)</f>
        <v>11.05</v>
      </c>
      <c r="O423" s="112">
        <f ca="1">IFERROR(__xludf.DUMMYFUNCTION("""COMPUTED_VALUE"""),40848.7055555555)</f>
        <v>40848.705555555498</v>
      </c>
      <c r="P423" s="111">
        <f ca="1">IFERROR(__xludf.DUMMYFUNCTION("""COMPUTED_VALUE"""),43.3)</f>
        <v>43.3</v>
      </c>
      <c r="Q423" s="112">
        <f ca="1">IFERROR(__xludf.DUMMYFUNCTION("""COMPUTED_VALUE"""),40848.7055555555)</f>
        <v>40848.705555555498</v>
      </c>
      <c r="R423" s="111">
        <f ca="1">IFERROR(__xludf.DUMMYFUNCTION("""COMPUTED_VALUE"""),25.8)</f>
        <v>25.8</v>
      </c>
      <c r="S423" s="112">
        <f ca="1">IFERROR(__xludf.DUMMYFUNCTION("""COMPUTED_VALUE"""),40850.7055555555)</f>
        <v>40850.705555555498</v>
      </c>
      <c r="T423" s="111">
        <f ca="1">IFERROR(__xludf.DUMMYFUNCTION("""COMPUTED_VALUE"""),7.82)</f>
        <v>7.82</v>
      </c>
    </row>
    <row r="424" spans="1:20" x14ac:dyDescent="0.3">
      <c r="A424" s="112">
        <f ca="1">IFERROR(__xludf.DUMMYFUNCTION("""COMPUTED_VALUE"""),40850.7055555555)</f>
        <v>40850.705555555498</v>
      </c>
      <c r="B424" s="111">
        <f ca="1">IFERROR(__xludf.DUMMYFUNCTION("""COMPUTED_VALUE"""),16.79)</f>
        <v>16.79</v>
      </c>
      <c r="C424" s="112">
        <f ca="1">IFERROR(__xludf.DUMMYFUNCTION("""COMPUTED_VALUE"""),40854.7055555555)</f>
        <v>40854.705555555498</v>
      </c>
      <c r="D424" s="111">
        <f ca="1">IFERROR(__xludf.DUMMYFUNCTION("""COMPUTED_VALUE"""),16.33)</f>
        <v>16.329999999999998</v>
      </c>
      <c r="E424" s="112">
        <f ca="1">IFERROR(__xludf.DUMMYFUNCTION("""COMPUTED_VALUE"""),40851.7055555555)</f>
        <v>40851.705555555498</v>
      </c>
      <c r="F424" s="111">
        <f ca="1">IFERROR(__xludf.DUMMYFUNCTION("""COMPUTED_VALUE"""),6.94)</f>
        <v>6.94</v>
      </c>
      <c r="G424" s="112">
        <f ca="1">IFERROR(__xludf.DUMMYFUNCTION("""COMPUTED_VALUE"""),40851.7055555555)</f>
        <v>40851.705555555498</v>
      </c>
      <c r="H424" s="111">
        <f ca="1">IFERROR(__xludf.DUMMYFUNCTION("""COMPUTED_VALUE"""),22.1)</f>
        <v>22.1</v>
      </c>
      <c r="K424" s="112">
        <f ca="1">IFERROR(__xludf.DUMMYFUNCTION("""COMPUTED_VALUE"""),41339.7055555555)</f>
        <v>41339.705555555498</v>
      </c>
      <c r="L424" s="111">
        <f ca="1">IFERROR(__xludf.DUMMYFUNCTION("""COMPUTED_VALUE"""),0.3)</f>
        <v>0.3</v>
      </c>
      <c r="M424" s="112">
        <f ca="1">IFERROR(__xludf.DUMMYFUNCTION("""COMPUTED_VALUE"""),40799.7055555555)</f>
        <v>40799.705555555498</v>
      </c>
      <c r="N424" s="111">
        <f ca="1">IFERROR(__xludf.DUMMYFUNCTION("""COMPUTED_VALUE"""),11.02)</f>
        <v>11.02</v>
      </c>
      <c r="O424" s="112">
        <f ca="1">IFERROR(__xludf.DUMMYFUNCTION("""COMPUTED_VALUE"""),40850.7055555555)</f>
        <v>40850.705555555498</v>
      </c>
      <c r="P424" s="111">
        <f ca="1">IFERROR(__xludf.DUMMYFUNCTION("""COMPUTED_VALUE"""),44.69)</f>
        <v>44.69</v>
      </c>
      <c r="Q424" s="112">
        <f ca="1">IFERROR(__xludf.DUMMYFUNCTION("""COMPUTED_VALUE"""),40850.7055555555)</f>
        <v>40850.705555555498</v>
      </c>
      <c r="R424" s="111">
        <f ca="1">IFERROR(__xludf.DUMMYFUNCTION("""COMPUTED_VALUE"""),25.24)</f>
        <v>25.24</v>
      </c>
      <c r="S424" s="112">
        <f ca="1">IFERROR(__xludf.DUMMYFUNCTION("""COMPUTED_VALUE"""),40851.7055555555)</f>
        <v>40851.705555555498</v>
      </c>
      <c r="T424" s="111">
        <f ca="1">IFERROR(__xludf.DUMMYFUNCTION("""COMPUTED_VALUE"""),7.71)</f>
        <v>7.71</v>
      </c>
    </row>
    <row r="425" spans="1:20" x14ac:dyDescent="0.3">
      <c r="A425" s="112">
        <f ca="1">IFERROR(__xludf.DUMMYFUNCTION("""COMPUTED_VALUE"""),40851.7055555555)</f>
        <v>40851.705555555498</v>
      </c>
      <c r="B425" s="111">
        <f ca="1">IFERROR(__xludf.DUMMYFUNCTION("""COMPUTED_VALUE"""),17.79)</f>
        <v>17.79</v>
      </c>
      <c r="C425" s="112">
        <f ca="1">IFERROR(__xludf.DUMMYFUNCTION("""COMPUTED_VALUE"""),40855.7055555555)</f>
        <v>40855.705555555498</v>
      </c>
      <c r="D425" s="111">
        <f ca="1">IFERROR(__xludf.DUMMYFUNCTION("""COMPUTED_VALUE"""),16.3)</f>
        <v>16.3</v>
      </c>
      <c r="E425" s="112">
        <f ca="1">IFERROR(__xludf.DUMMYFUNCTION("""COMPUTED_VALUE"""),40854.7055555555)</f>
        <v>40854.705555555498</v>
      </c>
      <c r="F425" s="111">
        <f ca="1">IFERROR(__xludf.DUMMYFUNCTION("""COMPUTED_VALUE"""),6.97)</f>
        <v>6.97</v>
      </c>
      <c r="G425" s="112">
        <f ca="1">IFERROR(__xludf.DUMMYFUNCTION("""COMPUTED_VALUE"""),40854.7055555555)</f>
        <v>40854.705555555498</v>
      </c>
      <c r="H425" s="111">
        <f ca="1">IFERROR(__xludf.DUMMYFUNCTION("""COMPUTED_VALUE"""),22.68)</f>
        <v>22.68</v>
      </c>
      <c r="K425" s="112">
        <f ca="1">IFERROR(__xludf.DUMMYFUNCTION("""COMPUTED_VALUE"""),41340.7055555555)</f>
        <v>41340.705555555498</v>
      </c>
      <c r="L425" s="111">
        <f ca="1">IFERROR(__xludf.DUMMYFUNCTION("""COMPUTED_VALUE"""),0.3)</f>
        <v>0.3</v>
      </c>
      <c r="M425" s="112">
        <f ca="1">IFERROR(__xludf.DUMMYFUNCTION("""COMPUTED_VALUE"""),40800.7055555555)</f>
        <v>40800.705555555498</v>
      </c>
      <c r="N425" s="111">
        <f ca="1">IFERROR(__xludf.DUMMYFUNCTION("""COMPUTED_VALUE"""),11.14)</f>
        <v>11.14</v>
      </c>
      <c r="O425" s="112">
        <f ca="1">IFERROR(__xludf.DUMMYFUNCTION("""COMPUTED_VALUE"""),40851.7055555555)</f>
        <v>40851.705555555498</v>
      </c>
      <c r="P425" s="111">
        <f ca="1">IFERROR(__xludf.DUMMYFUNCTION("""COMPUTED_VALUE"""),45.6)</f>
        <v>45.6</v>
      </c>
      <c r="Q425" s="112">
        <f ca="1">IFERROR(__xludf.DUMMYFUNCTION("""COMPUTED_VALUE"""),40851.7055555555)</f>
        <v>40851.705555555498</v>
      </c>
      <c r="R425" s="111">
        <f ca="1">IFERROR(__xludf.DUMMYFUNCTION("""COMPUTED_VALUE"""),25.3)</f>
        <v>25.3</v>
      </c>
      <c r="S425" s="112">
        <f ca="1">IFERROR(__xludf.DUMMYFUNCTION("""COMPUTED_VALUE"""),40854.7055555555)</f>
        <v>40854.705555555498</v>
      </c>
      <c r="T425" s="111">
        <f ca="1">IFERROR(__xludf.DUMMYFUNCTION("""COMPUTED_VALUE"""),7.68)</f>
        <v>7.68</v>
      </c>
    </row>
    <row r="426" spans="1:20" x14ac:dyDescent="0.3">
      <c r="A426" s="112">
        <f ca="1">IFERROR(__xludf.DUMMYFUNCTION("""COMPUTED_VALUE"""),40854.7055555555)</f>
        <v>40854.705555555498</v>
      </c>
      <c r="B426" s="111">
        <f ca="1">IFERROR(__xludf.DUMMYFUNCTION("""COMPUTED_VALUE"""),18.12)</f>
        <v>18.12</v>
      </c>
      <c r="C426" s="112">
        <f ca="1">IFERROR(__xludf.DUMMYFUNCTION("""COMPUTED_VALUE"""),40856.7055555555)</f>
        <v>40856.705555555498</v>
      </c>
      <c r="D426" s="111">
        <f ca="1">IFERROR(__xludf.DUMMYFUNCTION("""COMPUTED_VALUE"""),15.89)</f>
        <v>15.89</v>
      </c>
      <c r="E426" s="112">
        <f ca="1">IFERROR(__xludf.DUMMYFUNCTION("""COMPUTED_VALUE"""),40855.7055555555)</f>
        <v>40855.705555555498</v>
      </c>
      <c r="F426" s="111">
        <f ca="1">IFERROR(__xludf.DUMMYFUNCTION("""COMPUTED_VALUE"""),6.96)</f>
        <v>6.96</v>
      </c>
      <c r="G426" s="112">
        <f ca="1">IFERROR(__xludf.DUMMYFUNCTION("""COMPUTED_VALUE"""),40855.7055555555)</f>
        <v>40855.705555555498</v>
      </c>
      <c r="H426" s="111">
        <f ca="1">IFERROR(__xludf.DUMMYFUNCTION("""COMPUTED_VALUE"""),22.41)</f>
        <v>22.41</v>
      </c>
      <c r="K426" s="112">
        <f ca="1">IFERROR(__xludf.DUMMYFUNCTION("""COMPUTED_VALUE"""),41341.7055555555)</f>
        <v>41341.705555555498</v>
      </c>
      <c r="L426" s="111">
        <f ca="1">IFERROR(__xludf.DUMMYFUNCTION("""COMPUTED_VALUE"""),0.29)</f>
        <v>0.28999999999999998</v>
      </c>
      <c r="M426" s="112">
        <f ca="1">IFERROR(__xludf.DUMMYFUNCTION("""COMPUTED_VALUE"""),40801.7055555555)</f>
        <v>40801.705555555498</v>
      </c>
      <c r="N426" s="111">
        <f ca="1">IFERROR(__xludf.DUMMYFUNCTION("""COMPUTED_VALUE"""),11.27)</f>
        <v>11.27</v>
      </c>
      <c r="O426" s="112">
        <f ca="1">IFERROR(__xludf.DUMMYFUNCTION("""COMPUTED_VALUE"""),40854.7055555555)</f>
        <v>40854.705555555498</v>
      </c>
      <c r="P426" s="111">
        <f ca="1">IFERROR(__xludf.DUMMYFUNCTION("""COMPUTED_VALUE"""),46)</f>
        <v>46</v>
      </c>
      <c r="Q426" s="112">
        <f ca="1">IFERROR(__xludf.DUMMYFUNCTION("""COMPUTED_VALUE"""),40854.7055555555)</f>
        <v>40854.705555555498</v>
      </c>
      <c r="R426" s="111">
        <f ca="1">IFERROR(__xludf.DUMMYFUNCTION("""COMPUTED_VALUE"""),25.48)</f>
        <v>25.48</v>
      </c>
      <c r="S426" s="112">
        <f ca="1">IFERROR(__xludf.DUMMYFUNCTION("""COMPUTED_VALUE"""),40855.7055555555)</f>
        <v>40855.705555555498</v>
      </c>
      <c r="T426" s="111">
        <f ca="1">IFERROR(__xludf.DUMMYFUNCTION("""COMPUTED_VALUE"""),7.74)</f>
        <v>7.74</v>
      </c>
    </row>
    <row r="427" spans="1:20" x14ac:dyDescent="0.3">
      <c r="A427" s="112">
        <f ca="1">IFERROR(__xludf.DUMMYFUNCTION("""COMPUTED_VALUE"""),40855.7055555555)</f>
        <v>40855.705555555498</v>
      </c>
      <c r="B427" s="111">
        <f ca="1">IFERROR(__xludf.DUMMYFUNCTION("""COMPUTED_VALUE"""),17.79)</f>
        <v>17.79</v>
      </c>
      <c r="C427" s="112">
        <f ca="1">IFERROR(__xludf.DUMMYFUNCTION("""COMPUTED_VALUE"""),40858.7055555555)</f>
        <v>40858.705555555498</v>
      </c>
      <c r="D427" s="111">
        <f ca="1">IFERROR(__xludf.DUMMYFUNCTION("""COMPUTED_VALUE"""),15.95)</f>
        <v>15.95</v>
      </c>
      <c r="E427" s="112">
        <f ca="1">IFERROR(__xludf.DUMMYFUNCTION("""COMPUTED_VALUE"""),40856.7055555555)</f>
        <v>40856.705555555498</v>
      </c>
      <c r="F427" s="111">
        <f ca="1">IFERROR(__xludf.DUMMYFUNCTION("""COMPUTED_VALUE"""),6.81)</f>
        <v>6.81</v>
      </c>
      <c r="G427" s="112">
        <f ca="1">IFERROR(__xludf.DUMMYFUNCTION("""COMPUTED_VALUE"""),40856.7055555555)</f>
        <v>40856.705555555498</v>
      </c>
      <c r="H427" s="111">
        <f ca="1">IFERROR(__xludf.DUMMYFUNCTION("""COMPUTED_VALUE"""),21.46)</f>
        <v>21.46</v>
      </c>
      <c r="K427" s="112">
        <f ca="1">IFERROR(__xludf.DUMMYFUNCTION("""COMPUTED_VALUE"""),41344.7055555555)</f>
        <v>41344.705555555498</v>
      </c>
      <c r="L427" s="111">
        <f ca="1">IFERROR(__xludf.DUMMYFUNCTION("""COMPUTED_VALUE"""),0.3)</f>
        <v>0.3</v>
      </c>
      <c r="M427" s="112">
        <f ca="1">IFERROR(__xludf.DUMMYFUNCTION("""COMPUTED_VALUE"""),40802.7055555555)</f>
        <v>40802.705555555498</v>
      </c>
      <c r="N427" s="111">
        <f ca="1">IFERROR(__xludf.DUMMYFUNCTION("""COMPUTED_VALUE"""),11.45)</f>
        <v>11.45</v>
      </c>
      <c r="O427" s="112">
        <f ca="1">IFERROR(__xludf.DUMMYFUNCTION("""COMPUTED_VALUE"""),40855.7055555555)</f>
        <v>40855.705555555498</v>
      </c>
      <c r="P427" s="111">
        <f ca="1">IFERROR(__xludf.DUMMYFUNCTION("""COMPUTED_VALUE"""),45.71)</f>
        <v>45.71</v>
      </c>
      <c r="Q427" s="112">
        <f ca="1">IFERROR(__xludf.DUMMYFUNCTION("""COMPUTED_VALUE"""),40855.7055555555)</f>
        <v>40855.705555555498</v>
      </c>
      <c r="R427" s="111">
        <f ca="1">IFERROR(__xludf.DUMMYFUNCTION("""COMPUTED_VALUE"""),25.41)</f>
        <v>25.41</v>
      </c>
      <c r="S427" s="112">
        <f ca="1">IFERROR(__xludf.DUMMYFUNCTION("""COMPUTED_VALUE"""),40856.7055555555)</f>
        <v>40856.705555555498</v>
      </c>
      <c r="T427" s="111">
        <f ca="1">IFERROR(__xludf.DUMMYFUNCTION("""COMPUTED_VALUE"""),7.6)</f>
        <v>7.6</v>
      </c>
    </row>
    <row r="428" spans="1:20" x14ac:dyDescent="0.3">
      <c r="A428" s="112">
        <f ca="1">IFERROR(__xludf.DUMMYFUNCTION("""COMPUTED_VALUE"""),40856.7055555555)</f>
        <v>40856.705555555498</v>
      </c>
      <c r="B428" s="111">
        <f ca="1">IFERROR(__xludf.DUMMYFUNCTION("""COMPUTED_VALUE"""),17.35)</f>
        <v>17.350000000000001</v>
      </c>
      <c r="C428" s="112">
        <f ca="1">IFERROR(__xludf.DUMMYFUNCTION("""COMPUTED_VALUE"""),40861.7055555555)</f>
        <v>40861.705555555498</v>
      </c>
      <c r="D428" s="111">
        <f ca="1">IFERROR(__xludf.DUMMYFUNCTION("""COMPUTED_VALUE"""),15.99)</f>
        <v>15.99</v>
      </c>
      <c r="E428" s="112">
        <f ca="1">IFERROR(__xludf.DUMMYFUNCTION("""COMPUTED_VALUE"""),40858.7055555555)</f>
        <v>40858.705555555498</v>
      </c>
      <c r="F428" s="111">
        <f ca="1">IFERROR(__xludf.DUMMYFUNCTION("""COMPUTED_VALUE"""),6.82)</f>
        <v>6.82</v>
      </c>
      <c r="G428" s="112">
        <f ca="1">IFERROR(__xludf.DUMMYFUNCTION("""COMPUTED_VALUE"""),40858.7055555555)</f>
        <v>40858.705555555498</v>
      </c>
      <c r="H428" s="111">
        <f ca="1">IFERROR(__xludf.DUMMYFUNCTION("""COMPUTED_VALUE"""),21.96)</f>
        <v>21.96</v>
      </c>
      <c r="K428" s="112">
        <f ca="1">IFERROR(__xludf.DUMMYFUNCTION("""COMPUTED_VALUE"""),41345.7055555555)</f>
        <v>41345.705555555498</v>
      </c>
      <c r="L428" s="111">
        <f ca="1">IFERROR(__xludf.DUMMYFUNCTION("""COMPUTED_VALUE"""),0.31)</f>
        <v>0.31</v>
      </c>
      <c r="M428" s="112">
        <f ca="1">IFERROR(__xludf.DUMMYFUNCTION("""COMPUTED_VALUE"""),40805.7055555555)</f>
        <v>40805.705555555498</v>
      </c>
      <c r="N428" s="111">
        <f ca="1">IFERROR(__xludf.DUMMYFUNCTION("""COMPUTED_VALUE"""),11.39)</f>
        <v>11.39</v>
      </c>
      <c r="O428" s="112">
        <f ca="1">IFERROR(__xludf.DUMMYFUNCTION("""COMPUTED_VALUE"""),40856.7055555555)</f>
        <v>40856.705555555498</v>
      </c>
      <c r="P428" s="111">
        <f ca="1">IFERROR(__xludf.DUMMYFUNCTION("""COMPUTED_VALUE"""),44.96)</f>
        <v>44.96</v>
      </c>
      <c r="Q428" s="112">
        <f ca="1">IFERROR(__xludf.DUMMYFUNCTION("""COMPUTED_VALUE"""),40856.7055555555)</f>
        <v>40856.705555555498</v>
      </c>
      <c r="R428" s="111">
        <f ca="1">IFERROR(__xludf.DUMMYFUNCTION("""COMPUTED_VALUE"""),24.72)</f>
        <v>24.72</v>
      </c>
      <c r="S428" s="112">
        <f ca="1">IFERROR(__xludf.DUMMYFUNCTION("""COMPUTED_VALUE"""),40858.7055555555)</f>
        <v>40858.705555555498</v>
      </c>
      <c r="T428" s="111">
        <f ca="1">IFERROR(__xludf.DUMMYFUNCTION("""COMPUTED_VALUE"""),7.94)</f>
        <v>7.94</v>
      </c>
    </row>
    <row r="429" spans="1:20" x14ac:dyDescent="0.3">
      <c r="A429" s="112">
        <f ca="1">IFERROR(__xludf.DUMMYFUNCTION("""COMPUTED_VALUE"""),40858.7055555555)</f>
        <v>40858.705555555498</v>
      </c>
      <c r="B429" s="111">
        <f ca="1">IFERROR(__xludf.DUMMYFUNCTION("""COMPUTED_VALUE"""),17.19)</f>
        <v>17.190000000000001</v>
      </c>
      <c r="C429" s="112">
        <f ca="1">IFERROR(__xludf.DUMMYFUNCTION("""COMPUTED_VALUE"""),40863.7055555555)</f>
        <v>40863.705555555498</v>
      </c>
      <c r="D429" s="111">
        <f ca="1">IFERROR(__xludf.DUMMYFUNCTION("""COMPUTED_VALUE"""),16.09)</f>
        <v>16.09</v>
      </c>
      <c r="E429" s="112">
        <f ca="1">IFERROR(__xludf.DUMMYFUNCTION("""COMPUTED_VALUE"""),40861.7055555555)</f>
        <v>40861.705555555498</v>
      </c>
      <c r="F429" s="111">
        <f ca="1">IFERROR(__xludf.DUMMYFUNCTION("""COMPUTED_VALUE"""),6.85)</f>
        <v>6.85</v>
      </c>
      <c r="G429" s="112">
        <f ca="1">IFERROR(__xludf.DUMMYFUNCTION("""COMPUTED_VALUE"""),40861.7055555555)</f>
        <v>40861.705555555498</v>
      </c>
      <c r="H429" s="111">
        <f ca="1">IFERROR(__xludf.DUMMYFUNCTION("""COMPUTED_VALUE"""),21.92)</f>
        <v>21.92</v>
      </c>
      <c r="K429" s="112">
        <f ca="1">IFERROR(__xludf.DUMMYFUNCTION("""COMPUTED_VALUE"""),41346.7055555555)</f>
        <v>41346.705555555498</v>
      </c>
      <c r="L429" s="111">
        <f ca="1">IFERROR(__xludf.DUMMYFUNCTION("""COMPUTED_VALUE"""),0.29)</f>
        <v>0.28999999999999998</v>
      </c>
      <c r="M429" s="112">
        <f ca="1">IFERROR(__xludf.DUMMYFUNCTION("""COMPUTED_VALUE"""),40806.7055555555)</f>
        <v>40806.705555555498</v>
      </c>
      <c r="N429" s="111">
        <f ca="1">IFERROR(__xludf.DUMMYFUNCTION("""COMPUTED_VALUE"""),11.35)</f>
        <v>11.35</v>
      </c>
      <c r="O429" s="112">
        <f ca="1">IFERROR(__xludf.DUMMYFUNCTION("""COMPUTED_VALUE"""),40858.7055555555)</f>
        <v>40858.705555555498</v>
      </c>
      <c r="P429" s="111">
        <f ca="1">IFERROR(__xludf.DUMMYFUNCTION("""COMPUTED_VALUE"""),45.42)</f>
        <v>45.42</v>
      </c>
      <c r="Q429" s="112">
        <f ca="1">IFERROR(__xludf.DUMMYFUNCTION("""COMPUTED_VALUE"""),40858.7055555555)</f>
        <v>40858.705555555498</v>
      </c>
      <c r="R429" s="111">
        <f ca="1">IFERROR(__xludf.DUMMYFUNCTION("""COMPUTED_VALUE"""),24.47)</f>
        <v>24.47</v>
      </c>
      <c r="S429" s="112">
        <f ca="1">IFERROR(__xludf.DUMMYFUNCTION("""COMPUTED_VALUE"""),40861.7055555555)</f>
        <v>40861.705555555498</v>
      </c>
      <c r="T429" s="111">
        <f ca="1">IFERROR(__xludf.DUMMYFUNCTION("""COMPUTED_VALUE"""),7.91)</f>
        <v>7.91</v>
      </c>
    </row>
    <row r="430" spans="1:20" x14ac:dyDescent="0.3">
      <c r="A430" s="112">
        <f ca="1">IFERROR(__xludf.DUMMYFUNCTION("""COMPUTED_VALUE"""),40861.7055555555)</f>
        <v>40861.705555555498</v>
      </c>
      <c r="B430" s="111">
        <f ca="1">IFERROR(__xludf.DUMMYFUNCTION("""COMPUTED_VALUE"""),16.76)</f>
        <v>16.760000000000002</v>
      </c>
      <c r="C430" s="112">
        <f ca="1">IFERROR(__xludf.DUMMYFUNCTION("""COMPUTED_VALUE"""),40864.7055555555)</f>
        <v>40864.705555555498</v>
      </c>
      <c r="D430" s="111">
        <f ca="1">IFERROR(__xludf.DUMMYFUNCTION("""COMPUTED_VALUE"""),15.49)</f>
        <v>15.49</v>
      </c>
      <c r="E430" s="112">
        <f ca="1">IFERROR(__xludf.DUMMYFUNCTION("""COMPUTED_VALUE"""),40863.7055555555)</f>
        <v>40863.705555555498</v>
      </c>
      <c r="F430" s="111">
        <f ca="1">IFERROR(__xludf.DUMMYFUNCTION("""COMPUTED_VALUE"""),6.88)</f>
        <v>6.88</v>
      </c>
      <c r="G430" s="112">
        <f ca="1">IFERROR(__xludf.DUMMYFUNCTION("""COMPUTED_VALUE"""),40863.7055555555)</f>
        <v>40863.705555555498</v>
      </c>
      <c r="H430" s="111">
        <f ca="1">IFERROR(__xludf.DUMMYFUNCTION("""COMPUTED_VALUE"""),22.11)</f>
        <v>22.11</v>
      </c>
      <c r="K430" s="112">
        <f ca="1">IFERROR(__xludf.DUMMYFUNCTION("""COMPUTED_VALUE"""),41347.7055555555)</f>
        <v>41347.705555555498</v>
      </c>
      <c r="L430" s="111">
        <f ca="1">IFERROR(__xludf.DUMMYFUNCTION("""COMPUTED_VALUE"""),0.3)</f>
        <v>0.3</v>
      </c>
      <c r="M430" s="112">
        <f ca="1">IFERROR(__xludf.DUMMYFUNCTION("""COMPUTED_VALUE"""),40807.7055555555)</f>
        <v>40807.705555555498</v>
      </c>
      <c r="N430" s="111">
        <f ca="1">IFERROR(__xludf.DUMMYFUNCTION("""COMPUTED_VALUE"""),11.34)</f>
        <v>11.34</v>
      </c>
      <c r="O430" s="112">
        <f ca="1">IFERROR(__xludf.DUMMYFUNCTION("""COMPUTED_VALUE"""),40861.7055555555)</f>
        <v>40861.705555555498</v>
      </c>
      <c r="P430" s="111">
        <f ca="1">IFERROR(__xludf.DUMMYFUNCTION("""COMPUTED_VALUE"""),45.2)</f>
        <v>45.2</v>
      </c>
      <c r="Q430" s="112">
        <f ca="1">IFERROR(__xludf.DUMMYFUNCTION("""COMPUTED_VALUE"""),40861.7055555555)</f>
        <v>40861.705555555498</v>
      </c>
      <c r="R430" s="111">
        <f ca="1">IFERROR(__xludf.DUMMYFUNCTION("""COMPUTED_VALUE"""),25.3)</f>
        <v>25.3</v>
      </c>
      <c r="S430" s="112">
        <f ca="1">IFERROR(__xludf.DUMMYFUNCTION("""COMPUTED_VALUE"""),40863.7055555555)</f>
        <v>40863.705555555498</v>
      </c>
      <c r="T430" s="111">
        <f ca="1">IFERROR(__xludf.DUMMYFUNCTION("""COMPUTED_VALUE"""),7.92)</f>
        <v>7.92</v>
      </c>
    </row>
    <row r="431" spans="1:20" x14ac:dyDescent="0.3">
      <c r="A431" s="112">
        <f ca="1">IFERROR(__xludf.DUMMYFUNCTION("""COMPUTED_VALUE"""),40863.7055555555)</f>
        <v>40863.705555555498</v>
      </c>
      <c r="B431" s="111">
        <f ca="1">IFERROR(__xludf.DUMMYFUNCTION("""COMPUTED_VALUE"""),17.06)</f>
        <v>17.059999999999999</v>
      </c>
      <c r="C431" s="112">
        <f ca="1">IFERROR(__xludf.DUMMYFUNCTION("""COMPUTED_VALUE"""),40865.7055555555)</f>
        <v>40865.705555555498</v>
      </c>
      <c r="D431" s="111">
        <f ca="1">IFERROR(__xludf.DUMMYFUNCTION("""COMPUTED_VALUE"""),15.25)</f>
        <v>15.25</v>
      </c>
      <c r="E431" s="112">
        <f ca="1">IFERROR(__xludf.DUMMYFUNCTION("""COMPUTED_VALUE"""),40864.7055555555)</f>
        <v>40864.705555555498</v>
      </c>
      <c r="F431" s="111">
        <f ca="1">IFERROR(__xludf.DUMMYFUNCTION("""COMPUTED_VALUE"""),6.62)</f>
        <v>6.62</v>
      </c>
      <c r="G431" s="112">
        <f ca="1">IFERROR(__xludf.DUMMYFUNCTION("""COMPUTED_VALUE"""),40864.7055555555)</f>
        <v>40864.705555555498</v>
      </c>
      <c r="H431" s="111">
        <f ca="1">IFERROR(__xludf.DUMMYFUNCTION("""COMPUTED_VALUE"""),21.52)</f>
        <v>21.52</v>
      </c>
      <c r="K431" s="112">
        <f ca="1">IFERROR(__xludf.DUMMYFUNCTION("""COMPUTED_VALUE"""),41348.7055555555)</f>
        <v>41348.705555555498</v>
      </c>
      <c r="L431" s="111">
        <f ca="1">IFERROR(__xludf.DUMMYFUNCTION("""COMPUTED_VALUE"""),0.29)</f>
        <v>0.28999999999999998</v>
      </c>
      <c r="M431" s="112">
        <f ca="1">IFERROR(__xludf.DUMMYFUNCTION("""COMPUTED_VALUE"""),40808.7055555555)</f>
        <v>40808.705555555498</v>
      </c>
      <c r="N431" s="111">
        <f ca="1">IFERROR(__xludf.DUMMYFUNCTION("""COMPUTED_VALUE"""),10.88)</f>
        <v>10.88</v>
      </c>
      <c r="O431" s="112">
        <f ca="1">IFERROR(__xludf.DUMMYFUNCTION("""COMPUTED_VALUE"""),40863.7055555555)</f>
        <v>40863.705555555498</v>
      </c>
      <c r="P431" s="111">
        <f ca="1">IFERROR(__xludf.DUMMYFUNCTION("""COMPUTED_VALUE"""),45.58)</f>
        <v>45.58</v>
      </c>
      <c r="Q431" s="112">
        <f ca="1">IFERROR(__xludf.DUMMYFUNCTION("""COMPUTED_VALUE"""),40863.7055555555)</f>
        <v>40863.705555555498</v>
      </c>
      <c r="R431" s="111">
        <f ca="1">IFERROR(__xludf.DUMMYFUNCTION("""COMPUTED_VALUE"""),25.35)</f>
        <v>25.35</v>
      </c>
      <c r="S431" s="112">
        <f ca="1">IFERROR(__xludf.DUMMYFUNCTION("""COMPUTED_VALUE"""),40864.7055555555)</f>
        <v>40864.705555555498</v>
      </c>
      <c r="T431" s="111">
        <f ca="1">IFERROR(__xludf.DUMMYFUNCTION("""COMPUTED_VALUE"""),7.75)</f>
        <v>7.75</v>
      </c>
    </row>
    <row r="432" spans="1:20" x14ac:dyDescent="0.3">
      <c r="A432" s="112">
        <f ca="1">IFERROR(__xludf.DUMMYFUNCTION("""COMPUTED_VALUE"""),40864.7055555555)</f>
        <v>40864.705555555498</v>
      </c>
      <c r="B432" s="111">
        <f ca="1">IFERROR(__xludf.DUMMYFUNCTION("""COMPUTED_VALUE"""),16.17)</f>
        <v>16.170000000000002</v>
      </c>
      <c r="C432" s="112">
        <f ca="1">IFERROR(__xludf.DUMMYFUNCTION("""COMPUTED_VALUE"""),40868.7055555555)</f>
        <v>40868.705555555498</v>
      </c>
      <c r="D432" s="111">
        <f ca="1">IFERROR(__xludf.DUMMYFUNCTION("""COMPUTED_VALUE"""),15.03)</f>
        <v>15.03</v>
      </c>
      <c r="E432" s="112">
        <f ca="1">IFERROR(__xludf.DUMMYFUNCTION("""COMPUTED_VALUE"""),40865.7055555555)</f>
        <v>40865.705555555498</v>
      </c>
      <c r="F432" s="111">
        <f ca="1">IFERROR(__xludf.DUMMYFUNCTION("""COMPUTED_VALUE"""),6.55)</f>
        <v>6.55</v>
      </c>
      <c r="G432" s="112">
        <f ca="1">IFERROR(__xludf.DUMMYFUNCTION("""COMPUTED_VALUE"""),40865.7055555555)</f>
        <v>40865.705555555498</v>
      </c>
      <c r="H432" s="111">
        <f ca="1">IFERROR(__xludf.DUMMYFUNCTION("""COMPUTED_VALUE"""),21.75)</f>
        <v>21.75</v>
      </c>
      <c r="K432" s="112">
        <f ca="1">IFERROR(__xludf.DUMMYFUNCTION("""COMPUTED_VALUE"""),41351.7055555555)</f>
        <v>41351.705555555498</v>
      </c>
      <c r="L432" s="111">
        <f ca="1">IFERROR(__xludf.DUMMYFUNCTION("""COMPUTED_VALUE"""),0.29)</f>
        <v>0.28999999999999998</v>
      </c>
      <c r="M432" s="112">
        <f ca="1">IFERROR(__xludf.DUMMYFUNCTION("""COMPUTED_VALUE"""),40809.7055555555)</f>
        <v>40809.705555555498</v>
      </c>
      <c r="N432" s="111">
        <f ca="1">IFERROR(__xludf.DUMMYFUNCTION("""COMPUTED_VALUE"""),10.53)</f>
        <v>10.53</v>
      </c>
      <c r="O432" s="112">
        <f ca="1">IFERROR(__xludf.DUMMYFUNCTION("""COMPUTED_VALUE"""),40864.7055555555)</f>
        <v>40864.705555555498</v>
      </c>
      <c r="P432" s="111">
        <f ca="1">IFERROR(__xludf.DUMMYFUNCTION("""COMPUTED_VALUE"""),44.35)</f>
        <v>44.35</v>
      </c>
      <c r="Q432" s="112">
        <f ca="1">IFERROR(__xludf.DUMMYFUNCTION("""COMPUTED_VALUE"""),40864.7055555555)</f>
        <v>40864.705555555498</v>
      </c>
      <c r="R432" s="111">
        <f ca="1">IFERROR(__xludf.DUMMYFUNCTION("""COMPUTED_VALUE"""),24.79)</f>
        <v>24.79</v>
      </c>
      <c r="S432" s="112">
        <f ca="1">IFERROR(__xludf.DUMMYFUNCTION("""COMPUTED_VALUE"""),40865.7055555555)</f>
        <v>40865.705555555498</v>
      </c>
      <c r="T432" s="111">
        <f ca="1">IFERROR(__xludf.DUMMYFUNCTION("""COMPUTED_VALUE"""),7.66)</f>
        <v>7.66</v>
      </c>
    </row>
    <row r="433" spans="1:20" x14ac:dyDescent="0.3">
      <c r="A433" s="112">
        <f ca="1">IFERROR(__xludf.DUMMYFUNCTION("""COMPUTED_VALUE"""),40865.7055555555)</f>
        <v>40865.705555555498</v>
      </c>
      <c r="B433" s="111">
        <f ca="1">IFERROR(__xludf.DUMMYFUNCTION("""COMPUTED_VALUE"""),16.32)</f>
        <v>16.32</v>
      </c>
      <c r="C433" s="112">
        <f ca="1">IFERROR(__xludf.DUMMYFUNCTION("""COMPUTED_VALUE"""),40869.7055555555)</f>
        <v>40869.705555555498</v>
      </c>
      <c r="D433" s="111">
        <f ca="1">IFERROR(__xludf.DUMMYFUNCTION("""COMPUTED_VALUE"""),14.99)</f>
        <v>14.99</v>
      </c>
      <c r="E433" s="112">
        <f ca="1">IFERROR(__xludf.DUMMYFUNCTION("""COMPUTED_VALUE"""),40869.7055555555)</f>
        <v>40869.705555555498</v>
      </c>
      <c r="F433" s="111">
        <f ca="1">IFERROR(__xludf.DUMMYFUNCTION("""COMPUTED_VALUE"""),6.41)</f>
        <v>6.41</v>
      </c>
      <c r="G433" s="112">
        <f ca="1">IFERROR(__xludf.DUMMYFUNCTION("""COMPUTED_VALUE"""),40868.7055555555)</f>
        <v>40868.705555555498</v>
      </c>
      <c r="H433" s="111">
        <f ca="1">IFERROR(__xludf.DUMMYFUNCTION("""COMPUTED_VALUE"""),21.8)</f>
        <v>21.8</v>
      </c>
      <c r="K433" s="112">
        <f ca="1">IFERROR(__xludf.DUMMYFUNCTION("""COMPUTED_VALUE"""),41352.7055555555)</f>
        <v>41352.705555555498</v>
      </c>
      <c r="L433" s="111">
        <f ca="1">IFERROR(__xludf.DUMMYFUNCTION("""COMPUTED_VALUE"""),0.29)</f>
        <v>0.28999999999999998</v>
      </c>
      <c r="M433" s="112">
        <f ca="1">IFERROR(__xludf.DUMMYFUNCTION("""COMPUTED_VALUE"""),40812.7055555555)</f>
        <v>40812.705555555498</v>
      </c>
      <c r="N433" s="111">
        <f ca="1">IFERROR(__xludf.DUMMYFUNCTION("""COMPUTED_VALUE"""),10.71)</f>
        <v>10.71</v>
      </c>
      <c r="O433" s="112">
        <f ca="1">IFERROR(__xludf.DUMMYFUNCTION("""COMPUTED_VALUE"""),40865.7055555555)</f>
        <v>40865.705555555498</v>
      </c>
      <c r="P433" s="111">
        <f ca="1">IFERROR(__xludf.DUMMYFUNCTION("""COMPUTED_VALUE"""),44.2)</f>
        <v>44.2</v>
      </c>
      <c r="Q433" s="112">
        <f ca="1">IFERROR(__xludf.DUMMYFUNCTION("""COMPUTED_VALUE"""),40865.7055555555)</f>
        <v>40865.705555555498</v>
      </c>
      <c r="R433" s="111">
        <f ca="1">IFERROR(__xludf.DUMMYFUNCTION("""COMPUTED_VALUE"""),24.26)</f>
        <v>24.26</v>
      </c>
      <c r="S433" s="112">
        <f ca="1">IFERROR(__xludf.DUMMYFUNCTION("""COMPUTED_VALUE"""),40868.7055555555)</f>
        <v>40868.705555555498</v>
      </c>
      <c r="T433" s="111">
        <f ca="1">IFERROR(__xludf.DUMMYFUNCTION("""COMPUTED_VALUE"""),7.45)</f>
        <v>7.45</v>
      </c>
    </row>
    <row r="434" spans="1:20" x14ac:dyDescent="0.3">
      <c r="A434" s="112">
        <f ca="1">IFERROR(__xludf.DUMMYFUNCTION("""COMPUTED_VALUE"""),40868.7055555555)</f>
        <v>40868.705555555498</v>
      </c>
      <c r="B434" s="111">
        <f ca="1">IFERROR(__xludf.DUMMYFUNCTION("""COMPUTED_VALUE"""),16.42)</f>
        <v>16.420000000000002</v>
      </c>
      <c r="C434" s="112">
        <f ca="1">IFERROR(__xludf.DUMMYFUNCTION("""COMPUTED_VALUE"""),40870.7055555555)</f>
        <v>40870.705555555498</v>
      </c>
      <c r="D434" s="111">
        <f ca="1">IFERROR(__xludf.DUMMYFUNCTION("""COMPUTED_VALUE"""),14.81)</f>
        <v>14.81</v>
      </c>
      <c r="E434" s="112">
        <f ca="1">IFERROR(__xludf.DUMMYFUNCTION("""COMPUTED_VALUE"""),40870.7055555555)</f>
        <v>40870.705555555498</v>
      </c>
      <c r="F434" s="111">
        <f ca="1">IFERROR(__xludf.DUMMYFUNCTION("""COMPUTED_VALUE"""),6.29)</f>
        <v>6.29</v>
      </c>
      <c r="G434" s="112">
        <f ca="1">IFERROR(__xludf.DUMMYFUNCTION("""COMPUTED_VALUE"""),40869.7055555555)</f>
        <v>40869.705555555498</v>
      </c>
      <c r="H434" s="111">
        <f ca="1">IFERROR(__xludf.DUMMYFUNCTION("""COMPUTED_VALUE"""),21.68)</f>
        <v>21.68</v>
      </c>
      <c r="K434" s="112">
        <f ca="1">IFERROR(__xludf.DUMMYFUNCTION("""COMPUTED_VALUE"""),41353.7055555555)</f>
        <v>41353.705555555498</v>
      </c>
      <c r="L434" s="111">
        <f ca="1">IFERROR(__xludf.DUMMYFUNCTION("""COMPUTED_VALUE"""),0.29)</f>
        <v>0.28999999999999998</v>
      </c>
      <c r="M434" s="112">
        <f ca="1">IFERROR(__xludf.DUMMYFUNCTION("""COMPUTED_VALUE"""),40813.7055555555)</f>
        <v>40813.705555555498</v>
      </c>
      <c r="N434" s="111">
        <f ca="1">IFERROR(__xludf.DUMMYFUNCTION("""COMPUTED_VALUE"""),10.91)</f>
        <v>10.91</v>
      </c>
      <c r="O434" s="112">
        <f ca="1">IFERROR(__xludf.DUMMYFUNCTION("""COMPUTED_VALUE"""),40868.7055555555)</f>
        <v>40868.705555555498</v>
      </c>
      <c r="P434" s="111">
        <f ca="1">IFERROR(__xludf.DUMMYFUNCTION("""COMPUTED_VALUE"""),43.94)</f>
        <v>43.94</v>
      </c>
      <c r="Q434" s="112">
        <f ca="1">IFERROR(__xludf.DUMMYFUNCTION("""COMPUTED_VALUE"""),40868.7055555555)</f>
        <v>40868.705555555498</v>
      </c>
      <c r="R434" s="111">
        <f ca="1">IFERROR(__xludf.DUMMYFUNCTION("""COMPUTED_VALUE"""),24.19)</f>
        <v>24.19</v>
      </c>
      <c r="S434" s="112">
        <f ca="1">IFERROR(__xludf.DUMMYFUNCTION("""COMPUTED_VALUE"""),40869.7055555555)</f>
        <v>40869.705555555498</v>
      </c>
      <c r="T434" s="111">
        <f ca="1">IFERROR(__xludf.DUMMYFUNCTION("""COMPUTED_VALUE"""),7.4)</f>
        <v>7.4</v>
      </c>
    </row>
    <row r="435" spans="1:20" x14ac:dyDescent="0.3">
      <c r="A435" s="112">
        <f ca="1">IFERROR(__xludf.DUMMYFUNCTION("""COMPUTED_VALUE"""),40869.7055555555)</f>
        <v>40869.705555555498</v>
      </c>
      <c r="B435" s="111">
        <f ca="1">IFERROR(__xludf.DUMMYFUNCTION("""COMPUTED_VALUE"""),15.95)</f>
        <v>15.95</v>
      </c>
      <c r="C435" s="112">
        <f ca="1">IFERROR(__xludf.DUMMYFUNCTION("""COMPUTED_VALUE"""),40871.7055555555)</f>
        <v>40871.705555555498</v>
      </c>
      <c r="D435" s="111">
        <f ca="1">IFERROR(__xludf.DUMMYFUNCTION("""COMPUTED_VALUE"""),14.87)</f>
        <v>14.87</v>
      </c>
      <c r="E435" s="112">
        <f ca="1">IFERROR(__xludf.DUMMYFUNCTION("""COMPUTED_VALUE"""),40871.7055555555)</f>
        <v>40871.705555555498</v>
      </c>
      <c r="F435" s="111">
        <f ca="1">IFERROR(__xludf.DUMMYFUNCTION("""COMPUTED_VALUE"""),6.36)</f>
        <v>6.36</v>
      </c>
      <c r="G435" s="112">
        <f ca="1">IFERROR(__xludf.DUMMYFUNCTION("""COMPUTED_VALUE"""),40870.7055555555)</f>
        <v>40870.705555555498</v>
      </c>
      <c r="H435" s="111">
        <f ca="1">IFERROR(__xludf.DUMMYFUNCTION("""COMPUTED_VALUE"""),21.57)</f>
        <v>21.57</v>
      </c>
      <c r="K435" s="112">
        <f ca="1">IFERROR(__xludf.DUMMYFUNCTION("""COMPUTED_VALUE"""),41354.7055555555)</f>
        <v>41354.705555555498</v>
      </c>
      <c r="L435" s="111">
        <f ca="1">IFERROR(__xludf.DUMMYFUNCTION("""COMPUTED_VALUE"""),0.29)</f>
        <v>0.28999999999999998</v>
      </c>
      <c r="M435" s="112">
        <f ca="1">IFERROR(__xludf.DUMMYFUNCTION("""COMPUTED_VALUE"""),40814.7055555555)</f>
        <v>40814.705555555498</v>
      </c>
      <c r="N435" s="111">
        <f ca="1">IFERROR(__xludf.DUMMYFUNCTION("""COMPUTED_VALUE"""),10.93)</f>
        <v>10.93</v>
      </c>
      <c r="O435" s="112">
        <f ca="1">IFERROR(__xludf.DUMMYFUNCTION("""COMPUTED_VALUE"""),40869.7055555555)</f>
        <v>40869.705555555498</v>
      </c>
      <c r="P435" s="111">
        <f ca="1">IFERROR(__xludf.DUMMYFUNCTION("""COMPUTED_VALUE"""),43.55)</f>
        <v>43.55</v>
      </c>
      <c r="Q435" s="112">
        <f ca="1">IFERROR(__xludf.DUMMYFUNCTION("""COMPUTED_VALUE"""),40869.7055555555)</f>
        <v>40869.705555555498</v>
      </c>
      <c r="R435" s="111">
        <f ca="1">IFERROR(__xludf.DUMMYFUNCTION("""COMPUTED_VALUE"""),23.8)</f>
        <v>23.8</v>
      </c>
      <c r="S435" s="112">
        <f ca="1">IFERROR(__xludf.DUMMYFUNCTION("""COMPUTED_VALUE"""),40870.7055555555)</f>
        <v>40870.705555555498</v>
      </c>
      <c r="T435" s="111">
        <f ca="1">IFERROR(__xludf.DUMMYFUNCTION("""COMPUTED_VALUE"""),7.33)</f>
        <v>7.33</v>
      </c>
    </row>
    <row r="436" spans="1:20" x14ac:dyDescent="0.3">
      <c r="A436" s="112">
        <f ca="1">IFERROR(__xludf.DUMMYFUNCTION("""COMPUTED_VALUE"""),40870.7055555555)</f>
        <v>40870.705555555498</v>
      </c>
      <c r="B436" s="111">
        <f ca="1">IFERROR(__xludf.DUMMYFUNCTION("""COMPUTED_VALUE"""),15.66)</f>
        <v>15.66</v>
      </c>
      <c r="C436" s="112">
        <f ca="1">IFERROR(__xludf.DUMMYFUNCTION("""COMPUTED_VALUE"""),40872.7055555555)</f>
        <v>40872.705555555498</v>
      </c>
      <c r="D436" s="111">
        <f ca="1">IFERROR(__xludf.DUMMYFUNCTION("""COMPUTED_VALUE"""),14.78)</f>
        <v>14.78</v>
      </c>
      <c r="E436" s="112">
        <f ca="1">IFERROR(__xludf.DUMMYFUNCTION("""COMPUTED_VALUE"""),40872.7055555555)</f>
        <v>40872.705555555498</v>
      </c>
      <c r="F436" s="111">
        <f ca="1">IFERROR(__xludf.DUMMYFUNCTION("""COMPUTED_VALUE"""),6.33)</f>
        <v>6.33</v>
      </c>
      <c r="G436" s="112">
        <f ca="1">IFERROR(__xludf.DUMMYFUNCTION("""COMPUTED_VALUE"""),40871.7055555555)</f>
        <v>40871.705555555498</v>
      </c>
      <c r="H436" s="111">
        <f ca="1">IFERROR(__xludf.DUMMYFUNCTION("""COMPUTED_VALUE"""),21.67)</f>
        <v>21.67</v>
      </c>
      <c r="K436" s="112">
        <f ca="1">IFERROR(__xludf.DUMMYFUNCTION("""COMPUTED_VALUE"""),41355.7055555555)</f>
        <v>41355.705555555498</v>
      </c>
      <c r="L436" s="111">
        <f ca="1">IFERROR(__xludf.DUMMYFUNCTION("""COMPUTED_VALUE"""),0.29)</f>
        <v>0.28999999999999998</v>
      </c>
      <c r="M436" s="112">
        <f ca="1">IFERROR(__xludf.DUMMYFUNCTION("""COMPUTED_VALUE"""),40815.7055555555)</f>
        <v>40815.705555555498</v>
      </c>
      <c r="N436" s="111">
        <f ca="1">IFERROR(__xludf.DUMMYFUNCTION("""COMPUTED_VALUE"""),11.05)</f>
        <v>11.05</v>
      </c>
      <c r="O436" s="112">
        <f ca="1">IFERROR(__xludf.DUMMYFUNCTION("""COMPUTED_VALUE"""),40870.7055555555)</f>
        <v>40870.705555555498</v>
      </c>
      <c r="P436" s="111">
        <f ca="1">IFERROR(__xludf.DUMMYFUNCTION("""COMPUTED_VALUE"""),42.4)</f>
        <v>42.4</v>
      </c>
      <c r="Q436" s="112">
        <f ca="1">IFERROR(__xludf.DUMMYFUNCTION("""COMPUTED_VALUE"""),40870.7055555555)</f>
        <v>40870.705555555498</v>
      </c>
      <c r="R436" s="111">
        <f ca="1">IFERROR(__xludf.DUMMYFUNCTION("""COMPUTED_VALUE"""),23.2)</f>
        <v>23.2</v>
      </c>
      <c r="S436" s="112">
        <f ca="1">IFERROR(__xludf.DUMMYFUNCTION("""COMPUTED_VALUE"""),40871.7055555555)</f>
        <v>40871.705555555498</v>
      </c>
      <c r="T436" s="111">
        <f ca="1">IFERROR(__xludf.DUMMYFUNCTION("""COMPUTED_VALUE"""),7.57)</f>
        <v>7.57</v>
      </c>
    </row>
    <row r="437" spans="1:20" x14ac:dyDescent="0.3">
      <c r="A437" s="112">
        <f ca="1">IFERROR(__xludf.DUMMYFUNCTION("""COMPUTED_VALUE"""),40871.7055555555)</f>
        <v>40871.705555555498</v>
      </c>
      <c r="B437" s="111">
        <f ca="1">IFERROR(__xludf.DUMMYFUNCTION("""COMPUTED_VALUE"""),15.9)</f>
        <v>15.9</v>
      </c>
      <c r="C437" s="112">
        <f ca="1">IFERROR(__xludf.DUMMYFUNCTION("""COMPUTED_VALUE"""),40875.7055555555)</f>
        <v>40875.705555555498</v>
      </c>
      <c r="D437" s="111">
        <f ca="1">IFERROR(__xludf.DUMMYFUNCTION("""COMPUTED_VALUE"""),15.2)</f>
        <v>15.2</v>
      </c>
      <c r="E437" s="112">
        <f ca="1">IFERROR(__xludf.DUMMYFUNCTION("""COMPUTED_VALUE"""),40875.7055555555)</f>
        <v>40875.705555555498</v>
      </c>
      <c r="F437" s="111">
        <f ca="1">IFERROR(__xludf.DUMMYFUNCTION("""COMPUTED_VALUE"""),6.49)</f>
        <v>6.49</v>
      </c>
      <c r="G437" s="112">
        <f ca="1">IFERROR(__xludf.DUMMYFUNCTION("""COMPUTED_VALUE"""),40872.7055555555)</f>
        <v>40872.705555555498</v>
      </c>
      <c r="H437" s="111">
        <f ca="1">IFERROR(__xludf.DUMMYFUNCTION("""COMPUTED_VALUE"""),21.01)</f>
        <v>21.01</v>
      </c>
      <c r="K437" s="112">
        <f ca="1">IFERROR(__xludf.DUMMYFUNCTION("""COMPUTED_VALUE"""),41358.7055555555)</f>
        <v>41358.705555555498</v>
      </c>
      <c r="L437" s="111">
        <f ca="1">IFERROR(__xludf.DUMMYFUNCTION("""COMPUTED_VALUE"""),0.29)</f>
        <v>0.28999999999999998</v>
      </c>
      <c r="M437" s="112">
        <f ca="1">IFERROR(__xludf.DUMMYFUNCTION("""COMPUTED_VALUE"""),40816.7055555555)</f>
        <v>40816.705555555498</v>
      </c>
      <c r="N437" s="111">
        <f ca="1">IFERROR(__xludf.DUMMYFUNCTION("""COMPUTED_VALUE"""),10.86)</f>
        <v>10.86</v>
      </c>
      <c r="O437" s="112">
        <f ca="1">IFERROR(__xludf.DUMMYFUNCTION("""COMPUTED_VALUE"""),40871.7055555555)</f>
        <v>40871.705555555498</v>
      </c>
      <c r="P437" s="111">
        <f ca="1">IFERROR(__xludf.DUMMYFUNCTION("""COMPUTED_VALUE"""),42.45)</f>
        <v>42.45</v>
      </c>
      <c r="Q437" s="112">
        <f ca="1">IFERROR(__xludf.DUMMYFUNCTION("""COMPUTED_VALUE"""),40871.7055555555)</f>
        <v>40871.705555555498</v>
      </c>
      <c r="R437" s="111">
        <f ca="1">IFERROR(__xludf.DUMMYFUNCTION("""COMPUTED_VALUE"""),23.28)</f>
        <v>23.28</v>
      </c>
      <c r="S437" s="112">
        <f ca="1">IFERROR(__xludf.DUMMYFUNCTION("""COMPUTED_VALUE"""),40872.7055555555)</f>
        <v>40872.705555555498</v>
      </c>
      <c r="T437" s="111">
        <f ca="1">IFERROR(__xludf.DUMMYFUNCTION("""COMPUTED_VALUE"""),7.44)</f>
        <v>7.44</v>
      </c>
    </row>
    <row r="438" spans="1:20" x14ac:dyDescent="0.3">
      <c r="A438" s="112">
        <f ca="1">IFERROR(__xludf.DUMMYFUNCTION("""COMPUTED_VALUE"""),40872.7055555555)</f>
        <v>40872.705555555498</v>
      </c>
      <c r="B438" s="111">
        <f ca="1">IFERROR(__xludf.DUMMYFUNCTION("""COMPUTED_VALUE"""),15.99)</f>
        <v>15.99</v>
      </c>
      <c r="C438" s="112">
        <f ca="1">IFERROR(__xludf.DUMMYFUNCTION("""COMPUTED_VALUE"""),40876.7055555555)</f>
        <v>40876.705555555498</v>
      </c>
      <c r="D438" s="111">
        <f ca="1">IFERROR(__xludf.DUMMYFUNCTION("""COMPUTED_VALUE"""),15.08)</f>
        <v>15.08</v>
      </c>
      <c r="E438" s="112">
        <f ca="1">IFERROR(__xludf.DUMMYFUNCTION("""COMPUTED_VALUE"""),40876.7055555555)</f>
        <v>40876.705555555498</v>
      </c>
      <c r="F438" s="111">
        <f ca="1">IFERROR(__xludf.DUMMYFUNCTION("""COMPUTED_VALUE"""),6.42)</f>
        <v>6.42</v>
      </c>
      <c r="G438" s="112">
        <f ca="1">IFERROR(__xludf.DUMMYFUNCTION("""COMPUTED_VALUE"""),40875.7055555555)</f>
        <v>40875.705555555498</v>
      </c>
      <c r="H438" s="111">
        <f ca="1">IFERROR(__xludf.DUMMYFUNCTION("""COMPUTED_VALUE"""),21.5)</f>
        <v>21.5</v>
      </c>
      <c r="K438" s="112">
        <f ca="1">IFERROR(__xludf.DUMMYFUNCTION("""COMPUTED_VALUE"""),41359.7055555555)</f>
        <v>41359.705555555498</v>
      </c>
      <c r="L438" s="111">
        <f ca="1">IFERROR(__xludf.DUMMYFUNCTION("""COMPUTED_VALUE"""),0.28)</f>
        <v>0.28000000000000003</v>
      </c>
      <c r="M438" s="112">
        <f ca="1">IFERROR(__xludf.DUMMYFUNCTION("""COMPUTED_VALUE"""),40819.7055555555)</f>
        <v>40819.705555555498</v>
      </c>
      <c r="N438" s="111">
        <f ca="1">IFERROR(__xludf.DUMMYFUNCTION("""COMPUTED_VALUE"""),10.58)</f>
        <v>10.58</v>
      </c>
      <c r="O438" s="112">
        <f ca="1">IFERROR(__xludf.DUMMYFUNCTION("""COMPUTED_VALUE"""),40872.7055555555)</f>
        <v>40872.705555555498</v>
      </c>
      <c r="P438" s="111">
        <f ca="1">IFERROR(__xludf.DUMMYFUNCTION("""COMPUTED_VALUE"""),41.48)</f>
        <v>41.48</v>
      </c>
      <c r="Q438" s="112">
        <f ca="1">IFERROR(__xludf.DUMMYFUNCTION("""COMPUTED_VALUE"""),40872.7055555555)</f>
        <v>40872.705555555498</v>
      </c>
      <c r="R438" s="111">
        <f ca="1">IFERROR(__xludf.DUMMYFUNCTION("""COMPUTED_VALUE"""),23.16)</f>
        <v>23.16</v>
      </c>
      <c r="S438" s="112">
        <f ca="1">IFERROR(__xludf.DUMMYFUNCTION("""COMPUTED_VALUE"""),40875.7055555555)</f>
        <v>40875.705555555498</v>
      </c>
      <c r="T438" s="111">
        <f ca="1">IFERROR(__xludf.DUMMYFUNCTION("""COMPUTED_VALUE"""),7.87)</f>
        <v>7.87</v>
      </c>
    </row>
    <row r="439" spans="1:20" x14ac:dyDescent="0.3">
      <c r="A439" s="112">
        <f ca="1">IFERROR(__xludf.DUMMYFUNCTION("""COMPUTED_VALUE"""),40875.7055555555)</f>
        <v>40875.705555555498</v>
      </c>
      <c r="B439" s="111">
        <f ca="1">IFERROR(__xludf.DUMMYFUNCTION("""COMPUTED_VALUE"""),16.43)</f>
        <v>16.43</v>
      </c>
      <c r="C439" s="112">
        <f ca="1">IFERROR(__xludf.DUMMYFUNCTION("""COMPUTED_VALUE"""),40877.7055555555)</f>
        <v>40877.705555555498</v>
      </c>
      <c r="D439" s="111">
        <f ca="1">IFERROR(__xludf.DUMMYFUNCTION("""COMPUTED_VALUE"""),15.98)</f>
        <v>15.98</v>
      </c>
      <c r="E439" s="112">
        <f ca="1">IFERROR(__xludf.DUMMYFUNCTION("""COMPUTED_VALUE"""),40877.7055555555)</f>
        <v>40877.705555555498</v>
      </c>
      <c r="F439" s="111">
        <f ca="1">IFERROR(__xludf.DUMMYFUNCTION("""COMPUTED_VALUE"""),6.86)</f>
        <v>6.86</v>
      </c>
      <c r="G439" s="112">
        <f ca="1">IFERROR(__xludf.DUMMYFUNCTION("""COMPUTED_VALUE"""),40876.7055555555)</f>
        <v>40876.705555555498</v>
      </c>
      <c r="H439" s="111">
        <f ca="1">IFERROR(__xludf.DUMMYFUNCTION("""COMPUTED_VALUE"""),21.41)</f>
        <v>21.41</v>
      </c>
      <c r="K439" s="112">
        <f ca="1">IFERROR(__xludf.DUMMYFUNCTION("""COMPUTED_VALUE"""),41360.7055555555)</f>
        <v>41360.705555555498</v>
      </c>
      <c r="L439" s="111">
        <f ca="1">IFERROR(__xludf.DUMMYFUNCTION("""COMPUTED_VALUE"""),0.28)</f>
        <v>0.28000000000000003</v>
      </c>
      <c r="M439" s="112">
        <f ca="1">IFERROR(__xludf.DUMMYFUNCTION("""COMPUTED_VALUE"""),40820.7055555555)</f>
        <v>40820.705555555498</v>
      </c>
      <c r="N439" s="111">
        <f ca="1">IFERROR(__xludf.DUMMYFUNCTION("""COMPUTED_VALUE"""),10.71)</f>
        <v>10.71</v>
      </c>
      <c r="O439" s="112">
        <f ca="1">IFERROR(__xludf.DUMMYFUNCTION("""COMPUTED_VALUE"""),40875.7055555555)</f>
        <v>40875.705555555498</v>
      </c>
      <c r="P439" s="111">
        <f ca="1">IFERROR(__xludf.DUMMYFUNCTION("""COMPUTED_VALUE"""),41.89)</f>
        <v>41.89</v>
      </c>
      <c r="Q439" s="112">
        <f ca="1">IFERROR(__xludf.DUMMYFUNCTION("""COMPUTED_VALUE"""),40875.7055555555)</f>
        <v>40875.705555555498</v>
      </c>
      <c r="R439" s="111">
        <f ca="1">IFERROR(__xludf.DUMMYFUNCTION("""COMPUTED_VALUE"""),23.6)</f>
        <v>23.6</v>
      </c>
      <c r="S439" s="112">
        <f ca="1">IFERROR(__xludf.DUMMYFUNCTION("""COMPUTED_VALUE"""),40876.7055555555)</f>
        <v>40876.705555555498</v>
      </c>
      <c r="T439" s="111">
        <f ca="1">IFERROR(__xludf.DUMMYFUNCTION("""COMPUTED_VALUE"""),7.94)</f>
        <v>7.94</v>
      </c>
    </row>
    <row r="440" spans="1:20" x14ac:dyDescent="0.3">
      <c r="A440" s="112">
        <f ca="1">IFERROR(__xludf.DUMMYFUNCTION("""COMPUTED_VALUE"""),40876.7055555555)</f>
        <v>40876.705555555498</v>
      </c>
      <c r="B440" s="111">
        <f ca="1">IFERROR(__xludf.DUMMYFUNCTION("""COMPUTED_VALUE"""),16.02)</f>
        <v>16.02</v>
      </c>
      <c r="C440" s="112">
        <f ca="1">IFERROR(__xludf.DUMMYFUNCTION("""COMPUTED_VALUE"""),40878.7055555555)</f>
        <v>40878.705555555498</v>
      </c>
      <c r="D440" s="111">
        <f ca="1">IFERROR(__xludf.DUMMYFUNCTION("""COMPUTED_VALUE"""),16.6)</f>
        <v>16.600000000000001</v>
      </c>
      <c r="E440" s="112">
        <f ca="1">IFERROR(__xludf.DUMMYFUNCTION("""COMPUTED_VALUE"""),40878.7055555555)</f>
        <v>40878.705555555498</v>
      </c>
      <c r="F440" s="111">
        <f ca="1">IFERROR(__xludf.DUMMYFUNCTION("""COMPUTED_VALUE"""),7.04)</f>
        <v>7.04</v>
      </c>
      <c r="G440" s="112">
        <f ca="1">IFERROR(__xludf.DUMMYFUNCTION("""COMPUTED_VALUE"""),40877.7055555555)</f>
        <v>40877.705555555498</v>
      </c>
      <c r="H440" s="111">
        <f ca="1">IFERROR(__xludf.DUMMYFUNCTION("""COMPUTED_VALUE"""),22.05)</f>
        <v>22.05</v>
      </c>
      <c r="K440" s="112">
        <f ca="1">IFERROR(__xludf.DUMMYFUNCTION("""COMPUTED_VALUE"""),41361.7055555555)</f>
        <v>41361.705555555498</v>
      </c>
      <c r="L440" s="111">
        <f ca="1">IFERROR(__xludf.DUMMYFUNCTION("""COMPUTED_VALUE"""),0.29)</f>
        <v>0.28999999999999998</v>
      </c>
      <c r="M440" s="112">
        <f ca="1">IFERROR(__xludf.DUMMYFUNCTION("""COMPUTED_VALUE"""),40821.7055555555)</f>
        <v>40821.705555555498</v>
      </c>
      <c r="N440" s="111">
        <f ca="1">IFERROR(__xludf.DUMMYFUNCTION("""COMPUTED_VALUE"""),10.72)</f>
        <v>10.72</v>
      </c>
      <c r="O440" s="112">
        <f ca="1">IFERROR(__xludf.DUMMYFUNCTION("""COMPUTED_VALUE"""),40876.7055555555)</f>
        <v>40876.705555555498</v>
      </c>
      <c r="P440" s="111">
        <f ca="1">IFERROR(__xludf.DUMMYFUNCTION("""COMPUTED_VALUE"""),41.3)</f>
        <v>41.3</v>
      </c>
      <c r="Q440" s="112">
        <f ca="1">IFERROR(__xludf.DUMMYFUNCTION("""COMPUTED_VALUE"""),40876.7055555555)</f>
        <v>40876.705555555498</v>
      </c>
      <c r="R440" s="111">
        <f ca="1">IFERROR(__xludf.DUMMYFUNCTION("""COMPUTED_VALUE"""),23.21)</f>
        <v>23.21</v>
      </c>
      <c r="S440" s="112">
        <f ca="1">IFERROR(__xludf.DUMMYFUNCTION("""COMPUTED_VALUE"""),40877.7055555555)</f>
        <v>40877.705555555498</v>
      </c>
      <c r="T440" s="111">
        <f ca="1">IFERROR(__xludf.DUMMYFUNCTION("""COMPUTED_VALUE"""),8.14)</f>
        <v>8.14</v>
      </c>
    </row>
    <row r="441" spans="1:20" x14ac:dyDescent="0.3">
      <c r="A441" s="112">
        <f ca="1">IFERROR(__xludf.DUMMYFUNCTION("""COMPUTED_VALUE"""),40877.7055555555)</f>
        <v>40877.705555555498</v>
      </c>
      <c r="B441" s="111">
        <f ca="1">IFERROR(__xludf.DUMMYFUNCTION("""COMPUTED_VALUE"""),16.39)</f>
        <v>16.39</v>
      </c>
      <c r="C441" s="112">
        <f ca="1">IFERROR(__xludf.DUMMYFUNCTION("""COMPUTED_VALUE"""),40879.7055555555)</f>
        <v>40879.705555555498</v>
      </c>
      <c r="D441" s="111">
        <f ca="1">IFERROR(__xludf.DUMMYFUNCTION("""COMPUTED_VALUE"""),16.66)</f>
        <v>16.66</v>
      </c>
      <c r="E441" s="112">
        <f ca="1">IFERROR(__xludf.DUMMYFUNCTION("""COMPUTED_VALUE"""),40879.7055555555)</f>
        <v>40879.705555555498</v>
      </c>
      <c r="F441" s="111">
        <f ca="1">IFERROR(__xludf.DUMMYFUNCTION("""COMPUTED_VALUE"""),7.1)</f>
        <v>7.1</v>
      </c>
      <c r="G441" s="112">
        <f ca="1">IFERROR(__xludf.DUMMYFUNCTION("""COMPUTED_VALUE"""),40878.7055555555)</f>
        <v>40878.705555555498</v>
      </c>
      <c r="H441" s="111">
        <f ca="1">IFERROR(__xludf.DUMMYFUNCTION("""COMPUTED_VALUE"""),22.52)</f>
        <v>22.52</v>
      </c>
      <c r="K441" s="112">
        <f ca="1">IFERROR(__xludf.DUMMYFUNCTION("""COMPUTED_VALUE"""),41365.7055555555)</f>
        <v>41365.705555555498</v>
      </c>
      <c r="L441" s="111">
        <f ca="1">IFERROR(__xludf.DUMMYFUNCTION("""COMPUTED_VALUE"""),0.28)</f>
        <v>0.28000000000000003</v>
      </c>
      <c r="M441" s="112">
        <f ca="1">IFERROR(__xludf.DUMMYFUNCTION("""COMPUTED_VALUE"""),40822.7055555555)</f>
        <v>40822.705555555498</v>
      </c>
      <c r="N441" s="111">
        <f ca="1">IFERROR(__xludf.DUMMYFUNCTION("""COMPUTED_VALUE"""),10.82)</f>
        <v>10.82</v>
      </c>
      <c r="O441" s="112">
        <f ca="1">IFERROR(__xludf.DUMMYFUNCTION("""COMPUTED_VALUE"""),40877.7055555555)</f>
        <v>40877.705555555498</v>
      </c>
      <c r="P441" s="111">
        <f ca="1">IFERROR(__xludf.DUMMYFUNCTION("""COMPUTED_VALUE"""),41.65)</f>
        <v>41.65</v>
      </c>
      <c r="Q441" s="112">
        <f ca="1">IFERROR(__xludf.DUMMYFUNCTION("""COMPUTED_VALUE"""),40877.7055555555)</f>
        <v>40877.705555555498</v>
      </c>
      <c r="R441" s="111">
        <f ca="1">IFERROR(__xludf.DUMMYFUNCTION("""COMPUTED_VALUE"""),24.2)</f>
        <v>24.2</v>
      </c>
      <c r="S441" s="112">
        <f ca="1">IFERROR(__xludf.DUMMYFUNCTION("""COMPUTED_VALUE"""),40878.7055555555)</f>
        <v>40878.705555555498</v>
      </c>
      <c r="T441" s="111">
        <f ca="1">IFERROR(__xludf.DUMMYFUNCTION("""COMPUTED_VALUE"""),8.16)</f>
        <v>8.16</v>
      </c>
    </row>
    <row r="442" spans="1:20" x14ac:dyDescent="0.3">
      <c r="A442" s="112">
        <f ca="1">IFERROR(__xludf.DUMMYFUNCTION("""COMPUTED_VALUE"""),40878.7055555555)</f>
        <v>40878.705555555498</v>
      </c>
      <c r="B442" s="111">
        <f ca="1">IFERROR(__xludf.DUMMYFUNCTION("""COMPUTED_VALUE"""),16.67)</f>
        <v>16.670000000000002</v>
      </c>
      <c r="C442" s="112">
        <f ca="1">IFERROR(__xludf.DUMMYFUNCTION("""COMPUTED_VALUE"""),40882.7055555555)</f>
        <v>40882.705555555498</v>
      </c>
      <c r="D442" s="111">
        <f ca="1">IFERROR(__xludf.DUMMYFUNCTION("""COMPUTED_VALUE"""),16.93)</f>
        <v>16.93</v>
      </c>
      <c r="E442" s="112">
        <f ca="1">IFERROR(__xludf.DUMMYFUNCTION("""COMPUTED_VALUE"""),40882.7055555555)</f>
        <v>40882.705555555498</v>
      </c>
      <c r="F442" s="111">
        <f ca="1">IFERROR(__xludf.DUMMYFUNCTION("""COMPUTED_VALUE"""),7.25)</f>
        <v>7.25</v>
      </c>
      <c r="G442" s="112">
        <f ca="1">IFERROR(__xludf.DUMMYFUNCTION("""COMPUTED_VALUE"""),40879.7055555555)</f>
        <v>40879.705555555498</v>
      </c>
      <c r="H442" s="111">
        <f ca="1">IFERROR(__xludf.DUMMYFUNCTION("""COMPUTED_VALUE"""),22.53)</f>
        <v>22.53</v>
      </c>
      <c r="K442" s="112">
        <f ca="1">IFERROR(__xludf.DUMMYFUNCTION("""COMPUTED_VALUE"""),41366.7055555555)</f>
        <v>41366.705555555498</v>
      </c>
      <c r="L442" s="111">
        <f ca="1">IFERROR(__xludf.DUMMYFUNCTION("""COMPUTED_VALUE"""),0.29)</f>
        <v>0.28999999999999998</v>
      </c>
      <c r="M442" s="112">
        <f ca="1">IFERROR(__xludf.DUMMYFUNCTION("""COMPUTED_VALUE"""),40823.7055555555)</f>
        <v>40823.705555555498</v>
      </c>
      <c r="N442" s="111">
        <f ca="1">IFERROR(__xludf.DUMMYFUNCTION("""COMPUTED_VALUE"""),10.55)</f>
        <v>10.55</v>
      </c>
      <c r="O442" s="112">
        <f ca="1">IFERROR(__xludf.DUMMYFUNCTION("""COMPUTED_VALUE"""),40878.7055555555)</f>
        <v>40878.705555555498</v>
      </c>
      <c r="P442" s="111">
        <f ca="1">IFERROR(__xludf.DUMMYFUNCTION("""COMPUTED_VALUE"""),41.9)</f>
        <v>41.9</v>
      </c>
      <c r="Q442" s="112">
        <f ca="1">IFERROR(__xludf.DUMMYFUNCTION("""COMPUTED_VALUE"""),40878.7055555555)</f>
        <v>40878.705555555498</v>
      </c>
      <c r="R442" s="111">
        <f ca="1">IFERROR(__xludf.DUMMYFUNCTION("""COMPUTED_VALUE"""),25.22)</f>
        <v>25.22</v>
      </c>
      <c r="S442" s="112">
        <f ca="1">IFERROR(__xludf.DUMMYFUNCTION("""COMPUTED_VALUE"""),40879.7055555555)</f>
        <v>40879.705555555498</v>
      </c>
      <c r="T442" s="111">
        <f ca="1">IFERROR(__xludf.DUMMYFUNCTION("""COMPUTED_VALUE"""),7.99)</f>
        <v>7.99</v>
      </c>
    </row>
    <row r="443" spans="1:20" x14ac:dyDescent="0.3">
      <c r="A443" s="112">
        <f ca="1">IFERROR(__xludf.DUMMYFUNCTION("""COMPUTED_VALUE"""),40879.7055555555)</f>
        <v>40879.705555555498</v>
      </c>
      <c r="B443" s="111">
        <f ca="1">IFERROR(__xludf.DUMMYFUNCTION("""COMPUTED_VALUE"""),16.75)</f>
        <v>16.75</v>
      </c>
      <c r="C443" s="112">
        <f ca="1">IFERROR(__xludf.DUMMYFUNCTION("""COMPUTED_VALUE"""),40883.7055555555)</f>
        <v>40883.705555555498</v>
      </c>
      <c r="D443" s="111">
        <f ca="1">IFERROR(__xludf.DUMMYFUNCTION("""COMPUTED_VALUE"""),17)</f>
        <v>17</v>
      </c>
      <c r="E443" s="112">
        <f ca="1">IFERROR(__xludf.DUMMYFUNCTION("""COMPUTED_VALUE"""),40883.7055555555)</f>
        <v>40883.705555555498</v>
      </c>
      <c r="F443" s="111">
        <f ca="1">IFERROR(__xludf.DUMMYFUNCTION("""COMPUTED_VALUE"""),7.29)</f>
        <v>7.29</v>
      </c>
      <c r="G443" s="112">
        <f ca="1">IFERROR(__xludf.DUMMYFUNCTION("""COMPUTED_VALUE"""),40882.7055555555)</f>
        <v>40882.705555555498</v>
      </c>
      <c r="H443" s="111">
        <f ca="1">IFERROR(__xludf.DUMMYFUNCTION("""COMPUTED_VALUE"""),22.97)</f>
        <v>22.97</v>
      </c>
      <c r="K443" s="112">
        <f ca="1">IFERROR(__xludf.DUMMYFUNCTION("""COMPUTED_VALUE"""),41367.7055555555)</f>
        <v>41367.705555555498</v>
      </c>
      <c r="L443" s="111">
        <f ca="1">IFERROR(__xludf.DUMMYFUNCTION("""COMPUTED_VALUE"""),0.29)</f>
        <v>0.28999999999999998</v>
      </c>
      <c r="M443" s="112">
        <f ca="1">IFERROR(__xludf.DUMMYFUNCTION("""COMPUTED_VALUE"""),40826.7055555555)</f>
        <v>40826.705555555498</v>
      </c>
      <c r="N443" s="111">
        <f ca="1">IFERROR(__xludf.DUMMYFUNCTION("""COMPUTED_VALUE"""),10.97)</f>
        <v>10.97</v>
      </c>
      <c r="O443" s="112">
        <f ca="1">IFERROR(__xludf.DUMMYFUNCTION("""COMPUTED_VALUE"""),40879.7055555555)</f>
        <v>40879.705555555498</v>
      </c>
      <c r="P443" s="111">
        <f ca="1">IFERROR(__xludf.DUMMYFUNCTION("""COMPUTED_VALUE"""),42.42)</f>
        <v>42.42</v>
      </c>
      <c r="Q443" s="112">
        <f ca="1">IFERROR(__xludf.DUMMYFUNCTION("""COMPUTED_VALUE"""),40879.7055555555)</f>
        <v>40879.705555555498</v>
      </c>
      <c r="R443" s="111">
        <f ca="1">IFERROR(__xludf.DUMMYFUNCTION("""COMPUTED_VALUE"""),24.88)</f>
        <v>24.88</v>
      </c>
      <c r="S443" s="112">
        <f ca="1">IFERROR(__xludf.DUMMYFUNCTION("""COMPUTED_VALUE"""),40882.7055555555)</f>
        <v>40882.705555555498</v>
      </c>
      <c r="T443" s="111">
        <f ca="1">IFERROR(__xludf.DUMMYFUNCTION("""COMPUTED_VALUE"""),8.19)</f>
        <v>8.19</v>
      </c>
    </row>
    <row r="444" spans="1:20" x14ac:dyDescent="0.3">
      <c r="A444" s="112">
        <f ca="1">IFERROR(__xludf.DUMMYFUNCTION("""COMPUTED_VALUE"""),40882.7055555555)</f>
        <v>40882.705555555498</v>
      </c>
      <c r="B444" s="111">
        <f ca="1">IFERROR(__xludf.DUMMYFUNCTION("""COMPUTED_VALUE"""),17.07)</f>
        <v>17.07</v>
      </c>
      <c r="C444" s="112">
        <f ca="1">IFERROR(__xludf.DUMMYFUNCTION("""COMPUTED_VALUE"""),40884.7055555555)</f>
        <v>40884.705555555498</v>
      </c>
      <c r="D444" s="111">
        <f ca="1">IFERROR(__xludf.DUMMYFUNCTION("""COMPUTED_VALUE"""),16.98)</f>
        <v>16.98</v>
      </c>
      <c r="E444" s="112">
        <f ca="1">IFERROR(__xludf.DUMMYFUNCTION("""COMPUTED_VALUE"""),40884.7055555555)</f>
        <v>40884.705555555498</v>
      </c>
      <c r="F444" s="111">
        <f ca="1">IFERROR(__xludf.DUMMYFUNCTION("""COMPUTED_VALUE"""),7.29)</f>
        <v>7.29</v>
      </c>
      <c r="G444" s="112">
        <f ca="1">IFERROR(__xludf.DUMMYFUNCTION("""COMPUTED_VALUE"""),40883.7055555555)</f>
        <v>40883.705555555498</v>
      </c>
      <c r="H444" s="111">
        <f ca="1">IFERROR(__xludf.DUMMYFUNCTION("""COMPUTED_VALUE"""),23.32)</f>
        <v>23.32</v>
      </c>
      <c r="K444" s="112">
        <f ca="1">IFERROR(__xludf.DUMMYFUNCTION("""COMPUTED_VALUE"""),41368.7055555555)</f>
        <v>41368.705555555498</v>
      </c>
      <c r="L444" s="111">
        <f ca="1">IFERROR(__xludf.DUMMYFUNCTION("""COMPUTED_VALUE"""),0.29)</f>
        <v>0.28999999999999998</v>
      </c>
      <c r="M444" s="112">
        <f ca="1">IFERROR(__xludf.DUMMYFUNCTION("""COMPUTED_VALUE"""),40827.7055555555)</f>
        <v>40827.705555555498</v>
      </c>
      <c r="N444" s="111">
        <f ca="1">IFERROR(__xludf.DUMMYFUNCTION("""COMPUTED_VALUE"""),11.09)</f>
        <v>11.09</v>
      </c>
      <c r="O444" s="112">
        <f ca="1">IFERROR(__xludf.DUMMYFUNCTION("""COMPUTED_VALUE"""),40882.7055555555)</f>
        <v>40882.705555555498</v>
      </c>
      <c r="P444" s="111">
        <f ca="1">IFERROR(__xludf.DUMMYFUNCTION("""COMPUTED_VALUE"""),43.2)</f>
        <v>43.2</v>
      </c>
      <c r="Q444" s="112">
        <f ca="1">IFERROR(__xludf.DUMMYFUNCTION("""COMPUTED_VALUE"""),40882.7055555555)</f>
        <v>40882.705555555498</v>
      </c>
      <c r="R444" s="111">
        <f ca="1">IFERROR(__xludf.DUMMYFUNCTION("""COMPUTED_VALUE"""),24.17)</f>
        <v>24.17</v>
      </c>
      <c r="S444" s="112">
        <f ca="1">IFERROR(__xludf.DUMMYFUNCTION("""COMPUTED_VALUE"""),40883.7055555555)</f>
        <v>40883.705555555498</v>
      </c>
      <c r="T444" s="111">
        <f ca="1">IFERROR(__xludf.DUMMYFUNCTION("""COMPUTED_VALUE"""),8.29)</f>
        <v>8.2899999999999991</v>
      </c>
    </row>
    <row r="445" spans="1:20" x14ac:dyDescent="0.3">
      <c r="A445" s="112">
        <f ca="1">IFERROR(__xludf.DUMMYFUNCTION("""COMPUTED_VALUE"""),40883.7055555555)</f>
        <v>40883.705555555498</v>
      </c>
      <c r="B445" s="111">
        <f ca="1">IFERROR(__xludf.DUMMYFUNCTION("""COMPUTED_VALUE"""),17.35)</f>
        <v>17.350000000000001</v>
      </c>
      <c r="C445" s="112">
        <f ca="1">IFERROR(__xludf.DUMMYFUNCTION("""COMPUTED_VALUE"""),40886.7055555555)</f>
        <v>40886.705555555498</v>
      </c>
      <c r="D445" s="111">
        <f ca="1">IFERROR(__xludf.DUMMYFUNCTION("""COMPUTED_VALUE"""),17.13)</f>
        <v>17.13</v>
      </c>
      <c r="E445" s="112">
        <f ca="1">IFERROR(__xludf.DUMMYFUNCTION("""COMPUTED_VALUE"""),40886.7055555555)</f>
        <v>40886.705555555498</v>
      </c>
      <c r="F445" s="111">
        <f ca="1">IFERROR(__xludf.DUMMYFUNCTION("""COMPUTED_VALUE"""),7.31)</f>
        <v>7.31</v>
      </c>
      <c r="G445" s="112">
        <f ca="1">IFERROR(__xludf.DUMMYFUNCTION("""COMPUTED_VALUE"""),40884.7055555555)</f>
        <v>40884.705555555498</v>
      </c>
      <c r="H445" s="111">
        <f ca="1">IFERROR(__xludf.DUMMYFUNCTION("""COMPUTED_VALUE"""),23.29)</f>
        <v>23.29</v>
      </c>
      <c r="K445" s="112">
        <f ca="1">IFERROR(__xludf.DUMMYFUNCTION("""COMPUTED_VALUE"""),41369.7055555555)</f>
        <v>41369.705555555498</v>
      </c>
      <c r="L445" s="111">
        <f ca="1">IFERROR(__xludf.DUMMYFUNCTION("""COMPUTED_VALUE"""),0.29)</f>
        <v>0.28999999999999998</v>
      </c>
      <c r="M445" s="112">
        <f ca="1">IFERROR(__xludf.DUMMYFUNCTION("""COMPUTED_VALUE"""),40829.7055555555)</f>
        <v>40829.705555555498</v>
      </c>
      <c r="N445" s="111">
        <f ca="1">IFERROR(__xludf.DUMMYFUNCTION("""COMPUTED_VALUE"""),11.35)</f>
        <v>11.35</v>
      </c>
      <c r="O445" s="112">
        <f ca="1">IFERROR(__xludf.DUMMYFUNCTION("""COMPUTED_VALUE"""),40883.7055555555)</f>
        <v>40883.705555555498</v>
      </c>
      <c r="P445" s="111">
        <f ca="1">IFERROR(__xludf.DUMMYFUNCTION("""COMPUTED_VALUE"""),43.15)</f>
        <v>43.15</v>
      </c>
      <c r="Q445" s="112">
        <f ca="1">IFERROR(__xludf.DUMMYFUNCTION("""COMPUTED_VALUE"""),40883.7055555555)</f>
        <v>40883.705555555498</v>
      </c>
      <c r="R445" s="111">
        <f ca="1">IFERROR(__xludf.DUMMYFUNCTION("""COMPUTED_VALUE"""),24.41)</f>
        <v>24.41</v>
      </c>
      <c r="S445" s="112">
        <f ca="1">IFERROR(__xludf.DUMMYFUNCTION("""COMPUTED_VALUE"""),40884.7055555555)</f>
        <v>40884.705555555498</v>
      </c>
      <c r="T445" s="111">
        <f ca="1">IFERROR(__xludf.DUMMYFUNCTION("""COMPUTED_VALUE"""),8.11)</f>
        <v>8.11</v>
      </c>
    </row>
    <row r="446" spans="1:20" x14ac:dyDescent="0.3">
      <c r="A446" s="112">
        <f ca="1">IFERROR(__xludf.DUMMYFUNCTION("""COMPUTED_VALUE"""),40884.7055555555)</f>
        <v>40884.705555555498</v>
      </c>
      <c r="B446" s="111">
        <f ca="1">IFERROR(__xludf.DUMMYFUNCTION("""COMPUTED_VALUE"""),17.08)</f>
        <v>17.079999999999998</v>
      </c>
      <c r="C446" s="112">
        <f ca="1">IFERROR(__xludf.DUMMYFUNCTION("""COMPUTED_VALUE"""),40890.7055555555)</f>
        <v>40890.705555555498</v>
      </c>
      <c r="D446" s="111">
        <f ca="1">IFERROR(__xludf.DUMMYFUNCTION("""COMPUTED_VALUE"""),16.9)</f>
        <v>16.899999999999999</v>
      </c>
      <c r="E446" s="112">
        <f ca="1">IFERROR(__xludf.DUMMYFUNCTION("""COMPUTED_VALUE"""),40890.7055555555)</f>
        <v>40890.705555555498</v>
      </c>
      <c r="F446" s="111">
        <f ca="1">IFERROR(__xludf.DUMMYFUNCTION("""COMPUTED_VALUE"""),7.25)</f>
        <v>7.25</v>
      </c>
      <c r="G446" s="112">
        <f ca="1">IFERROR(__xludf.DUMMYFUNCTION("""COMPUTED_VALUE"""),40886.7055555555)</f>
        <v>40886.705555555498</v>
      </c>
      <c r="H446" s="111">
        <f ca="1">IFERROR(__xludf.DUMMYFUNCTION("""COMPUTED_VALUE"""),23.02)</f>
        <v>23.02</v>
      </c>
      <c r="K446" s="112">
        <f ca="1">IFERROR(__xludf.DUMMYFUNCTION("""COMPUTED_VALUE"""),41372.7055555555)</f>
        <v>41372.705555555498</v>
      </c>
      <c r="L446" s="111">
        <f ca="1">IFERROR(__xludf.DUMMYFUNCTION("""COMPUTED_VALUE"""),0.28)</f>
        <v>0.28000000000000003</v>
      </c>
      <c r="M446" s="112">
        <f ca="1">IFERROR(__xludf.DUMMYFUNCTION("""COMPUTED_VALUE"""),40830.7055555555)</f>
        <v>40830.705555555498</v>
      </c>
      <c r="N446" s="111">
        <f ca="1">IFERROR(__xludf.DUMMYFUNCTION("""COMPUTED_VALUE"""),11.33)</f>
        <v>11.33</v>
      </c>
      <c r="O446" s="112">
        <f ca="1">IFERROR(__xludf.DUMMYFUNCTION("""COMPUTED_VALUE"""),40884.7055555555)</f>
        <v>40884.705555555498</v>
      </c>
      <c r="P446" s="111">
        <f ca="1">IFERROR(__xludf.DUMMYFUNCTION("""COMPUTED_VALUE"""),41.27)</f>
        <v>41.27</v>
      </c>
      <c r="Q446" s="112">
        <f ca="1">IFERROR(__xludf.DUMMYFUNCTION("""COMPUTED_VALUE"""),40884.7055555555)</f>
        <v>40884.705555555498</v>
      </c>
      <c r="R446" s="111">
        <f ca="1">IFERROR(__xludf.DUMMYFUNCTION("""COMPUTED_VALUE"""),23.79)</f>
        <v>23.79</v>
      </c>
      <c r="S446" s="112">
        <f ca="1">IFERROR(__xludf.DUMMYFUNCTION("""COMPUTED_VALUE"""),40886.7055555555)</f>
        <v>40886.705555555498</v>
      </c>
      <c r="T446" s="111">
        <f ca="1">IFERROR(__xludf.DUMMYFUNCTION("""COMPUTED_VALUE"""),7.97)</f>
        <v>7.97</v>
      </c>
    </row>
    <row r="447" spans="1:20" x14ac:dyDescent="0.3">
      <c r="A447" s="112">
        <f ca="1">IFERROR(__xludf.DUMMYFUNCTION("""COMPUTED_VALUE"""),40886.7055555555)</f>
        <v>40886.705555555498</v>
      </c>
      <c r="B447" s="111">
        <f ca="1">IFERROR(__xludf.DUMMYFUNCTION("""COMPUTED_VALUE"""),17.09)</f>
        <v>17.09</v>
      </c>
      <c r="C447" s="112">
        <f ca="1">IFERROR(__xludf.DUMMYFUNCTION("""COMPUTED_VALUE"""),40891.7055555555)</f>
        <v>40891.705555555498</v>
      </c>
      <c r="D447" s="111">
        <f ca="1">IFERROR(__xludf.DUMMYFUNCTION("""COMPUTED_VALUE"""),16.78)</f>
        <v>16.78</v>
      </c>
      <c r="E447" s="112">
        <f ca="1">IFERROR(__xludf.DUMMYFUNCTION("""COMPUTED_VALUE"""),40891.7055555555)</f>
        <v>40891.705555555498</v>
      </c>
      <c r="F447" s="111">
        <f ca="1">IFERROR(__xludf.DUMMYFUNCTION("""COMPUTED_VALUE"""),7.21)</f>
        <v>7.21</v>
      </c>
      <c r="G447" s="112">
        <f ca="1">IFERROR(__xludf.DUMMYFUNCTION("""COMPUTED_VALUE"""),40890.7055555555)</f>
        <v>40890.705555555498</v>
      </c>
      <c r="H447" s="111">
        <f ca="1">IFERROR(__xludf.DUMMYFUNCTION("""COMPUTED_VALUE"""),22.42)</f>
        <v>22.42</v>
      </c>
      <c r="K447" s="112">
        <f ca="1">IFERROR(__xludf.DUMMYFUNCTION("""COMPUTED_VALUE"""),41373.7055555555)</f>
        <v>41373.705555555498</v>
      </c>
      <c r="L447" s="111">
        <f ca="1">IFERROR(__xludf.DUMMYFUNCTION("""COMPUTED_VALUE"""),0.29)</f>
        <v>0.28999999999999998</v>
      </c>
      <c r="M447" s="112">
        <f ca="1">IFERROR(__xludf.DUMMYFUNCTION("""COMPUTED_VALUE"""),40833.7055555555)</f>
        <v>40833.705555555498</v>
      </c>
      <c r="N447" s="111">
        <f ca="1">IFERROR(__xludf.DUMMYFUNCTION("""COMPUTED_VALUE"""),11.29)</f>
        <v>11.29</v>
      </c>
      <c r="O447" s="112">
        <f ca="1">IFERROR(__xludf.DUMMYFUNCTION("""COMPUTED_VALUE"""),40886.7055555555)</f>
        <v>40886.705555555498</v>
      </c>
      <c r="P447" s="111">
        <f ca="1">IFERROR(__xludf.DUMMYFUNCTION("""COMPUTED_VALUE"""),41.23)</f>
        <v>41.23</v>
      </c>
      <c r="Q447" s="112">
        <f ca="1">IFERROR(__xludf.DUMMYFUNCTION("""COMPUTED_VALUE"""),40886.7055555555)</f>
        <v>40886.705555555498</v>
      </c>
      <c r="R447" s="111">
        <f ca="1">IFERROR(__xludf.DUMMYFUNCTION("""COMPUTED_VALUE"""),24.2)</f>
        <v>24.2</v>
      </c>
      <c r="S447" s="112">
        <f ca="1">IFERROR(__xludf.DUMMYFUNCTION("""COMPUTED_VALUE"""),40890.7055555555)</f>
        <v>40890.705555555498</v>
      </c>
      <c r="T447" s="111">
        <f ca="1">IFERROR(__xludf.DUMMYFUNCTION("""COMPUTED_VALUE"""),7.82)</f>
        <v>7.82</v>
      </c>
    </row>
    <row r="448" spans="1:20" x14ac:dyDescent="0.3">
      <c r="A448" s="112">
        <f ca="1">IFERROR(__xludf.DUMMYFUNCTION("""COMPUTED_VALUE"""),40890.7055555555)</f>
        <v>40890.705555555498</v>
      </c>
      <c r="B448" s="111">
        <f ca="1">IFERROR(__xludf.DUMMYFUNCTION("""COMPUTED_VALUE"""),17.29)</f>
        <v>17.29</v>
      </c>
      <c r="C448" s="112">
        <f ca="1">IFERROR(__xludf.DUMMYFUNCTION("""COMPUTED_VALUE"""),40892.7055555555)</f>
        <v>40892.705555555498</v>
      </c>
      <c r="D448" s="111">
        <f ca="1">IFERROR(__xludf.DUMMYFUNCTION("""COMPUTED_VALUE"""),16.53)</f>
        <v>16.53</v>
      </c>
      <c r="E448" s="112">
        <f ca="1">IFERROR(__xludf.DUMMYFUNCTION("""COMPUTED_VALUE"""),40892.7055555555)</f>
        <v>40892.705555555498</v>
      </c>
      <c r="F448" s="111">
        <f ca="1">IFERROR(__xludf.DUMMYFUNCTION("""COMPUTED_VALUE"""),7.21)</f>
        <v>7.21</v>
      </c>
      <c r="G448" s="112">
        <f ca="1">IFERROR(__xludf.DUMMYFUNCTION("""COMPUTED_VALUE"""),40891.7055555555)</f>
        <v>40891.705555555498</v>
      </c>
      <c r="H448" s="111">
        <f ca="1">IFERROR(__xludf.DUMMYFUNCTION("""COMPUTED_VALUE"""),21.82)</f>
        <v>21.82</v>
      </c>
      <c r="K448" s="112">
        <f ca="1">IFERROR(__xludf.DUMMYFUNCTION("""COMPUTED_VALUE"""),41374.7055555555)</f>
        <v>41374.705555555498</v>
      </c>
      <c r="L448" s="111">
        <f ca="1">IFERROR(__xludf.DUMMYFUNCTION("""COMPUTED_VALUE"""),0.28)</f>
        <v>0.28000000000000003</v>
      </c>
      <c r="M448" s="112">
        <f ca="1">IFERROR(__xludf.DUMMYFUNCTION("""COMPUTED_VALUE"""),40834.7055555555)</f>
        <v>40834.705555555498</v>
      </c>
      <c r="N448" s="111">
        <f ca="1">IFERROR(__xludf.DUMMYFUNCTION("""COMPUTED_VALUE"""),11.47)</f>
        <v>11.47</v>
      </c>
      <c r="O448" s="112">
        <f ca="1">IFERROR(__xludf.DUMMYFUNCTION("""COMPUTED_VALUE"""),40890.7055555555)</f>
        <v>40890.705555555498</v>
      </c>
      <c r="P448" s="111">
        <f ca="1">IFERROR(__xludf.DUMMYFUNCTION("""COMPUTED_VALUE"""),40.48)</f>
        <v>40.479999999999997</v>
      </c>
      <c r="Q448" s="112">
        <f ca="1">IFERROR(__xludf.DUMMYFUNCTION("""COMPUTED_VALUE"""),40890.7055555555)</f>
        <v>40890.705555555498</v>
      </c>
      <c r="R448" s="111">
        <f ca="1">IFERROR(__xludf.DUMMYFUNCTION("""COMPUTED_VALUE"""),23.6)</f>
        <v>23.6</v>
      </c>
      <c r="S448" s="112">
        <f ca="1">IFERROR(__xludf.DUMMYFUNCTION("""COMPUTED_VALUE"""),40891.7055555555)</f>
        <v>40891.705555555498</v>
      </c>
      <c r="T448" s="111">
        <f ca="1">IFERROR(__xludf.DUMMYFUNCTION("""COMPUTED_VALUE"""),7.66)</f>
        <v>7.66</v>
      </c>
    </row>
    <row r="449" spans="1:20" x14ac:dyDescent="0.3">
      <c r="A449" s="112">
        <f ca="1">IFERROR(__xludf.DUMMYFUNCTION("""COMPUTED_VALUE"""),40891.7055555555)</f>
        <v>40891.705555555498</v>
      </c>
      <c r="B449" s="111">
        <f ca="1">IFERROR(__xludf.DUMMYFUNCTION("""COMPUTED_VALUE"""),17.25)</f>
        <v>17.25</v>
      </c>
      <c r="C449" s="112">
        <f ca="1">IFERROR(__xludf.DUMMYFUNCTION("""COMPUTED_VALUE"""),40893.7055555555)</f>
        <v>40893.705555555498</v>
      </c>
      <c r="D449" s="111">
        <f ca="1">IFERROR(__xludf.DUMMYFUNCTION("""COMPUTED_VALUE"""),16.63)</f>
        <v>16.63</v>
      </c>
      <c r="E449" s="112">
        <f ca="1">IFERROR(__xludf.DUMMYFUNCTION("""COMPUTED_VALUE"""),40893.7055555555)</f>
        <v>40893.705555555498</v>
      </c>
      <c r="F449" s="111">
        <f ca="1">IFERROR(__xludf.DUMMYFUNCTION("""COMPUTED_VALUE"""),7.16)</f>
        <v>7.16</v>
      </c>
      <c r="G449" s="112">
        <f ca="1">IFERROR(__xludf.DUMMYFUNCTION("""COMPUTED_VALUE"""),40892.7055555555)</f>
        <v>40892.705555555498</v>
      </c>
      <c r="H449" s="111">
        <f ca="1">IFERROR(__xludf.DUMMYFUNCTION("""COMPUTED_VALUE"""),21.51)</f>
        <v>21.51</v>
      </c>
      <c r="K449" s="112">
        <f ca="1">IFERROR(__xludf.DUMMYFUNCTION("""COMPUTED_VALUE"""),41375.7055555555)</f>
        <v>41375.705555555498</v>
      </c>
      <c r="L449" s="111">
        <f ca="1">IFERROR(__xludf.DUMMYFUNCTION("""COMPUTED_VALUE"""),0.27)</f>
        <v>0.27</v>
      </c>
      <c r="M449" s="112">
        <f ca="1">IFERROR(__xludf.DUMMYFUNCTION("""COMPUTED_VALUE"""),40835.7055555555)</f>
        <v>40835.705555555498</v>
      </c>
      <c r="N449" s="111">
        <f ca="1">IFERROR(__xludf.DUMMYFUNCTION("""COMPUTED_VALUE"""),11.45)</f>
        <v>11.45</v>
      </c>
      <c r="O449" s="112">
        <f ca="1">IFERROR(__xludf.DUMMYFUNCTION("""COMPUTED_VALUE"""),40891.7055555555)</f>
        <v>40891.705555555498</v>
      </c>
      <c r="P449" s="111">
        <f ca="1">IFERROR(__xludf.DUMMYFUNCTION("""COMPUTED_VALUE"""),39.84)</f>
        <v>39.840000000000003</v>
      </c>
      <c r="Q449" s="112">
        <f ca="1">IFERROR(__xludf.DUMMYFUNCTION("""COMPUTED_VALUE"""),40891.7055555555)</f>
        <v>40891.705555555498</v>
      </c>
      <c r="R449" s="111">
        <f ca="1">IFERROR(__xludf.DUMMYFUNCTION("""COMPUTED_VALUE"""),23.3)</f>
        <v>23.3</v>
      </c>
      <c r="S449" s="112">
        <f ca="1">IFERROR(__xludf.DUMMYFUNCTION("""COMPUTED_VALUE"""),40892.7055555555)</f>
        <v>40892.705555555498</v>
      </c>
      <c r="T449" s="111">
        <f ca="1">IFERROR(__xludf.DUMMYFUNCTION("""COMPUTED_VALUE"""),7.66)</f>
        <v>7.66</v>
      </c>
    </row>
    <row r="450" spans="1:20" x14ac:dyDescent="0.3">
      <c r="A450" s="112">
        <f ca="1">IFERROR(__xludf.DUMMYFUNCTION("""COMPUTED_VALUE"""),40892.7055555555)</f>
        <v>40892.705555555498</v>
      </c>
      <c r="B450" s="111">
        <f ca="1">IFERROR(__xludf.DUMMYFUNCTION("""COMPUTED_VALUE"""),17.11)</f>
        <v>17.11</v>
      </c>
      <c r="C450" s="112">
        <f ca="1">IFERROR(__xludf.DUMMYFUNCTION("""COMPUTED_VALUE"""),40897.7055555555)</f>
        <v>40897.705555555498</v>
      </c>
      <c r="D450" s="111">
        <f ca="1">IFERROR(__xludf.DUMMYFUNCTION("""COMPUTED_VALUE"""),16.93)</f>
        <v>16.93</v>
      </c>
      <c r="E450" s="112">
        <f ca="1">IFERROR(__xludf.DUMMYFUNCTION("""COMPUTED_VALUE"""),40897.7055555555)</f>
        <v>40897.705555555498</v>
      </c>
      <c r="F450" s="111">
        <f ca="1">IFERROR(__xludf.DUMMYFUNCTION("""COMPUTED_VALUE"""),7.25)</f>
        <v>7.25</v>
      </c>
      <c r="G450" s="112">
        <f ca="1">IFERROR(__xludf.DUMMYFUNCTION("""COMPUTED_VALUE"""),40893.7055555555)</f>
        <v>40893.705555555498</v>
      </c>
      <c r="H450" s="111">
        <f ca="1">IFERROR(__xludf.DUMMYFUNCTION("""COMPUTED_VALUE"""),21.3)</f>
        <v>21.3</v>
      </c>
      <c r="K450" s="112">
        <f ca="1">IFERROR(__xludf.DUMMYFUNCTION("""COMPUTED_VALUE"""),41376.7055555555)</f>
        <v>41376.705555555498</v>
      </c>
      <c r="L450" s="111">
        <f ca="1">IFERROR(__xludf.DUMMYFUNCTION("""COMPUTED_VALUE"""),0.28)</f>
        <v>0.28000000000000003</v>
      </c>
      <c r="M450" s="112">
        <f ca="1">IFERROR(__xludf.DUMMYFUNCTION("""COMPUTED_VALUE"""),40836.7055555555)</f>
        <v>40836.705555555498</v>
      </c>
      <c r="N450" s="111">
        <f ca="1">IFERROR(__xludf.DUMMYFUNCTION("""COMPUTED_VALUE"""),11.45)</f>
        <v>11.45</v>
      </c>
      <c r="O450" s="112">
        <f ca="1">IFERROR(__xludf.DUMMYFUNCTION("""COMPUTED_VALUE"""),40892.7055555555)</f>
        <v>40892.705555555498</v>
      </c>
      <c r="P450" s="111">
        <f ca="1">IFERROR(__xludf.DUMMYFUNCTION("""COMPUTED_VALUE"""),39.2)</f>
        <v>39.200000000000003</v>
      </c>
      <c r="Q450" s="112">
        <f ca="1">IFERROR(__xludf.DUMMYFUNCTION("""COMPUTED_VALUE"""),40892.7055555555)</f>
        <v>40892.705555555498</v>
      </c>
      <c r="R450" s="111">
        <f ca="1">IFERROR(__xludf.DUMMYFUNCTION("""COMPUTED_VALUE"""),23.05)</f>
        <v>23.05</v>
      </c>
      <c r="S450" s="112">
        <f ca="1">IFERROR(__xludf.DUMMYFUNCTION("""COMPUTED_VALUE"""),40893.7055555555)</f>
        <v>40893.705555555498</v>
      </c>
      <c r="T450" s="111">
        <f ca="1">IFERROR(__xludf.DUMMYFUNCTION("""COMPUTED_VALUE"""),7.66)</f>
        <v>7.66</v>
      </c>
    </row>
    <row r="451" spans="1:20" x14ac:dyDescent="0.3">
      <c r="A451" s="112">
        <f ca="1">IFERROR(__xludf.DUMMYFUNCTION("""COMPUTED_VALUE"""),40893.7055555555)</f>
        <v>40893.705555555498</v>
      </c>
      <c r="B451" s="111">
        <f ca="1">IFERROR(__xludf.DUMMYFUNCTION("""COMPUTED_VALUE"""),17.18)</f>
        <v>17.18</v>
      </c>
      <c r="C451" s="112">
        <f ca="1">IFERROR(__xludf.DUMMYFUNCTION("""COMPUTED_VALUE"""),40898.7055555555)</f>
        <v>40898.705555555498</v>
      </c>
      <c r="D451" s="111">
        <f ca="1">IFERROR(__xludf.DUMMYFUNCTION("""COMPUTED_VALUE"""),16.93)</f>
        <v>16.93</v>
      </c>
      <c r="E451" s="112">
        <f ca="1">IFERROR(__xludf.DUMMYFUNCTION("""COMPUTED_VALUE"""),40898.7055555555)</f>
        <v>40898.705555555498</v>
      </c>
      <c r="F451" s="111">
        <f ca="1">IFERROR(__xludf.DUMMYFUNCTION("""COMPUTED_VALUE"""),7.25)</f>
        <v>7.25</v>
      </c>
      <c r="G451" s="112">
        <f ca="1">IFERROR(__xludf.DUMMYFUNCTION("""COMPUTED_VALUE"""),40897.7055555555)</f>
        <v>40897.705555555498</v>
      </c>
      <c r="H451" s="111">
        <f ca="1">IFERROR(__xludf.DUMMYFUNCTION("""COMPUTED_VALUE"""),22.1)</f>
        <v>22.1</v>
      </c>
      <c r="K451" s="112">
        <f ca="1">IFERROR(__xludf.DUMMYFUNCTION("""COMPUTED_VALUE"""),41379.7055555555)</f>
        <v>41379.705555555498</v>
      </c>
      <c r="L451" s="111">
        <f ca="1">IFERROR(__xludf.DUMMYFUNCTION("""COMPUTED_VALUE"""),0.27)</f>
        <v>0.27</v>
      </c>
      <c r="M451" s="112">
        <f ca="1">IFERROR(__xludf.DUMMYFUNCTION("""COMPUTED_VALUE"""),40837.7055555555)</f>
        <v>40837.705555555498</v>
      </c>
      <c r="N451" s="111">
        <f ca="1">IFERROR(__xludf.DUMMYFUNCTION("""COMPUTED_VALUE"""),11.69)</f>
        <v>11.69</v>
      </c>
      <c r="O451" s="112">
        <f ca="1">IFERROR(__xludf.DUMMYFUNCTION("""COMPUTED_VALUE"""),40893.7055555555)</f>
        <v>40893.705555555498</v>
      </c>
      <c r="P451" s="111">
        <f ca="1">IFERROR(__xludf.DUMMYFUNCTION("""COMPUTED_VALUE"""),39.2)</f>
        <v>39.200000000000003</v>
      </c>
      <c r="Q451" s="112">
        <f ca="1">IFERROR(__xludf.DUMMYFUNCTION("""COMPUTED_VALUE"""),40893.7055555555)</f>
        <v>40893.705555555498</v>
      </c>
      <c r="R451" s="111">
        <f ca="1">IFERROR(__xludf.DUMMYFUNCTION("""COMPUTED_VALUE"""),22.7)</f>
        <v>22.7</v>
      </c>
      <c r="S451" s="112">
        <f ca="1">IFERROR(__xludf.DUMMYFUNCTION("""COMPUTED_VALUE"""),40897.7055555555)</f>
        <v>40897.705555555498</v>
      </c>
      <c r="T451" s="111">
        <f ca="1">IFERROR(__xludf.DUMMYFUNCTION("""COMPUTED_VALUE"""),7.51)</f>
        <v>7.51</v>
      </c>
    </row>
    <row r="452" spans="1:20" x14ac:dyDescent="0.3">
      <c r="A452" s="112">
        <f ca="1">IFERROR(__xludf.DUMMYFUNCTION("""COMPUTED_VALUE"""),40897.7055555555)</f>
        <v>40897.705555555498</v>
      </c>
      <c r="B452" s="111">
        <f ca="1">IFERROR(__xludf.DUMMYFUNCTION("""COMPUTED_VALUE"""),17.24)</f>
        <v>17.239999999999998</v>
      </c>
      <c r="C452" s="112">
        <f ca="1">IFERROR(__xludf.DUMMYFUNCTION("""COMPUTED_VALUE"""),40899.7055555555)</f>
        <v>40899.705555555498</v>
      </c>
      <c r="D452" s="111">
        <f ca="1">IFERROR(__xludf.DUMMYFUNCTION("""COMPUTED_VALUE"""),17.23)</f>
        <v>17.23</v>
      </c>
      <c r="E452" s="112">
        <f ca="1">IFERROR(__xludf.DUMMYFUNCTION("""COMPUTED_VALUE"""),40899.7055555555)</f>
        <v>40899.705555555498</v>
      </c>
      <c r="F452" s="111">
        <f ca="1">IFERROR(__xludf.DUMMYFUNCTION("""COMPUTED_VALUE"""),7.38)</f>
        <v>7.38</v>
      </c>
      <c r="G452" s="112">
        <f ca="1">IFERROR(__xludf.DUMMYFUNCTION("""COMPUTED_VALUE"""),40898.7055555555)</f>
        <v>40898.705555555498</v>
      </c>
      <c r="H452" s="111">
        <f ca="1">IFERROR(__xludf.DUMMYFUNCTION("""COMPUTED_VALUE"""),21.92)</f>
        <v>21.92</v>
      </c>
      <c r="K452" s="112">
        <f ca="1">IFERROR(__xludf.DUMMYFUNCTION("""COMPUTED_VALUE"""),41380.7055555555)</f>
        <v>41380.705555555498</v>
      </c>
      <c r="L452" s="111">
        <f ca="1">IFERROR(__xludf.DUMMYFUNCTION("""COMPUTED_VALUE"""),0.27)</f>
        <v>0.27</v>
      </c>
      <c r="M452" s="112">
        <f ca="1">IFERROR(__xludf.DUMMYFUNCTION("""COMPUTED_VALUE"""),40840.7055555555)</f>
        <v>40840.705555555498</v>
      </c>
      <c r="N452" s="111">
        <f ca="1">IFERROR(__xludf.DUMMYFUNCTION("""COMPUTED_VALUE"""),11.97)</f>
        <v>11.97</v>
      </c>
      <c r="O452" s="112">
        <f ca="1">IFERROR(__xludf.DUMMYFUNCTION("""COMPUTED_VALUE"""),40897.7055555555)</f>
        <v>40897.705555555498</v>
      </c>
      <c r="P452" s="111">
        <f ca="1">IFERROR(__xludf.DUMMYFUNCTION("""COMPUTED_VALUE"""),40)</f>
        <v>40</v>
      </c>
      <c r="Q452" s="112">
        <f ca="1">IFERROR(__xludf.DUMMYFUNCTION("""COMPUTED_VALUE"""),40897.7055555555)</f>
        <v>40897.705555555498</v>
      </c>
      <c r="R452" s="111">
        <f ca="1">IFERROR(__xludf.DUMMYFUNCTION("""COMPUTED_VALUE"""),22.91)</f>
        <v>22.91</v>
      </c>
      <c r="S452" s="112">
        <f ca="1">IFERROR(__xludf.DUMMYFUNCTION("""COMPUTED_VALUE"""),40898.7055555555)</f>
        <v>40898.705555555498</v>
      </c>
      <c r="T452" s="111">
        <f ca="1">IFERROR(__xludf.DUMMYFUNCTION("""COMPUTED_VALUE"""),7.38)</f>
        <v>7.38</v>
      </c>
    </row>
    <row r="453" spans="1:20" x14ac:dyDescent="0.3">
      <c r="A453" s="112">
        <f ca="1">IFERROR(__xludf.DUMMYFUNCTION("""COMPUTED_VALUE"""),40898.7055555555)</f>
        <v>40898.705555555498</v>
      </c>
      <c r="B453" s="111">
        <f ca="1">IFERROR(__xludf.DUMMYFUNCTION("""COMPUTED_VALUE"""),17.55)</f>
        <v>17.55</v>
      </c>
      <c r="C453" s="112">
        <f ca="1">IFERROR(__xludf.DUMMYFUNCTION("""COMPUTED_VALUE"""),40900.7055555555)</f>
        <v>40900.705555555498</v>
      </c>
      <c r="D453" s="111">
        <f ca="1">IFERROR(__xludf.DUMMYFUNCTION("""COMPUTED_VALUE"""),17.38)</f>
        <v>17.38</v>
      </c>
      <c r="E453" s="112">
        <f ca="1">IFERROR(__xludf.DUMMYFUNCTION("""COMPUTED_VALUE"""),40900.7055555555)</f>
        <v>40900.705555555498</v>
      </c>
      <c r="F453" s="111">
        <f ca="1">IFERROR(__xludf.DUMMYFUNCTION("""COMPUTED_VALUE"""),7.45)</f>
        <v>7.45</v>
      </c>
      <c r="G453" s="112">
        <f ca="1">IFERROR(__xludf.DUMMYFUNCTION("""COMPUTED_VALUE"""),40899.7055555555)</f>
        <v>40899.705555555498</v>
      </c>
      <c r="H453" s="111">
        <f ca="1">IFERROR(__xludf.DUMMYFUNCTION("""COMPUTED_VALUE"""),22.15)</f>
        <v>22.15</v>
      </c>
      <c r="K453" s="112">
        <f ca="1">IFERROR(__xludf.DUMMYFUNCTION("""COMPUTED_VALUE"""),41381.7055555555)</f>
        <v>41381.705555555498</v>
      </c>
      <c r="L453" s="111">
        <f ca="1">IFERROR(__xludf.DUMMYFUNCTION("""COMPUTED_VALUE"""),0.25)</f>
        <v>0.25</v>
      </c>
      <c r="M453" s="112">
        <f ca="1">IFERROR(__xludf.DUMMYFUNCTION("""COMPUTED_VALUE"""),40841.7055555555)</f>
        <v>40841.705555555498</v>
      </c>
      <c r="N453" s="111">
        <f ca="1">IFERROR(__xludf.DUMMYFUNCTION("""COMPUTED_VALUE"""),11.85)</f>
        <v>11.85</v>
      </c>
      <c r="O453" s="112">
        <f ca="1">IFERROR(__xludf.DUMMYFUNCTION("""COMPUTED_VALUE"""),40898.7055555555)</f>
        <v>40898.705555555498</v>
      </c>
      <c r="P453" s="111">
        <f ca="1">IFERROR(__xludf.DUMMYFUNCTION("""COMPUTED_VALUE"""),40.13)</f>
        <v>40.130000000000003</v>
      </c>
      <c r="Q453" s="112">
        <f ca="1">IFERROR(__xludf.DUMMYFUNCTION("""COMPUTED_VALUE"""),40898.7055555555)</f>
        <v>40898.705555555498</v>
      </c>
      <c r="R453" s="111">
        <f ca="1">IFERROR(__xludf.DUMMYFUNCTION("""COMPUTED_VALUE"""),23.42)</f>
        <v>23.42</v>
      </c>
      <c r="S453" s="112">
        <f ca="1">IFERROR(__xludf.DUMMYFUNCTION("""COMPUTED_VALUE"""),40899.7055555555)</f>
        <v>40899.705555555498</v>
      </c>
      <c r="T453" s="111">
        <f ca="1">IFERROR(__xludf.DUMMYFUNCTION("""COMPUTED_VALUE"""),7.51)</f>
        <v>7.51</v>
      </c>
    </row>
    <row r="454" spans="1:20" x14ac:dyDescent="0.3">
      <c r="A454" s="112">
        <f ca="1">IFERROR(__xludf.DUMMYFUNCTION("""COMPUTED_VALUE"""),40899.7055555555)</f>
        <v>40899.705555555498</v>
      </c>
      <c r="B454" s="111">
        <f ca="1">IFERROR(__xludf.DUMMYFUNCTION("""COMPUTED_VALUE"""),18.03)</f>
        <v>18.03</v>
      </c>
      <c r="C454" s="112">
        <f ca="1">IFERROR(__xludf.DUMMYFUNCTION("""COMPUTED_VALUE"""),40903.7055555555)</f>
        <v>40903.705555555498</v>
      </c>
      <c r="D454" s="111">
        <f ca="1">IFERROR(__xludf.DUMMYFUNCTION("""COMPUTED_VALUE"""),17.28)</f>
        <v>17.28</v>
      </c>
      <c r="E454" s="112">
        <f ca="1">IFERROR(__xludf.DUMMYFUNCTION("""COMPUTED_VALUE"""),40903.7055555555)</f>
        <v>40903.705555555498</v>
      </c>
      <c r="F454" s="111">
        <f ca="1">IFERROR(__xludf.DUMMYFUNCTION("""COMPUTED_VALUE"""),7.42)</f>
        <v>7.42</v>
      </c>
      <c r="G454" s="112">
        <f ca="1">IFERROR(__xludf.DUMMYFUNCTION("""COMPUTED_VALUE"""),40900.7055555555)</f>
        <v>40900.705555555498</v>
      </c>
      <c r="H454" s="111">
        <f ca="1">IFERROR(__xludf.DUMMYFUNCTION("""COMPUTED_VALUE"""),22.22)</f>
        <v>22.22</v>
      </c>
      <c r="K454" s="112">
        <f ca="1">IFERROR(__xludf.DUMMYFUNCTION("""COMPUTED_VALUE"""),41382.7055555555)</f>
        <v>41382.705555555498</v>
      </c>
      <c r="L454" s="111">
        <f ca="1">IFERROR(__xludf.DUMMYFUNCTION("""COMPUTED_VALUE"""),0.26)</f>
        <v>0.26</v>
      </c>
      <c r="M454" s="112">
        <f ca="1">IFERROR(__xludf.DUMMYFUNCTION("""COMPUTED_VALUE"""),40842.7055555555)</f>
        <v>40842.705555555498</v>
      </c>
      <c r="N454" s="111">
        <f ca="1">IFERROR(__xludf.DUMMYFUNCTION("""COMPUTED_VALUE"""),11.95)</f>
        <v>11.95</v>
      </c>
      <c r="O454" s="112">
        <f ca="1">IFERROR(__xludf.DUMMYFUNCTION("""COMPUTED_VALUE"""),40899.7055555555)</f>
        <v>40899.705555555498</v>
      </c>
      <c r="P454" s="111">
        <f ca="1">IFERROR(__xludf.DUMMYFUNCTION("""COMPUTED_VALUE"""),40.7)</f>
        <v>40.700000000000003</v>
      </c>
      <c r="Q454" s="112">
        <f ca="1">IFERROR(__xludf.DUMMYFUNCTION("""COMPUTED_VALUE"""),40899.7055555555)</f>
        <v>40899.705555555498</v>
      </c>
      <c r="R454" s="111">
        <f ca="1">IFERROR(__xludf.DUMMYFUNCTION("""COMPUTED_VALUE"""),23.82)</f>
        <v>23.82</v>
      </c>
      <c r="S454" s="112">
        <f ca="1">IFERROR(__xludf.DUMMYFUNCTION("""COMPUTED_VALUE"""),40900.7055555555)</f>
        <v>40900.705555555498</v>
      </c>
      <c r="T454" s="111">
        <f ca="1">IFERROR(__xludf.DUMMYFUNCTION("""COMPUTED_VALUE"""),7.55)</f>
        <v>7.55</v>
      </c>
    </row>
    <row r="455" spans="1:20" x14ac:dyDescent="0.3">
      <c r="A455" s="112">
        <f ca="1">IFERROR(__xludf.DUMMYFUNCTION("""COMPUTED_VALUE"""),40900.7055555555)</f>
        <v>40900.705555555498</v>
      </c>
      <c r="B455" s="111">
        <f ca="1">IFERROR(__xludf.DUMMYFUNCTION("""COMPUTED_VALUE"""),17.96)</f>
        <v>17.96</v>
      </c>
      <c r="C455" s="112">
        <f ca="1">IFERROR(__xludf.DUMMYFUNCTION("""COMPUTED_VALUE"""),40904.7055555555)</f>
        <v>40904.705555555498</v>
      </c>
      <c r="D455" s="111">
        <f ca="1">IFERROR(__xludf.DUMMYFUNCTION("""COMPUTED_VALUE"""),17.19)</f>
        <v>17.190000000000001</v>
      </c>
      <c r="E455" s="112">
        <f ca="1">IFERROR(__xludf.DUMMYFUNCTION("""COMPUTED_VALUE"""),40904.7055555555)</f>
        <v>40904.705555555498</v>
      </c>
      <c r="F455" s="111">
        <f ca="1">IFERROR(__xludf.DUMMYFUNCTION("""COMPUTED_VALUE"""),7.33)</f>
        <v>7.33</v>
      </c>
      <c r="G455" s="112">
        <f ca="1">IFERROR(__xludf.DUMMYFUNCTION("""COMPUTED_VALUE"""),40903.7055555555)</f>
        <v>40903.705555555498</v>
      </c>
      <c r="H455" s="111">
        <f ca="1">IFERROR(__xludf.DUMMYFUNCTION("""COMPUTED_VALUE"""),22.17)</f>
        <v>22.17</v>
      </c>
      <c r="K455" s="112">
        <f ca="1">IFERROR(__xludf.DUMMYFUNCTION("""COMPUTED_VALUE"""),41383.7055555555)</f>
        <v>41383.705555555498</v>
      </c>
      <c r="L455" s="111">
        <f ca="1">IFERROR(__xludf.DUMMYFUNCTION("""COMPUTED_VALUE"""),0.26)</f>
        <v>0.26</v>
      </c>
      <c r="M455" s="112">
        <f ca="1">IFERROR(__xludf.DUMMYFUNCTION("""COMPUTED_VALUE"""),40843.7055555555)</f>
        <v>40843.705555555498</v>
      </c>
      <c r="N455" s="111">
        <f ca="1">IFERROR(__xludf.DUMMYFUNCTION("""COMPUTED_VALUE"""),12.33)</f>
        <v>12.33</v>
      </c>
      <c r="O455" s="112">
        <f ca="1">IFERROR(__xludf.DUMMYFUNCTION("""COMPUTED_VALUE"""),40900.7055555555)</f>
        <v>40900.705555555498</v>
      </c>
      <c r="P455" s="111">
        <f ca="1">IFERROR(__xludf.DUMMYFUNCTION("""COMPUTED_VALUE"""),40.95)</f>
        <v>40.950000000000003</v>
      </c>
      <c r="Q455" s="112">
        <f ca="1">IFERROR(__xludf.DUMMYFUNCTION("""COMPUTED_VALUE"""),40900.7055555555)</f>
        <v>40900.705555555498</v>
      </c>
      <c r="R455" s="111">
        <f ca="1">IFERROR(__xludf.DUMMYFUNCTION("""COMPUTED_VALUE"""),23.93)</f>
        <v>23.93</v>
      </c>
      <c r="S455" s="112">
        <f ca="1">IFERROR(__xludf.DUMMYFUNCTION("""COMPUTED_VALUE"""),40903.7055555555)</f>
        <v>40903.705555555498</v>
      </c>
      <c r="T455" s="111">
        <f ca="1">IFERROR(__xludf.DUMMYFUNCTION("""COMPUTED_VALUE"""),7.48)</f>
        <v>7.48</v>
      </c>
    </row>
    <row r="456" spans="1:20" x14ac:dyDescent="0.3">
      <c r="A456" s="112">
        <f ca="1">IFERROR(__xludf.DUMMYFUNCTION("""COMPUTED_VALUE"""),40903.7055555555)</f>
        <v>40903.705555555498</v>
      </c>
      <c r="B456" s="111">
        <f ca="1">IFERROR(__xludf.DUMMYFUNCTION("""COMPUTED_VALUE"""),18.05)</f>
        <v>18.05</v>
      </c>
      <c r="C456" s="112">
        <f ca="1">IFERROR(__xludf.DUMMYFUNCTION("""COMPUTED_VALUE"""),40905.7055555555)</f>
        <v>40905.705555555498</v>
      </c>
      <c r="D456" s="111">
        <f ca="1">IFERROR(__xludf.DUMMYFUNCTION("""COMPUTED_VALUE"""),16.79)</f>
        <v>16.79</v>
      </c>
      <c r="E456" s="112">
        <f ca="1">IFERROR(__xludf.DUMMYFUNCTION("""COMPUTED_VALUE"""),40905.7055555555)</f>
        <v>40905.705555555498</v>
      </c>
      <c r="F456" s="111">
        <f ca="1">IFERROR(__xludf.DUMMYFUNCTION("""COMPUTED_VALUE"""),7.19)</f>
        <v>7.19</v>
      </c>
      <c r="G456" s="112">
        <f ca="1">IFERROR(__xludf.DUMMYFUNCTION("""COMPUTED_VALUE"""),40904.7055555555)</f>
        <v>40904.705555555498</v>
      </c>
      <c r="H456" s="111">
        <f ca="1">IFERROR(__xludf.DUMMYFUNCTION("""COMPUTED_VALUE"""),22.2)</f>
        <v>22.2</v>
      </c>
      <c r="K456" s="112">
        <f ca="1">IFERROR(__xludf.DUMMYFUNCTION("""COMPUTED_VALUE"""),41386.7055555555)</f>
        <v>41386.705555555498</v>
      </c>
      <c r="L456" s="111">
        <f ca="1">IFERROR(__xludf.DUMMYFUNCTION("""COMPUTED_VALUE"""),0.25)</f>
        <v>0.25</v>
      </c>
      <c r="M456" s="112">
        <f ca="1">IFERROR(__xludf.DUMMYFUNCTION("""COMPUTED_VALUE"""),40844.7055555555)</f>
        <v>40844.705555555498</v>
      </c>
      <c r="N456" s="111">
        <f ca="1">IFERROR(__xludf.DUMMYFUNCTION("""COMPUTED_VALUE"""),12.29)</f>
        <v>12.29</v>
      </c>
      <c r="O456" s="112">
        <f ca="1">IFERROR(__xludf.DUMMYFUNCTION("""COMPUTED_VALUE"""),40903.7055555555)</f>
        <v>40903.705555555498</v>
      </c>
      <c r="P456" s="111">
        <f ca="1">IFERROR(__xludf.DUMMYFUNCTION("""COMPUTED_VALUE"""),40.63)</f>
        <v>40.630000000000003</v>
      </c>
      <c r="Q456" s="112">
        <f ca="1">IFERROR(__xludf.DUMMYFUNCTION("""COMPUTED_VALUE"""),40903.7055555555)</f>
        <v>40903.705555555498</v>
      </c>
      <c r="R456" s="111">
        <f ca="1">IFERROR(__xludf.DUMMYFUNCTION("""COMPUTED_VALUE"""),23.89)</f>
        <v>23.89</v>
      </c>
      <c r="S456" s="112">
        <f ca="1">IFERROR(__xludf.DUMMYFUNCTION("""COMPUTED_VALUE"""),40904.7055555555)</f>
        <v>40904.705555555498</v>
      </c>
      <c r="T456" s="111">
        <f ca="1">IFERROR(__xludf.DUMMYFUNCTION("""COMPUTED_VALUE"""),7.37)</f>
        <v>7.37</v>
      </c>
    </row>
    <row r="457" spans="1:20" x14ac:dyDescent="0.3">
      <c r="A457" s="112">
        <f ca="1">IFERROR(__xludf.DUMMYFUNCTION("""COMPUTED_VALUE"""),40904.7055555555)</f>
        <v>40904.705555555498</v>
      </c>
      <c r="B457" s="111">
        <f ca="1">IFERROR(__xludf.DUMMYFUNCTION("""COMPUTED_VALUE"""),18.06)</f>
        <v>18.059999999999999</v>
      </c>
      <c r="C457" s="112">
        <f ca="1">IFERROR(__xludf.DUMMYFUNCTION("""COMPUTED_VALUE"""),40906.7055555555)</f>
        <v>40906.705555555498</v>
      </c>
      <c r="D457" s="111">
        <f ca="1">IFERROR(__xludf.DUMMYFUNCTION("""COMPUTED_VALUE"""),17.02)</f>
        <v>17.02</v>
      </c>
      <c r="E457" s="112">
        <f ca="1">IFERROR(__xludf.DUMMYFUNCTION("""COMPUTED_VALUE"""),40906.7055555555)</f>
        <v>40906.705555555498</v>
      </c>
      <c r="F457" s="111">
        <f ca="1">IFERROR(__xludf.DUMMYFUNCTION("""COMPUTED_VALUE"""),7.34)</f>
        <v>7.34</v>
      </c>
      <c r="G457" s="112">
        <f ca="1">IFERROR(__xludf.DUMMYFUNCTION("""COMPUTED_VALUE"""),40905.7055555555)</f>
        <v>40905.705555555498</v>
      </c>
      <c r="H457" s="111">
        <f ca="1">IFERROR(__xludf.DUMMYFUNCTION("""COMPUTED_VALUE"""),21.43)</f>
        <v>21.43</v>
      </c>
      <c r="K457" s="112">
        <f ca="1">IFERROR(__xludf.DUMMYFUNCTION("""COMPUTED_VALUE"""),41387.7055555555)</f>
        <v>41387.705555555498</v>
      </c>
      <c r="L457" s="111">
        <f ca="1">IFERROR(__xludf.DUMMYFUNCTION("""COMPUTED_VALUE"""),0.25)</f>
        <v>0.25</v>
      </c>
      <c r="M457" s="112">
        <f ca="1">IFERROR(__xludf.DUMMYFUNCTION("""COMPUTED_VALUE"""),40847.7055555555)</f>
        <v>40847.705555555498</v>
      </c>
      <c r="N457" s="111">
        <f ca="1">IFERROR(__xludf.DUMMYFUNCTION("""COMPUTED_VALUE"""),12.17)</f>
        <v>12.17</v>
      </c>
      <c r="O457" s="112">
        <f ca="1">IFERROR(__xludf.DUMMYFUNCTION("""COMPUTED_VALUE"""),40904.7055555555)</f>
        <v>40904.705555555498</v>
      </c>
      <c r="P457" s="111">
        <f ca="1">IFERROR(__xludf.DUMMYFUNCTION("""COMPUTED_VALUE"""),40.9)</f>
        <v>40.9</v>
      </c>
      <c r="Q457" s="112">
        <f ca="1">IFERROR(__xludf.DUMMYFUNCTION("""COMPUTED_VALUE"""),40904.7055555555)</f>
        <v>40904.705555555498</v>
      </c>
      <c r="R457" s="111">
        <f ca="1">IFERROR(__xludf.DUMMYFUNCTION("""COMPUTED_VALUE"""),24.05)</f>
        <v>24.05</v>
      </c>
      <c r="S457" s="112">
        <f ca="1">IFERROR(__xludf.DUMMYFUNCTION("""COMPUTED_VALUE"""),40905.7055555555)</f>
        <v>40905.705555555498</v>
      </c>
      <c r="T457" s="111">
        <f ca="1">IFERROR(__xludf.DUMMYFUNCTION("""COMPUTED_VALUE"""),7.31)</f>
        <v>7.31</v>
      </c>
    </row>
    <row r="458" spans="1:20" x14ac:dyDescent="0.3">
      <c r="A458" s="112">
        <f ca="1">IFERROR(__xludf.DUMMYFUNCTION("""COMPUTED_VALUE"""),40905.7055555555)</f>
        <v>40905.705555555498</v>
      </c>
      <c r="B458" s="111">
        <f ca="1">IFERROR(__xludf.DUMMYFUNCTION("""COMPUTED_VALUE"""),17.39)</f>
        <v>17.39</v>
      </c>
      <c r="C458" s="112">
        <f ca="1">IFERROR(__xludf.DUMMYFUNCTION("""COMPUTED_VALUE"""),40910.7055555555)</f>
        <v>40910.705555555498</v>
      </c>
      <c r="D458" s="111">
        <f ca="1">IFERROR(__xludf.DUMMYFUNCTION("""COMPUTED_VALUE"""),17.04)</f>
        <v>17.04</v>
      </c>
      <c r="E458" s="112">
        <f ca="1">IFERROR(__xludf.DUMMYFUNCTION("""COMPUTED_VALUE"""),40910.7055555555)</f>
        <v>40910.705555555498</v>
      </c>
      <c r="F458" s="111">
        <f ca="1">IFERROR(__xludf.DUMMYFUNCTION("""COMPUTED_VALUE"""),7.25)</f>
        <v>7.25</v>
      </c>
      <c r="G458" s="112">
        <f ca="1">IFERROR(__xludf.DUMMYFUNCTION("""COMPUTED_VALUE"""),40906.7055555555)</f>
        <v>40906.705555555498</v>
      </c>
      <c r="H458" s="111">
        <f ca="1">IFERROR(__xludf.DUMMYFUNCTION("""COMPUTED_VALUE"""),21.49)</f>
        <v>21.49</v>
      </c>
      <c r="K458" s="112">
        <f ca="1">IFERROR(__xludf.DUMMYFUNCTION("""COMPUTED_VALUE"""),41388.7055555555)</f>
        <v>41388.705555555498</v>
      </c>
      <c r="L458" s="111">
        <f ca="1">IFERROR(__xludf.DUMMYFUNCTION("""COMPUTED_VALUE"""),0.25)</f>
        <v>0.25</v>
      </c>
      <c r="M458" s="112">
        <f ca="1">IFERROR(__xludf.DUMMYFUNCTION("""COMPUTED_VALUE"""),40848.7055555555)</f>
        <v>40848.705555555498</v>
      </c>
      <c r="N458" s="111">
        <f ca="1">IFERROR(__xludf.DUMMYFUNCTION("""COMPUTED_VALUE"""),12.05)</f>
        <v>12.05</v>
      </c>
      <c r="O458" s="112">
        <f ca="1">IFERROR(__xludf.DUMMYFUNCTION("""COMPUTED_VALUE"""),40905.7055555555)</f>
        <v>40905.705555555498</v>
      </c>
      <c r="P458" s="111">
        <f ca="1">IFERROR(__xludf.DUMMYFUNCTION("""COMPUTED_VALUE"""),39.72)</f>
        <v>39.72</v>
      </c>
      <c r="Q458" s="112">
        <f ca="1">IFERROR(__xludf.DUMMYFUNCTION("""COMPUTED_VALUE"""),40905.7055555555)</f>
        <v>40905.705555555498</v>
      </c>
      <c r="R458" s="111">
        <f ca="1">IFERROR(__xludf.DUMMYFUNCTION("""COMPUTED_VALUE"""),23.47)</f>
        <v>23.47</v>
      </c>
      <c r="S458" s="112">
        <f ca="1">IFERROR(__xludf.DUMMYFUNCTION("""COMPUTED_VALUE"""),40906.7055555555)</f>
        <v>40906.705555555498</v>
      </c>
      <c r="T458" s="111">
        <f ca="1">IFERROR(__xludf.DUMMYFUNCTION("""COMPUTED_VALUE"""),7.27)</f>
        <v>7.27</v>
      </c>
    </row>
    <row r="459" spans="1:20" x14ac:dyDescent="0.3">
      <c r="A459" s="112">
        <f ca="1">IFERROR(__xludf.DUMMYFUNCTION("""COMPUTED_VALUE"""),40906.7055555555)</f>
        <v>40906.705555555498</v>
      </c>
      <c r="B459" s="111">
        <f ca="1">IFERROR(__xludf.DUMMYFUNCTION("""COMPUTED_VALUE"""),17.64)</f>
        <v>17.64</v>
      </c>
      <c r="C459" s="112">
        <f ca="1">IFERROR(__xludf.DUMMYFUNCTION("""COMPUTED_VALUE"""),40911.7055555555)</f>
        <v>40911.705555555498</v>
      </c>
      <c r="D459" s="111">
        <f ca="1">IFERROR(__xludf.DUMMYFUNCTION("""COMPUTED_VALUE"""),17.47)</f>
        <v>17.47</v>
      </c>
      <c r="E459" s="112">
        <f ca="1">IFERROR(__xludf.DUMMYFUNCTION("""COMPUTED_VALUE"""),40911.7055555555)</f>
        <v>40911.705555555498</v>
      </c>
      <c r="F459" s="111">
        <f ca="1">IFERROR(__xludf.DUMMYFUNCTION("""COMPUTED_VALUE"""),7.46)</f>
        <v>7.46</v>
      </c>
      <c r="G459" s="112">
        <f ca="1">IFERROR(__xludf.DUMMYFUNCTION("""COMPUTED_VALUE"""),40910.7055555555)</f>
        <v>40910.705555555498</v>
      </c>
      <c r="H459" s="111">
        <f ca="1">IFERROR(__xludf.DUMMYFUNCTION("""COMPUTED_VALUE"""),21.73)</f>
        <v>21.73</v>
      </c>
      <c r="K459" s="112">
        <f ca="1">IFERROR(__xludf.DUMMYFUNCTION("""COMPUTED_VALUE"""),41389.7055555555)</f>
        <v>41389.705555555498</v>
      </c>
      <c r="L459" s="111">
        <f ca="1">IFERROR(__xludf.DUMMYFUNCTION("""COMPUTED_VALUE"""),0.25)</f>
        <v>0.25</v>
      </c>
      <c r="M459" s="112">
        <f ca="1">IFERROR(__xludf.DUMMYFUNCTION("""COMPUTED_VALUE"""),40850.7055555555)</f>
        <v>40850.705555555498</v>
      </c>
      <c r="N459" s="111">
        <f ca="1">IFERROR(__xludf.DUMMYFUNCTION("""COMPUTED_VALUE"""),12.14)</f>
        <v>12.14</v>
      </c>
      <c r="O459" s="112">
        <f ca="1">IFERROR(__xludf.DUMMYFUNCTION("""COMPUTED_VALUE"""),40906.7055555555)</f>
        <v>40906.705555555498</v>
      </c>
      <c r="P459" s="111">
        <f ca="1">IFERROR(__xludf.DUMMYFUNCTION("""COMPUTED_VALUE"""),39.45)</f>
        <v>39.450000000000003</v>
      </c>
      <c r="Q459" s="112">
        <f ca="1">IFERROR(__xludf.DUMMYFUNCTION("""COMPUTED_VALUE"""),40906.7055555555)</f>
        <v>40906.705555555498</v>
      </c>
      <c r="R459" s="111">
        <f ca="1">IFERROR(__xludf.DUMMYFUNCTION("""COMPUTED_VALUE"""),23.7)</f>
        <v>23.7</v>
      </c>
      <c r="S459" s="112">
        <f ca="1">IFERROR(__xludf.DUMMYFUNCTION("""COMPUTED_VALUE"""),40910.7055555555)</f>
        <v>40910.705555555498</v>
      </c>
      <c r="T459" s="111">
        <f ca="1">IFERROR(__xludf.DUMMYFUNCTION("""COMPUTED_VALUE"""),7.66)</f>
        <v>7.66</v>
      </c>
    </row>
    <row r="460" spans="1:20" x14ac:dyDescent="0.3">
      <c r="A460" s="112">
        <f ca="1">IFERROR(__xludf.DUMMYFUNCTION("""COMPUTED_VALUE"""),40910.7055555555)</f>
        <v>40910.705555555498</v>
      </c>
      <c r="B460" s="111">
        <f ca="1">IFERROR(__xludf.DUMMYFUNCTION("""COMPUTED_VALUE"""),17.45)</f>
        <v>17.45</v>
      </c>
      <c r="C460" s="112">
        <f ca="1">IFERROR(__xludf.DUMMYFUNCTION("""COMPUTED_VALUE"""),40912.7055555555)</f>
        <v>40912.705555555498</v>
      </c>
      <c r="D460" s="111">
        <f ca="1">IFERROR(__xludf.DUMMYFUNCTION("""COMPUTED_VALUE"""),17.49)</f>
        <v>17.489999999999998</v>
      </c>
      <c r="E460" s="112">
        <f ca="1">IFERROR(__xludf.DUMMYFUNCTION("""COMPUTED_VALUE"""),40912.7055555555)</f>
        <v>40912.705555555498</v>
      </c>
      <c r="F460" s="111">
        <f ca="1">IFERROR(__xludf.DUMMYFUNCTION("""COMPUTED_VALUE"""),7.47)</f>
        <v>7.47</v>
      </c>
      <c r="G460" s="112">
        <f ca="1">IFERROR(__xludf.DUMMYFUNCTION("""COMPUTED_VALUE"""),40911.7055555555)</f>
        <v>40911.705555555498</v>
      </c>
      <c r="H460" s="111">
        <f ca="1">IFERROR(__xludf.DUMMYFUNCTION("""COMPUTED_VALUE"""),22.41)</f>
        <v>22.41</v>
      </c>
      <c r="K460" s="112">
        <f ca="1">IFERROR(__xludf.DUMMYFUNCTION("""COMPUTED_VALUE"""),41390.7055555555)</f>
        <v>41390.705555555498</v>
      </c>
      <c r="L460" s="111">
        <f ca="1">IFERROR(__xludf.DUMMYFUNCTION("""COMPUTED_VALUE"""),0.24)</f>
        <v>0.24</v>
      </c>
      <c r="M460" s="112">
        <f ca="1">IFERROR(__xludf.DUMMYFUNCTION("""COMPUTED_VALUE"""),40851.7055555555)</f>
        <v>40851.705555555498</v>
      </c>
      <c r="N460" s="111">
        <f ca="1">IFERROR(__xludf.DUMMYFUNCTION("""COMPUTED_VALUE"""),12.1)</f>
        <v>12.1</v>
      </c>
      <c r="O460" s="112">
        <f ca="1">IFERROR(__xludf.DUMMYFUNCTION("""COMPUTED_VALUE"""),40910.7055555555)</f>
        <v>40910.705555555498</v>
      </c>
      <c r="P460" s="111">
        <f ca="1">IFERROR(__xludf.DUMMYFUNCTION("""COMPUTED_VALUE"""),40.9)</f>
        <v>40.9</v>
      </c>
      <c r="Q460" s="112">
        <f ca="1">IFERROR(__xludf.DUMMYFUNCTION("""COMPUTED_VALUE"""),40910.7055555555)</f>
        <v>40910.705555555498</v>
      </c>
      <c r="R460" s="111">
        <f ca="1">IFERROR(__xludf.DUMMYFUNCTION("""COMPUTED_VALUE"""),24.29)</f>
        <v>24.29</v>
      </c>
      <c r="S460" s="112">
        <f ca="1">IFERROR(__xludf.DUMMYFUNCTION("""COMPUTED_VALUE"""),40911.7055555555)</f>
        <v>40911.705555555498</v>
      </c>
      <c r="T460" s="111">
        <f ca="1">IFERROR(__xludf.DUMMYFUNCTION("""COMPUTED_VALUE"""),7.63)</f>
        <v>7.63</v>
      </c>
    </row>
    <row r="461" spans="1:20" x14ac:dyDescent="0.3">
      <c r="A461" s="112">
        <f ca="1">IFERROR(__xludf.DUMMYFUNCTION("""COMPUTED_VALUE"""),40911.7055555555)</f>
        <v>40911.705555555498</v>
      </c>
      <c r="B461" s="111">
        <f ca="1">IFERROR(__xludf.DUMMYFUNCTION("""COMPUTED_VALUE"""),17.69)</f>
        <v>17.690000000000001</v>
      </c>
      <c r="C461" s="112">
        <f ca="1">IFERROR(__xludf.DUMMYFUNCTION("""COMPUTED_VALUE"""),40913.7055555555)</f>
        <v>40913.705555555498</v>
      </c>
      <c r="D461" s="111">
        <f ca="1">IFERROR(__xludf.DUMMYFUNCTION("""COMPUTED_VALUE"""),17.36)</f>
        <v>17.36</v>
      </c>
      <c r="E461" s="112">
        <f ca="1">IFERROR(__xludf.DUMMYFUNCTION("""COMPUTED_VALUE"""),40913.7055555555)</f>
        <v>40913.705555555498</v>
      </c>
      <c r="F461" s="111">
        <f ca="1">IFERROR(__xludf.DUMMYFUNCTION("""COMPUTED_VALUE"""),7.44)</f>
        <v>7.44</v>
      </c>
      <c r="G461" s="112">
        <f ca="1">IFERROR(__xludf.DUMMYFUNCTION("""COMPUTED_VALUE"""),40912.7055555555)</f>
        <v>40912.705555555498</v>
      </c>
      <c r="H461" s="111">
        <f ca="1">IFERROR(__xludf.DUMMYFUNCTION("""COMPUTED_VALUE"""),22.57)</f>
        <v>22.57</v>
      </c>
      <c r="K461" s="112">
        <f ca="1">IFERROR(__xludf.DUMMYFUNCTION("""COMPUTED_VALUE"""),41393.7055555555)</f>
        <v>41393.705555555498</v>
      </c>
      <c r="L461" s="111">
        <f ca="1">IFERROR(__xludf.DUMMYFUNCTION("""COMPUTED_VALUE"""),0.23)</f>
        <v>0.23</v>
      </c>
      <c r="M461" s="112">
        <f ca="1">IFERROR(__xludf.DUMMYFUNCTION("""COMPUTED_VALUE"""),40854.7055555555)</f>
        <v>40854.705555555498</v>
      </c>
      <c r="N461" s="111">
        <f ca="1">IFERROR(__xludf.DUMMYFUNCTION("""COMPUTED_VALUE"""),12.15)</f>
        <v>12.15</v>
      </c>
      <c r="O461" s="112">
        <f ca="1">IFERROR(__xludf.DUMMYFUNCTION("""COMPUTED_VALUE"""),40911.7055555555)</f>
        <v>40911.705555555498</v>
      </c>
      <c r="P461" s="111">
        <f ca="1">IFERROR(__xludf.DUMMYFUNCTION("""COMPUTED_VALUE"""),42.72)</f>
        <v>42.72</v>
      </c>
      <c r="Q461" s="112">
        <f ca="1">IFERROR(__xludf.DUMMYFUNCTION("""COMPUTED_VALUE"""),40911.7055555555)</f>
        <v>40911.705555555498</v>
      </c>
      <c r="R461" s="111">
        <f ca="1">IFERROR(__xludf.DUMMYFUNCTION("""COMPUTED_VALUE"""),24.18)</f>
        <v>24.18</v>
      </c>
      <c r="S461" s="112">
        <f ca="1">IFERROR(__xludf.DUMMYFUNCTION("""COMPUTED_VALUE"""),40912.7055555555)</f>
        <v>40912.705555555498</v>
      </c>
      <c r="T461" s="111">
        <f ca="1">IFERROR(__xludf.DUMMYFUNCTION("""COMPUTED_VALUE"""),7.55)</f>
        <v>7.55</v>
      </c>
    </row>
    <row r="462" spans="1:20" x14ac:dyDescent="0.3">
      <c r="A462" s="112">
        <f ca="1">IFERROR(__xludf.DUMMYFUNCTION("""COMPUTED_VALUE"""),40912.7055555555)</f>
        <v>40912.705555555498</v>
      </c>
      <c r="B462" s="111">
        <f ca="1">IFERROR(__xludf.DUMMYFUNCTION("""COMPUTED_VALUE"""),18.48)</f>
        <v>18.48</v>
      </c>
      <c r="C462" s="112">
        <f ca="1">IFERROR(__xludf.DUMMYFUNCTION("""COMPUTED_VALUE"""),40914.7055555555)</f>
        <v>40914.705555555498</v>
      </c>
      <c r="D462" s="111">
        <f ca="1">IFERROR(__xludf.DUMMYFUNCTION("""COMPUTED_VALUE"""),17.49)</f>
        <v>17.489999999999998</v>
      </c>
      <c r="E462" s="112">
        <f ca="1">IFERROR(__xludf.DUMMYFUNCTION("""COMPUTED_VALUE"""),40914.7055555555)</f>
        <v>40914.705555555498</v>
      </c>
      <c r="F462" s="111">
        <f ca="1">IFERROR(__xludf.DUMMYFUNCTION("""COMPUTED_VALUE"""),7.48)</f>
        <v>7.48</v>
      </c>
      <c r="G462" s="112">
        <f ca="1">IFERROR(__xludf.DUMMYFUNCTION("""COMPUTED_VALUE"""),40913.7055555555)</f>
        <v>40913.705555555498</v>
      </c>
      <c r="H462" s="111">
        <f ca="1">IFERROR(__xludf.DUMMYFUNCTION("""COMPUTED_VALUE"""),22.31)</f>
        <v>22.31</v>
      </c>
      <c r="K462" s="112">
        <f ca="1">IFERROR(__xludf.DUMMYFUNCTION("""COMPUTED_VALUE"""),41394.7055555555)</f>
        <v>41394.705555555498</v>
      </c>
      <c r="L462" s="111">
        <f ca="1">IFERROR(__xludf.DUMMYFUNCTION("""COMPUTED_VALUE"""),0.22)</f>
        <v>0.22</v>
      </c>
      <c r="M462" s="112">
        <f ca="1">IFERROR(__xludf.DUMMYFUNCTION("""COMPUTED_VALUE"""),40855.7055555555)</f>
        <v>40855.705555555498</v>
      </c>
      <c r="N462" s="111">
        <f ca="1">IFERROR(__xludf.DUMMYFUNCTION("""COMPUTED_VALUE"""),12.23)</f>
        <v>12.23</v>
      </c>
      <c r="O462" s="112">
        <f ca="1">IFERROR(__xludf.DUMMYFUNCTION("""COMPUTED_VALUE"""),40912.7055555555)</f>
        <v>40912.705555555498</v>
      </c>
      <c r="P462" s="111">
        <f ca="1">IFERROR(__xludf.DUMMYFUNCTION("""COMPUTED_VALUE"""),43.01)</f>
        <v>43.01</v>
      </c>
      <c r="Q462" s="112">
        <f ca="1">IFERROR(__xludf.DUMMYFUNCTION("""COMPUTED_VALUE"""),40912.7055555555)</f>
        <v>40912.705555555498</v>
      </c>
      <c r="R462" s="111">
        <f ca="1">IFERROR(__xludf.DUMMYFUNCTION("""COMPUTED_VALUE"""),24.06)</f>
        <v>24.06</v>
      </c>
      <c r="S462" s="112">
        <f ca="1">IFERROR(__xludf.DUMMYFUNCTION("""COMPUTED_VALUE"""),40913.7055555555)</f>
        <v>40913.705555555498</v>
      </c>
      <c r="T462" s="111">
        <f ca="1">IFERROR(__xludf.DUMMYFUNCTION("""COMPUTED_VALUE"""),7.81)</f>
        <v>7.81</v>
      </c>
    </row>
    <row r="463" spans="1:20" x14ac:dyDescent="0.3">
      <c r="A463" s="112">
        <f ca="1">IFERROR(__xludf.DUMMYFUNCTION("""COMPUTED_VALUE"""),40913.7055555555)</f>
        <v>40913.705555555498</v>
      </c>
      <c r="B463" s="111">
        <f ca="1">IFERROR(__xludf.DUMMYFUNCTION("""COMPUTED_VALUE"""),18.11)</f>
        <v>18.11</v>
      </c>
      <c r="C463" s="112">
        <f ca="1">IFERROR(__xludf.DUMMYFUNCTION("""COMPUTED_VALUE"""),40917.7055555555)</f>
        <v>40917.705555555498</v>
      </c>
      <c r="D463" s="111">
        <f ca="1">IFERROR(__xludf.DUMMYFUNCTION("""COMPUTED_VALUE"""),17.6)</f>
        <v>17.600000000000001</v>
      </c>
      <c r="E463" s="112">
        <f ca="1">IFERROR(__xludf.DUMMYFUNCTION("""COMPUTED_VALUE"""),40917.7055555555)</f>
        <v>40917.705555555498</v>
      </c>
      <c r="F463" s="111">
        <f ca="1">IFERROR(__xludf.DUMMYFUNCTION("""COMPUTED_VALUE"""),7.53)</f>
        <v>7.53</v>
      </c>
      <c r="G463" s="112">
        <f ca="1">IFERROR(__xludf.DUMMYFUNCTION("""COMPUTED_VALUE"""),40914.7055555555)</f>
        <v>40914.705555555498</v>
      </c>
      <c r="H463" s="111">
        <f ca="1">IFERROR(__xludf.DUMMYFUNCTION("""COMPUTED_VALUE"""),22.33)</f>
        <v>22.33</v>
      </c>
      <c r="K463" s="112">
        <f ca="1">IFERROR(__xludf.DUMMYFUNCTION("""COMPUTED_VALUE"""),41396.7055555555)</f>
        <v>41396.705555555498</v>
      </c>
      <c r="L463" s="111">
        <f ca="1">IFERROR(__xludf.DUMMYFUNCTION("""COMPUTED_VALUE"""),0.23)</f>
        <v>0.23</v>
      </c>
      <c r="M463" s="112">
        <f ca="1">IFERROR(__xludf.DUMMYFUNCTION("""COMPUTED_VALUE"""),40856.7055555555)</f>
        <v>40856.705555555498</v>
      </c>
      <c r="N463" s="111">
        <f ca="1">IFERROR(__xludf.DUMMYFUNCTION("""COMPUTED_VALUE"""),12.04)</f>
        <v>12.04</v>
      </c>
      <c r="O463" s="112">
        <f ca="1">IFERROR(__xludf.DUMMYFUNCTION("""COMPUTED_VALUE"""),40913.7055555555)</f>
        <v>40913.705555555498</v>
      </c>
      <c r="P463" s="111">
        <f ca="1">IFERROR(__xludf.DUMMYFUNCTION("""COMPUTED_VALUE"""),41.86)</f>
        <v>41.86</v>
      </c>
      <c r="Q463" s="112">
        <f ca="1">IFERROR(__xludf.DUMMYFUNCTION("""COMPUTED_VALUE"""),40913.7055555555)</f>
        <v>40913.705555555498</v>
      </c>
      <c r="R463" s="111">
        <f ca="1">IFERROR(__xludf.DUMMYFUNCTION("""COMPUTED_VALUE"""),23.81)</f>
        <v>23.81</v>
      </c>
      <c r="S463" s="112">
        <f ca="1">IFERROR(__xludf.DUMMYFUNCTION("""COMPUTED_VALUE"""),40914.7055555555)</f>
        <v>40914.705555555498</v>
      </c>
      <c r="T463" s="111">
        <f ca="1">IFERROR(__xludf.DUMMYFUNCTION("""COMPUTED_VALUE"""),7.92)</f>
        <v>7.92</v>
      </c>
    </row>
    <row r="464" spans="1:20" x14ac:dyDescent="0.3">
      <c r="A464" s="112">
        <f ca="1">IFERROR(__xludf.DUMMYFUNCTION("""COMPUTED_VALUE"""),40914.7055555555)</f>
        <v>40914.705555555498</v>
      </c>
      <c r="B464" s="111">
        <f ca="1">IFERROR(__xludf.DUMMYFUNCTION("""COMPUTED_VALUE"""),17.94)</f>
        <v>17.940000000000001</v>
      </c>
      <c r="C464" s="112">
        <f ca="1">IFERROR(__xludf.DUMMYFUNCTION("""COMPUTED_VALUE"""),40918.7055555555)</f>
        <v>40918.705555555498</v>
      </c>
      <c r="D464" s="111">
        <f ca="1">IFERROR(__xludf.DUMMYFUNCTION("""COMPUTED_VALUE"""),17.83)</f>
        <v>17.829999999999998</v>
      </c>
      <c r="E464" s="112">
        <f ca="1">IFERROR(__xludf.DUMMYFUNCTION("""COMPUTED_VALUE"""),40918.7055555555)</f>
        <v>40918.705555555498</v>
      </c>
      <c r="F464" s="111">
        <f ca="1">IFERROR(__xludf.DUMMYFUNCTION("""COMPUTED_VALUE"""),7.65)</f>
        <v>7.65</v>
      </c>
      <c r="G464" s="112">
        <f ca="1">IFERROR(__xludf.DUMMYFUNCTION("""COMPUTED_VALUE"""),40917.7055555555)</f>
        <v>40917.705555555498</v>
      </c>
      <c r="H464" s="111">
        <f ca="1">IFERROR(__xludf.DUMMYFUNCTION("""COMPUTED_VALUE"""),22.63)</f>
        <v>22.63</v>
      </c>
      <c r="K464" s="112">
        <f ca="1">IFERROR(__xludf.DUMMYFUNCTION("""COMPUTED_VALUE"""),41397.7055555555)</f>
        <v>41397.705555555498</v>
      </c>
      <c r="L464" s="111">
        <f ca="1">IFERROR(__xludf.DUMMYFUNCTION("""COMPUTED_VALUE"""),0.24)</f>
        <v>0.24</v>
      </c>
      <c r="M464" s="112">
        <f ca="1">IFERROR(__xludf.DUMMYFUNCTION("""COMPUTED_VALUE"""),40857.7055555555)</f>
        <v>40857.705555555498</v>
      </c>
      <c r="N464" s="111">
        <f ca="1">IFERROR(__xludf.DUMMYFUNCTION("""COMPUTED_VALUE"""),11.81)</f>
        <v>11.81</v>
      </c>
      <c r="O464" s="112">
        <f ca="1">IFERROR(__xludf.DUMMYFUNCTION("""COMPUTED_VALUE"""),40914.7055555555)</f>
        <v>40914.705555555498</v>
      </c>
      <c r="P464" s="111">
        <f ca="1">IFERROR(__xludf.DUMMYFUNCTION("""COMPUTED_VALUE"""),41.5)</f>
        <v>41.5</v>
      </c>
      <c r="Q464" s="112">
        <f ca="1">IFERROR(__xludf.DUMMYFUNCTION("""COMPUTED_VALUE"""),40914.7055555555)</f>
        <v>40914.705555555498</v>
      </c>
      <c r="R464" s="111">
        <f ca="1">IFERROR(__xludf.DUMMYFUNCTION("""COMPUTED_VALUE"""),23.21)</f>
        <v>23.21</v>
      </c>
      <c r="S464" s="112">
        <f ca="1">IFERROR(__xludf.DUMMYFUNCTION("""COMPUTED_VALUE"""),40917.7055555555)</f>
        <v>40917.705555555498</v>
      </c>
      <c r="T464" s="111">
        <f ca="1">IFERROR(__xludf.DUMMYFUNCTION("""COMPUTED_VALUE"""),7.96)</f>
        <v>7.96</v>
      </c>
    </row>
    <row r="465" spans="1:20" x14ac:dyDescent="0.3">
      <c r="A465" s="112">
        <f ca="1">IFERROR(__xludf.DUMMYFUNCTION("""COMPUTED_VALUE"""),40917.7055555555)</f>
        <v>40917.705555555498</v>
      </c>
      <c r="B465" s="111">
        <f ca="1">IFERROR(__xludf.DUMMYFUNCTION("""COMPUTED_VALUE"""),18.04)</f>
        <v>18.04</v>
      </c>
      <c r="C465" s="112">
        <f ca="1">IFERROR(__xludf.DUMMYFUNCTION("""COMPUTED_VALUE"""),40919.7055555555)</f>
        <v>40919.705555555498</v>
      </c>
      <c r="D465" s="111">
        <f ca="1">IFERROR(__xludf.DUMMYFUNCTION("""COMPUTED_VALUE"""),17.86)</f>
        <v>17.86</v>
      </c>
      <c r="E465" s="112">
        <f ca="1">IFERROR(__xludf.DUMMYFUNCTION("""COMPUTED_VALUE"""),40919.7055555555)</f>
        <v>40919.705555555498</v>
      </c>
      <c r="F465" s="111">
        <f ca="1">IFERROR(__xludf.DUMMYFUNCTION("""COMPUTED_VALUE"""),7.64)</f>
        <v>7.64</v>
      </c>
      <c r="G465" s="112">
        <f ca="1">IFERROR(__xludf.DUMMYFUNCTION("""COMPUTED_VALUE"""),40918.7055555555)</f>
        <v>40918.705555555498</v>
      </c>
      <c r="H465" s="111">
        <f ca="1">IFERROR(__xludf.DUMMYFUNCTION("""COMPUTED_VALUE"""),22.9)</f>
        <v>22.9</v>
      </c>
      <c r="K465" s="112">
        <f ca="1">IFERROR(__xludf.DUMMYFUNCTION("""COMPUTED_VALUE"""),41400.7055555555)</f>
        <v>41400.705555555498</v>
      </c>
      <c r="L465" s="111">
        <f ca="1">IFERROR(__xludf.DUMMYFUNCTION("""COMPUTED_VALUE"""),0.25)</f>
        <v>0.25</v>
      </c>
      <c r="M465" s="112">
        <f ca="1">IFERROR(__xludf.DUMMYFUNCTION("""COMPUTED_VALUE"""),40858.7055555555)</f>
        <v>40858.705555555498</v>
      </c>
      <c r="N465" s="111">
        <f ca="1">IFERROR(__xludf.DUMMYFUNCTION("""COMPUTED_VALUE"""),11.97)</f>
        <v>11.97</v>
      </c>
      <c r="O465" s="112">
        <f ca="1">IFERROR(__xludf.DUMMYFUNCTION("""COMPUTED_VALUE"""),40917.7055555555)</f>
        <v>40917.705555555498</v>
      </c>
      <c r="P465" s="111">
        <f ca="1">IFERROR(__xludf.DUMMYFUNCTION("""COMPUTED_VALUE"""),41.45)</f>
        <v>41.45</v>
      </c>
      <c r="Q465" s="112">
        <f ca="1">IFERROR(__xludf.DUMMYFUNCTION("""COMPUTED_VALUE"""),40917.7055555555)</f>
        <v>40917.705555555498</v>
      </c>
      <c r="R465" s="111">
        <f ca="1">IFERROR(__xludf.DUMMYFUNCTION("""COMPUTED_VALUE"""),23.4)</f>
        <v>23.4</v>
      </c>
      <c r="S465" s="112">
        <f ca="1">IFERROR(__xludf.DUMMYFUNCTION("""COMPUTED_VALUE"""),40918.7055555555)</f>
        <v>40918.705555555498</v>
      </c>
      <c r="T465" s="111">
        <f ca="1">IFERROR(__xludf.DUMMYFUNCTION("""COMPUTED_VALUE"""),8.25)</f>
        <v>8.25</v>
      </c>
    </row>
    <row r="466" spans="1:20" x14ac:dyDescent="0.3">
      <c r="A466" s="112">
        <f ca="1">IFERROR(__xludf.DUMMYFUNCTION("""COMPUTED_VALUE"""),40918.7055555555)</f>
        <v>40918.705555555498</v>
      </c>
      <c r="B466" s="111">
        <f ca="1">IFERROR(__xludf.DUMMYFUNCTION("""COMPUTED_VALUE"""),17.67)</f>
        <v>17.670000000000002</v>
      </c>
      <c r="C466" s="112">
        <f ca="1">IFERROR(__xludf.DUMMYFUNCTION("""COMPUTED_VALUE"""),40920.7055555555)</f>
        <v>40920.705555555498</v>
      </c>
      <c r="D466" s="111">
        <f ca="1">IFERROR(__xludf.DUMMYFUNCTION("""COMPUTED_VALUE"""),17.9)</f>
        <v>17.899999999999999</v>
      </c>
      <c r="E466" s="112">
        <f ca="1">IFERROR(__xludf.DUMMYFUNCTION("""COMPUTED_VALUE"""),40920.7055555555)</f>
        <v>40920.705555555498</v>
      </c>
      <c r="F466" s="111">
        <f ca="1">IFERROR(__xludf.DUMMYFUNCTION("""COMPUTED_VALUE"""),7.63)</f>
        <v>7.63</v>
      </c>
      <c r="G466" s="112">
        <f ca="1">IFERROR(__xludf.DUMMYFUNCTION("""COMPUTED_VALUE"""),40919.7055555555)</f>
        <v>40919.705555555498</v>
      </c>
      <c r="H466" s="111">
        <f ca="1">IFERROR(__xludf.DUMMYFUNCTION("""COMPUTED_VALUE"""),22.91)</f>
        <v>22.91</v>
      </c>
      <c r="K466" s="112">
        <f ca="1">IFERROR(__xludf.DUMMYFUNCTION("""COMPUTED_VALUE"""),41401.7055555555)</f>
        <v>41401.705555555498</v>
      </c>
      <c r="L466" s="111">
        <f ca="1">IFERROR(__xludf.DUMMYFUNCTION("""COMPUTED_VALUE"""),0.26)</f>
        <v>0.26</v>
      </c>
      <c r="M466" s="112">
        <f ca="1">IFERROR(__xludf.DUMMYFUNCTION("""COMPUTED_VALUE"""),40861.7055555555)</f>
        <v>40861.705555555498</v>
      </c>
      <c r="N466" s="111">
        <f ca="1">IFERROR(__xludf.DUMMYFUNCTION("""COMPUTED_VALUE"""),12.15)</f>
        <v>12.15</v>
      </c>
      <c r="O466" s="112">
        <f ca="1">IFERROR(__xludf.DUMMYFUNCTION("""COMPUTED_VALUE"""),40918.7055555555)</f>
        <v>40918.705555555498</v>
      </c>
      <c r="P466" s="111">
        <f ca="1">IFERROR(__xludf.DUMMYFUNCTION("""COMPUTED_VALUE"""),41.4)</f>
        <v>41.4</v>
      </c>
      <c r="Q466" s="112">
        <f ca="1">IFERROR(__xludf.DUMMYFUNCTION("""COMPUTED_VALUE"""),40918.7055555555)</f>
        <v>40918.705555555498</v>
      </c>
      <c r="R466" s="111">
        <f ca="1">IFERROR(__xludf.DUMMYFUNCTION("""COMPUTED_VALUE"""),23.89)</f>
        <v>23.89</v>
      </c>
      <c r="S466" s="112">
        <f ca="1">IFERROR(__xludf.DUMMYFUNCTION("""COMPUTED_VALUE"""),40919.7055555555)</f>
        <v>40919.705555555498</v>
      </c>
      <c r="T466" s="111">
        <f ca="1">IFERROR(__xludf.DUMMYFUNCTION("""COMPUTED_VALUE"""),8.19)</f>
        <v>8.19</v>
      </c>
    </row>
    <row r="467" spans="1:20" x14ac:dyDescent="0.3">
      <c r="A467" s="112">
        <f ca="1">IFERROR(__xludf.DUMMYFUNCTION("""COMPUTED_VALUE"""),40919.7055555555)</f>
        <v>40919.705555555498</v>
      </c>
      <c r="B467" s="111">
        <f ca="1">IFERROR(__xludf.DUMMYFUNCTION("""COMPUTED_VALUE"""),17.42)</f>
        <v>17.420000000000002</v>
      </c>
      <c r="C467" s="112">
        <f ca="1">IFERROR(__xludf.DUMMYFUNCTION("""COMPUTED_VALUE"""),40921.7055555555)</f>
        <v>40921.705555555498</v>
      </c>
      <c r="D467" s="111">
        <f ca="1">IFERROR(__xludf.DUMMYFUNCTION("""COMPUTED_VALUE"""),17.78)</f>
        <v>17.78</v>
      </c>
      <c r="E467" s="112">
        <f ca="1">IFERROR(__xludf.DUMMYFUNCTION("""COMPUTED_VALUE"""),40921.7055555555)</f>
        <v>40921.705555555498</v>
      </c>
      <c r="F467" s="111">
        <f ca="1">IFERROR(__xludf.DUMMYFUNCTION("""COMPUTED_VALUE"""),7.58)</f>
        <v>7.58</v>
      </c>
      <c r="G467" s="112">
        <f ca="1">IFERROR(__xludf.DUMMYFUNCTION("""COMPUTED_VALUE"""),40920.7055555555)</f>
        <v>40920.705555555498</v>
      </c>
      <c r="H467" s="111">
        <f ca="1">IFERROR(__xludf.DUMMYFUNCTION("""COMPUTED_VALUE"""),23.08)</f>
        <v>23.08</v>
      </c>
      <c r="K467" s="112">
        <f ca="1">IFERROR(__xludf.DUMMYFUNCTION("""COMPUTED_VALUE"""),41402.7055555555)</f>
        <v>41402.705555555498</v>
      </c>
      <c r="L467" s="111">
        <f ca="1">IFERROR(__xludf.DUMMYFUNCTION("""COMPUTED_VALUE"""),0.25)</f>
        <v>0.25</v>
      </c>
      <c r="M467" s="112">
        <f ca="1">IFERROR(__xludf.DUMMYFUNCTION("""COMPUTED_VALUE"""),40863.7055555555)</f>
        <v>40863.705555555498</v>
      </c>
      <c r="N467" s="111">
        <f ca="1">IFERROR(__xludf.DUMMYFUNCTION("""COMPUTED_VALUE"""),12.19)</f>
        <v>12.19</v>
      </c>
      <c r="O467" s="112">
        <f ca="1">IFERROR(__xludf.DUMMYFUNCTION("""COMPUTED_VALUE"""),40919.7055555555)</f>
        <v>40919.705555555498</v>
      </c>
      <c r="P467" s="111">
        <f ca="1">IFERROR(__xludf.DUMMYFUNCTION("""COMPUTED_VALUE"""),41.71)</f>
        <v>41.71</v>
      </c>
      <c r="Q467" s="112">
        <f ca="1">IFERROR(__xludf.DUMMYFUNCTION("""COMPUTED_VALUE"""),40919.7055555555)</f>
        <v>40919.705555555498</v>
      </c>
      <c r="R467" s="111">
        <f ca="1">IFERROR(__xludf.DUMMYFUNCTION("""COMPUTED_VALUE"""),24.25)</f>
        <v>24.25</v>
      </c>
      <c r="S467" s="112">
        <f ca="1">IFERROR(__xludf.DUMMYFUNCTION("""COMPUTED_VALUE"""),40920.7055555555)</f>
        <v>40920.705555555498</v>
      </c>
      <c r="T467" s="111">
        <f ca="1">IFERROR(__xludf.DUMMYFUNCTION("""COMPUTED_VALUE"""),8.2)</f>
        <v>8.1999999999999993</v>
      </c>
    </row>
    <row r="468" spans="1:20" x14ac:dyDescent="0.3">
      <c r="A468" s="112">
        <f ca="1">IFERROR(__xludf.DUMMYFUNCTION("""COMPUTED_VALUE"""),40920.7055555555)</f>
        <v>40920.705555555498</v>
      </c>
      <c r="B468" s="111">
        <f ca="1">IFERROR(__xludf.DUMMYFUNCTION("""COMPUTED_VALUE"""),17.43)</f>
        <v>17.43</v>
      </c>
      <c r="C468" s="112">
        <f ca="1">IFERROR(__xludf.DUMMYFUNCTION("""COMPUTED_VALUE"""),40924.7055555555)</f>
        <v>40924.705555555498</v>
      </c>
      <c r="D468" s="111">
        <f ca="1">IFERROR(__xludf.DUMMYFUNCTION("""COMPUTED_VALUE"""),17.9)</f>
        <v>17.899999999999999</v>
      </c>
      <c r="E468" s="112">
        <f ca="1">IFERROR(__xludf.DUMMYFUNCTION("""COMPUTED_VALUE"""),40926.7055555555)</f>
        <v>40926.705555555498</v>
      </c>
      <c r="F468" s="111">
        <f ca="1">IFERROR(__xludf.DUMMYFUNCTION("""COMPUTED_VALUE"""),7.81)</f>
        <v>7.81</v>
      </c>
      <c r="G468" s="112">
        <f ca="1">IFERROR(__xludf.DUMMYFUNCTION("""COMPUTED_VALUE"""),40921.7055555555)</f>
        <v>40921.705555555498</v>
      </c>
      <c r="H468" s="111">
        <f ca="1">IFERROR(__xludf.DUMMYFUNCTION("""COMPUTED_VALUE"""),23.05)</f>
        <v>23.05</v>
      </c>
      <c r="K468" s="112">
        <f ca="1">IFERROR(__xludf.DUMMYFUNCTION("""COMPUTED_VALUE"""),41403.7055555555)</f>
        <v>41403.705555555498</v>
      </c>
      <c r="L468" s="111">
        <f ca="1">IFERROR(__xludf.DUMMYFUNCTION("""COMPUTED_VALUE"""),0.25)</f>
        <v>0.25</v>
      </c>
      <c r="M468" s="112">
        <f ca="1">IFERROR(__xludf.DUMMYFUNCTION("""COMPUTED_VALUE"""),40864.7055555555)</f>
        <v>40864.705555555498</v>
      </c>
      <c r="N468" s="111">
        <f ca="1">IFERROR(__xludf.DUMMYFUNCTION("""COMPUTED_VALUE"""),11.76)</f>
        <v>11.76</v>
      </c>
      <c r="O468" s="112">
        <f ca="1">IFERROR(__xludf.DUMMYFUNCTION("""COMPUTED_VALUE"""),40920.7055555555)</f>
        <v>40920.705555555498</v>
      </c>
      <c r="P468" s="111">
        <f ca="1">IFERROR(__xludf.DUMMYFUNCTION("""COMPUTED_VALUE"""),41.29)</f>
        <v>41.29</v>
      </c>
      <c r="Q468" s="112">
        <f ca="1">IFERROR(__xludf.DUMMYFUNCTION("""COMPUTED_VALUE"""),40920.7055555555)</f>
        <v>40920.705555555498</v>
      </c>
      <c r="R468" s="111">
        <f ca="1">IFERROR(__xludf.DUMMYFUNCTION("""COMPUTED_VALUE"""),24.46)</f>
        <v>24.46</v>
      </c>
      <c r="S468" s="112">
        <f ca="1">IFERROR(__xludf.DUMMYFUNCTION("""COMPUTED_VALUE"""),40921.7055555555)</f>
        <v>40921.705555555498</v>
      </c>
      <c r="T468" s="111">
        <f ca="1">IFERROR(__xludf.DUMMYFUNCTION("""COMPUTED_VALUE"""),8.08)</f>
        <v>8.08</v>
      </c>
    </row>
    <row r="469" spans="1:20" x14ac:dyDescent="0.3">
      <c r="A469" s="112">
        <f ca="1">IFERROR(__xludf.DUMMYFUNCTION("""COMPUTED_VALUE"""),40921.7055555555)</f>
        <v>40921.705555555498</v>
      </c>
      <c r="B469" s="111">
        <f ca="1">IFERROR(__xludf.DUMMYFUNCTION("""COMPUTED_VALUE"""),17.43)</f>
        <v>17.43</v>
      </c>
      <c r="C469" s="112">
        <f ca="1">IFERROR(__xludf.DUMMYFUNCTION("""COMPUTED_VALUE"""),40925.7055555555)</f>
        <v>40925.705555555498</v>
      </c>
      <c r="D469" s="111">
        <f ca="1">IFERROR(__xludf.DUMMYFUNCTION("""COMPUTED_VALUE"""),18.01)</f>
        <v>18.010000000000002</v>
      </c>
      <c r="E469" s="112">
        <f ca="1">IFERROR(__xludf.DUMMYFUNCTION("""COMPUTED_VALUE"""),40927.7055555555)</f>
        <v>40927.705555555498</v>
      </c>
      <c r="F469" s="111">
        <f ca="1">IFERROR(__xludf.DUMMYFUNCTION("""COMPUTED_VALUE"""),7.84)</f>
        <v>7.84</v>
      </c>
      <c r="G469" s="112">
        <f ca="1">IFERROR(__xludf.DUMMYFUNCTION("""COMPUTED_VALUE"""),40924.7055555555)</f>
        <v>40924.705555555498</v>
      </c>
      <c r="H469" s="111">
        <f ca="1">IFERROR(__xludf.DUMMYFUNCTION("""COMPUTED_VALUE"""),23.65)</f>
        <v>23.65</v>
      </c>
      <c r="K469" s="112">
        <f ca="1">IFERROR(__xludf.DUMMYFUNCTION("""COMPUTED_VALUE"""),41404.7055555555)</f>
        <v>41404.705555555498</v>
      </c>
      <c r="L469" s="111">
        <f ca="1">IFERROR(__xludf.DUMMYFUNCTION("""COMPUTED_VALUE"""),0.25)</f>
        <v>0.25</v>
      </c>
      <c r="M469" s="112">
        <f ca="1">IFERROR(__xludf.DUMMYFUNCTION("""COMPUTED_VALUE"""),40865.7055555555)</f>
        <v>40865.705555555498</v>
      </c>
      <c r="N469" s="111">
        <f ca="1">IFERROR(__xludf.DUMMYFUNCTION("""COMPUTED_VALUE"""),11.55)</f>
        <v>11.55</v>
      </c>
      <c r="O469" s="112">
        <f ca="1">IFERROR(__xludf.DUMMYFUNCTION("""COMPUTED_VALUE"""),40921.7055555555)</f>
        <v>40921.705555555498</v>
      </c>
      <c r="P469" s="111">
        <f ca="1">IFERROR(__xludf.DUMMYFUNCTION("""COMPUTED_VALUE"""),40.45)</f>
        <v>40.450000000000003</v>
      </c>
      <c r="Q469" s="112">
        <f ca="1">IFERROR(__xludf.DUMMYFUNCTION("""COMPUTED_VALUE"""),40921.7055555555)</f>
        <v>40921.705555555498</v>
      </c>
      <c r="R469" s="111">
        <f ca="1">IFERROR(__xludf.DUMMYFUNCTION("""COMPUTED_VALUE"""),24.7)</f>
        <v>24.7</v>
      </c>
      <c r="S469" s="112">
        <f ca="1">IFERROR(__xludf.DUMMYFUNCTION("""COMPUTED_VALUE"""),40926.7055555555)</f>
        <v>40926.705555555498</v>
      </c>
      <c r="T469" s="111">
        <f ca="1">IFERROR(__xludf.DUMMYFUNCTION("""COMPUTED_VALUE"""),8.23)</f>
        <v>8.23</v>
      </c>
    </row>
    <row r="470" spans="1:20" x14ac:dyDescent="0.3">
      <c r="A470" s="112">
        <f ca="1">IFERROR(__xludf.DUMMYFUNCTION("""COMPUTED_VALUE"""),40924.7055555555)</f>
        <v>40924.705555555498</v>
      </c>
      <c r="B470" s="111">
        <f ca="1">IFERROR(__xludf.DUMMYFUNCTION("""COMPUTED_VALUE"""),17.55)</f>
        <v>17.55</v>
      </c>
      <c r="C470" s="112">
        <f ca="1">IFERROR(__xludf.DUMMYFUNCTION("""COMPUTED_VALUE"""),40926.7055555555)</f>
        <v>40926.705555555498</v>
      </c>
      <c r="D470" s="111">
        <f ca="1">IFERROR(__xludf.DUMMYFUNCTION("""COMPUTED_VALUE"""),18.4)</f>
        <v>18.399999999999999</v>
      </c>
      <c r="E470" s="112">
        <f ca="1">IFERROR(__xludf.DUMMYFUNCTION("""COMPUTED_VALUE"""),40928.7055555555)</f>
        <v>40928.705555555498</v>
      </c>
      <c r="F470" s="111">
        <f ca="1">IFERROR(__xludf.DUMMYFUNCTION("""COMPUTED_VALUE"""),7.83)</f>
        <v>7.83</v>
      </c>
      <c r="G470" s="112">
        <f ca="1">IFERROR(__xludf.DUMMYFUNCTION("""COMPUTED_VALUE"""),40926.7055555555)</f>
        <v>40926.705555555498</v>
      </c>
      <c r="H470" s="111">
        <f ca="1">IFERROR(__xludf.DUMMYFUNCTION("""COMPUTED_VALUE"""),24.37)</f>
        <v>24.37</v>
      </c>
      <c r="K470" s="112">
        <f ca="1">IFERROR(__xludf.DUMMYFUNCTION("""COMPUTED_VALUE"""),41407.7055555555)</f>
        <v>41407.705555555498</v>
      </c>
      <c r="L470" s="111">
        <f ca="1">IFERROR(__xludf.DUMMYFUNCTION("""COMPUTED_VALUE"""),0.24)</f>
        <v>0.24</v>
      </c>
      <c r="M470" s="112">
        <f ca="1">IFERROR(__xludf.DUMMYFUNCTION("""COMPUTED_VALUE"""),40868.7055555555)</f>
        <v>40868.705555555498</v>
      </c>
      <c r="N470" s="111">
        <f ca="1">IFERROR(__xludf.DUMMYFUNCTION("""COMPUTED_VALUE"""),11.33)</f>
        <v>11.33</v>
      </c>
      <c r="O470" s="112">
        <f ca="1">IFERROR(__xludf.DUMMYFUNCTION("""COMPUTED_VALUE"""),40924.7055555555)</f>
        <v>40924.705555555498</v>
      </c>
      <c r="P470" s="111">
        <f ca="1">IFERROR(__xludf.DUMMYFUNCTION("""COMPUTED_VALUE"""),40.71)</f>
        <v>40.71</v>
      </c>
      <c r="Q470" s="112">
        <f ca="1">IFERROR(__xludf.DUMMYFUNCTION("""COMPUTED_VALUE"""),40924.7055555555)</f>
        <v>40924.705555555498</v>
      </c>
      <c r="R470" s="111">
        <f ca="1">IFERROR(__xludf.DUMMYFUNCTION("""COMPUTED_VALUE"""),24.7)</f>
        <v>24.7</v>
      </c>
      <c r="S470" s="112">
        <f ca="1">IFERROR(__xludf.DUMMYFUNCTION("""COMPUTED_VALUE"""),40927.7055555555)</f>
        <v>40927.705555555498</v>
      </c>
      <c r="T470" s="111">
        <f ca="1">IFERROR(__xludf.DUMMYFUNCTION("""COMPUTED_VALUE"""),8.59)</f>
        <v>8.59</v>
      </c>
    </row>
    <row r="471" spans="1:20" x14ac:dyDescent="0.3">
      <c r="A471" s="112">
        <f ca="1">IFERROR(__xludf.DUMMYFUNCTION("""COMPUTED_VALUE"""),40926.7055555555)</f>
        <v>40926.705555555498</v>
      </c>
      <c r="B471" s="111">
        <f ca="1">IFERROR(__xludf.DUMMYFUNCTION("""COMPUTED_VALUE"""),17.59)</f>
        <v>17.59</v>
      </c>
      <c r="C471" s="112">
        <f ca="1">IFERROR(__xludf.DUMMYFUNCTION("""COMPUTED_VALUE"""),40927.7055555555)</f>
        <v>40927.705555555498</v>
      </c>
      <c r="D471" s="111">
        <f ca="1">IFERROR(__xludf.DUMMYFUNCTION("""COMPUTED_VALUE"""),18.51)</f>
        <v>18.510000000000002</v>
      </c>
      <c r="E471" s="112">
        <f ca="1">IFERROR(__xludf.DUMMYFUNCTION("""COMPUTED_VALUE"""),40931.7055555555)</f>
        <v>40931.705555555498</v>
      </c>
      <c r="F471" s="111">
        <f ca="1">IFERROR(__xludf.DUMMYFUNCTION("""COMPUTED_VALUE"""),7.73)</f>
        <v>7.73</v>
      </c>
      <c r="G471" s="112">
        <f ca="1">IFERROR(__xludf.DUMMYFUNCTION("""COMPUTED_VALUE"""),40927.7055555555)</f>
        <v>40927.705555555498</v>
      </c>
      <c r="H471" s="111">
        <f ca="1">IFERROR(__xludf.DUMMYFUNCTION("""COMPUTED_VALUE"""),24.21)</f>
        <v>24.21</v>
      </c>
      <c r="K471" s="112">
        <f ca="1">IFERROR(__xludf.DUMMYFUNCTION("""COMPUTED_VALUE"""),41408.7055555555)</f>
        <v>41408.705555555498</v>
      </c>
      <c r="L471" s="111">
        <f ca="1">IFERROR(__xludf.DUMMYFUNCTION("""COMPUTED_VALUE"""),0.25)</f>
        <v>0.25</v>
      </c>
      <c r="M471" s="112">
        <f ca="1">IFERROR(__xludf.DUMMYFUNCTION("""COMPUTED_VALUE"""),40869.7055555555)</f>
        <v>40869.705555555498</v>
      </c>
      <c r="N471" s="111">
        <f ca="1">IFERROR(__xludf.DUMMYFUNCTION("""COMPUTED_VALUE"""),11.17)</f>
        <v>11.17</v>
      </c>
      <c r="O471" s="112">
        <f ca="1">IFERROR(__xludf.DUMMYFUNCTION("""COMPUTED_VALUE"""),40926.7055555555)</f>
        <v>40926.705555555498</v>
      </c>
      <c r="P471" s="111">
        <f ca="1">IFERROR(__xludf.DUMMYFUNCTION("""COMPUTED_VALUE"""),43.1)</f>
        <v>43.1</v>
      </c>
      <c r="Q471" s="112">
        <f ca="1">IFERROR(__xludf.DUMMYFUNCTION("""COMPUTED_VALUE"""),40926.7055555555)</f>
        <v>40926.705555555498</v>
      </c>
      <c r="R471" s="111">
        <f ca="1">IFERROR(__xludf.DUMMYFUNCTION("""COMPUTED_VALUE"""),25.75)</f>
        <v>25.75</v>
      </c>
      <c r="S471" s="112">
        <f ca="1">IFERROR(__xludf.DUMMYFUNCTION("""COMPUTED_VALUE"""),40928.7055555555)</f>
        <v>40928.705555555498</v>
      </c>
      <c r="T471" s="111">
        <f ca="1">IFERROR(__xludf.DUMMYFUNCTION("""COMPUTED_VALUE"""),8.66)</f>
        <v>8.66</v>
      </c>
    </row>
    <row r="472" spans="1:20" x14ac:dyDescent="0.3">
      <c r="A472" s="112">
        <f ca="1">IFERROR(__xludf.DUMMYFUNCTION("""COMPUTED_VALUE"""),40927.7055555555)</f>
        <v>40927.705555555498</v>
      </c>
      <c r="B472" s="111">
        <f ca="1">IFERROR(__xludf.DUMMYFUNCTION("""COMPUTED_VALUE"""),17.4)</f>
        <v>17.399999999999999</v>
      </c>
      <c r="C472" s="112">
        <f ca="1">IFERROR(__xludf.DUMMYFUNCTION("""COMPUTED_VALUE"""),40928.7055555555)</f>
        <v>40928.705555555498</v>
      </c>
      <c r="D472" s="111">
        <f ca="1">IFERROR(__xludf.DUMMYFUNCTION("""COMPUTED_VALUE"""),18.58)</f>
        <v>18.579999999999998</v>
      </c>
      <c r="E472" s="112">
        <f ca="1">IFERROR(__xludf.DUMMYFUNCTION("""COMPUTED_VALUE"""),40932.7055555555)</f>
        <v>40932.705555555498</v>
      </c>
      <c r="F472" s="111">
        <f ca="1">IFERROR(__xludf.DUMMYFUNCTION("""COMPUTED_VALUE"""),7.61)</f>
        <v>7.61</v>
      </c>
      <c r="G472" s="112">
        <f ca="1">IFERROR(__xludf.DUMMYFUNCTION("""COMPUTED_VALUE"""),40928.7055555555)</f>
        <v>40928.705555555498</v>
      </c>
      <c r="H472" s="111">
        <f ca="1">IFERROR(__xludf.DUMMYFUNCTION("""COMPUTED_VALUE"""),24.22)</f>
        <v>24.22</v>
      </c>
      <c r="K472" s="112">
        <f ca="1">IFERROR(__xludf.DUMMYFUNCTION("""COMPUTED_VALUE"""),41409.7055555555)</f>
        <v>41409.705555555498</v>
      </c>
      <c r="L472" s="111">
        <f ca="1">IFERROR(__xludf.DUMMYFUNCTION("""COMPUTED_VALUE"""),0.26)</f>
        <v>0.26</v>
      </c>
      <c r="M472" s="112">
        <f ca="1">IFERROR(__xludf.DUMMYFUNCTION("""COMPUTED_VALUE"""),40870.7055555555)</f>
        <v>40870.705555555498</v>
      </c>
      <c r="N472" s="111">
        <f ca="1">IFERROR(__xludf.DUMMYFUNCTION("""COMPUTED_VALUE"""),10.99)</f>
        <v>10.99</v>
      </c>
      <c r="O472" s="112">
        <f ca="1">IFERROR(__xludf.DUMMYFUNCTION("""COMPUTED_VALUE"""),40927.7055555555)</f>
        <v>40927.705555555498</v>
      </c>
      <c r="P472" s="111">
        <f ca="1">IFERROR(__xludf.DUMMYFUNCTION("""COMPUTED_VALUE"""),42.98)</f>
        <v>42.98</v>
      </c>
      <c r="Q472" s="112">
        <f ca="1">IFERROR(__xludf.DUMMYFUNCTION("""COMPUTED_VALUE"""),40927.7055555555)</f>
        <v>40927.705555555498</v>
      </c>
      <c r="R472" s="111">
        <f ca="1">IFERROR(__xludf.DUMMYFUNCTION("""COMPUTED_VALUE"""),25.8)</f>
        <v>25.8</v>
      </c>
      <c r="S472" s="112">
        <f ca="1">IFERROR(__xludf.DUMMYFUNCTION("""COMPUTED_VALUE"""),40931.7055555555)</f>
        <v>40931.705555555498</v>
      </c>
      <c r="T472" s="111">
        <f ca="1">IFERROR(__xludf.DUMMYFUNCTION("""COMPUTED_VALUE"""),8.79)</f>
        <v>8.7899999999999991</v>
      </c>
    </row>
    <row r="473" spans="1:20" x14ac:dyDescent="0.3">
      <c r="A473" s="112">
        <f ca="1">IFERROR(__xludf.DUMMYFUNCTION("""COMPUTED_VALUE"""),40928.7055555555)</f>
        <v>40928.705555555498</v>
      </c>
      <c r="B473" s="111">
        <f ca="1">IFERROR(__xludf.DUMMYFUNCTION("""COMPUTED_VALUE"""),17.39)</f>
        <v>17.39</v>
      </c>
      <c r="C473" s="112">
        <f ca="1">IFERROR(__xludf.DUMMYFUNCTION("""COMPUTED_VALUE"""),40931.7055555555)</f>
        <v>40931.705555555498</v>
      </c>
      <c r="D473" s="111">
        <f ca="1">IFERROR(__xludf.DUMMYFUNCTION("""COMPUTED_VALUE"""),18.23)</f>
        <v>18.23</v>
      </c>
      <c r="E473" s="112">
        <f ca="1">IFERROR(__xludf.DUMMYFUNCTION("""COMPUTED_VALUE"""),40934.7055555555)</f>
        <v>40934.705555555498</v>
      </c>
      <c r="F473" s="111">
        <f ca="1">IFERROR(__xludf.DUMMYFUNCTION("""COMPUTED_VALUE"""),7.68)</f>
        <v>7.68</v>
      </c>
      <c r="G473" s="112">
        <f ca="1">IFERROR(__xludf.DUMMYFUNCTION("""COMPUTED_VALUE"""),40931.7055555555)</f>
        <v>40931.705555555498</v>
      </c>
      <c r="H473" s="111">
        <f ca="1">IFERROR(__xludf.DUMMYFUNCTION("""COMPUTED_VALUE"""),25.13)</f>
        <v>25.13</v>
      </c>
      <c r="K473" s="112">
        <f ca="1">IFERROR(__xludf.DUMMYFUNCTION("""COMPUTED_VALUE"""),41410.7055555555)</f>
        <v>41410.705555555498</v>
      </c>
      <c r="L473" s="111">
        <f ca="1">IFERROR(__xludf.DUMMYFUNCTION("""COMPUTED_VALUE"""),0.24)</f>
        <v>0.24</v>
      </c>
      <c r="M473" s="112">
        <f ca="1">IFERROR(__xludf.DUMMYFUNCTION("""COMPUTED_VALUE"""),40871.7055555555)</f>
        <v>40871.705555555498</v>
      </c>
      <c r="N473" s="111">
        <f ca="1">IFERROR(__xludf.DUMMYFUNCTION("""COMPUTED_VALUE"""),11.02)</f>
        <v>11.02</v>
      </c>
      <c r="O473" s="112">
        <f ca="1">IFERROR(__xludf.DUMMYFUNCTION("""COMPUTED_VALUE"""),40928.7055555555)</f>
        <v>40928.705555555498</v>
      </c>
      <c r="P473" s="111">
        <f ca="1">IFERROR(__xludf.DUMMYFUNCTION("""COMPUTED_VALUE"""),42.92)</f>
        <v>42.92</v>
      </c>
      <c r="Q473" s="112">
        <f ca="1">IFERROR(__xludf.DUMMYFUNCTION("""COMPUTED_VALUE"""),40928.7055555555)</f>
        <v>40928.705555555498</v>
      </c>
      <c r="R473" s="111">
        <f ca="1">IFERROR(__xludf.DUMMYFUNCTION("""COMPUTED_VALUE"""),26.1)</f>
        <v>26.1</v>
      </c>
      <c r="S473" s="112">
        <f ca="1">IFERROR(__xludf.DUMMYFUNCTION("""COMPUTED_VALUE"""),40932.7055555555)</f>
        <v>40932.705555555498</v>
      </c>
      <c r="T473" s="111">
        <f ca="1">IFERROR(__xludf.DUMMYFUNCTION("""COMPUTED_VALUE"""),8.89)</f>
        <v>8.89</v>
      </c>
    </row>
    <row r="474" spans="1:20" x14ac:dyDescent="0.3">
      <c r="A474" s="112">
        <f ca="1">IFERROR(__xludf.DUMMYFUNCTION("""COMPUTED_VALUE"""),40931.7055555555)</f>
        <v>40931.705555555498</v>
      </c>
      <c r="B474" s="111">
        <f ca="1">IFERROR(__xludf.DUMMYFUNCTION("""COMPUTED_VALUE"""),16.94)</f>
        <v>16.940000000000001</v>
      </c>
      <c r="C474" s="112">
        <f ca="1">IFERROR(__xludf.DUMMYFUNCTION("""COMPUTED_VALUE"""),40932.7055555555)</f>
        <v>40932.705555555498</v>
      </c>
      <c r="D474" s="111">
        <f ca="1">IFERROR(__xludf.DUMMYFUNCTION("""COMPUTED_VALUE"""),17.9)</f>
        <v>17.899999999999999</v>
      </c>
      <c r="E474" s="112">
        <f ca="1">IFERROR(__xludf.DUMMYFUNCTION("""COMPUTED_VALUE"""),40935.7055555555)</f>
        <v>40935.705555555498</v>
      </c>
      <c r="F474" s="111">
        <f ca="1">IFERROR(__xludf.DUMMYFUNCTION("""COMPUTED_VALUE"""),7.58)</f>
        <v>7.58</v>
      </c>
      <c r="G474" s="112">
        <f ca="1">IFERROR(__xludf.DUMMYFUNCTION("""COMPUTED_VALUE"""),40932.7055555555)</f>
        <v>40932.705555555498</v>
      </c>
      <c r="H474" s="111">
        <f ca="1">IFERROR(__xludf.DUMMYFUNCTION("""COMPUTED_VALUE"""),25.4)</f>
        <v>25.4</v>
      </c>
      <c r="K474" s="112">
        <f ca="1">IFERROR(__xludf.DUMMYFUNCTION("""COMPUTED_VALUE"""),41411.7055555555)</f>
        <v>41411.705555555498</v>
      </c>
      <c r="L474" s="111">
        <f ca="1">IFERROR(__xludf.DUMMYFUNCTION("""COMPUTED_VALUE"""),0.26)</f>
        <v>0.26</v>
      </c>
      <c r="M474" s="112">
        <f ca="1">IFERROR(__xludf.DUMMYFUNCTION("""COMPUTED_VALUE"""),40872.7055555555)</f>
        <v>40872.705555555498</v>
      </c>
      <c r="N474" s="111">
        <f ca="1">IFERROR(__xludf.DUMMYFUNCTION("""COMPUTED_VALUE"""),10.97)</f>
        <v>10.97</v>
      </c>
      <c r="O474" s="112">
        <f ca="1">IFERROR(__xludf.DUMMYFUNCTION("""COMPUTED_VALUE"""),40931.7055555555)</f>
        <v>40931.705555555498</v>
      </c>
      <c r="P474" s="111">
        <f ca="1">IFERROR(__xludf.DUMMYFUNCTION("""COMPUTED_VALUE"""),42.61)</f>
        <v>42.61</v>
      </c>
      <c r="Q474" s="112">
        <f ca="1">IFERROR(__xludf.DUMMYFUNCTION("""COMPUTED_VALUE"""),40931.7055555555)</f>
        <v>40931.705555555498</v>
      </c>
      <c r="R474" s="111">
        <f ca="1">IFERROR(__xludf.DUMMYFUNCTION("""COMPUTED_VALUE"""),26.1)</f>
        <v>26.1</v>
      </c>
      <c r="S474" s="112">
        <f ca="1">IFERROR(__xludf.DUMMYFUNCTION("""COMPUTED_VALUE"""),40934.7055555555)</f>
        <v>40934.705555555498</v>
      </c>
      <c r="T474" s="111">
        <f ca="1">IFERROR(__xludf.DUMMYFUNCTION("""COMPUTED_VALUE"""),8.96)</f>
        <v>8.9600000000000009</v>
      </c>
    </row>
    <row r="475" spans="1:20" x14ac:dyDescent="0.3">
      <c r="A475" s="112">
        <f ca="1">IFERROR(__xludf.DUMMYFUNCTION("""COMPUTED_VALUE"""),40932.7055555555)</f>
        <v>40932.705555555498</v>
      </c>
      <c r="B475" s="111">
        <f ca="1">IFERROR(__xludf.DUMMYFUNCTION("""COMPUTED_VALUE"""),17.03)</f>
        <v>17.03</v>
      </c>
      <c r="C475" s="112">
        <f ca="1">IFERROR(__xludf.DUMMYFUNCTION("""COMPUTED_VALUE"""),40934.7055555555)</f>
        <v>40934.705555555498</v>
      </c>
      <c r="D475" s="111">
        <f ca="1">IFERROR(__xludf.DUMMYFUNCTION("""COMPUTED_VALUE"""),18.18)</f>
        <v>18.18</v>
      </c>
      <c r="E475" s="112">
        <f ca="1">IFERROR(__xludf.DUMMYFUNCTION("""COMPUTED_VALUE"""),40938.7055555555)</f>
        <v>40938.705555555498</v>
      </c>
      <c r="F475" s="111">
        <f ca="1">IFERROR(__xludf.DUMMYFUNCTION("""COMPUTED_VALUE"""),7.51)</f>
        <v>7.51</v>
      </c>
      <c r="G475" s="112">
        <f ca="1">IFERROR(__xludf.DUMMYFUNCTION("""COMPUTED_VALUE"""),40934.7055555555)</f>
        <v>40934.705555555498</v>
      </c>
      <c r="H475" s="111">
        <f ca="1">IFERROR(__xludf.DUMMYFUNCTION("""COMPUTED_VALUE"""),24.92)</f>
        <v>24.92</v>
      </c>
      <c r="K475" s="112">
        <f ca="1">IFERROR(__xludf.DUMMYFUNCTION("""COMPUTED_VALUE"""),41414.7055555555)</f>
        <v>41414.705555555498</v>
      </c>
      <c r="L475" s="111">
        <f ca="1">IFERROR(__xludf.DUMMYFUNCTION("""COMPUTED_VALUE"""),0.28)</f>
        <v>0.28000000000000003</v>
      </c>
      <c r="M475" s="112">
        <f ca="1">IFERROR(__xludf.DUMMYFUNCTION("""COMPUTED_VALUE"""),40875.7055555555)</f>
        <v>40875.705555555498</v>
      </c>
      <c r="N475" s="111">
        <f ca="1">IFERROR(__xludf.DUMMYFUNCTION("""COMPUTED_VALUE"""),11.19)</f>
        <v>11.19</v>
      </c>
      <c r="O475" s="112">
        <f ca="1">IFERROR(__xludf.DUMMYFUNCTION("""COMPUTED_VALUE"""),40932.7055555555)</f>
        <v>40932.705555555498</v>
      </c>
      <c r="P475" s="111">
        <f ca="1">IFERROR(__xludf.DUMMYFUNCTION("""COMPUTED_VALUE"""),43.01)</f>
        <v>43.01</v>
      </c>
      <c r="Q475" s="112">
        <f ca="1">IFERROR(__xludf.DUMMYFUNCTION("""COMPUTED_VALUE"""),40932.7055555555)</f>
        <v>40932.705555555498</v>
      </c>
      <c r="R475" s="111">
        <f ca="1">IFERROR(__xludf.DUMMYFUNCTION("""COMPUTED_VALUE"""),26)</f>
        <v>26</v>
      </c>
      <c r="S475" s="112">
        <f ca="1">IFERROR(__xludf.DUMMYFUNCTION("""COMPUTED_VALUE"""),40935.7055555555)</f>
        <v>40935.705555555498</v>
      </c>
      <c r="T475" s="111">
        <f ca="1">IFERROR(__xludf.DUMMYFUNCTION("""COMPUTED_VALUE"""),8.69)</f>
        <v>8.69</v>
      </c>
    </row>
    <row r="476" spans="1:20" x14ac:dyDescent="0.3">
      <c r="A476" s="112">
        <f ca="1">IFERROR(__xludf.DUMMYFUNCTION("""COMPUTED_VALUE"""),40934.7055555555)</f>
        <v>40934.705555555498</v>
      </c>
      <c r="B476" s="111">
        <f ca="1">IFERROR(__xludf.DUMMYFUNCTION("""COMPUTED_VALUE"""),17.16)</f>
        <v>17.16</v>
      </c>
      <c r="C476" s="112">
        <f ca="1">IFERROR(__xludf.DUMMYFUNCTION("""COMPUTED_VALUE"""),40935.7055555555)</f>
        <v>40935.705555555498</v>
      </c>
      <c r="D476" s="111">
        <f ca="1">IFERROR(__xludf.DUMMYFUNCTION("""COMPUTED_VALUE"""),18.09)</f>
        <v>18.09</v>
      </c>
      <c r="E476" s="112">
        <f ca="1">IFERROR(__xludf.DUMMYFUNCTION("""COMPUTED_VALUE"""),40939.7055555555)</f>
        <v>40939.705555555498</v>
      </c>
      <c r="F476" s="111">
        <f ca="1">IFERROR(__xludf.DUMMYFUNCTION("""COMPUTED_VALUE"""),7.44)</f>
        <v>7.44</v>
      </c>
      <c r="G476" s="112">
        <f ca="1">IFERROR(__xludf.DUMMYFUNCTION("""COMPUTED_VALUE"""),40935.7055555555)</f>
        <v>40935.705555555498</v>
      </c>
      <c r="H476" s="111">
        <f ca="1">IFERROR(__xludf.DUMMYFUNCTION("""COMPUTED_VALUE"""),24.67)</f>
        <v>24.67</v>
      </c>
      <c r="K476" s="112">
        <f ca="1">IFERROR(__xludf.DUMMYFUNCTION("""COMPUTED_VALUE"""),41415.7055555555)</f>
        <v>41415.705555555498</v>
      </c>
      <c r="L476" s="111">
        <f ca="1">IFERROR(__xludf.DUMMYFUNCTION("""COMPUTED_VALUE"""),0.29)</f>
        <v>0.28999999999999998</v>
      </c>
      <c r="M476" s="112">
        <f ca="1">IFERROR(__xludf.DUMMYFUNCTION("""COMPUTED_VALUE"""),40876.7055555555)</f>
        <v>40876.705555555498</v>
      </c>
      <c r="N476" s="111">
        <f ca="1">IFERROR(__xludf.DUMMYFUNCTION("""COMPUTED_VALUE"""),11.11)</f>
        <v>11.11</v>
      </c>
      <c r="O476" s="112">
        <f ca="1">IFERROR(__xludf.DUMMYFUNCTION("""COMPUTED_VALUE"""),40934.7055555555)</f>
        <v>40934.705555555498</v>
      </c>
      <c r="P476" s="111">
        <f ca="1">IFERROR(__xludf.DUMMYFUNCTION("""COMPUTED_VALUE"""),42.79)</f>
        <v>42.79</v>
      </c>
      <c r="Q476" s="112">
        <f ca="1">IFERROR(__xludf.DUMMYFUNCTION("""COMPUTED_VALUE"""),40934.7055555555)</f>
        <v>40934.705555555498</v>
      </c>
      <c r="R476" s="111">
        <f ca="1">IFERROR(__xludf.DUMMYFUNCTION("""COMPUTED_VALUE"""),26.58)</f>
        <v>26.58</v>
      </c>
      <c r="S476" s="112">
        <f ca="1">IFERROR(__xludf.DUMMYFUNCTION("""COMPUTED_VALUE"""),40938.7055555555)</f>
        <v>40938.705555555498</v>
      </c>
      <c r="T476" s="111">
        <f ca="1">IFERROR(__xludf.DUMMYFUNCTION("""COMPUTED_VALUE"""),8.72)</f>
        <v>8.7200000000000006</v>
      </c>
    </row>
    <row r="477" spans="1:20" x14ac:dyDescent="0.3">
      <c r="A477" s="112">
        <f ca="1">IFERROR(__xludf.DUMMYFUNCTION("""COMPUTED_VALUE"""),40935.7055555555)</f>
        <v>40935.705555555498</v>
      </c>
      <c r="B477" s="111">
        <f ca="1">IFERROR(__xludf.DUMMYFUNCTION("""COMPUTED_VALUE"""),17.29)</f>
        <v>17.29</v>
      </c>
      <c r="C477" s="112">
        <f ca="1">IFERROR(__xludf.DUMMYFUNCTION("""COMPUTED_VALUE"""),40938.7055555555)</f>
        <v>40938.705555555498</v>
      </c>
      <c r="D477" s="111">
        <f ca="1">IFERROR(__xludf.DUMMYFUNCTION("""COMPUTED_VALUE"""),17.78)</f>
        <v>17.78</v>
      </c>
      <c r="E477" s="112">
        <f ca="1">IFERROR(__xludf.DUMMYFUNCTION("""COMPUTED_VALUE"""),40940.7055555555)</f>
        <v>40940.705555555498</v>
      </c>
      <c r="F477" s="111">
        <f ca="1">IFERROR(__xludf.DUMMYFUNCTION("""COMPUTED_VALUE"""),7.58)</f>
        <v>7.58</v>
      </c>
      <c r="G477" s="112">
        <f ca="1">IFERROR(__xludf.DUMMYFUNCTION("""COMPUTED_VALUE"""),40938.7055555555)</f>
        <v>40938.705555555498</v>
      </c>
      <c r="H477" s="111">
        <f ca="1">IFERROR(__xludf.DUMMYFUNCTION("""COMPUTED_VALUE"""),24.57)</f>
        <v>24.57</v>
      </c>
      <c r="K477" s="112">
        <f ca="1">IFERROR(__xludf.DUMMYFUNCTION("""COMPUTED_VALUE"""),41416.7055555555)</f>
        <v>41416.705555555498</v>
      </c>
      <c r="L477" s="111">
        <f ca="1">IFERROR(__xludf.DUMMYFUNCTION("""COMPUTED_VALUE"""),0.27)</f>
        <v>0.27</v>
      </c>
      <c r="M477" s="112">
        <f ca="1">IFERROR(__xludf.DUMMYFUNCTION("""COMPUTED_VALUE"""),40877.7055555555)</f>
        <v>40877.705555555498</v>
      </c>
      <c r="N477" s="111">
        <f ca="1">IFERROR(__xludf.DUMMYFUNCTION("""COMPUTED_VALUE"""),11.62)</f>
        <v>11.62</v>
      </c>
      <c r="O477" s="112">
        <f ca="1">IFERROR(__xludf.DUMMYFUNCTION("""COMPUTED_VALUE"""),40935.7055555555)</f>
        <v>40935.705555555498</v>
      </c>
      <c r="P477" s="111">
        <f ca="1">IFERROR(__xludf.DUMMYFUNCTION("""COMPUTED_VALUE"""),43.04)</f>
        <v>43.04</v>
      </c>
      <c r="Q477" s="112">
        <f ca="1">IFERROR(__xludf.DUMMYFUNCTION("""COMPUTED_VALUE"""),40935.7055555555)</f>
        <v>40935.705555555498</v>
      </c>
      <c r="R477" s="111">
        <f ca="1">IFERROR(__xludf.DUMMYFUNCTION("""COMPUTED_VALUE"""),27.05)</f>
        <v>27.05</v>
      </c>
      <c r="S477" s="112">
        <f ca="1">IFERROR(__xludf.DUMMYFUNCTION("""COMPUTED_VALUE"""),40939.7055555555)</f>
        <v>40939.705555555498</v>
      </c>
      <c r="T477" s="111">
        <f ca="1">IFERROR(__xludf.DUMMYFUNCTION("""COMPUTED_VALUE"""),8.87)</f>
        <v>8.8699999999999992</v>
      </c>
    </row>
    <row r="478" spans="1:20" x14ac:dyDescent="0.3">
      <c r="A478" s="112">
        <f ca="1">IFERROR(__xludf.DUMMYFUNCTION("""COMPUTED_VALUE"""),40938.7055555555)</f>
        <v>40938.705555555498</v>
      </c>
      <c r="B478" s="111">
        <f ca="1">IFERROR(__xludf.DUMMYFUNCTION("""COMPUTED_VALUE"""),17.44)</f>
        <v>17.440000000000001</v>
      </c>
      <c r="C478" s="112">
        <f ca="1">IFERROR(__xludf.DUMMYFUNCTION("""COMPUTED_VALUE"""),40939.7055555555)</f>
        <v>40939.705555555498</v>
      </c>
      <c r="D478" s="111">
        <f ca="1">IFERROR(__xludf.DUMMYFUNCTION("""COMPUTED_VALUE"""),17.59)</f>
        <v>17.59</v>
      </c>
      <c r="E478" s="112">
        <f ca="1">IFERROR(__xludf.DUMMYFUNCTION("""COMPUTED_VALUE"""),40941.7055555555)</f>
        <v>40941.705555555498</v>
      </c>
      <c r="F478" s="111">
        <f ca="1">IFERROR(__xludf.DUMMYFUNCTION("""COMPUTED_VALUE"""),7.61)</f>
        <v>7.61</v>
      </c>
      <c r="G478" s="112">
        <f ca="1">IFERROR(__xludf.DUMMYFUNCTION("""COMPUTED_VALUE"""),40939.7055555555)</f>
        <v>40939.705555555498</v>
      </c>
      <c r="H478" s="111">
        <f ca="1">IFERROR(__xludf.DUMMYFUNCTION("""COMPUTED_VALUE"""),24.57)</f>
        <v>24.57</v>
      </c>
      <c r="K478" s="112">
        <f ca="1">IFERROR(__xludf.DUMMYFUNCTION("""COMPUTED_VALUE"""),41417.7055555555)</f>
        <v>41417.705555555498</v>
      </c>
      <c r="L478" s="111">
        <f ca="1">IFERROR(__xludf.DUMMYFUNCTION("""COMPUTED_VALUE"""),0.27)</f>
        <v>0.27</v>
      </c>
      <c r="M478" s="112">
        <f ca="1">IFERROR(__xludf.DUMMYFUNCTION("""COMPUTED_VALUE"""),40878.7055555555)</f>
        <v>40878.705555555498</v>
      </c>
      <c r="N478" s="111">
        <f ca="1">IFERROR(__xludf.DUMMYFUNCTION("""COMPUTED_VALUE"""),12.02)</f>
        <v>12.02</v>
      </c>
      <c r="O478" s="112">
        <f ca="1">IFERROR(__xludf.DUMMYFUNCTION("""COMPUTED_VALUE"""),40938.7055555555)</f>
        <v>40938.705555555498</v>
      </c>
      <c r="P478" s="111">
        <f ca="1">IFERROR(__xludf.DUMMYFUNCTION("""COMPUTED_VALUE"""),43.49)</f>
        <v>43.49</v>
      </c>
      <c r="Q478" s="112">
        <f ca="1">IFERROR(__xludf.DUMMYFUNCTION("""COMPUTED_VALUE"""),40938.7055555555)</f>
        <v>40938.705555555498</v>
      </c>
      <c r="R478" s="111">
        <f ca="1">IFERROR(__xludf.DUMMYFUNCTION("""COMPUTED_VALUE"""),27.37)</f>
        <v>27.37</v>
      </c>
      <c r="S478" s="112">
        <f ca="1">IFERROR(__xludf.DUMMYFUNCTION("""COMPUTED_VALUE"""),40940.7055555555)</f>
        <v>40940.705555555498</v>
      </c>
      <c r="T478" s="111">
        <f ca="1">IFERROR(__xludf.DUMMYFUNCTION("""COMPUTED_VALUE"""),8.82)</f>
        <v>8.82</v>
      </c>
    </row>
    <row r="479" spans="1:20" x14ac:dyDescent="0.3">
      <c r="A479" s="112">
        <f ca="1">IFERROR(__xludf.DUMMYFUNCTION("""COMPUTED_VALUE"""),40939.7055555555)</f>
        <v>40939.705555555498</v>
      </c>
      <c r="B479" s="111">
        <f ca="1">IFERROR(__xludf.DUMMYFUNCTION("""COMPUTED_VALUE"""),17.75)</f>
        <v>17.75</v>
      </c>
      <c r="C479" s="112">
        <f ca="1">IFERROR(__xludf.DUMMYFUNCTION("""COMPUTED_VALUE"""),40940.7055555555)</f>
        <v>40940.705555555498</v>
      </c>
      <c r="D479" s="111">
        <f ca="1">IFERROR(__xludf.DUMMYFUNCTION("""COMPUTED_VALUE"""),17.88)</f>
        <v>17.88</v>
      </c>
      <c r="E479" s="112">
        <f ca="1">IFERROR(__xludf.DUMMYFUNCTION("""COMPUTED_VALUE"""),40942.7055555555)</f>
        <v>40942.705555555498</v>
      </c>
      <c r="F479" s="111">
        <f ca="1">IFERROR(__xludf.DUMMYFUNCTION("""COMPUTED_VALUE"""),7.63)</f>
        <v>7.63</v>
      </c>
      <c r="G479" s="112">
        <f ca="1">IFERROR(__xludf.DUMMYFUNCTION("""COMPUTED_VALUE"""),40940.7055555555)</f>
        <v>40940.705555555498</v>
      </c>
      <c r="H479" s="111">
        <f ca="1">IFERROR(__xludf.DUMMYFUNCTION("""COMPUTED_VALUE"""),24.95)</f>
        <v>24.95</v>
      </c>
      <c r="K479" s="112">
        <f ca="1">IFERROR(__xludf.DUMMYFUNCTION("""COMPUTED_VALUE"""),41418.7055555555)</f>
        <v>41418.705555555498</v>
      </c>
      <c r="L479" s="111">
        <f ca="1">IFERROR(__xludf.DUMMYFUNCTION("""COMPUTED_VALUE"""),0.27)</f>
        <v>0.27</v>
      </c>
      <c r="M479" s="112">
        <f ca="1">IFERROR(__xludf.DUMMYFUNCTION("""COMPUTED_VALUE"""),40879.7055555555)</f>
        <v>40879.705555555498</v>
      </c>
      <c r="N479" s="111">
        <f ca="1">IFERROR(__xludf.DUMMYFUNCTION("""COMPUTED_VALUE"""),12.04)</f>
        <v>12.04</v>
      </c>
      <c r="O479" s="112">
        <f ca="1">IFERROR(__xludf.DUMMYFUNCTION("""COMPUTED_VALUE"""),40939.7055555555)</f>
        <v>40939.705555555498</v>
      </c>
      <c r="P479" s="111">
        <f ca="1">IFERROR(__xludf.DUMMYFUNCTION("""COMPUTED_VALUE"""),44.7)</f>
        <v>44.7</v>
      </c>
      <c r="Q479" s="112">
        <f ca="1">IFERROR(__xludf.DUMMYFUNCTION("""COMPUTED_VALUE"""),40939.7055555555)</f>
        <v>40939.705555555498</v>
      </c>
      <c r="R479" s="111">
        <f ca="1">IFERROR(__xludf.DUMMYFUNCTION("""COMPUTED_VALUE"""),27.19)</f>
        <v>27.19</v>
      </c>
      <c r="S479" s="112">
        <f ca="1">IFERROR(__xludf.DUMMYFUNCTION("""COMPUTED_VALUE"""),40941.7055555555)</f>
        <v>40941.705555555498</v>
      </c>
      <c r="T479" s="111">
        <f ca="1">IFERROR(__xludf.DUMMYFUNCTION("""COMPUTED_VALUE"""),8.98)</f>
        <v>8.98</v>
      </c>
    </row>
    <row r="480" spans="1:20" x14ac:dyDescent="0.3">
      <c r="A480" s="112">
        <f ca="1">IFERROR(__xludf.DUMMYFUNCTION("""COMPUTED_VALUE"""),40940.7055555555)</f>
        <v>40940.705555555498</v>
      </c>
      <c r="B480" s="111">
        <f ca="1">IFERROR(__xludf.DUMMYFUNCTION("""COMPUTED_VALUE"""),17.58)</f>
        <v>17.579999999999998</v>
      </c>
      <c r="C480" s="112">
        <f ca="1">IFERROR(__xludf.DUMMYFUNCTION("""COMPUTED_VALUE"""),40941.7055555555)</f>
        <v>40941.705555555498</v>
      </c>
      <c r="D480" s="111">
        <f ca="1">IFERROR(__xludf.DUMMYFUNCTION("""COMPUTED_VALUE"""),17.88)</f>
        <v>17.88</v>
      </c>
      <c r="E480" s="112">
        <f ca="1">IFERROR(__xludf.DUMMYFUNCTION("""COMPUTED_VALUE"""),40945.7055555555)</f>
        <v>40945.705555555498</v>
      </c>
      <c r="F480" s="111">
        <f ca="1">IFERROR(__xludf.DUMMYFUNCTION("""COMPUTED_VALUE"""),7.64)</f>
        <v>7.64</v>
      </c>
      <c r="G480" s="112">
        <f ca="1">IFERROR(__xludf.DUMMYFUNCTION("""COMPUTED_VALUE"""),40941.7055555555)</f>
        <v>40941.705555555498</v>
      </c>
      <c r="H480" s="111">
        <f ca="1">IFERROR(__xludf.DUMMYFUNCTION("""COMPUTED_VALUE"""),24.53)</f>
        <v>24.53</v>
      </c>
      <c r="K480" s="112">
        <f ca="1">IFERROR(__xludf.DUMMYFUNCTION("""COMPUTED_VALUE"""),41421.7055555555)</f>
        <v>41421.705555555498</v>
      </c>
      <c r="L480" s="111">
        <f ca="1">IFERROR(__xludf.DUMMYFUNCTION("""COMPUTED_VALUE"""),0.28)</f>
        <v>0.28000000000000003</v>
      </c>
      <c r="M480" s="112">
        <f ca="1">IFERROR(__xludf.DUMMYFUNCTION("""COMPUTED_VALUE"""),40882.7055555555)</f>
        <v>40882.705555555498</v>
      </c>
      <c r="N480" s="111">
        <f ca="1">IFERROR(__xludf.DUMMYFUNCTION("""COMPUTED_VALUE"""),12.18)</f>
        <v>12.18</v>
      </c>
      <c r="O480" s="112">
        <f ca="1">IFERROR(__xludf.DUMMYFUNCTION("""COMPUTED_VALUE"""),40940.7055555555)</f>
        <v>40940.705555555498</v>
      </c>
      <c r="P480" s="111">
        <f ca="1">IFERROR(__xludf.DUMMYFUNCTION("""COMPUTED_VALUE"""),45.6)</f>
        <v>45.6</v>
      </c>
      <c r="Q480" s="112">
        <f ca="1">IFERROR(__xludf.DUMMYFUNCTION("""COMPUTED_VALUE"""),40940.7055555555)</f>
        <v>40940.705555555498</v>
      </c>
      <c r="R480" s="111">
        <f ca="1">IFERROR(__xludf.DUMMYFUNCTION("""COMPUTED_VALUE"""),27.48)</f>
        <v>27.48</v>
      </c>
      <c r="S480" s="112">
        <f ca="1">IFERROR(__xludf.DUMMYFUNCTION("""COMPUTED_VALUE"""),40942.7055555555)</f>
        <v>40942.705555555498</v>
      </c>
      <c r="T480" s="111">
        <f ca="1">IFERROR(__xludf.DUMMYFUNCTION("""COMPUTED_VALUE"""),9.14)</f>
        <v>9.14</v>
      </c>
    </row>
    <row r="481" spans="1:20" x14ac:dyDescent="0.3">
      <c r="A481" s="112">
        <f ca="1">IFERROR(__xludf.DUMMYFUNCTION("""COMPUTED_VALUE"""),40941.7055555555)</f>
        <v>40941.705555555498</v>
      </c>
      <c r="B481" s="111">
        <f ca="1">IFERROR(__xludf.DUMMYFUNCTION("""COMPUTED_VALUE"""),17.28)</f>
        <v>17.28</v>
      </c>
      <c r="C481" s="112">
        <f ca="1">IFERROR(__xludf.DUMMYFUNCTION("""COMPUTED_VALUE"""),40942.7055555555)</f>
        <v>40942.705555555498</v>
      </c>
      <c r="D481" s="111">
        <f ca="1">IFERROR(__xludf.DUMMYFUNCTION("""COMPUTED_VALUE"""),17.95)</f>
        <v>17.95</v>
      </c>
      <c r="E481" s="112">
        <f ca="1">IFERROR(__xludf.DUMMYFUNCTION("""COMPUTED_VALUE"""),40946.7055555555)</f>
        <v>40946.705555555498</v>
      </c>
      <c r="F481" s="111">
        <f ca="1">IFERROR(__xludf.DUMMYFUNCTION("""COMPUTED_VALUE"""),7.72)</f>
        <v>7.72</v>
      </c>
      <c r="G481" s="112">
        <f ca="1">IFERROR(__xludf.DUMMYFUNCTION("""COMPUTED_VALUE"""),40942.7055555555)</f>
        <v>40942.705555555498</v>
      </c>
      <c r="H481" s="111">
        <f ca="1">IFERROR(__xludf.DUMMYFUNCTION("""COMPUTED_VALUE"""),24.61)</f>
        <v>24.61</v>
      </c>
      <c r="K481" s="112">
        <f ca="1">IFERROR(__xludf.DUMMYFUNCTION("""COMPUTED_VALUE"""),41422.7055555555)</f>
        <v>41422.705555555498</v>
      </c>
      <c r="L481" s="111">
        <f ca="1">IFERROR(__xludf.DUMMYFUNCTION("""COMPUTED_VALUE"""),0.28)</f>
        <v>0.28000000000000003</v>
      </c>
      <c r="M481" s="112">
        <f ca="1">IFERROR(__xludf.DUMMYFUNCTION("""COMPUTED_VALUE"""),40883.7055555555)</f>
        <v>40883.705555555498</v>
      </c>
      <c r="N481" s="111">
        <f ca="1">IFERROR(__xludf.DUMMYFUNCTION("""COMPUTED_VALUE"""),12.25)</f>
        <v>12.25</v>
      </c>
      <c r="O481" s="112">
        <f ca="1">IFERROR(__xludf.DUMMYFUNCTION("""COMPUTED_VALUE"""),40941.7055555555)</f>
        <v>40941.705555555498</v>
      </c>
      <c r="P481" s="111">
        <f ca="1">IFERROR(__xludf.DUMMYFUNCTION("""COMPUTED_VALUE"""),45.57)</f>
        <v>45.57</v>
      </c>
      <c r="Q481" s="112">
        <f ca="1">IFERROR(__xludf.DUMMYFUNCTION("""COMPUTED_VALUE"""),40941.7055555555)</f>
        <v>40941.705555555498</v>
      </c>
      <c r="R481" s="111">
        <f ca="1">IFERROR(__xludf.DUMMYFUNCTION("""COMPUTED_VALUE"""),27.4)</f>
        <v>27.4</v>
      </c>
      <c r="S481" s="112">
        <f ca="1">IFERROR(__xludf.DUMMYFUNCTION("""COMPUTED_VALUE"""),40945.7055555555)</f>
        <v>40945.705555555498</v>
      </c>
      <c r="T481" s="111">
        <f ca="1">IFERROR(__xludf.DUMMYFUNCTION("""COMPUTED_VALUE"""),9.17)</f>
        <v>9.17</v>
      </c>
    </row>
    <row r="482" spans="1:20" x14ac:dyDescent="0.3">
      <c r="A482" s="112">
        <f ca="1">IFERROR(__xludf.DUMMYFUNCTION("""COMPUTED_VALUE"""),40942.7055555555)</f>
        <v>40942.705555555498</v>
      </c>
      <c r="B482" s="111">
        <f ca="1">IFERROR(__xludf.DUMMYFUNCTION("""COMPUTED_VALUE"""),17.44)</f>
        <v>17.440000000000001</v>
      </c>
      <c r="C482" s="112">
        <f ca="1">IFERROR(__xludf.DUMMYFUNCTION("""COMPUTED_VALUE"""),40945.7055555555)</f>
        <v>40945.705555555498</v>
      </c>
      <c r="D482" s="111">
        <f ca="1">IFERROR(__xludf.DUMMYFUNCTION("""COMPUTED_VALUE"""),18.06)</f>
        <v>18.059999999999999</v>
      </c>
      <c r="E482" s="112">
        <f ca="1">IFERROR(__xludf.DUMMYFUNCTION("""COMPUTED_VALUE"""),40947.7055555555)</f>
        <v>40947.705555555498</v>
      </c>
      <c r="F482" s="111">
        <f ca="1">IFERROR(__xludf.DUMMYFUNCTION("""COMPUTED_VALUE"""),7.87)</f>
        <v>7.87</v>
      </c>
      <c r="G482" s="112">
        <f ca="1">IFERROR(__xludf.DUMMYFUNCTION("""COMPUTED_VALUE"""),40945.7055555555)</f>
        <v>40945.705555555498</v>
      </c>
      <c r="H482" s="111">
        <f ca="1">IFERROR(__xludf.DUMMYFUNCTION("""COMPUTED_VALUE"""),24.86)</f>
        <v>24.86</v>
      </c>
      <c r="K482" s="112">
        <f ca="1">IFERROR(__xludf.DUMMYFUNCTION("""COMPUTED_VALUE"""),41423.7055555555)</f>
        <v>41423.705555555498</v>
      </c>
      <c r="L482" s="111">
        <f ca="1">IFERROR(__xludf.DUMMYFUNCTION("""COMPUTED_VALUE"""),0.27)</f>
        <v>0.27</v>
      </c>
      <c r="M482" s="112">
        <f ca="1">IFERROR(__xludf.DUMMYFUNCTION("""COMPUTED_VALUE"""),40884.7055555555)</f>
        <v>40884.705555555498</v>
      </c>
      <c r="N482" s="111">
        <f ca="1">IFERROR(__xludf.DUMMYFUNCTION("""COMPUTED_VALUE"""),12.15)</f>
        <v>12.15</v>
      </c>
      <c r="O482" s="112">
        <f ca="1">IFERROR(__xludf.DUMMYFUNCTION("""COMPUTED_VALUE"""),40942.7055555555)</f>
        <v>40942.705555555498</v>
      </c>
      <c r="P482" s="111">
        <f ca="1">IFERROR(__xludf.DUMMYFUNCTION("""COMPUTED_VALUE"""),45.87)</f>
        <v>45.87</v>
      </c>
      <c r="Q482" s="112">
        <f ca="1">IFERROR(__xludf.DUMMYFUNCTION("""COMPUTED_VALUE"""),40942.7055555555)</f>
        <v>40942.705555555498</v>
      </c>
      <c r="R482" s="111">
        <f ca="1">IFERROR(__xludf.DUMMYFUNCTION("""COMPUTED_VALUE"""),27.3)</f>
        <v>27.3</v>
      </c>
      <c r="S482" s="112">
        <f ca="1">IFERROR(__xludf.DUMMYFUNCTION("""COMPUTED_VALUE"""),40946.7055555555)</f>
        <v>40946.705555555498</v>
      </c>
      <c r="T482" s="111">
        <f ca="1">IFERROR(__xludf.DUMMYFUNCTION("""COMPUTED_VALUE"""),9.05)</f>
        <v>9.0500000000000007</v>
      </c>
    </row>
    <row r="483" spans="1:20" x14ac:dyDescent="0.3">
      <c r="A483" s="112">
        <f ca="1">IFERROR(__xludf.DUMMYFUNCTION("""COMPUTED_VALUE"""),40945.7055555555)</f>
        <v>40945.705555555498</v>
      </c>
      <c r="B483" s="111">
        <f ca="1">IFERROR(__xludf.DUMMYFUNCTION("""COMPUTED_VALUE"""),17.6)</f>
        <v>17.600000000000001</v>
      </c>
      <c r="C483" s="112">
        <f ca="1">IFERROR(__xludf.DUMMYFUNCTION("""COMPUTED_VALUE"""),40946.7055555555)</f>
        <v>40946.705555555498</v>
      </c>
      <c r="D483" s="111">
        <f ca="1">IFERROR(__xludf.DUMMYFUNCTION("""COMPUTED_VALUE"""),18.23)</f>
        <v>18.23</v>
      </c>
      <c r="E483" s="112">
        <f ca="1">IFERROR(__xludf.DUMMYFUNCTION("""COMPUTED_VALUE"""),40948.7055555555)</f>
        <v>40948.705555555498</v>
      </c>
      <c r="F483" s="111">
        <f ca="1">IFERROR(__xludf.DUMMYFUNCTION("""COMPUTED_VALUE"""),7.84)</f>
        <v>7.84</v>
      </c>
      <c r="G483" s="112">
        <f ca="1">IFERROR(__xludf.DUMMYFUNCTION("""COMPUTED_VALUE"""),40946.7055555555)</f>
        <v>40946.705555555498</v>
      </c>
      <c r="H483" s="111">
        <f ca="1">IFERROR(__xludf.DUMMYFUNCTION("""COMPUTED_VALUE"""),25.6)</f>
        <v>25.6</v>
      </c>
      <c r="K483" s="112">
        <f ca="1">IFERROR(__xludf.DUMMYFUNCTION("""COMPUTED_VALUE"""),41425.7055555555)</f>
        <v>41425.705555555498</v>
      </c>
      <c r="L483" s="111">
        <f ca="1">IFERROR(__xludf.DUMMYFUNCTION("""COMPUTED_VALUE"""),0.25)</f>
        <v>0.25</v>
      </c>
      <c r="M483" s="112">
        <f ca="1">IFERROR(__xludf.DUMMYFUNCTION("""COMPUTED_VALUE"""),40885.7055555555)</f>
        <v>40885.705555555498</v>
      </c>
      <c r="N483" s="111">
        <f ca="1">IFERROR(__xludf.DUMMYFUNCTION("""COMPUTED_VALUE"""),12.15)</f>
        <v>12.15</v>
      </c>
      <c r="O483" s="112">
        <f ca="1">IFERROR(__xludf.DUMMYFUNCTION("""COMPUTED_VALUE"""),40945.7055555555)</f>
        <v>40945.705555555498</v>
      </c>
      <c r="P483" s="111">
        <f ca="1">IFERROR(__xludf.DUMMYFUNCTION("""COMPUTED_VALUE"""),45.85)</f>
        <v>45.85</v>
      </c>
      <c r="Q483" s="112">
        <f ca="1">IFERROR(__xludf.DUMMYFUNCTION("""COMPUTED_VALUE"""),40945.7055555555)</f>
        <v>40945.705555555498</v>
      </c>
      <c r="R483" s="111">
        <f ca="1">IFERROR(__xludf.DUMMYFUNCTION("""COMPUTED_VALUE"""),27.15)</f>
        <v>27.15</v>
      </c>
      <c r="S483" s="112">
        <f ca="1">IFERROR(__xludf.DUMMYFUNCTION("""COMPUTED_VALUE"""),40947.7055555555)</f>
        <v>40947.705555555498</v>
      </c>
      <c r="T483" s="111">
        <f ca="1">IFERROR(__xludf.DUMMYFUNCTION("""COMPUTED_VALUE"""),8.83)</f>
        <v>8.83</v>
      </c>
    </row>
    <row r="484" spans="1:20" x14ac:dyDescent="0.3">
      <c r="A484" s="112">
        <f ca="1">IFERROR(__xludf.DUMMYFUNCTION("""COMPUTED_VALUE"""),40946.7055555555)</f>
        <v>40946.705555555498</v>
      </c>
      <c r="B484" s="111">
        <f ca="1">IFERROR(__xludf.DUMMYFUNCTION("""COMPUTED_VALUE"""),17.72)</f>
        <v>17.72</v>
      </c>
      <c r="C484" s="112">
        <f ca="1">IFERROR(__xludf.DUMMYFUNCTION("""COMPUTED_VALUE"""),40947.7055555555)</f>
        <v>40947.705555555498</v>
      </c>
      <c r="D484" s="111">
        <f ca="1">IFERROR(__xludf.DUMMYFUNCTION("""COMPUTED_VALUE"""),18.63)</f>
        <v>18.63</v>
      </c>
      <c r="E484" s="112">
        <f ca="1">IFERROR(__xludf.DUMMYFUNCTION("""COMPUTED_VALUE"""),40949.7055555555)</f>
        <v>40949.705555555498</v>
      </c>
      <c r="F484" s="111">
        <f ca="1">IFERROR(__xludf.DUMMYFUNCTION("""COMPUTED_VALUE"""),7.73)</f>
        <v>7.73</v>
      </c>
      <c r="G484" s="112">
        <f ca="1">IFERROR(__xludf.DUMMYFUNCTION("""COMPUTED_VALUE"""),40947.7055555555)</f>
        <v>40947.705555555498</v>
      </c>
      <c r="H484" s="111">
        <f ca="1">IFERROR(__xludf.DUMMYFUNCTION("""COMPUTED_VALUE"""),25.43)</f>
        <v>25.43</v>
      </c>
      <c r="K484" s="112">
        <f ca="1">IFERROR(__xludf.DUMMYFUNCTION("""COMPUTED_VALUE"""),41428.7055555555)</f>
        <v>41428.705555555498</v>
      </c>
      <c r="L484" s="111">
        <f ca="1">IFERROR(__xludf.DUMMYFUNCTION("""COMPUTED_VALUE"""),0.26)</f>
        <v>0.26</v>
      </c>
      <c r="M484" s="112">
        <f ca="1">IFERROR(__xludf.DUMMYFUNCTION("""COMPUTED_VALUE"""),40886.7055555555)</f>
        <v>40886.705555555498</v>
      </c>
      <c r="N484" s="111">
        <f ca="1">IFERROR(__xludf.DUMMYFUNCTION("""COMPUTED_VALUE"""),12.25)</f>
        <v>12.25</v>
      </c>
      <c r="O484" s="112">
        <f ca="1">IFERROR(__xludf.DUMMYFUNCTION("""COMPUTED_VALUE"""),40946.7055555555)</f>
        <v>40946.705555555498</v>
      </c>
      <c r="P484" s="111">
        <f ca="1">IFERROR(__xludf.DUMMYFUNCTION("""COMPUTED_VALUE"""),45.84)</f>
        <v>45.84</v>
      </c>
      <c r="Q484" s="112">
        <f ca="1">IFERROR(__xludf.DUMMYFUNCTION("""COMPUTED_VALUE"""),40946.7055555555)</f>
        <v>40946.705555555498</v>
      </c>
      <c r="R484" s="111">
        <f ca="1">IFERROR(__xludf.DUMMYFUNCTION("""COMPUTED_VALUE"""),27.25)</f>
        <v>27.25</v>
      </c>
      <c r="S484" s="112">
        <f ca="1">IFERROR(__xludf.DUMMYFUNCTION("""COMPUTED_VALUE"""),40948.7055555555)</f>
        <v>40948.705555555498</v>
      </c>
      <c r="T484" s="111">
        <f ca="1">IFERROR(__xludf.DUMMYFUNCTION("""COMPUTED_VALUE"""),8.93)</f>
        <v>8.93</v>
      </c>
    </row>
    <row r="485" spans="1:20" x14ac:dyDescent="0.3">
      <c r="A485" s="112">
        <f ca="1">IFERROR(__xludf.DUMMYFUNCTION("""COMPUTED_VALUE"""),40947.7055555555)</f>
        <v>40947.705555555498</v>
      </c>
      <c r="B485" s="111">
        <f ca="1">IFERROR(__xludf.DUMMYFUNCTION("""COMPUTED_VALUE"""),17.9)</f>
        <v>17.899999999999999</v>
      </c>
      <c r="C485" s="112">
        <f ca="1">IFERROR(__xludf.DUMMYFUNCTION("""COMPUTED_VALUE"""),40948.7055555555)</f>
        <v>40948.705555555498</v>
      </c>
      <c r="D485" s="111">
        <f ca="1">IFERROR(__xludf.DUMMYFUNCTION("""COMPUTED_VALUE"""),18.51)</f>
        <v>18.510000000000002</v>
      </c>
      <c r="E485" s="112">
        <f ca="1">IFERROR(__xludf.DUMMYFUNCTION("""COMPUTED_VALUE"""),40953.7055555555)</f>
        <v>40953.705555555498</v>
      </c>
      <c r="F485" s="111">
        <f ca="1">IFERROR(__xludf.DUMMYFUNCTION("""COMPUTED_VALUE"""),7.85)</f>
        <v>7.85</v>
      </c>
      <c r="G485" s="112">
        <f ca="1">IFERROR(__xludf.DUMMYFUNCTION("""COMPUTED_VALUE"""),40948.7055555555)</f>
        <v>40948.705555555498</v>
      </c>
      <c r="H485" s="111">
        <f ca="1">IFERROR(__xludf.DUMMYFUNCTION("""COMPUTED_VALUE"""),25.5)</f>
        <v>25.5</v>
      </c>
      <c r="K485" s="112">
        <f ca="1">IFERROR(__xludf.DUMMYFUNCTION("""COMPUTED_VALUE"""),41429.7055555555)</f>
        <v>41429.705555555498</v>
      </c>
      <c r="L485" s="111">
        <f ca="1">IFERROR(__xludf.DUMMYFUNCTION("""COMPUTED_VALUE"""),0.25)</f>
        <v>0.25</v>
      </c>
      <c r="M485" s="112">
        <f ca="1">IFERROR(__xludf.DUMMYFUNCTION("""COMPUTED_VALUE"""),40889.7055555555)</f>
        <v>40889.705555555498</v>
      </c>
      <c r="N485" s="111">
        <f ca="1">IFERROR(__xludf.DUMMYFUNCTION("""COMPUTED_VALUE"""),12.21)</f>
        <v>12.21</v>
      </c>
      <c r="O485" s="112">
        <f ca="1">IFERROR(__xludf.DUMMYFUNCTION("""COMPUTED_VALUE"""),40947.7055555555)</f>
        <v>40947.705555555498</v>
      </c>
      <c r="P485" s="111">
        <f ca="1">IFERROR(__xludf.DUMMYFUNCTION("""COMPUTED_VALUE"""),45.52)</f>
        <v>45.52</v>
      </c>
      <c r="Q485" s="112">
        <f ca="1">IFERROR(__xludf.DUMMYFUNCTION("""COMPUTED_VALUE"""),40947.7055555555)</f>
        <v>40947.705555555498</v>
      </c>
      <c r="R485" s="111">
        <f ca="1">IFERROR(__xludf.DUMMYFUNCTION("""COMPUTED_VALUE"""),27.4)</f>
        <v>27.4</v>
      </c>
      <c r="S485" s="112">
        <f ca="1">IFERROR(__xludf.DUMMYFUNCTION("""COMPUTED_VALUE"""),40949.7055555555)</f>
        <v>40949.705555555498</v>
      </c>
      <c r="T485" s="111">
        <f ca="1">IFERROR(__xludf.DUMMYFUNCTION("""COMPUTED_VALUE"""),8.99)</f>
        <v>8.99</v>
      </c>
    </row>
    <row r="486" spans="1:20" x14ac:dyDescent="0.3">
      <c r="A486" s="112">
        <f ca="1">IFERROR(__xludf.DUMMYFUNCTION("""COMPUTED_VALUE"""),40948.7055555555)</f>
        <v>40948.705555555498</v>
      </c>
      <c r="B486" s="111">
        <f ca="1">IFERROR(__xludf.DUMMYFUNCTION("""COMPUTED_VALUE"""),18.05)</f>
        <v>18.05</v>
      </c>
      <c r="C486" s="112">
        <f ca="1">IFERROR(__xludf.DUMMYFUNCTION("""COMPUTED_VALUE"""),40949.7055555555)</f>
        <v>40949.705555555498</v>
      </c>
      <c r="D486" s="111">
        <f ca="1">IFERROR(__xludf.DUMMYFUNCTION("""COMPUTED_VALUE"""),18.18)</f>
        <v>18.18</v>
      </c>
      <c r="E486" s="112">
        <f ca="1">IFERROR(__xludf.DUMMYFUNCTION("""COMPUTED_VALUE"""),40954.7055555555)</f>
        <v>40954.705555555498</v>
      </c>
      <c r="F486" s="111">
        <f ca="1">IFERROR(__xludf.DUMMYFUNCTION("""COMPUTED_VALUE"""),7.76)</f>
        <v>7.76</v>
      </c>
      <c r="G486" s="112">
        <f ca="1">IFERROR(__xludf.DUMMYFUNCTION("""COMPUTED_VALUE"""),40949.7055555555)</f>
        <v>40949.705555555498</v>
      </c>
      <c r="H486" s="111">
        <f ca="1">IFERROR(__xludf.DUMMYFUNCTION("""COMPUTED_VALUE"""),23.5)</f>
        <v>23.5</v>
      </c>
      <c r="K486" s="112">
        <f ca="1">IFERROR(__xludf.DUMMYFUNCTION("""COMPUTED_VALUE"""),41430.7055555555)</f>
        <v>41430.705555555498</v>
      </c>
      <c r="L486" s="111">
        <f ca="1">IFERROR(__xludf.DUMMYFUNCTION("""COMPUTED_VALUE"""),0.26)</f>
        <v>0.26</v>
      </c>
      <c r="M486" s="112">
        <f ca="1">IFERROR(__xludf.DUMMYFUNCTION("""COMPUTED_VALUE"""),40890.7055555555)</f>
        <v>40890.705555555498</v>
      </c>
      <c r="N486" s="111">
        <f ca="1">IFERROR(__xludf.DUMMYFUNCTION("""COMPUTED_VALUE"""),12.06)</f>
        <v>12.06</v>
      </c>
      <c r="O486" s="112">
        <f ca="1">IFERROR(__xludf.DUMMYFUNCTION("""COMPUTED_VALUE"""),40948.7055555555)</f>
        <v>40948.705555555498</v>
      </c>
      <c r="P486" s="111">
        <f ca="1">IFERROR(__xludf.DUMMYFUNCTION("""COMPUTED_VALUE"""),45.1)</f>
        <v>45.1</v>
      </c>
      <c r="Q486" s="112">
        <f ca="1">IFERROR(__xludf.DUMMYFUNCTION("""COMPUTED_VALUE"""),40948.7055555555)</f>
        <v>40948.705555555498</v>
      </c>
      <c r="R486" s="111">
        <f ca="1">IFERROR(__xludf.DUMMYFUNCTION("""COMPUTED_VALUE"""),26.79)</f>
        <v>26.79</v>
      </c>
      <c r="S486" s="112">
        <f ca="1">IFERROR(__xludf.DUMMYFUNCTION("""COMPUTED_VALUE"""),40953.7055555555)</f>
        <v>40953.705555555498</v>
      </c>
      <c r="T486" s="111">
        <f ca="1">IFERROR(__xludf.DUMMYFUNCTION("""COMPUTED_VALUE"""),9.06)</f>
        <v>9.06</v>
      </c>
    </row>
    <row r="487" spans="1:20" x14ac:dyDescent="0.3">
      <c r="A487" s="112">
        <f ca="1">IFERROR(__xludf.DUMMYFUNCTION("""COMPUTED_VALUE"""),40949.7055555555)</f>
        <v>40949.705555555498</v>
      </c>
      <c r="B487" s="111">
        <f ca="1">IFERROR(__xludf.DUMMYFUNCTION("""COMPUTED_VALUE"""),18.78)</f>
        <v>18.78</v>
      </c>
      <c r="C487" s="112">
        <f ca="1">IFERROR(__xludf.DUMMYFUNCTION("""COMPUTED_VALUE"""),40953.7055555555)</f>
        <v>40953.705555555498</v>
      </c>
      <c r="D487" s="111">
        <f ca="1">IFERROR(__xludf.DUMMYFUNCTION("""COMPUTED_VALUE"""),18.52)</f>
        <v>18.52</v>
      </c>
      <c r="E487" s="112">
        <f ca="1">IFERROR(__xludf.DUMMYFUNCTION("""COMPUTED_VALUE"""),40955.7055555555)</f>
        <v>40955.705555555498</v>
      </c>
      <c r="F487" s="111">
        <f ca="1">IFERROR(__xludf.DUMMYFUNCTION("""COMPUTED_VALUE"""),7.76)</f>
        <v>7.76</v>
      </c>
      <c r="G487" s="112">
        <f ca="1">IFERROR(__xludf.DUMMYFUNCTION("""COMPUTED_VALUE"""),40953.7055555555)</f>
        <v>40953.705555555498</v>
      </c>
      <c r="H487" s="111">
        <f ca="1">IFERROR(__xludf.DUMMYFUNCTION("""COMPUTED_VALUE"""),23.21)</f>
        <v>23.21</v>
      </c>
      <c r="K487" s="112">
        <f ca="1">IFERROR(__xludf.DUMMYFUNCTION("""COMPUTED_VALUE"""),41431.7055555555)</f>
        <v>41431.705555555498</v>
      </c>
      <c r="L487" s="111">
        <f ca="1">IFERROR(__xludf.DUMMYFUNCTION("""COMPUTED_VALUE"""),0.27)</f>
        <v>0.27</v>
      </c>
      <c r="M487" s="112">
        <f ca="1">IFERROR(__xludf.DUMMYFUNCTION("""COMPUTED_VALUE"""),40891.7055555555)</f>
        <v>40891.705555555498</v>
      </c>
      <c r="N487" s="111">
        <f ca="1">IFERROR(__xludf.DUMMYFUNCTION("""COMPUTED_VALUE"""),11.92)</f>
        <v>11.92</v>
      </c>
      <c r="O487" s="112">
        <f ca="1">IFERROR(__xludf.DUMMYFUNCTION("""COMPUTED_VALUE"""),40949.7055555555)</f>
        <v>40949.705555555498</v>
      </c>
      <c r="P487" s="111">
        <f ca="1">IFERROR(__xludf.DUMMYFUNCTION("""COMPUTED_VALUE"""),44.33)</f>
        <v>44.33</v>
      </c>
      <c r="Q487" s="112">
        <f ca="1">IFERROR(__xludf.DUMMYFUNCTION("""COMPUTED_VALUE"""),40949.7055555555)</f>
        <v>40949.705555555498</v>
      </c>
      <c r="R487" s="111">
        <f ca="1">IFERROR(__xludf.DUMMYFUNCTION("""COMPUTED_VALUE"""),26.08)</f>
        <v>26.08</v>
      </c>
      <c r="S487" s="112">
        <f ca="1">IFERROR(__xludf.DUMMYFUNCTION("""COMPUTED_VALUE"""),40954.7055555555)</f>
        <v>40954.705555555498</v>
      </c>
      <c r="T487" s="111">
        <f ca="1">IFERROR(__xludf.DUMMYFUNCTION("""COMPUTED_VALUE"""),9.52)</f>
        <v>9.52</v>
      </c>
    </row>
    <row r="488" spans="1:20" x14ac:dyDescent="0.3">
      <c r="A488" s="112">
        <f ca="1">IFERROR(__xludf.DUMMYFUNCTION("""COMPUTED_VALUE"""),40952.7055555555)</f>
        <v>40952.705555555498</v>
      </c>
      <c r="B488" s="111">
        <f ca="1">IFERROR(__xludf.DUMMYFUNCTION("""COMPUTED_VALUE"""),18.62)</f>
        <v>18.62</v>
      </c>
      <c r="C488" s="112">
        <f ca="1">IFERROR(__xludf.DUMMYFUNCTION("""COMPUTED_VALUE"""),40954.7055555555)</f>
        <v>40954.705555555498</v>
      </c>
      <c r="D488" s="111">
        <f ca="1">IFERROR(__xludf.DUMMYFUNCTION("""COMPUTED_VALUE"""),18.23)</f>
        <v>18.23</v>
      </c>
      <c r="E488" s="112">
        <f ca="1">IFERROR(__xludf.DUMMYFUNCTION("""COMPUTED_VALUE"""),40956.7055555555)</f>
        <v>40956.705555555498</v>
      </c>
      <c r="F488" s="111">
        <f ca="1">IFERROR(__xludf.DUMMYFUNCTION("""COMPUTED_VALUE"""),7.81)</f>
        <v>7.81</v>
      </c>
      <c r="G488" s="112">
        <f ca="1">IFERROR(__xludf.DUMMYFUNCTION("""COMPUTED_VALUE"""),40954.7055555555)</f>
        <v>40954.705555555498</v>
      </c>
      <c r="H488" s="111">
        <f ca="1">IFERROR(__xludf.DUMMYFUNCTION("""COMPUTED_VALUE"""),23.1)</f>
        <v>23.1</v>
      </c>
      <c r="K488" s="112">
        <f ca="1">IFERROR(__xludf.DUMMYFUNCTION("""COMPUTED_VALUE"""),41432.7055555555)</f>
        <v>41432.705555555498</v>
      </c>
      <c r="L488" s="111">
        <f ca="1">IFERROR(__xludf.DUMMYFUNCTION("""COMPUTED_VALUE"""),0.25)</f>
        <v>0.25</v>
      </c>
      <c r="M488" s="112">
        <f ca="1">IFERROR(__xludf.DUMMYFUNCTION("""COMPUTED_VALUE"""),40892.7055555555)</f>
        <v>40892.705555555498</v>
      </c>
      <c r="N488" s="111">
        <f ca="1">IFERROR(__xludf.DUMMYFUNCTION("""COMPUTED_VALUE"""),11.62)</f>
        <v>11.62</v>
      </c>
      <c r="O488" s="112">
        <f ca="1">IFERROR(__xludf.DUMMYFUNCTION("""COMPUTED_VALUE"""),40952.7055555555)</f>
        <v>40952.705555555498</v>
      </c>
      <c r="P488" s="111">
        <f ca="1">IFERROR(__xludf.DUMMYFUNCTION("""COMPUTED_VALUE"""),45.45)</f>
        <v>45.45</v>
      </c>
      <c r="Q488" s="112">
        <f ca="1">IFERROR(__xludf.DUMMYFUNCTION("""COMPUTED_VALUE"""),40952.7055555555)</f>
        <v>40952.705555555498</v>
      </c>
      <c r="R488" s="111">
        <f ca="1">IFERROR(__xludf.DUMMYFUNCTION("""COMPUTED_VALUE"""),26.39)</f>
        <v>26.39</v>
      </c>
      <c r="S488" s="112">
        <f ca="1">IFERROR(__xludf.DUMMYFUNCTION("""COMPUTED_VALUE"""),40955.7055555555)</f>
        <v>40955.705555555498</v>
      </c>
      <c r="T488" s="111">
        <f ca="1">IFERROR(__xludf.DUMMYFUNCTION("""COMPUTED_VALUE"""),9.77)</f>
        <v>9.77</v>
      </c>
    </row>
    <row r="489" spans="1:20" x14ac:dyDescent="0.3">
      <c r="A489" s="112">
        <f ca="1">IFERROR(__xludf.DUMMYFUNCTION("""COMPUTED_VALUE"""),40953.7055555555)</f>
        <v>40953.705555555498</v>
      </c>
      <c r="B489" s="111">
        <f ca="1">IFERROR(__xludf.DUMMYFUNCTION("""COMPUTED_VALUE"""),18.07)</f>
        <v>18.07</v>
      </c>
      <c r="C489" s="112">
        <f ca="1">IFERROR(__xludf.DUMMYFUNCTION("""COMPUTED_VALUE"""),40955.7055555555)</f>
        <v>40955.705555555498</v>
      </c>
      <c r="D489" s="111">
        <f ca="1">IFERROR(__xludf.DUMMYFUNCTION("""COMPUTED_VALUE"""),18.28)</f>
        <v>18.28</v>
      </c>
      <c r="E489" s="112">
        <f ca="1">IFERROR(__xludf.DUMMYFUNCTION("""COMPUTED_VALUE"""),40961.7055555555)</f>
        <v>40961.705555555498</v>
      </c>
      <c r="F489" s="111">
        <f ca="1">IFERROR(__xludf.DUMMYFUNCTION("""COMPUTED_VALUE"""),7.77)</f>
        <v>7.77</v>
      </c>
      <c r="G489" s="112">
        <f ca="1">IFERROR(__xludf.DUMMYFUNCTION("""COMPUTED_VALUE"""),40955.7055555555)</f>
        <v>40955.705555555498</v>
      </c>
      <c r="H489" s="111">
        <f ca="1">IFERROR(__xludf.DUMMYFUNCTION("""COMPUTED_VALUE"""),23.88)</f>
        <v>23.88</v>
      </c>
      <c r="K489" s="112">
        <f ca="1">IFERROR(__xludf.DUMMYFUNCTION("""COMPUTED_VALUE"""),41435.7055555555)</f>
        <v>41435.705555555498</v>
      </c>
      <c r="L489" s="111">
        <f ca="1">IFERROR(__xludf.DUMMYFUNCTION("""COMPUTED_VALUE"""),0.25)</f>
        <v>0.25</v>
      </c>
      <c r="M489" s="112">
        <f ca="1">IFERROR(__xludf.DUMMYFUNCTION("""COMPUTED_VALUE"""),40893.7055555555)</f>
        <v>40893.705555555498</v>
      </c>
      <c r="N489" s="111">
        <f ca="1">IFERROR(__xludf.DUMMYFUNCTION("""COMPUTED_VALUE"""),11.61)</f>
        <v>11.61</v>
      </c>
      <c r="O489" s="112">
        <f ca="1">IFERROR(__xludf.DUMMYFUNCTION("""COMPUTED_VALUE"""),40953.7055555555)</f>
        <v>40953.705555555498</v>
      </c>
      <c r="P489" s="111">
        <f ca="1">IFERROR(__xludf.DUMMYFUNCTION("""COMPUTED_VALUE"""),44.25)</f>
        <v>44.25</v>
      </c>
      <c r="Q489" s="112">
        <f ca="1">IFERROR(__xludf.DUMMYFUNCTION("""COMPUTED_VALUE"""),40953.7055555555)</f>
        <v>40953.705555555498</v>
      </c>
      <c r="R489" s="111">
        <f ca="1">IFERROR(__xludf.DUMMYFUNCTION("""COMPUTED_VALUE"""),27.47)</f>
        <v>27.47</v>
      </c>
      <c r="S489" s="112">
        <f ca="1">IFERROR(__xludf.DUMMYFUNCTION("""COMPUTED_VALUE"""),40956.7055555555)</f>
        <v>40956.705555555498</v>
      </c>
      <c r="T489" s="111">
        <f ca="1">IFERROR(__xludf.DUMMYFUNCTION("""COMPUTED_VALUE"""),9.73)</f>
        <v>9.73</v>
      </c>
    </row>
    <row r="490" spans="1:20" x14ac:dyDescent="0.3">
      <c r="A490" s="112">
        <f ca="1">IFERROR(__xludf.DUMMYFUNCTION("""COMPUTED_VALUE"""),40954.7055555555)</f>
        <v>40954.705555555498</v>
      </c>
      <c r="B490" s="111">
        <f ca="1">IFERROR(__xludf.DUMMYFUNCTION("""COMPUTED_VALUE"""),18.65)</f>
        <v>18.649999999999999</v>
      </c>
      <c r="C490" s="112">
        <f ca="1">IFERROR(__xludf.DUMMYFUNCTION("""COMPUTED_VALUE"""),40956.7055555555)</f>
        <v>40956.705555555498</v>
      </c>
      <c r="D490" s="111">
        <f ca="1">IFERROR(__xludf.DUMMYFUNCTION("""COMPUTED_VALUE"""),18.36)</f>
        <v>18.36</v>
      </c>
      <c r="E490" s="112">
        <f ca="1">IFERROR(__xludf.DUMMYFUNCTION("""COMPUTED_VALUE"""),40962.7055555555)</f>
        <v>40962.705555555498</v>
      </c>
      <c r="F490" s="111">
        <f ca="1">IFERROR(__xludf.DUMMYFUNCTION("""COMPUTED_VALUE"""),7.7)</f>
        <v>7.7</v>
      </c>
      <c r="G490" s="112">
        <f ca="1">IFERROR(__xludf.DUMMYFUNCTION("""COMPUTED_VALUE"""),40956.7055555555)</f>
        <v>40956.705555555498</v>
      </c>
      <c r="H490" s="111">
        <f ca="1">IFERROR(__xludf.DUMMYFUNCTION("""COMPUTED_VALUE"""),24.05)</f>
        <v>24.05</v>
      </c>
      <c r="K490" s="112">
        <f ca="1">IFERROR(__xludf.DUMMYFUNCTION("""COMPUTED_VALUE"""),41436.7055555555)</f>
        <v>41436.705555555498</v>
      </c>
      <c r="L490" s="111">
        <f ca="1">IFERROR(__xludf.DUMMYFUNCTION("""COMPUTED_VALUE"""),0.25)</f>
        <v>0.25</v>
      </c>
      <c r="M490" s="112">
        <f ca="1">IFERROR(__xludf.DUMMYFUNCTION("""COMPUTED_VALUE"""),40896.7055555555)</f>
        <v>40896.705555555498</v>
      </c>
      <c r="N490" s="111">
        <f ca="1">IFERROR(__xludf.DUMMYFUNCTION("""COMPUTED_VALUE"""),11.72)</f>
        <v>11.72</v>
      </c>
      <c r="O490" s="112">
        <f ca="1">IFERROR(__xludf.DUMMYFUNCTION("""COMPUTED_VALUE"""),40954.7055555555)</f>
        <v>40954.705555555498</v>
      </c>
      <c r="P490" s="111">
        <f ca="1">IFERROR(__xludf.DUMMYFUNCTION("""COMPUTED_VALUE"""),43.47)</f>
        <v>43.47</v>
      </c>
      <c r="Q490" s="112">
        <f ca="1">IFERROR(__xludf.DUMMYFUNCTION("""COMPUTED_VALUE"""),40954.7055555555)</f>
        <v>40954.705555555498</v>
      </c>
      <c r="R490" s="111">
        <f ca="1">IFERROR(__xludf.DUMMYFUNCTION("""COMPUTED_VALUE"""),28)</f>
        <v>28</v>
      </c>
      <c r="S490" s="112">
        <f ca="1">IFERROR(__xludf.DUMMYFUNCTION("""COMPUTED_VALUE"""),40961.7055555555)</f>
        <v>40961.705555555498</v>
      </c>
      <c r="T490" s="111">
        <f ca="1">IFERROR(__xludf.DUMMYFUNCTION("""COMPUTED_VALUE"""),9.64)</f>
        <v>9.64</v>
      </c>
    </row>
    <row r="491" spans="1:20" x14ac:dyDescent="0.3">
      <c r="A491" s="112">
        <f ca="1">IFERROR(__xludf.DUMMYFUNCTION("""COMPUTED_VALUE"""),40955.7055555555)</f>
        <v>40955.705555555498</v>
      </c>
      <c r="B491" s="111">
        <f ca="1">IFERROR(__xludf.DUMMYFUNCTION("""COMPUTED_VALUE"""),19.1)</f>
        <v>19.100000000000001</v>
      </c>
      <c r="C491" s="112">
        <f ca="1">IFERROR(__xludf.DUMMYFUNCTION("""COMPUTED_VALUE"""),40961.7055555555)</f>
        <v>40961.705555555498</v>
      </c>
      <c r="D491" s="111">
        <f ca="1">IFERROR(__xludf.DUMMYFUNCTION("""COMPUTED_VALUE"""),18.2)</f>
        <v>18.2</v>
      </c>
      <c r="E491" s="112">
        <f ca="1">IFERROR(__xludf.DUMMYFUNCTION("""COMPUTED_VALUE"""),40963.7055555555)</f>
        <v>40963.705555555498</v>
      </c>
      <c r="F491" s="111">
        <f ca="1">IFERROR(__xludf.DUMMYFUNCTION("""COMPUTED_VALUE"""),7.66)</f>
        <v>7.66</v>
      </c>
      <c r="G491" s="112">
        <f ca="1">IFERROR(__xludf.DUMMYFUNCTION("""COMPUTED_VALUE"""),40961.7055555555)</f>
        <v>40961.705555555498</v>
      </c>
      <c r="H491" s="111">
        <f ca="1">IFERROR(__xludf.DUMMYFUNCTION("""COMPUTED_VALUE"""),23.89)</f>
        <v>23.89</v>
      </c>
      <c r="K491" s="112">
        <f ca="1">IFERROR(__xludf.DUMMYFUNCTION("""COMPUTED_VALUE"""),41437.7055555555)</f>
        <v>41437.705555555498</v>
      </c>
      <c r="L491" s="111">
        <f ca="1">IFERROR(__xludf.DUMMYFUNCTION("""COMPUTED_VALUE"""),0.25)</f>
        <v>0.25</v>
      </c>
      <c r="M491" s="112">
        <f ca="1">IFERROR(__xludf.DUMMYFUNCTION("""COMPUTED_VALUE"""),40897.7055555555)</f>
        <v>40897.705555555498</v>
      </c>
      <c r="N491" s="111">
        <f ca="1">IFERROR(__xludf.DUMMYFUNCTION("""COMPUTED_VALUE"""),12.04)</f>
        <v>12.04</v>
      </c>
      <c r="O491" s="112">
        <f ca="1">IFERROR(__xludf.DUMMYFUNCTION("""COMPUTED_VALUE"""),40955.7055555555)</f>
        <v>40955.705555555498</v>
      </c>
      <c r="P491" s="111">
        <f ca="1">IFERROR(__xludf.DUMMYFUNCTION("""COMPUTED_VALUE"""),43.63)</f>
        <v>43.63</v>
      </c>
      <c r="Q491" s="112">
        <f ca="1">IFERROR(__xludf.DUMMYFUNCTION("""COMPUTED_VALUE"""),40955.7055555555)</f>
        <v>40955.705555555498</v>
      </c>
      <c r="R491" s="111">
        <f ca="1">IFERROR(__xludf.DUMMYFUNCTION("""COMPUTED_VALUE"""),28.76)</f>
        <v>28.76</v>
      </c>
      <c r="S491" s="112">
        <f ca="1">IFERROR(__xludf.DUMMYFUNCTION("""COMPUTED_VALUE"""),40962.7055555555)</f>
        <v>40962.705555555498</v>
      </c>
      <c r="T491" s="111">
        <f ca="1">IFERROR(__xludf.DUMMYFUNCTION("""COMPUTED_VALUE"""),9.5)</f>
        <v>9.5</v>
      </c>
    </row>
    <row r="492" spans="1:20" x14ac:dyDescent="0.3">
      <c r="A492" s="112">
        <f ca="1">IFERROR(__xludf.DUMMYFUNCTION("""COMPUTED_VALUE"""),40956.7055555555)</f>
        <v>40956.705555555498</v>
      </c>
      <c r="B492" s="111">
        <f ca="1">IFERROR(__xludf.DUMMYFUNCTION("""COMPUTED_VALUE"""),19.15)</f>
        <v>19.149999999999999</v>
      </c>
      <c r="C492" s="112">
        <f ca="1">IFERROR(__xludf.DUMMYFUNCTION("""COMPUTED_VALUE"""),40962.7055555555)</f>
        <v>40962.705555555498</v>
      </c>
      <c r="D492" s="111">
        <f ca="1">IFERROR(__xludf.DUMMYFUNCTION("""COMPUTED_VALUE"""),18.08)</f>
        <v>18.079999999999998</v>
      </c>
      <c r="E492" s="112">
        <f ca="1">IFERROR(__xludf.DUMMYFUNCTION("""COMPUTED_VALUE"""),40966.7055555555)</f>
        <v>40966.705555555498</v>
      </c>
      <c r="F492" s="111">
        <f ca="1">IFERROR(__xludf.DUMMYFUNCTION("""COMPUTED_VALUE"""),7.6)</f>
        <v>7.6</v>
      </c>
      <c r="G492" s="112">
        <f ca="1">IFERROR(__xludf.DUMMYFUNCTION("""COMPUTED_VALUE"""),40962.7055555555)</f>
        <v>40962.705555555498</v>
      </c>
      <c r="H492" s="111">
        <f ca="1">IFERROR(__xludf.DUMMYFUNCTION("""COMPUTED_VALUE"""),23.92)</f>
        <v>23.92</v>
      </c>
      <c r="K492" s="112">
        <f ca="1">IFERROR(__xludf.DUMMYFUNCTION("""COMPUTED_VALUE"""),41438.7055555555)</f>
        <v>41438.705555555498</v>
      </c>
      <c r="L492" s="111">
        <f ca="1">IFERROR(__xludf.DUMMYFUNCTION("""COMPUTED_VALUE"""),0.24)</f>
        <v>0.24</v>
      </c>
      <c r="M492" s="112">
        <f ca="1">IFERROR(__xludf.DUMMYFUNCTION("""COMPUTED_VALUE"""),40898.7055555555)</f>
        <v>40898.705555555498</v>
      </c>
      <c r="N492" s="111">
        <f ca="1">IFERROR(__xludf.DUMMYFUNCTION("""COMPUTED_VALUE"""),11.99)</f>
        <v>11.99</v>
      </c>
      <c r="O492" s="112">
        <f ca="1">IFERROR(__xludf.DUMMYFUNCTION("""COMPUTED_VALUE"""),40956.7055555555)</f>
        <v>40956.705555555498</v>
      </c>
      <c r="P492" s="111">
        <f ca="1">IFERROR(__xludf.DUMMYFUNCTION("""COMPUTED_VALUE"""),42.93)</f>
        <v>42.93</v>
      </c>
      <c r="Q492" s="112">
        <f ca="1">IFERROR(__xludf.DUMMYFUNCTION("""COMPUTED_VALUE"""),40956.7055555555)</f>
        <v>40956.705555555498</v>
      </c>
      <c r="R492" s="111">
        <f ca="1">IFERROR(__xludf.DUMMYFUNCTION("""COMPUTED_VALUE"""),28)</f>
        <v>28</v>
      </c>
      <c r="S492" s="112">
        <f ca="1">IFERROR(__xludf.DUMMYFUNCTION("""COMPUTED_VALUE"""),40963.7055555555)</f>
        <v>40963.705555555498</v>
      </c>
      <c r="T492" s="111">
        <f ca="1">IFERROR(__xludf.DUMMYFUNCTION("""COMPUTED_VALUE"""),9.55)</f>
        <v>9.5500000000000007</v>
      </c>
    </row>
    <row r="493" spans="1:20" x14ac:dyDescent="0.3">
      <c r="A493" s="112">
        <f ca="1">IFERROR(__xludf.DUMMYFUNCTION("""COMPUTED_VALUE"""),40961.7055555555)</f>
        <v>40961.705555555498</v>
      </c>
      <c r="B493" s="111">
        <f ca="1">IFERROR(__xludf.DUMMYFUNCTION("""COMPUTED_VALUE"""),18.75)</f>
        <v>18.75</v>
      </c>
      <c r="C493" s="112">
        <f ca="1">IFERROR(__xludf.DUMMYFUNCTION("""COMPUTED_VALUE"""),40963.7055555555)</f>
        <v>40963.705555555498</v>
      </c>
      <c r="D493" s="111">
        <f ca="1">IFERROR(__xludf.DUMMYFUNCTION("""COMPUTED_VALUE"""),18.03)</f>
        <v>18.03</v>
      </c>
      <c r="E493" s="112">
        <f ca="1">IFERROR(__xludf.DUMMYFUNCTION("""COMPUTED_VALUE"""),40967.7055555555)</f>
        <v>40967.705555555498</v>
      </c>
      <c r="F493" s="111">
        <f ca="1">IFERROR(__xludf.DUMMYFUNCTION("""COMPUTED_VALUE"""),7.77)</f>
        <v>7.77</v>
      </c>
      <c r="G493" s="112">
        <f ca="1">IFERROR(__xludf.DUMMYFUNCTION("""COMPUTED_VALUE"""),40963.7055555555)</f>
        <v>40963.705555555498</v>
      </c>
      <c r="H493" s="111">
        <f ca="1">IFERROR(__xludf.DUMMYFUNCTION("""COMPUTED_VALUE"""),24.48)</f>
        <v>24.48</v>
      </c>
      <c r="K493" s="112">
        <f ca="1">IFERROR(__xludf.DUMMYFUNCTION("""COMPUTED_VALUE"""),41439.7055555555)</f>
        <v>41439.705555555498</v>
      </c>
      <c r="L493" s="111">
        <f ca="1">IFERROR(__xludf.DUMMYFUNCTION("""COMPUTED_VALUE"""),0.23)</f>
        <v>0.23</v>
      </c>
      <c r="M493" s="112">
        <f ca="1">IFERROR(__xludf.DUMMYFUNCTION("""COMPUTED_VALUE"""),40899.7055555555)</f>
        <v>40899.705555555498</v>
      </c>
      <c r="N493" s="111">
        <f ca="1">IFERROR(__xludf.DUMMYFUNCTION("""COMPUTED_VALUE"""),12.15)</f>
        <v>12.15</v>
      </c>
      <c r="O493" s="112">
        <f ca="1">IFERROR(__xludf.DUMMYFUNCTION("""COMPUTED_VALUE"""),40961.7055555555)</f>
        <v>40961.705555555498</v>
      </c>
      <c r="P493" s="111">
        <f ca="1">IFERROR(__xludf.DUMMYFUNCTION("""COMPUTED_VALUE"""),43)</f>
        <v>43</v>
      </c>
      <c r="Q493" s="112">
        <f ca="1">IFERROR(__xludf.DUMMYFUNCTION("""COMPUTED_VALUE"""),40961.7055555555)</f>
        <v>40961.705555555498</v>
      </c>
      <c r="R493" s="111">
        <f ca="1">IFERROR(__xludf.DUMMYFUNCTION("""COMPUTED_VALUE"""),28)</f>
        <v>28</v>
      </c>
      <c r="S493" s="112">
        <f ca="1">IFERROR(__xludf.DUMMYFUNCTION("""COMPUTED_VALUE"""),40966.7055555555)</f>
        <v>40966.705555555498</v>
      </c>
      <c r="T493" s="111">
        <f ca="1">IFERROR(__xludf.DUMMYFUNCTION("""COMPUTED_VALUE"""),9.41)</f>
        <v>9.41</v>
      </c>
    </row>
    <row r="494" spans="1:20" x14ac:dyDescent="0.3">
      <c r="A494" s="112">
        <f ca="1">IFERROR(__xludf.DUMMYFUNCTION("""COMPUTED_VALUE"""),40962.7055555555)</f>
        <v>40962.705555555498</v>
      </c>
      <c r="B494" s="111">
        <f ca="1">IFERROR(__xludf.DUMMYFUNCTION("""COMPUTED_VALUE"""),18.37)</f>
        <v>18.37</v>
      </c>
      <c r="C494" s="112">
        <f ca="1">IFERROR(__xludf.DUMMYFUNCTION("""COMPUTED_VALUE"""),40966.7055555555)</f>
        <v>40966.705555555498</v>
      </c>
      <c r="D494" s="111">
        <f ca="1">IFERROR(__xludf.DUMMYFUNCTION("""COMPUTED_VALUE"""),17.84)</f>
        <v>17.84</v>
      </c>
      <c r="E494" s="112">
        <f ca="1">IFERROR(__xludf.DUMMYFUNCTION("""COMPUTED_VALUE"""),40968.7055555555)</f>
        <v>40968.705555555498</v>
      </c>
      <c r="F494" s="111">
        <f ca="1">IFERROR(__xludf.DUMMYFUNCTION("""COMPUTED_VALUE"""),7.81)</f>
        <v>7.81</v>
      </c>
      <c r="G494" s="112">
        <f ca="1">IFERROR(__xludf.DUMMYFUNCTION("""COMPUTED_VALUE"""),40966.7055555555)</f>
        <v>40966.705555555498</v>
      </c>
      <c r="H494" s="111">
        <f ca="1">IFERROR(__xludf.DUMMYFUNCTION("""COMPUTED_VALUE"""),24.35)</f>
        <v>24.35</v>
      </c>
      <c r="K494" s="112">
        <f ca="1">IFERROR(__xludf.DUMMYFUNCTION("""COMPUTED_VALUE"""),41442.7055555555)</f>
        <v>41442.705555555498</v>
      </c>
      <c r="L494" s="111">
        <f ca="1">IFERROR(__xludf.DUMMYFUNCTION("""COMPUTED_VALUE"""),0.23)</f>
        <v>0.23</v>
      </c>
      <c r="M494" s="112">
        <f ca="1">IFERROR(__xludf.DUMMYFUNCTION("""COMPUTED_VALUE"""),40900.7055555555)</f>
        <v>40900.705555555498</v>
      </c>
      <c r="N494" s="111">
        <f ca="1">IFERROR(__xludf.DUMMYFUNCTION("""COMPUTED_VALUE"""),12.15)</f>
        <v>12.15</v>
      </c>
      <c r="O494" s="112">
        <f ca="1">IFERROR(__xludf.DUMMYFUNCTION("""COMPUTED_VALUE"""),40962.7055555555)</f>
        <v>40962.705555555498</v>
      </c>
      <c r="P494" s="111">
        <f ca="1">IFERROR(__xludf.DUMMYFUNCTION("""COMPUTED_VALUE"""),43.86)</f>
        <v>43.86</v>
      </c>
      <c r="Q494" s="112">
        <f ca="1">IFERROR(__xludf.DUMMYFUNCTION("""COMPUTED_VALUE"""),40962.7055555555)</f>
        <v>40962.705555555498</v>
      </c>
      <c r="R494" s="111">
        <f ca="1">IFERROR(__xludf.DUMMYFUNCTION("""COMPUTED_VALUE"""),27.75)</f>
        <v>27.75</v>
      </c>
      <c r="S494" s="112">
        <f ca="1">IFERROR(__xludf.DUMMYFUNCTION("""COMPUTED_VALUE"""),40967.7055555555)</f>
        <v>40967.705555555498</v>
      </c>
      <c r="T494" s="111">
        <f ca="1">IFERROR(__xludf.DUMMYFUNCTION("""COMPUTED_VALUE"""),9.63)</f>
        <v>9.6300000000000008</v>
      </c>
    </row>
    <row r="495" spans="1:20" x14ac:dyDescent="0.3">
      <c r="A495" s="112">
        <f ca="1">IFERROR(__xludf.DUMMYFUNCTION("""COMPUTED_VALUE"""),40963.7055555555)</f>
        <v>40963.705555555498</v>
      </c>
      <c r="B495" s="111">
        <f ca="1">IFERROR(__xludf.DUMMYFUNCTION("""COMPUTED_VALUE"""),18.76)</f>
        <v>18.760000000000002</v>
      </c>
      <c r="C495" s="112">
        <f ca="1">IFERROR(__xludf.DUMMYFUNCTION("""COMPUTED_VALUE"""),40967.7055555555)</f>
        <v>40967.705555555498</v>
      </c>
      <c r="D495" s="111">
        <f ca="1">IFERROR(__xludf.DUMMYFUNCTION("""COMPUTED_VALUE"""),18.32)</f>
        <v>18.32</v>
      </c>
      <c r="E495" s="112">
        <f ca="1">IFERROR(__xludf.DUMMYFUNCTION("""COMPUTED_VALUE"""),40970.7055555555)</f>
        <v>40970.705555555498</v>
      </c>
      <c r="F495" s="111">
        <f ca="1">IFERROR(__xludf.DUMMYFUNCTION("""COMPUTED_VALUE"""),8.05)</f>
        <v>8.0500000000000007</v>
      </c>
      <c r="G495" s="112">
        <f ca="1">IFERROR(__xludf.DUMMYFUNCTION("""COMPUTED_VALUE"""),40967.7055555555)</f>
        <v>40967.705555555498</v>
      </c>
      <c r="H495" s="111">
        <f ca="1">IFERROR(__xludf.DUMMYFUNCTION("""COMPUTED_VALUE"""),24.33)</f>
        <v>24.33</v>
      </c>
      <c r="K495" s="112">
        <f ca="1">IFERROR(__xludf.DUMMYFUNCTION("""COMPUTED_VALUE"""),41443.7055555555)</f>
        <v>41443.705555555498</v>
      </c>
      <c r="L495" s="111">
        <f ca="1">IFERROR(__xludf.DUMMYFUNCTION("""COMPUTED_VALUE"""),0.22)</f>
        <v>0.22</v>
      </c>
      <c r="M495" s="112">
        <f ca="1">IFERROR(__xludf.DUMMYFUNCTION("""COMPUTED_VALUE"""),40903.7055555555)</f>
        <v>40903.705555555498</v>
      </c>
      <c r="N495" s="111">
        <f ca="1">IFERROR(__xludf.DUMMYFUNCTION("""COMPUTED_VALUE"""),12.11)</f>
        <v>12.11</v>
      </c>
      <c r="O495" s="112">
        <f ca="1">IFERROR(__xludf.DUMMYFUNCTION("""COMPUTED_VALUE"""),40963.7055555555)</f>
        <v>40963.705555555498</v>
      </c>
      <c r="P495" s="111">
        <f ca="1">IFERROR(__xludf.DUMMYFUNCTION("""COMPUTED_VALUE"""),44.09)</f>
        <v>44.09</v>
      </c>
      <c r="Q495" s="112">
        <f ca="1">IFERROR(__xludf.DUMMYFUNCTION("""COMPUTED_VALUE"""),40963.7055555555)</f>
        <v>40963.705555555498</v>
      </c>
      <c r="R495" s="111">
        <f ca="1">IFERROR(__xludf.DUMMYFUNCTION("""COMPUTED_VALUE"""),27.35)</f>
        <v>27.35</v>
      </c>
      <c r="S495" s="112">
        <f ca="1">IFERROR(__xludf.DUMMYFUNCTION("""COMPUTED_VALUE"""),40968.7055555555)</f>
        <v>40968.705555555498</v>
      </c>
      <c r="T495" s="111">
        <f ca="1">IFERROR(__xludf.DUMMYFUNCTION("""COMPUTED_VALUE"""),9.82)</f>
        <v>9.82</v>
      </c>
    </row>
    <row r="496" spans="1:20" x14ac:dyDescent="0.3">
      <c r="A496" s="112">
        <f ca="1">IFERROR(__xludf.DUMMYFUNCTION("""COMPUTED_VALUE"""),40966.7055555555)</f>
        <v>40966.705555555498</v>
      </c>
      <c r="B496" s="111">
        <f ca="1">IFERROR(__xludf.DUMMYFUNCTION("""COMPUTED_VALUE"""),18.3)</f>
        <v>18.3</v>
      </c>
      <c r="C496" s="112">
        <f ca="1">IFERROR(__xludf.DUMMYFUNCTION("""COMPUTED_VALUE"""),40968.7055555555)</f>
        <v>40968.705555555498</v>
      </c>
      <c r="D496" s="111">
        <f ca="1">IFERROR(__xludf.DUMMYFUNCTION("""COMPUTED_VALUE"""),18.43)</f>
        <v>18.43</v>
      </c>
      <c r="E496" s="112">
        <f ca="1">IFERROR(__xludf.DUMMYFUNCTION("""COMPUTED_VALUE"""),40973.7055555555)</f>
        <v>40973.705555555498</v>
      </c>
      <c r="F496" s="111">
        <f ca="1">IFERROR(__xludf.DUMMYFUNCTION("""COMPUTED_VALUE"""),7.96)</f>
        <v>7.96</v>
      </c>
      <c r="G496" s="112">
        <f ca="1">IFERROR(__xludf.DUMMYFUNCTION("""COMPUTED_VALUE"""),40968.7055555555)</f>
        <v>40968.705555555498</v>
      </c>
      <c r="H496" s="111">
        <f ca="1">IFERROR(__xludf.DUMMYFUNCTION("""COMPUTED_VALUE"""),24.31)</f>
        <v>24.31</v>
      </c>
      <c r="K496" s="112">
        <f ca="1">IFERROR(__xludf.DUMMYFUNCTION("""COMPUTED_VALUE"""),41444.7055555555)</f>
        <v>41444.705555555498</v>
      </c>
      <c r="L496" s="111">
        <f ca="1">IFERROR(__xludf.DUMMYFUNCTION("""COMPUTED_VALUE"""),0.22)</f>
        <v>0.22</v>
      </c>
      <c r="M496" s="112">
        <f ca="1">IFERROR(__xludf.DUMMYFUNCTION("""COMPUTED_VALUE"""),40904.7055555555)</f>
        <v>40904.705555555498</v>
      </c>
      <c r="N496" s="111">
        <f ca="1">IFERROR(__xludf.DUMMYFUNCTION("""COMPUTED_VALUE"""),12.15)</f>
        <v>12.15</v>
      </c>
      <c r="O496" s="112">
        <f ca="1">IFERROR(__xludf.DUMMYFUNCTION("""COMPUTED_VALUE"""),40966.7055555555)</f>
        <v>40966.705555555498</v>
      </c>
      <c r="P496" s="111">
        <f ca="1">IFERROR(__xludf.DUMMYFUNCTION("""COMPUTED_VALUE"""),43.62)</f>
        <v>43.62</v>
      </c>
      <c r="Q496" s="112">
        <f ca="1">IFERROR(__xludf.DUMMYFUNCTION("""COMPUTED_VALUE"""),40966.7055555555)</f>
        <v>40966.705555555498</v>
      </c>
      <c r="R496" s="111">
        <f ca="1">IFERROR(__xludf.DUMMYFUNCTION("""COMPUTED_VALUE"""),27.01)</f>
        <v>27.01</v>
      </c>
      <c r="S496" s="112">
        <f ca="1">IFERROR(__xludf.DUMMYFUNCTION("""COMPUTED_VALUE"""),40970.7055555555)</f>
        <v>40970.705555555498</v>
      </c>
      <c r="T496" s="111">
        <f ca="1">IFERROR(__xludf.DUMMYFUNCTION("""COMPUTED_VALUE"""),9.66)</f>
        <v>9.66</v>
      </c>
    </row>
    <row r="497" spans="1:20" x14ac:dyDescent="0.3">
      <c r="A497" s="112">
        <f ca="1">IFERROR(__xludf.DUMMYFUNCTION("""COMPUTED_VALUE"""),40967.7055555555)</f>
        <v>40967.705555555498</v>
      </c>
      <c r="B497" s="111">
        <f ca="1">IFERROR(__xludf.DUMMYFUNCTION("""COMPUTED_VALUE"""),18.34)</f>
        <v>18.34</v>
      </c>
      <c r="C497" s="112">
        <f ca="1">IFERROR(__xludf.DUMMYFUNCTION("""COMPUTED_VALUE"""),40970.7055555555)</f>
        <v>40970.705555555498</v>
      </c>
      <c r="D497" s="111">
        <f ca="1">IFERROR(__xludf.DUMMYFUNCTION("""COMPUTED_VALUE"""),18.88)</f>
        <v>18.88</v>
      </c>
      <c r="E497" s="112">
        <f ca="1">IFERROR(__xludf.DUMMYFUNCTION("""COMPUTED_VALUE"""),40974.7055555555)</f>
        <v>40974.705555555498</v>
      </c>
      <c r="F497" s="111">
        <f ca="1">IFERROR(__xludf.DUMMYFUNCTION("""COMPUTED_VALUE"""),7.73)</f>
        <v>7.73</v>
      </c>
      <c r="G497" s="112">
        <f ca="1">IFERROR(__xludf.DUMMYFUNCTION("""COMPUTED_VALUE"""),40970.7055555555)</f>
        <v>40970.705555555498</v>
      </c>
      <c r="H497" s="111">
        <f ca="1">IFERROR(__xludf.DUMMYFUNCTION("""COMPUTED_VALUE"""),25.3)</f>
        <v>25.3</v>
      </c>
      <c r="K497" s="112">
        <f ca="1">IFERROR(__xludf.DUMMYFUNCTION("""COMPUTED_VALUE"""),41445.7055555555)</f>
        <v>41445.705555555498</v>
      </c>
      <c r="L497" s="111">
        <f ca="1">IFERROR(__xludf.DUMMYFUNCTION("""COMPUTED_VALUE"""),0.21)</f>
        <v>0.21</v>
      </c>
      <c r="M497" s="112">
        <f ca="1">IFERROR(__xludf.DUMMYFUNCTION("""COMPUTED_VALUE"""),40905.7055555555)</f>
        <v>40905.705555555498</v>
      </c>
      <c r="N497" s="111">
        <f ca="1">IFERROR(__xludf.DUMMYFUNCTION("""COMPUTED_VALUE"""),11.93)</f>
        <v>11.93</v>
      </c>
      <c r="O497" s="112">
        <f ca="1">IFERROR(__xludf.DUMMYFUNCTION("""COMPUTED_VALUE"""),40967.7055555555)</f>
        <v>40967.705555555498</v>
      </c>
      <c r="P497" s="111">
        <f ca="1">IFERROR(__xludf.DUMMYFUNCTION("""COMPUTED_VALUE"""),44.08)</f>
        <v>44.08</v>
      </c>
      <c r="Q497" s="112">
        <f ca="1">IFERROR(__xludf.DUMMYFUNCTION("""COMPUTED_VALUE"""),40967.7055555555)</f>
        <v>40967.705555555498</v>
      </c>
      <c r="R497" s="111">
        <f ca="1">IFERROR(__xludf.DUMMYFUNCTION("""COMPUTED_VALUE"""),27.57)</f>
        <v>27.57</v>
      </c>
      <c r="S497" s="112">
        <f ca="1">IFERROR(__xludf.DUMMYFUNCTION("""COMPUTED_VALUE"""),40973.7055555555)</f>
        <v>40973.705555555498</v>
      </c>
      <c r="T497" s="111">
        <f ca="1">IFERROR(__xludf.DUMMYFUNCTION("""COMPUTED_VALUE"""),9.62)</f>
        <v>9.6199999999999992</v>
      </c>
    </row>
    <row r="498" spans="1:20" x14ac:dyDescent="0.3">
      <c r="A498" s="112">
        <f ca="1">IFERROR(__xludf.DUMMYFUNCTION("""COMPUTED_VALUE"""),40968.7055555555)</f>
        <v>40968.705555555498</v>
      </c>
      <c r="B498" s="111">
        <f ca="1">IFERROR(__xludf.DUMMYFUNCTION("""COMPUTED_VALUE"""),18.47)</f>
        <v>18.47</v>
      </c>
      <c r="C498" s="112">
        <f ca="1">IFERROR(__xludf.DUMMYFUNCTION("""COMPUTED_VALUE"""),40973.7055555555)</f>
        <v>40973.705555555498</v>
      </c>
      <c r="D498" s="111">
        <f ca="1">IFERROR(__xludf.DUMMYFUNCTION("""COMPUTED_VALUE"""),18.61)</f>
        <v>18.61</v>
      </c>
      <c r="E498" s="112">
        <f ca="1">IFERROR(__xludf.DUMMYFUNCTION("""COMPUTED_VALUE"""),40976.7055555555)</f>
        <v>40976.705555555498</v>
      </c>
      <c r="F498" s="111">
        <f ca="1">IFERROR(__xludf.DUMMYFUNCTION("""COMPUTED_VALUE"""),8.05)</f>
        <v>8.0500000000000007</v>
      </c>
      <c r="G498" s="112">
        <f ca="1">IFERROR(__xludf.DUMMYFUNCTION("""COMPUTED_VALUE"""),40973.7055555555)</f>
        <v>40973.705555555498</v>
      </c>
      <c r="H498" s="111">
        <f ca="1">IFERROR(__xludf.DUMMYFUNCTION("""COMPUTED_VALUE"""),24.59)</f>
        <v>24.59</v>
      </c>
      <c r="K498" s="112">
        <f ca="1">IFERROR(__xludf.DUMMYFUNCTION("""COMPUTED_VALUE"""),41446.7055555555)</f>
        <v>41446.705555555498</v>
      </c>
      <c r="L498" s="111">
        <f ca="1">IFERROR(__xludf.DUMMYFUNCTION("""COMPUTED_VALUE"""),0.2)</f>
        <v>0.2</v>
      </c>
      <c r="M498" s="112">
        <f ca="1">IFERROR(__xludf.DUMMYFUNCTION("""COMPUTED_VALUE"""),40906.7055555555)</f>
        <v>40906.705555555498</v>
      </c>
      <c r="N498" s="111">
        <f ca="1">IFERROR(__xludf.DUMMYFUNCTION("""COMPUTED_VALUE"""),12.05)</f>
        <v>12.05</v>
      </c>
      <c r="O498" s="112">
        <f ca="1">IFERROR(__xludf.DUMMYFUNCTION("""COMPUTED_VALUE"""),40968.7055555555)</f>
        <v>40968.705555555498</v>
      </c>
      <c r="P498" s="111">
        <f ca="1">IFERROR(__xludf.DUMMYFUNCTION("""COMPUTED_VALUE"""),43.55)</f>
        <v>43.55</v>
      </c>
      <c r="Q498" s="112">
        <f ca="1">IFERROR(__xludf.DUMMYFUNCTION("""COMPUTED_VALUE"""),40968.7055555555)</f>
        <v>40968.705555555498</v>
      </c>
      <c r="R498" s="111">
        <f ca="1">IFERROR(__xludf.DUMMYFUNCTION("""COMPUTED_VALUE"""),27.65)</f>
        <v>27.65</v>
      </c>
      <c r="S498" s="112">
        <f ca="1">IFERROR(__xludf.DUMMYFUNCTION("""COMPUTED_VALUE"""),40974.7055555555)</f>
        <v>40974.705555555498</v>
      </c>
      <c r="T498" s="111">
        <f ca="1">IFERROR(__xludf.DUMMYFUNCTION("""COMPUTED_VALUE"""),9.61)</f>
        <v>9.61</v>
      </c>
    </row>
    <row r="499" spans="1:20" x14ac:dyDescent="0.3">
      <c r="A499" s="112">
        <f ca="1">IFERROR(__xludf.DUMMYFUNCTION("""COMPUTED_VALUE"""),40970.7055555555)</f>
        <v>40970.705555555498</v>
      </c>
      <c r="B499" s="111">
        <f ca="1">IFERROR(__xludf.DUMMYFUNCTION("""COMPUTED_VALUE"""),18.67)</f>
        <v>18.670000000000002</v>
      </c>
      <c r="C499" s="112">
        <f ca="1">IFERROR(__xludf.DUMMYFUNCTION("""COMPUTED_VALUE"""),40974.7055555555)</f>
        <v>40974.705555555498</v>
      </c>
      <c r="D499" s="111">
        <f ca="1">IFERROR(__xludf.DUMMYFUNCTION("""COMPUTED_VALUE"""),17.98)</f>
        <v>17.98</v>
      </c>
      <c r="E499" s="112">
        <f ca="1">IFERROR(__xludf.DUMMYFUNCTION("""COMPUTED_VALUE"""),40977.7055555555)</f>
        <v>40977.705555555498</v>
      </c>
      <c r="F499" s="111">
        <f ca="1">IFERROR(__xludf.DUMMYFUNCTION("""COMPUTED_VALUE"""),8.12)</f>
        <v>8.1199999999999992</v>
      </c>
      <c r="G499" s="112">
        <f ca="1">IFERROR(__xludf.DUMMYFUNCTION("""COMPUTED_VALUE"""),40974.7055555555)</f>
        <v>40974.705555555498</v>
      </c>
      <c r="H499" s="111">
        <f ca="1">IFERROR(__xludf.DUMMYFUNCTION("""COMPUTED_VALUE"""),23.75)</f>
        <v>23.75</v>
      </c>
      <c r="K499" s="112">
        <f ca="1">IFERROR(__xludf.DUMMYFUNCTION("""COMPUTED_VALUE"""),41449.7055555555)</f>
        <v>41449.705555555498</v>
      </c>
      <c r="L499" s="111">
        <f ca="1">IFERROR(__xludf.DUMMYFUNCTION("""COMPUTED_VALUE"""),0.19)</f>
        <v>0.19</v>
      </c>
      <c r="M499" s="112">
        <f ca="1">IFERROR(__xludf.DUMMYFUNCTION("""COMPUTED_VALUE"""),40910.7055555555)</f>
        <v>40910.705555555498</v>
      </c>
      <c r="N499" s="111">
        <f ca="1">IFERROR(__xludf.DUMMYFUNCTION("""COMPUTED_VALUE"""),12.04)</f>
        <v>12.04</v>
      </c>
      <c r="O499" s="112">
        <f ca="1">IFERROR(__xludf.DUMMYFUNCTION("""COMPUTED_VALUE"""),40970.7055555555)</f>
        <v>40970.705555555498</v>
      </c>
      <c r="P499" s="111">
        <f ca="1">IFERROR(__xludf.DUMMYFUNCTION("""COMPUTED_VALUE"""),44.45)</f>
        <v>44.45</v>
      </c>
      <c r="Q499" s="112">
        <f ca="1">IFERROR(__xludf.DUMMYFUNCTION("""COMPUTED_VALUE"""),40970.7055555555)</f>
        <v>40970.705555555498</v>
      </c>
      <c r="R499" s="111">
        <f ca="1">IFERROR(__xludf.DUMMYFUNCTION("""COMPUTED_VALUE"""),28.6)</f>
        <v>28.6</v>
      </c>
      <c r="S499" s="112">
        <f ca="1">IFERROR(__xludf.DUMMYFUNCTION("""COMPUTED_VALUE"""),40976.7055555555)</f>
        <v>40976.705555555498</v>
      </c>
      <c r="T499" s="111">
        <f ca="1">IFERROR(__xludf.DUMMYFUNCTION("""COMPUTED_VALUE"""),10.07)</f>
        <v>10.07</v>
      </c>
    </row>
    <row r="500" spans="1:20" x14ac:dyDescent="0.3">
      <c r="A500" s="112">
        <f ca="1">IFERROR(__xludf.DUMMYFUNCTION("""COMPUTED_VALUE"""),40973.7055555555)</f>
        <v>40973.705555555498</v>
      </c>
      <c r="B500" s="111">
        <f ca="1">IFERROR(__xludf.DUMMYFUNCTION("""COMPUTED_VALUE"""),18.78)</f>
        <v>18.78</v>
      </c>
      <c r="C500" s="112">
        <f ca="1">IFERROR(__xludf.DUMMYFUNCTION("""COMPUTED_VALUE"""),40976.7055555555)</f>
        <v>40976.705555555498</v>
      </c>
      <c r="D500" s="111">
        <f ca="1">IFERROR(__xludf.DUMMYFUNCTION("""COMPUTED_VALUE"""),18.94)</f>
        <v>18.940000000000001</v>
      </c>
      <c r="E500" s="112">
        <f ca="1">IFERROR(__xludf.DUMMYFUNCTION("""COMPUTED_VALUE"""),40980.7055555555)</f>
        <v>40980.705555555498</v>
      </c>
      <c r="F500" s="111">
        <f ca="1">IFERROR(__xludf.DUMMYFUNCTION("""COMPUTED_VALUE"""),8.02)</f>
        <v>8.02</v>
      </c>
      <c r="G500" s="112">
        <f ca="1">IFERROR(__xludf.DUMMYFUNCTION("""COMPUTED_VALUE"""),40976.7055555555)</f>
        <v>40976.705555555498</v>
      </c>
      <c r="H500" s="111">
        <f ca="1">IFERROR(__xludf.DUMMYFUNCTION("""COMPUTED_VALUE"""),24.09)</f>
        <v>24.09</v>
      </c>
      <c r="K500" s="112">
        <f ca="1">IFERROR(__xludf.DUMMYFUNCTION("""COMPUTED_VALUE"""),41450.7055555555)</f>
        <v>41450.705555555498</v>
      </c>
      <c r="L500" s="111">
        <f ca="1">IFERROR(__xludf.DUMMYFUNCTION("""COMPUTED_VALUE"""),0.18)</f>
        <v>0.18</v>
      </c>
      <c r="M500" s="112">
        <f ca="1">IFERROR(__xludf.DUMMYFUNCTION("""COMPUTED_VALUE"""),40911.7055555555)</f>
        <v>40911.705555555498</v>
      </c>
      <c r="N500" s="111">
        <f ca="1">IFERROR(__xludf.DUMMYFUNCTION("""COMPUTED_VALUE"""),12.29)</f>
        <v>12.29</v>
      </c>
      <c r="O500" s="112">
        <f ca="1">IFERROR(__xludf.DUMMYFUNCTION("""COMPUTED_VALUE"""),40973.7055555555)</f>
        <v>40973.705555555498</v>
      </c>
      <c r="P500" s="111">
        <f ca="1">IFERROR(__xludf.DUMMYFUNCTION("""COMPUTED_VALUE"""),43.15)</f>
        <v>43.15</v>
      </c>
      <c r="Q500" s="112">
        <f ca="1">IFERROR(__xludf.DUMMYFUNCTION("""COMPUTED_VALUE"""),40973.7055555555)</f>
        <v>40973.705555555498</v>
      </c>
      <c r="R500" s="111">
        <f ca="1">IFERROR(__xludf.DUMMYFUNCTION("""COMPUTED_VALUE"""),28.65)</f>
        <v>28.65</v>
      </c>
      <c r="S500" s="112">
        <f ca="1">IFERROR(__xludf.DUMMYFUNCTION("""COMPUTED_VALUE"""),40977.7055555555)</f>
        <v>40977.705555555498</v>
      </c>
      <c r="T500" s="111">
        <f ca="1">IFERROR(__xludf.DUMMYFUNCTION("""COMPUTED_VALUE"""),9.95)</f>
        <v>9.9499999999999993</v>
      </c>
    </row>
    <row r="501" spans="1:20" x14ac:dyDescent="0.3">
      <c r="A501" s="112">
        <f ca="1">IFERROR(__xludf.DUMMYFUNCTION("""COMPUTED_VALUE"""),40974.7055555555)</f>
        <v>40974.705555555498</v>
      </c>
      <c r="B501" s="111">
        <f ca="1">IFERROR(__xludf.DUMMYFUNCTION("""COMPUTED_VALUE"""),18.38)</f>
        <v>18.38</v>
      </c>
      <c r="C501" s="112">
        <f ca="1">IFERROR(__xludf.DUMMYFUNCTION("""COMPUTED_VALUE"""),40977.7055555555)</f>
        <v>40977.705555555498</v>
      </c>
      <c r="D501" s="111">
        <f ca="1">IFERROR(__xludf.DUMMYFUNCTION("""COMPUTED_VALUE"""),19.24)</f>
        <v>19.239999999999998</v>
      </c>
      <c r="E501" s="112">
        <f ca="1">IFERROR(__xludf.DUMMYFUNCTION("""COMPUTED_VALUE"""),40981.7055555555)</f>
        <v>40981.705555555498</v>
      </c>
      <c r="F501" s="111">
        <f ca="1">IFERROR(__xludf.DUMMYFUNCTION("""COMPUTED_VALUE"""),8.1)</f>
        <v>8.1</v>
      </c>
      <c r="G501" s="112">
        <f ca="1">IFERROR(__xludf.DUMMYFUNCTION("""COMPUTED_VALUE"""),40977.7055555555)</f>
        <v>40977.705555555498</v>
      </c>
      <c r="H501" s="111">
        <f ca="1">IFERROR(__xludf.DUMMYFUNCTION("""COMPUTED_VALUE"""),23.71)</f>
        <v>23.71</v>
      </c>
      <c r="K501" s="112">
        <f ca="1">IFERROR(__xludf.DUMMYFUNCTION("""COMPUTED_VALUE"""),41451.7055555555)</f>
        <v>41451.705555555498</v>
      </c>
      <c r="L501" s="111">
        <f ca="1">IFERROR(__xludf.DUMMYFUNCTION("""COMPUTED_VALUE"""),0.17)</f>
        <v>0.17</v>
      </c>
      <c r="M501" s="112">
        <f ca="1">IFERROR(__xludf.DUMMYFUNCTION("""COMPUTED_VALUE"""),40912.7055555555)</f>
        <v>40912.705555555498</v>
      </c>
      <c r="N501" s="111">
        <f ca="1">IFERROR(__xludf.DUMMYFUNCTION("""COMPUTED_VALUE"""),12.31)</f>
        <v>12.31</v>
      </c>
      <c r="O501" s="112">
        <f ca="1">IFERROR(__xludf.DUMMYFUNCTION("""COMPUTED_VALUE"""),40974.7055555555)</f>
        <v>40974.705555555498</v>
      </c>
      <c r="P501" s="111">
        <f ca="1">IFERROR(__xludf.DUMMYFUNCTION("""COMPUTED_VALUE"""),41.06)</f>
        <v>41.06</v>
      </c>
      <c r="Q501" s="112">
        <f ca="1">IFERROR(__xludf.DUMMYFUNCTION("""COMPUTED_VALUE"""),40974.7055555555)</f>
        <v>40974.705555555498</v>
      </c>
      <c r="R501" s="111">
        <f ca="1">IFERROR(__xludf.DUMMYFUNCTION("""COMPUTED_VALUE"""),28.15)</f>
        <v>28.15</v>
      </c>
      <c r="S501" s="112">
        <f ca="1">IFERROR(__xludf.DUMMYFUNCTION("""COMPUTED_VALUE"""),40980.7055555555)</f>
        <v>40980.705555555498</v>
      </c>
      <c r="T501" s="111">
        <f ca="1">IFERROR(__xludf.DUMMYFUNCTION("""COMPUTED_VALUE"""),9.85)</f>
        <v>9.85</v>
      </c>
    </row>
    <row r="502" spans="1:20" x14ac:dyDescent="0.3">
      <c r="A502" s="112">
        <f ca="1">IFERROR(__xludf.DUMMYFUNCTION("""COMPUTED_VALUE"""),40976.7055555555)</f>
        <v>40976.705555555498</v>
      </c>
      <c r="B502" s="111">
        <f ca="1">IFERROR(__xludf.DUMMYFUNCTION("""COMPUTED_VALUE"""),18.26)</f>
        <v>18.260000000000002</v>
      </c>
      <c r="C502" s="112">
        <f ca="1">IFERROR(__xludf.DUMMYFUNCTION("""COMPUTED_VALUE"""),40980.7055555555)</f>
        <v>40980.705555555498</v>
      </c>
      <c r="D502" s="111">
        <f ca="1">IFERROR(__xludf.DUMMYFUNCTION("""COMPUTED_VALUE"""),18.94)</f>
        <v>18.940000000000001</v>
      </c>
      <c r="E502" s="112">
        <f ca="1">IFERROR(__xludf.DUMMYFUNCTION("""COMPUTED_VALUE"""),40982.7055555555)</f>
        <v>40982.705555555498</v>
      </c>
      <c r="F502" s="111">
        <f ca="1">IFERROR(__xludf.DUMMYFUNCTION("""COMPUTED_VALUE"""),8.13)</f>
        <v>8.1300000000000008</v>
      </c>
      <c r="G502" s="112">
        <f ca="1">IFERROR(__xludf.DUMMYFUNCTION("""COMPUTED_VALUE"""),40980.7055555555)</f>
        <v>40980.705555555498</v>
      </c>
      <c r="H502" s="111">
        <f ca="1">IFERROR(__xludf.DUMMYFUNCTION("""COMPUTED_VALUE"""),23.43)</f>
        <v>23.43</v>
      </c>
      <c r="K502" s="112">
        <f ca="1">IFERROR(__xludf.DUMMYFUNCTION("""COMPUTED_VALUE"""),41452.7055555555)</f>
        <v>41452.705555555498</v>
      </c>
      <c r="L502" s="111">
        <f ca="1">IFERROR(__xludf.DUMMYFUNCTION("""COMPUTED_VALUE"""),0.18)</f>
        <v>0.18</v>
      </c>
      <c r="M502" s="112">
        <f ca="1">IFERROR(__xludf.DUMMYFUNCTION("""COMPUTED_VALUE"""),40913.7055555555)</f>
        <v>40913.705555555498</v>
      </c>
      <c r="N502" s="111">
        <f ca="1">IFERROR(__xludf.DUMMYFUNCTION("""COMPUTED_VALUE"""),12.24)</f>
        <v>12.24</v>
      </c>
      <c r="O502" s="112">
        <f ca="1">IFERROR(__xludf.DUMMYFUNCTION("""COMPUTED_VALUE"""),40976.7055555555)</f>
        <v>40976.705555555498</v>
      </c>
      <c r="P502" s="111">
        <f ca="1">IFERROR(__xludf.DUMMYFUNCTION("""COMPUTED_VALUE"""),41.15)</f>
        <v>41.15</v>
      </c>
      <c r="Q502" s="112">
        <f ca="1">IFERROR(__xludf.DUMMYFUNCTION("""COMPUTED_VALUE"""),40976.7055555555)</f>
        <v>40976.705555555498</v>
      </c>
      <c r="R502" s="111">
        <f ca="1">IFERROR(__xludf.DUMMYFUNCTION("""COMPUTED_VALUE"""),28.63)</f>
        <v>28.63</v>
      </c>
      <c r="S502" s="112">
        <f ca="1">IFERROR(__xludf.DUMMYFUNCTION("""COMPUTED_VALUE"""),40981.7055555555)</f>
        <v>40981.705555555498</v>
      </c>
      <c r="T502" s="111">
        <f ca="1">IFERROR(__xludf.DUMMYFUNCTION("""COMPUTED_VALUE"""),9.96)</f>
        <v>9.9600000000000009</v>
      </c>
    </row>
    <row r="503" spans="1:20" x14ac:dyDescent="0.3">
      <c r="A503" s="112">
        <f ca="1">IFERROR(__xludf.DUMMYFUNCTION("""COMPUTED_VALUE"""),40977.7055555555)</f>
        <v>40977.705555555498</v>
      </c>
      <c r="B503" s="111">
        <f ca="1">IFERROR(__xludf.DUMMYFUNCTION("""COMPUTED_VALUE"""),18.1)</f>
        <v>18.100000000000001</v>
      </c>
      <c r="C503" s="112">
        <f ca="1">IFERROR(__xludf.DUMMYFUNCTION("""COMPUTED_VALUE"""),40981.7055555555)</f>
        <v>40981.705555555498</v>
      </c>
      <c r="D503" s="111">
        <f ca="1">IFERROR(__xludf.DUMMYFUNCTION("""COMPUTED_VALUE"""),19.16)</f>
        <v>19.16</v>
      </c>
      <c r="E503" s="112">
        <f ca="1">IFERROR(__xludf.DUMMYFUNCTION("""COMPUTED_VALUE"""),40983.7055555555)</f>
        <v>40983.705555555498</v>
      </c>
      <c r="F503" s="111">
        <f ca="1">IFERROR(__xludf.DUMMYFUNCTION("""COMPUTED_VALUE"""),8.14)</f>
        <v>8.14</v>
      </c>
      <c r="G503" s="112">
        <f ca="1">IFERROR(__xludf.DUMMYFUNCTION("""COMPUTED_VALUE"""),40981.7055555555)</f>
        <v>40981.705555555498</v>
      </c>
      <c r="H503" s="111">
        <f ca="1">IFERROR(__xludf.DUMMYFUNCTION("""COMPUTED_VALUE"""),24.43)</f>
        <v>24.43</v>
      </c>
      <c r="K503" s="112">
        <f ca="1">IFERROR(__xludf.DUMMYFUNCTION("""COMPUTED_VALUE"""),41453.7055555555)</f>
        <v>41453.705555555498</v>
      </c>
      <c r="L503" s="111">
        <f ca="1">IFERROR(__xludf.DUMMYFUNCTION("""COMPUTED_VALUE"""),0.17)</f>
        <v>0.17</v>
      </c>
      <c r="M503" s="112">
        <f ca="1">IFERROR(__xludf.DUMMYFUNCTION("""COMPUTED_VALUE"""),40914.7055555555)</f>
        <v>40914.705555555498</v>
      </c>
      <c r="N503" s="111">
        <f ca="1">IFERROR(__xludf.DUMMYFUNCTION("""COMPUTED_VALUE"""),12.39)</f>
        <v>12.39</v>
      </c>
      <c r="O503" s="112">
        <f ca="1">IFERROR(__xludf.DUMMYFUNCTION("""COMPUTED_VALUE"""),40977.7055555555)</f>
        <v>40977.705555555498</v>
      </c>
      <c r="P503" s="111">
        <f ca="1">IFERROR(__xludf.DUMMYFUNCTION("""COMPUTED_VALUE"""),41.11)</f>
        <v>41.11</v>
      </c>
      <c r="Q503" s="112">
        <f ca="1">IFERROR(__xludf.DUMMYFUNCTION("""COMPUTED_VALUE"""),40977.7055555555)</f>
        <v>40977.705555555498</v>
      </c>
      <c r="R503" s="111">
        <f ca="1">IFERROR(__xludf.DUMMYFUNCTION("""COMPUTED_VALUE"""),28.73)</f>
        <v>28.73</v>
      </c>
      <c r="S503" s="112">
        <f ca="1">IFERROR(__xludf.DUMMYFUNCTION("""COMPUTED_VALUE"""),40982.7055555555)</f>
        <v>40982.705555555498</v>
      </c>
      <c r="T503" s="111">
        <f ca="1">IFERROR(__xludf.DUMMYFUNCTION("""COMPUTED_VALUE"""),9.92)</f>
        <v>9.92</v>
      </c>
    </row>
    <row r="504" spans="1:20" x14ac:dyDescent="0.3">
      <c r="A504" s="112">
        <f ca="1">IFERROR(__xludf.DUMMYFUNCTION("""COMPUTED_VALUE"""),40980.7055555555)</f>
        <v>40980.705555555498</v>
      </c>
      <c r="B504" s="111">
        <f ca="1">IFERROR(__xludf.DUMMYFUNCTION("""COMPUTED_VALUE"""),18.13)</f>
        <v>18.13</v>
      </c>
      <c r="C504" s="112">
        <f ca="1">IFERROR(__xludf.DUMMYFUNCTION("""COMPUTED_VALUE"""),40982.7055555555)</f>
        <v>40982.705555555498</v>
      </c>
      <c r="D504" s="111">
        <f ca="1">IFERROR(__xludf.DUMMYFUNCTION("""COMPUTED_VALUE"""),19.23)</f>
        <v>19.23</v>
      </c>
      <c r="E504" s="112">
        <f ca="1">IFERROR(__xludf.DUMMYFUNCTION("""COMPUTED_VALUE"""),40984.7055555555)</f>
        <v>40984.705555555498</v>
      </c>
      <c r="F504" s="111">
        <f ca="1">IFERROR(__xludf.DUMMYFUNCTION("""COMPUTED_VALUE"""),8.18)</f>
        <v>8.18</v>
      </c>
      <c r="G504" s="112">
        <f ca="1">IFERROR(__xludf.DUMMYFUNCTION("""COMPUTED_VALUE"""),40982.7055555555)</f>
        <v>40982.705555555498</v>
      </c>
      <c r="H504" s="111">
        <f ca="1">IFERROR(__xludf.DUMMYFUNCTION("""COMPUTED_VALUE"""),24.83)</f>
        <v>24.83</v>
      </c>
      <c r="K504" s="112">
        <f ca="1">IFERROR(__xludf.DUMMYFUNCTION("""COMPUTED_VALUE"""),41456.7055555555)</f>
        <v>41456.705555555498</v>
      </c>
      <c r="L504" s="111">
        <f ca="1">IFERROR(__xludf.DUMMYFUNCTION("""COMPUTED_VALUE"""),0.16)</f>
        <v>0.16</v>
      </c>
      <c r="M504" s="112">
        <f ca="1">IFERROR(__xludf.DUMMYFUNCTION("""COMPUTED_VALUE"""),40917.7055555555)</f>
        <v>40917.705555555498</v>
      </c>
      <c r="N504" s="111">
        <f ca="1">IFERROR(__xludf.DUMMYFUNCTION("""COMPUTED_VALUE"""),12.42)</f>
        <v>12.42</v>
      </c>
      <c r="O504" s="112">
        <f ca="1">IFERROR(__xludf.DUMMYFUNCTION("""COMPUTED_VALUE"""),40980.7055555555)</f>
        <v>40980.705555555498</v>
      </c>
      <c r="P504" s="111">
        <f ca="1">IFERROR(__xludf.DUMMYFUNCTION("""COMPUTED_VALUE"""),40.62)</f>
        <v>40.619999999999997</v>
      </c>
      <c r="Q504" s="112">
        <f ca="1">IFERROR(__xludf.DUMMYFUNCTION("""COMPUTED_VALUE"""),40980.7055555555)</f>
        <v>40980.705555555498</v>
      </c>
      <c r="R504" s="111">
        <f ca="1">IFERROR(__xludf.DUMMYFUNCTION("""COMPUTED_VALUE"""),28.85)</f>
        <v>28.85</v>
      </c>
      <c r="S504" s="112">
        <f ca="1">IFERROR(__xludf.DUMMYFUNCTION("""COMPUTED_VALUE"""),40983.7055555555)</f>
        <v>40983.705555555498</v>
      </c>
      <c r="T504" s="111">
        <f ca="1">IFERROR(__xludf.DUMMYFUNCTION("""COMPUTED_VALUE"""),9.62)</f>
        <v>9.6199999999999992</v>
      </c>
    </row>
    <row r="505" spans="1:20" x14ac:dyDescent="0.3">
      <c r="A505" s="112">
        <f ca="1">IFERROR(__xludf.DUMMYFUNCTION("""COMPUTED_VALUE"""),40981.7055555555)</f>
        <v>40981.705555555498</v>
      </c>
      <c r="B505" s="111">
        <f ca="1">IFERROR(__xludf.DUMMYFUNCTION("""COMPUTED_VALUE"""),18.49)</f>
        <v>18.489999999999998</v>
      </c>
      <c r="C505" s="112">
        <f ca="1">IFERROR(__xludf.DUMMYFUNCTION("""COMPUTED_VALUE"""),40983.7055555555)</f>
        <v>40983.705555555498</v>
      </c>
      <c r="D505" s="111">
        <f ca="1">IFERROR(__xludf.DUMMYFUNCTION("""COMPUTED_VALUE"""),19.27)</f>
        <v>19.27</v>
      </c>
      <c r="E505" s="112">
        <f ca="1">IFERROR(__xludf.DUMMYFUNCTION("""COMPUTED_VALUE"""),40988.7055555555)</f>
        <v>40988.705555555498</v>
      </c>
      <c r="F505" s="111">
        <f ca="1">IFERROR(__xludf.DUMMYFUNCTION("""COMPUTED_VALUE"""),8.04)</f>
        <v>8.0399999999999991</v>
      </c>
      <c r="G505" s="112">
        <f ca="1">IFERROR(__xludf.DUMMYFUNCTION("""COMPUTED_VALUE"""),40983.7055555555)</f>
        <v>40983.705555555498</v>
      </c>
      <c r="H505" s="111">
        <f ca="1">IFERROR(__xludf.DUMMYFUNCTION("""COMPUTED_VALUE"""),24.22)</f>
        <v>24.22</v>
      </c>
      <c r="K505" s="112">
        <f ca="1">IFERROR(__xludf.DUMMYFUNCTION("""COMPUTED_VALUE"""),41457.7055555555)</f>
        <v>41457.705555555498</v>
      </c>
      <c r="L505" s="111">
        <f ca="1">IFERROR(__xludf.DUMMYFUNCTION("""COMPUTED_VALUE"""),0.15)</f>
        <v>0.15</v>
      </c>
      <c r="M505" s="112">
        <f ca="1">IFERROR(__xludf.DUMMYFUNCTION("""COMPUTED_VALUE"""),40918.7055555555)</f>
        <v>40918.705555555498</v>
      </c>
      <c r="N505" s="111">
        <f ca="1">IFERROR(__xludf.DUMMYFUNCTION("""COMPUTED_VALUE"""),12.45)</f>
        <v>12.45</v>
      </c>
      <c r="O505" s="112">
        <f ca="1">IFERROR(__xludf.DUMMYFUNCTION("""COMPUTED_VALUE"""),40981.7055555555)</f>
        <v>40981.705555555498</v>
      </c>
      <c r="P505" s="111">
        <f ca="1">IFERROR(__xludf.DUMMYFUNCTION("""COMPUTED_VALUE"""),42.7)</f>
        <v>42.7</v>
      </c>
      <c r="Q505" s="112">
        <f ca="1">IFERROR(__xludf.DUMMYFUNCTION("""COMPUTED_VALUE"""),40981.7055555555)</f>
        <v>40981.705555555498</v>
      </c>
      <c r="R505" s="111">
        <f ca="1">IFERROR(__xludf.DUMMYFUNCTION("""COMPUTED_VALUE"""),29.61)</f>
        <v>29.61</v>
      </c>
      <c r="S505" s="112">
        <f ca="1">IFERROR(__xludf.DUMMYFUNCTION("""COMPUTED_VALUE"""),40984.7055555555)</f>
        <v>40984.705555555498</v>
      </c>
      <c r="T505" s="111">
        <f ca="1">IFERROR(__xludf.DUMMYFUNCTION("""COMPUTED_VALUE"""),9.58)</f>
        <v>9.58</v>
      </c>
    </row>
    <row r="506" spans="1:20" x14ac:dyDescent="0.3">
      <c r="A506" s="112">
        <f ca="1">IFERROR(__xludf.DUMMYFUNCTION("""COMPUTED_VALUE"""),40982.7055555555)</f>
        <v>40982.705555555498</v>
      </c>
      <c r="B506" s="111">
        <f ca="1">IFERROR(__xludf.DUMMYFUNCTION("""COMPUTED_VALUE"""),18.12)</f>
        <v>18.12</v>
      </c>
      <c r="C506" s="112">
        <f ca="1">IFERROR(__xludf.DUMMYFUNCTION("""COMPUTED_VALUE"""),40984.7055555555)</f>
        <v>40984.705555555498</v>
      </c>
      <c r="D506" s="111">
        <f ca="1">IFERROR(__xludf.DUMMYFUNCTION("""COMPUTED_VALUE"""),19.33)</f>
        <v>19.329999999999998</v>
      </c>
      <c r="E506" s="112">
        <f ca="1">IFERROR(__xludf.DUMMYFUNCTION("""COMPUTED_VALUE"""),40990.7055555555)</f>
        <v>40990.705555555498</v>
      </c>
      <c r="F506" s="111">
        <f ca="1">IFERROR(__xludf.DUMMYFUNCTION("""COMPUTED_VALUE"""),7.96)</f>
        <v>7.96</v>
      </c>
      <c r="G506" s="112">
        <f ca="1">IFERROR(__xludf.DUMMYFUNCTION("""COMPUTED_VALUE"""),40984.7055555555)</f>
        <v>40984.705555555498</v>
      </c>
      <c r="H506" s="111">
        <f ca="1">IFERROR(__xludf.DUMMYFUNCTION("""COMPUTED_VALUE"""),24.35)</f>
        <v>24.35</v>
      </c>
      <c r="K506" s="112">
        <f ca="1">IFERROR(__xludf.DUMMYFUNCTION("""COMPUTED_VALUE"""),41458.7055555555)</f>
        <v>41458.705555555498</v>
      </c>
      <c r="L506" s="111">
        <f ca="1">IFERROR(__xludf.DUMMYFUNCTION("""COMPUTED_VALUE"""),0.16)</f>
        <v>0.16</v>
      </c>
      <c r="M506" s="112">
        <f ca="1">IFERROR(__xludf.DUMMYFUNCTION("""COMPUTED_VALUE"""),40919.7055555555)</f>
        <v>40919.705555555498</v>
      </c>
      <c r="N506" s="111">
        <f ca="1">IFERROR(__xludf.DUMMYFUNCTION("""COMPUTED_VALUE"""),12.45)</f>
        <v>12.45</v>
      </c>
      <c r="O506" s="112">
        <f ca="1">IFERROR(__xludf.DUMMYFUNCTION("""COMPUTED_VALUE"""),40982.7055555555)</f>
        <v>40982.705555555498</v>
      </c>
      <c r="P506" s="111">
        <f ca="1">IFERROR(__xludf.DUMMYFUNCTION("""COMPUTED_VALUE"""),42.3)</f>
        <v>42.3</v>
      </c>
      <c r="Q506" s="112">
        <f ca="1">IFERROR(__xludf.DUMMYFUNCTION("""COMPUTED_VALUE"""),40982.7055555555)</f>
        <v>40982.705555555498</v>
      </c>
      <c r="R506" s="111">
        <f ca="1">IFERROR(__xludf.DUMMYFUNCTION("""COMPUTED_VALUE"""),29)</f>
        <v>29</v>
      </c>
      <c r="S506" s="112">
        <f ca="1">IFERROR(__xludf.DUMMYFUNCTION("""COMPUTED_VALUE"""),40988.7055555555)</f>
        <v>40988.705555555498</v>
      </c>
      <c r="T506" s="111">
        <f ca="1">IFERROR(__xludf.DUMMYFUNCTION("""COMPUTED_VALUE"""),9.52)</f>
        <v>9.52</v>
      </c>
    </row>
    <row r="507" spans="1:20" x14ac:dyDescent="0.3">
      <c r="A507" s="112">
        <f ca="1">IFERROR(__xludf.DUMMYFUNCTION("""COMPUTED_VALUE"""),40983.7055555555)</f>
        <v>40983.705555555498</v>
      </c>
      <c r="B507" s="111">
        <f ca="1">IFERROR(__xludf.DUMMYFUNCTION("""COMPUTED_VALUE"""),17.33)</f>
        <v>17.329999999999998</v>
      </c>
      <c r="C507" s="112">
        <f ca="1">IFERROR(__xludf.DUMMYFUNCTION("""COMPUTED_VALUE"""),40988.7055555555)</f>
        <v>40988.705555555498</v>
      </c>
      <c r="D507" s="111">
        <f ca="1">IFERROR(__xludf.DUMMYFUNCTION("""COMPUTED_VALUE"""),18.99)</f>
        <v>18.989999999999998</v>
      </c>
      <c r="E507" s="112">
        <f ca="1">IFERROR(__xludf.DUMMYFUNCTION("""COMPUTED_VALUE"""),40991.7055555555)</f>
        <v>40991.705555555498</v>
      </c>
      <c r="F507" s="111">
        <f ca="1">IFERROR(__xludf.DUMMYFUNCTION("""COMPUTED_VALUE"""),7.67)</f>
        <v>7.67</v>
      </c>
      <c r="G507" s="112">
        <f ca="1">IFERROR(__xludf.DUMMYFUNCTION("""COMPUTED_VALUE"""),40988.7055555555)</f>
        <v>40988.705555555498</v>
      </c>
      <c r="H507" s="111">
        <f ca="1">IFERROR(__xludf.DUMMYFUNCTION("""COMPUTED_VALUE"""),24.27)</f>
        <v>24.27</v>
      </c>
      <c r="K507" s="112">
        <f ca="1">IFERROR(__xludf.DUMMYFUNCTION("""COMPUTED_VALUE"""),41459.7055555555)</f>
        <v>41459.705555555498</v>
      </c>
      <c r="L507" s="111">
        <f ca="1">IFERROR(__xludf.DUMMYFUNCTION("""COMPUTED_VALUE"""),0.16)</f>
        <v>0.16</v>
      </c>
      <c r="M507" s="112">
        <f ca="1">IFERROR(__xludf.DUMMYFUNCTION("""COMPUTED_VALUE"""),40920.7055555555)</f>
        <v>40920.705555555498</v>
      </c>
      <c r="N507" s="111">
        <f ca="1">IFERROR(__xludf.DUMMYFUNCTION("""COMPUTED_VALUE"""),12.45)</f>
        <v>12.45</v>
      </c>
      <c r="O507" s="112">
        <f ca="1">IFERROR(__xludf.DUMMYFUNCTION("""COMPUTED_VALUE"""),40983.7055555555)</f>
        <v>40983.705555555498</v>
      </c>
      <c r="P507" s="111">
        <f ca="1">IFERROR(__xludf.DUMMYFUNCTION("""COMPUTED_VALUE"""),42.7)</f>
        <v>42.7</v>
      </c>
      <c r="Q507" s="112">
        <f ca="1">IFERROR(__xludf.DUMMYFUNCTION("""COMPUTED_VALUE"""),40983.7055555555)</f>
        <v>40983.705555555498</v>
      </c>
      <c r="R507" s="111">
        <f ca="1">IFERROR(__xludf.DUMMYFUNCTION("""COMPUTED_VALUE"""),28.6)</f>
        <v>28.6</v>
      </c>
      <c r="S507" s="112">
        <f ca="1">IFERROR(__xludf.DUMMYFUNCTION("""COMPUTED_VALUE"""),40990.7055555555)</f>
        <v>40990.705555555498</v>
      </c>
      <c r="T507" s="111">
        <f ca="1">IFERROR(__xludf.DUMMYFUNCTION("""COMPUTED_VALUE"""),9.37)</f>
        <v>9.3699999999999992</v>
      </c>
    </row>
    <row r="508" spans="1:20" x14ac:dyDescent="0.3">
      <c r="A508" s="112">
        <f ca="1">IFERROR(__xludf.DUMMYFUNCTION("""COMPUTED_VALUE"""),40984.7055555555)</f>
        <v>40984.705555555498</v>
      </c>
      <c r="B508" s="111">
        <f ca="1">IFERROR(__xludf.DUMMYFUNCTION("""COMPUTED_VALUE"""),17.7)</f>
        <v>17.7</v>
      </c>
      <c r="C508" s="112">
        <f ca="1">IFERROR(__xludf.DUMMYFUNCTION("""COMPUTED_VALUE"""),40990.7055555555)</f>
        <v>40990.705555555498</v>
      </c>
      <c r="D508" s="111">
        <f ca="1">IFERROR(__xludf.DUMMYFUNCTION("""COMPUTED_VALUE"""),18.88)</f>
        <v>18.88</v>
      </c>
      <c r="E508" s="112">
        <f ca="1">IFERROR(__xludf.DUMMYFUNCTION("""COMPUTED_VALUE"""),40994.7055555555)</f>
        <v>40994.705555555498</v>
      </c>
      <c r="F508" s="111">
        <f ca="1">IFERROR(__xludf.DUMMYFUNCTION("""COMPUTED_VALUE"""),7.78)</f>
        <v>7.78</v>
      </c>
      <c r="G508" s="112">
        <f ca="1">IFERROR(__xludf.DUMMYFUNCTION("""COMPUTED_VALUE"""),40990.7055555555)</f>
        <v>40990.705555555498</v>
      </c>
      <c r="H508" s="111">
        <f ca="1">IFERROR(__xludf.DUMMYFUNCTION("""COMPUTED_VALUE"""),24.11)</f>
        <v>24.11</v>
      </c>
      <c r="K508" s="112">
        <f ca="1">IFERROR(__xludf.DUMMYFUNCTION("""COMPUTED_VALUE"""),41460.7055555555)</f>
        <v>41460.705555555498</v>
      </c>
      <c r="L508" s="111">
        <f ca="1">IFERROR(__xludf.DUMMYFUNCTION("""COMPUTED_VALUE"""),0.16)</f>
        <v>0.16</v>
      </c>
      <c r="M508" s="112">
        <f ca="1">IFERROR(__xludf.DUMMYFUNCTION("""COMPUTED_VALUE"""),40921.7055555555)</f>
        <v>40921.705555555498</v>
      </c>
      <c r="N508" s="111">
        <f ca="1">IFERROR(__xludf.DUMMYFUNCTION("""COMPUTED_VALUE"""),12.24)</f>
        <v>12.24</v>
      </c>
      <c r="O508" s="112">
        <f ca="1">IFERROR(__xludf.DUMMYFUNCTION("""COMPUTED_VALUE"""),40984.7055555555)</f>
        <v>40984.705555555498</v>
      </c>
      <c r="P508" s="111">
        <f ca="1">IFERROR(__xludf.DUMMYFUNCTION("""COMPUTED_VALUE"""),42.97)</f>
        <v>42.97</v>
      </c>
      <c r="Q508" s="112">
        <f ca="1">IFERROR(__xludf.DUMMYFUNCTION("""COMPUTED_VALUE"""),40984.7055555555)</f>
        <v>40984.705555555498</v>
      </c>
      <c r="R508" s="111">
        <f ca="1">IFERROR(__xludf.DUMMYFUNCTION("""COMPUTED_VALUE"""),28.88)</f>
        <v>28.88</v>
      </c>
      <c r="S508" s="112">
        <f ca="1">IFERROR(__xludf.DUMMYFUNCTION("""COMPUTED_VALUE"""),40991.7055555555)</f>
        <v>40991.705555555498</v>
      </c>
      <c r="T508" s="111">
        <f ca="1">IFERROR(__xludf.DUMMYFUNCTION("""COMPUTED_VALUE"""),9.71)</f>
        <v>9.7100000000000009</v>
      </c>
    </row>
    <row r="509" spans="1:20" x14ac:dyDescent="0.3">
      <c r="A509" s="112">
        <f ca="1">IFERROR(__xludf.DUMMYFUNCTION("""COMPUTED_VALUE"""),40987.7055555555)</f>
        <v>40987.705555555498</v>
      </c>
      <c r="B509" s="111">
        <f ca="1">IFERROR(__xludf.DUMMYFUNCTION("""COMPUTED_VALUE"""),17.55)</f>
        <v>17.55</v>
      </c>
      <c r="C509" s="112">
        <f ca="1">IFERROR(__xludf.DUMMYFUNCTION("""COMPUTED_VALUE"""),40991.7055555555)</f>
        <v>40991.705555555498</v>
      </c>
      <c r="D509" s="111">
        <f ca="1">IFERROR(__xludf.DUMMYFUNCTION("""COMPUTED_VALUE"""),18.18)</f>
        <v>18.18</v>
      </c>
      <c r="E509" s="112">
        <f ca="1">IFERROR(__xludf.DUMMYFUNCTION("""COMPUTED_VALUE"""),40995.7055555555)</f>
        <v>40995.705555555498</v>
      </c>
      <c r="F509" s="111">
        <f ca="1">IFERROR(__xludf.DUMMYFUNCTION("""COMPUTED_VALUE"""),7.8)</f>
        <v>7.8</v>
      </c>
      <c r="G509" s="112">
        <f ca="1">IFERROR(__xludf.DUMMYFUNCTION("""COMPUTED_VALUE"""),40991.7055555555)</f>
        <v>40991.705555555498</v>
      </c>
      <c r="H509" s="111">
        <f ca="1">IFERROR(__xludf.DUMMYFUNCTION("""COMPUTED_VALUE"""),23.7)</f>
        <v>23.7</v>
      </c>
      <c r="K509" s="112">
        <f ca="1">IFERROR(__xludf.DUMMYFUNCTION("""COMPUTED_VALUE"""),41463.7055555555)</f>
        <v>41463.705555555498</v>
      </c>
      <c r="L509" s="111">
        <f ca="1">IFERROR(__xludf.DUMMYFUNCTION("""COMPUTED_VALUE"""),0.15)</f>
        <v>0.15</v>
      </c>
      <c r="M509" s="112">
        <f ca="1">IFERROR(__xludf.DUMMYFUNCTION("""COMPUTED_VALUE"""),40924.7055555555)</f>
        <v>40924.705555555498</v>
      </c>
      <c r="N509" s="111">
        <f ca="1">IFERROR(__xludf.DUMMYFUNCTION("""COMPUTED_VALUE"""),12.33)</f>
        <v>12.33</v>
      </c>
      <c r="O509" s="112">
        <f ca="1">IFERROR(__xludf.DUMMYFUNCTION("""COMPUTED_VALUE"""),40988.7055555555)</f>
        <v>40988.705555555498</v>
      </c>
      <c r="P509" s="111">
        <f ca="1">IFERROR(__xludf.DUMMYFUNCTION("""COMPUTED_VALUE"""),42.61)</f>
        <v>42.61</v>
      </c>
      <c r="Q509" s="112">
        <f ca="1">IFERROR(__xludf.DUMMYFUNCTION("""COMPUTED_VALUE"""),40987.7055555555)</f>
        <v>40987.705555555498</v>
      </c>
      <c r="R509" s="111">
        <f ca="1">IFERROR(__xludf.DUMMYFUNCTION("""COMPUTED_VALUE"""),28.74)</f>
        <v>28.74</v>
      </c>
      <c r="S509" s="112">
        <f ca="1">IFERROR(__xludf.DUMMYFUNCTION("""COMPUTED_VALUE"""),40994.7055555555)</f>
        <v>40994.705555555498</v>
      </c>
      <c r="T509" s="111">
        <f ca="1">IFERROR(__xludf.DUMMYFUNCTION("""COMPUTED_VALUE"""),9.92)</f>
        <v>9.92</v>
      </c>
    </row>
    <row r="510" spans="1:20" x14ac:dyDescent="0.3">
      <c r="A510" s="112">
        <f ca="1">IFERROR(__xludf.DUMMYFUNCTION("""COMPUTED_VALUE"""),40988.7055555555)</f>
        <v>40988.705555555498</v>
      </c>
      <c r="B510" s="111">
        <f ca="1">IFERROR(__xludf.DUMMYFUNCTION("""COMPUTED_VALUE"""),17.44)</f>
        <v>17.440000000000001</v>
      </c>
      <c r="C510" s="112">
        <f ca="1">IFERROR(__xludf.DUMMYFUNCTION("""COMPUTED_VALUE"""),40994.7055555555)</f>
        <v>40994.705555555498</v>
      </c>
      <c r="D510" s="111">
        <f ca="1">IFERROR(__xludf.DUMMYFUNCTION("""COMPUTED_VALUE"""),18.5)</f>
        <v>18.5</v>
      </c>
      <c r="E510" s="112">
        <f ca="1">IFERROR(__xludf.DUMMYFUNCTION("""COMPUTED_VALUE"""),40996.7055555555)</f>
        <v>40996.705555555498</v>
      </c>
      <c r="F510" s="111">
        <f ca="1">IFERROR(__xludf.DUMMYFUNCTION("""COMPUTED_VALUE"""),7.6)</f>
        <v>7.6</v>
      </c>
      <c r="G510" s="112">
        <f ca="1">IFERROR(__xludf.DUMMYFUNCTION("""COMPUTED_VALUE"""),40994.7055555555)</f>
        <v>40994.705555555498</v>
      </c>
      <c r="H510" s="111">
        <f ca="1">IFERROR(__xludf.DUMMYFUNCTION("""COMPUTED_VALUE"""),24.21)</f>
        <v>24.21</v>
      </c>
      <c r="K510" s="112">
        <f ca="1">IFERROR(__xludf.DUMMYFUNCTION("""COMPUTED_VALUE"""),41465.7055555555)</f>
        <v>41465.705555555498</v>
      </c>
      <c r="L510" s="111">
        <f ca="1">IFERROR(__xludf.DUMMYFUNCTION("""COMPUTED_VALUE"""),0.15)</f>
        <v>0.15</v>
      </c>
      <c r="M510" s="112">
        <f ca="1">IFERROR(__xludf.DUMMYFUNCTION("""COMPUTED_VALUE"""),40925.7055555555)</f>
        <v>40925.705555555498</v>
      </c>
      <c r="N510" s="111">
        <f ca="1">IFERROR(__xludf.DUMMYFUNCTION("""COMPUTED_VALUE"""),12.31)</f>
        <v>12.31</v>
      </c>
      <c r="O510" s="112">
        <f ca="1">IFERROR(__xludf.DUMMYFUNCTION("""COMPUTED_VALUE"""),40990.7055555555)</f>
        <v>40990.705555555498</v>
      </c>
      <c r="P510" s="111">
        <f ca="1">IFERROR(__xludf.DUMMYFUNCTION("""COMPUTED_VALUE"""),42.45)</f>
        <v>42.45</v>
      </c>
      <c r="Q510" s="112">
        <f ca="1">IFERROR(__xludf.DUMMYFUNCTION("""COMPUTED_VALUE"""),40988.7055555555)</f>
        <v>40988.705555555498</v>
      </c>
      <c r="R510" s="111">
        <f ca="1">IFERROR(__xludf.DUMMYFUNCTION("""COMPUTED_VALUE"""),28.66)</f>
        <v>28.66</v>
      </c>
      <c r="S510" s="112">
        <f ca="1">IFERROR(__xludf.DUMMYFUNCTION("""COMPUTED_VALUE"""),40995.7055555555)</f>
        <v>40995.705555555498</v>
      </c>
      <c r="T510" s="111">
        <f ca="1">IFERROR(__xludf.DUMMYFUNCTION("""COMPUTED_VALUE"""),9.84)</f>
        <v>9.84</v>
      </c>
    </row>
    <row r="511" spans="1:20" x14ac:dyDescent="0.3">
      <c r="A511" s="112">
        <f ca="1">IFERROR(__xludf.DUMMYFUNCTION("""COMPUTED_VALUE"""),40990.7055555555)</f>
        <v>40990.705555555498</v>
      </c>
      <c r="B511" s="111">
        <f ca="1">IFERROR(__xludf.DUMMYFUNCTION("""COMPUTED_VALUE"""),17.12)</f>
        <v>17.12</v>
      </c>
      <c r="C511" s="112">
        <f ca="1">IFERROR(__xludf.DUMMYFUNCTION("""COMPUTED_VALUE"""),40995.7055555555)</f>
        <v>40995.705555555498</v>
      </c>
      <c r="D511" s="111">
        <f ca="1">IFERROR(__xludf.DUMMYFUNCTION("""COMPUTED_VALUE"""),18.52)</f>
        <v>18.52</v>
      </c>
      <c r="E511" s="112">
        <f ca="1">IFERROR(__xludf.DUMMYFUNCTION("""COMPUTED_VALUE"""),40997.7055555555)</f>
        <v>40997.705555555498</v>
      </c>
      <c r="F511" s="111">
        <f ca="1">IFERROR(__xludf.DUMMYFUNCTION("""COMPUTED_VALUE"""),7.48)</f>
        <v>7.48</v>
      </c>
      <c r="G511" s="112">
        <f ca="1">IFERROR(__xludf.DUMMYFUNCTION("""COMPUTED_VALUE"""),40995.7055555555)</f>
        <v>40995.705555555498</v>
      </c>
      <c r="H511" s="111">
        <f ca="1">IFERROR(__xludf.DUMMYFUNCTION("""COMPUTED_VALUE"""),23.8)</f>
        <v>23.8</v>
      </c>
      <c r="K511" s="112">
        <f ca="1">IFERROR(__xludf.DUMMYFUNCTION("""COMPUTED_VALUE"""),41466.7055555555)</f>
        <v>41466.705555555498</v>
      </c>
      <c r="L511" s="111">
        <f ca="1">IFERROR(__xludf.DUMMYFUNCTION("""COMPUTED_VALUE"""),0.16)</f>
        <v>0.16</v>
      </c>
      <c r="M511" s="112">
        <f ca="1">IFERROR(__xludf.DUMMYFUNCTION("""COMPUTED_VALUE"""),40926.7055555555)</f>
        <v>40926.705555555498</v>
      </c>
      <c r="N511" s="111">
        <f ca="1">IFERROR(__xludf.DUMMYFUNCTION("""COMPUTED_VALUE"""),12.56)</f>
        <v>12.56</v>
      </c>
      <c r="O511" s="112">
        <f ca="1">IFERROR(__xludf.DUMMYFUNCTION("""COMPUTED_VALUE"""),40991.7055555555)</f>
        <v>40991.705555555498</v>
      </c>
      <c r="P511" s="111">
        <f ca="1">IFERROR(__xludf.DUMMYFUNCTION("""COMPUTED_VALUE"""),41.55)</f>
        <v>41.55</v>
      </c>
      <c r="Q511" s="112">
        <f ca="1">IFERROR(__xludf.DUMMYFUNCTION("""COMPUTED_VALUE"""),40990.7055555555)</f>
        <v>40990.705555555498</v>
      </c>
      <c r="R511" s="111">
        <f ca="1">IFERROR(__xludf.DUMMYFUNCTION("""COMPUTED_VALUE"""),28.15)</f>
        <v>28.15</v>
      </c>
      <c r="S511" s="112">
        <f ca="1">IFERROR(__xludf.DUMMYFUNCTION("""COMPUTED_VALUE"""),40996.7055555555)</f>
        <v>40996.705555555498</v>
      </c>
      <c r="T511" s="111">
        <f ca="1">IFERROR(__xludf.DUMMYFUNCTION("""COMPUTED_VALUE"""),9.57)</f>
        <v>9.57</v>
      </c>
    </row>
    <row r="512" spans="1:20" x14ac:dyDescent="0.3">
      <c r="A512" s="112">
        <f ca="1">IFERROR(__xludf.DUMMYFUNCTION("""COMPUTED_VALUE"""),40991.7055555555)</f>
        <v>40991.705555555498</v>
      </c>
      <c r="B512" s="111">
        <f ca="1">IFERROR(__xludf.DUMMYFUNCTION("""COMPUTED_VALUE"""),17.24)</f>
        <v>17.239999999999998</v>
      </c>
      <c r="C512" s="112">
        <f ca="1">IFERROR(__xludf.DUMMYFUNCTION("""COMPUTED_VALUE"""),40996.7055555555)</f>
        <v>40996.705555555498</v>
      </c>
      <c r="D512" s="111">
        <f ca="1">IFERROR(__xludf.DUMMYFUNCTION("""COMPUTED_VALUE"""),18.03)</f>
        <v>18.03</v>
      </c>
      <c r="E512" s="112">
        <f ca="1">IFERROR(__xludf.DUMMYFUNCTION("""COMPUTED_VALUE"""),41001.7055555555)</f>
        <v>41001.705555555498</v>
      </c>
      <c r="F512" s="111">
        <f ca="1">IFERROR(__xludf.DUMMYFUNCTION("""COMPUTED_VALUE"""),7.38)</f>
        <v>7.38</v>
      </c>
      <c r="G512" s="112">
        <f ca="1">IFERROR(__xludf.DUMMYFUNCTION("""COMPUTED_VALUE"""),40996.7055555555)</f>
        <v>40996.705555555498</v>
      </c>
      <c r="H512" s="111">
        <f ca="1">IFERROR(__xludf.DUMMYFUNCTION("""COMPUTED_VALUE"""),23.39)</f>
        <v>23.39</v>
      </c>
      <c r="K512" s="112">
        <f ca="1">IFERROR(__xludf.DUMMYFUNCTION("""COMPUTED_VALUE"""),41467.7055555555)</f>
        <v>41467.705555555498</v>
      </c>
      <c r="L512" s="111">
        <f ca="1">IFERROR(__xludf.DUMMYFUNCTION("""COMPUTED_VALUE"""),0.17)</f>
        <v>0.17</v>
      </c>
      <c r="M512" s="112">
        <f ca="1">IFERROR(__xludf.DUMMYFUNCTION("""COMPUTED_VALUE"""),40927.7055555555)</f>
        <v>40927.705555555498</v>
      </c>
      <c r="N512" s="111">
        <f ca="1">IFERROR(__xludf.DUMMYFUNCTION("""COMPUTED_VALUE"""),12.6)</f>
        <v>12.6</v>
      </c>
      <c r="O512" s="112">
        <f ca="1">IFERROR(__xludf.DUMMYFUNCTION("""COMPUTED_VALUE"""),40994.7055555555)</f>
        <v>40994.705555555498</v>
      </c>
      <c r="P512" s="111">
        <f ca="1">IFERROR(__xludf.DUMMYFUNCTION("""COMPUTED_VALUE"""),42.11)</f>
        <v>42.11</v>
      </c>
      <c r="Q512" s="112">
        <f ca="1">IFERROR(__xludf.DUMMYFUNCTION("""COMPUTED_VALUE"""),40991.7055555555)</f>
        <v>40991.705555555498</v>
      </c>
      <c r="R512" s="111">
        <f ca="1">IFERROR(__xludf.DUMMYFUNCTION("""COMPUTED_VALUE"""),26.73)</f>
        <v>26.73</v>
      </c>
      <c r="S512" s="112">
        <f ca="1">IFERROR(__xludf.DUMMYFUNCTION("""COMPUTED_VALUE"""),40997.7055555555)</f>
        <v>40997.705555555498</v>
      </c>
      <c r="T512" s="111">
        <f ca="1">IFERROR(__xludf.DUMMYFUNCTION("""COMPUTED_VALUE"""),9.48)</f>
        <v>9.48</v>
      </c>
    </row>
    <row r="513" spans="1:20" x14ac:dyDescent="0.3">
      <c r="A513" s="112">
        <f ca="1">IFERROR(__xludf.DUMMYFUNCTION("""COMPUTED_VALUE"""),40994.7055555555)</f>
        <v>40994.705555555498</v>
      </c>
      <c r="B513" s="111">
        <f ca="1">IFERROR(__xludf.DUMMYFUNCTION("""COMPUTED_VALUE"""),17.25)</f>
        <v>17.25</v>
      </c>
      <c r="C513" s="112">
        <f ca="1">IFERROR(__xludf.DUMMYFUNCTION("""COMPUTED_VALUE"""),40997.7055555555)</f>
        <v>40997.705555555498</v>
      </c>
      <c r="D513" s="111">
        <f ca="1">IFERROR(__xludf.DUMMYFUNCTION("""COMPUTED_VALUE"""),17.85)</f>
        <v>17.850000000000001</v>
      </c>
      <c r="E513" s="112">
        <f ca="1">IFERROR(__xludf.DUMMYFUNCTION("""COMPUTED_VALUE"""),41002.7055555555)</f>
        <v>41002.705555555498</v>
      </c>
      <c r="F513" s="111">
        <f ca="1">IFERROR(__xludf.DUMMYFUNCTION("""COMPUTED_VALUE"""),7.31)</f>
        <v>7.31</v>
      </c>
      <c r="G513" s="112">
        <f ca="1">IFERROR(__xludf.DUMMYFUNCTION("""COMPUTED_VALUE"""),40997.7055555555)</f>
        <v>40997.705555555498</v>
      </c>
      <c r="H513" s="111">
        <f ca="1">IFERROR(__xludf.DUMMYFUNCTION("""COMPUTED_VALUE"""),23.32)</f>
        <v>23.32</v>
      </c>
      <c r="K513" s="112">
        <f ca="1">IFERROR(__xludf.DUMMYFUNCTION("""COMPUTED_VALUE"""),41470.7055555555)</f>
        <v>41470.705555555498</v>
      </c>
      <c r="L513" s="111">
        <f ca="1">IFERROR(__xludf.DUMMYFUNCTION("""COMPUTED_VALUE"""),0.17)</f>
        <v>0.17</v>
      </c>
      <c r="M513" s="112">
        <f ca="1">IFERROR(__xludf.DUMMYFUNCTION("""COMPUTED_VALUE"""),40928.7055555555)</f>
        <v>40928.705555555498</v>
      </c>
      <c r="N513" s="111">
        <f ca="1">IFERROR(__xludf.DUMMYFUNCTION("""COMPUTED_VALUE"""),12.65)</f>
        <v>12.65</v>
      </c>
      <c r="O513" s="112">
        <f ca="1">IFERROR(__xludf.DUMMYFUNCTION("""COMPUTED_VALUE"""),40995.7055555555)</f>
        <v>40995.705555555498</v>
      </c>
      <c r="P513" s="111">
        <f ca="1">IFERROR(__xludf.DUMMYFUNCTION("""COMPUTED_VALUE"""),42.41)</f>
        <v>42.41</v>
      </c>
      <c r="Q513" s="112">
        <f ca="1">IFERROR(__xludf.DUMMYFUNCTION("""COMPUTED_VALUE"""),40994.7055555555)</f>
        <v>40994.705555555498</v>
      </c>
      <c r="R513" s="111">
        <f ca="1">IFERROR(__xludf.DUMMYFUNCTION("""COMPUTED_VALUE"""),27.4)</f>
        <v>27.4</v>
      </c>
      <c r="S513" s="112">
        <f ca="1">IFERROR(__xludf.DUMMYFUNCTION("""COMPUTED_VALUE"""),41001.7055555555)</f>
        <v>41001.705555555498</v>
      </c>
      <c r="T513" s="111">
        <f ca="1">IFERROR(__xludf.DUMMYFUNCTION("""COMPUTED_VALUE"""),9.58)</f>
        <v>9.58</v>
      </c>
    </row>
    <row r="514" spans="1:20" x14ac:dyDescent="0.3">
      <c r="A514" s="112">
        <f ca="1">IFERROR(__xludf.DUMMYFUNCTION("""COMPUTED_VALUE"""),40995.7055555555)</f>
        <v>40995.705555555498</v>
      </c>
      <c r="B514" s="111">
        <f ca="1">IFERROR(__xludf.DUMMYFUNCTION("""COMPUTED_VALUE"""),17.37)</f>
        <v>17.37</v>
      </c>
      <c r="C514" s="112">
        <f ca="1">IFERROR(__xludf.DUMMYFUNCTION("""COMPUTED_VALUE"""),41001.7055555555)</f>
        <v>41001.705555555498</v>
      </c>
      <c r="D514" s="111">
        <f ca="1">IFERROR(__xludf.DUMMYFUNCTION("""COMPUTED_VALUE"""),17.68)</f>
        <v>17.68</v>
      </c>
      <c r="E514" s="112">
        <f ca="1">IFERROR(__xludf.DUMMYFUNCTION("""COMPUTED_VALUE"""),41003.7055555555)</f>
        <v>41003.705555555498</v>
      </c>
      <c r="F514" s="111">
        <f ca="1">IFERROR(__xludf.DUMMYFUNCTION("""COMPUTED_VALUE"""),7.06)</f>
        <v>7.06</v>
      </c>
      <c r="G514" s="112">
        <f ca="1">IFERROR(__xludf.DUMMYFUNCTION("""COMPUTED_VALUE"""),41001.7055555555)</f>
        <v>41001.705555555498</v>
      </c>
      <c r="H514" s="111">
        <f ca="1">IFERROR(__xludf.DUMMYFUNCTION("""COMPUTED_VALUE"""),23.23)</f>
        <v>23.23</v>
      </c>
      <c r="K514" s="112">
        <f ca="1">IFERROR(__xludf.DUMMYFUNCTION("""COMPUTED_VALUE"""),41471.7055555555)</f>
        <v>41471.705555555498</v>
      </c>
      <c r="L514" s="111">
        <f ca="1">IFERROR(__xludf.DUMMYFUNCTION("""COMPUTED_VALUE"""),0.18)</f>
        <v>0.18</v>
      </c>
      <c r="M514" s="112">
        <f ca="1">IFERROR(__xludf.DUMMYFUNCTION("""COMPUTED_VALUE"""),40931.7055555555)</f>
        <v>40931.705555555498</v>
      </c>
      <c r="N514" s="111">
        <f ca="1">IFERROR(__xludf.DUMMYFUNCTION("""COMPUTED_VALUE"""),12.62)</f>
        <v>12.62</v>
      </c>
      <c r="O514" s="112">
        <f ca="1">IFERROR(__xludf.DUMMYFUNCTION("""COMPUTED_VALUE"""),40996.7055555555)</f>
        <v>40996.705555555498</v>
      </c>
      <c r="P514" s="111">
        <f ca="1">IFERROR(__xludf.DUMMYFUNCTION("""COMPUTED_VALUE"""),41.6)</f>
        <v>41.6</v>
      </c>
      <c r="Q514" s="112">
        <f ca="1">IFERROR(__xludf.DUMMYFUNCTION("""COMPUTED_VALUE"""),40995.7055555555)</f>
        <v>40995.705555555498</v>
      </c>
      <c r="R514" s="111">
        <f ca="1">IFERROR(__xludf.DUMMYFUNCTION("""COMPUTED_VALUE"""),27.32)</f>
        <v>27.32</v>
      </c>
      <c r="S514" s="112">
        <f ca="1">IFERROR(__xludf.DUMMYFUNCTION("""COMPUTED_VALUE"""),41002.7055555555)</f>
        <v>41002.705555555498</v>
      </c>
      <c r="T514" s="111">
        <f ca="1">IFERROR(__xludf.DUMMYFUNCTION("""COMPUTED_VALUE"""),9.6)</f>
        <v>9.6</v>
      </c>
    </row>
    <row r="515" spans="1:20" x14ac:dyDescent="0.3">
      <c r="A515" s="112">
        <f ca="1">IFERROR(__xludf.DUMMYFUNCTION("""COMPUTED_VALUE"""),40996.7055555555)</f>
        <v>40996.705555555498</v>
      </c>
      <c r="B515" s="111">
        <f ca="1">IFERROR(__xludf.DUMMYFUNCTION("""COMPUTED_VALUE"""),17.4)</f>
        <v>17.399999999999999</v>
      </c>
      <c r="C515" s="112">
        <f ca="1">IFERROR(__xludf.DUMMYFUNCTION("""COMPUTED_VALUE"""),41002.7055555555)</f>
        <v>41002.705555555498</v>
      </c>
      <c r="D515" s="111">
        <f ca="1">IFERROR(__xludf.DUMMYFUNCTION("""COMPUTED_VALUE"""),17.41)</f>
        <v>17.41</v>
      </c>
      <c r="E515" s="112">
        <f ca="1">IFERROR(__xludf.DUMMYFUNCTION("""COMPUTED_VALUE"""),41004.7055555555)</f>
        <v>41004.705555555498</v>
      </c>
      <c r="F515" s="111">
        <f ca="1">IFERROR(__xludf.DUMMYFUNCTION("""COMPUTED_VALUE"""),6.96)</f>
        <v>6.96</v>
      </c>
      <c r="G515" s="112">
        <f ca="1">IFERROR(__xludf.DUMMYFUNCTION("""COMPUTED_VALUE"""),41002.7055555555)</f>
        <v>41002.705555555498</v>
      </c>
      <c r="H515" s="111">
        <f ca="1">IFERROR(__xludf.DUMMYFUNCTION("""COMPUTED_VALUE"""),22.55)</f>
        <v>22.55</v>
      </c>
      <c r="K515" s="112">
        <f ca="1">IFERROR(__xludf.DUMMYFUNCTION("""COMPUTED_VALUE"""),41472.7055555555)</f>
        <v>41472.705555555498</v>
      </c>
      <c r="L515" s="111">
        <f ca="1">IFERROR(__xludf.DUMMYFUNCTION("""COMPUTED_VALUE"""),0.19)</f>
        <v>0.19</v>
      </c>
      <c r="M515" s="112">
        <f ca="1">IFERROR(__xludf.DUMMYFUNCTION("""COMPUTED_VALUE"""),40932.7055555555)</f>
        <v>40932.705555555498</v>
      </c>
      <c r="N515" s="111">
        <f ca="1">IFERROR(__xludf.DUMMYFUNCTION("""COMPUTED_VALUE"""),12.71)</f>
        <v>12.71</v>
      </c>
      <c r="O515" s="112">
        <f ca="1">IFERROR(__xludf.DUMMYFUNCTION("""COMPUTED_VALUE"""),40997.7055555555)</f>
        <v>40997.705555555498</v>
      </c>
      <c r="P515" s="111">
        <f ca="1">IFERROR(__xludf.DUMMYFUNCTION("""COMPUTED_VALUE"""),42.16)</f>
        <v>42.16</v>
      </c>
      <c r="Q515" s="112">
        <f ca="1">IFERROR(__xludf.DUMMYFUNCTION("""COMPUTED_VALUE"""),40996.7055555555)</f>
        <v>40996.705555555498</v>
      </c>
      <c r="R515" s="111">
        <f ca="1">IFERROR(__xludf.DUMMYFUNCTION("""COMPUTED_VALUE"""),26.93)</f>
        <v>26.93</v>
      </c>
      <c r="S515" s="112">
        <f ca="1">IFERROR(__xludf.DUMMYFUNCTION("""COMPUTED_VALUE"""),41003.7055555555)</f>
        <v>41003.705555555498</v>
      </c>
      <c r="T515" s="111">
        <f ca="1">IFERROR(__xludf.DUMMYFUNCTION("""COMPUTED_VALUE"""),9.56)</f>
        <v>9.56</v>
      </c>
    </row>
    <row r="516" spans="1:20" x14ac:dyDescent="0.3">
      <c r="A516" s="112">
        <f ca="1">IFERROR(__xludf.DUMMYFUNCTION("""COMPUTED_VALUE"""),40997.7055555555)</f>
        <v>40997.705555555498</v>
      </c>
      <c r="B516" s="111">
        <f ca="1">IFERROR(__xludf.DUMMYFUNCTION("""COMPUTED_VALUE"""),17.09)</f>
        <v>17.09</v>
      </c>
      <c r="C516" s="112">
        <f ca="1">IFERROR(__xludf.DUMMYFUNCTION("""COMPUTED_VALUE"""),41003.7055555555)</f>
        <v>41003.705555555498</v>
      </c>
      <c r="D516" s="111">
        <f ca="1">IFERROR(__xludf.DUMMYFUNCTION("""COMPUTED_VALUE"""),16.87)</f>
        <v>16.87</v>
      </c>
      <c r="E516" s="112">
        <f ca="1">IFERROR(__xludf.DUMMYFUNCTION("""COMPUTED_VALUE"""),41008.7055555555)</f>
        <v>41008.705555555498</v>
      </c>
      <c r="F516" s="111">
        <f ca="1">IFERROR(__xludf.DUMMYFUNCTION("""COMPUTED_VALUE"""),6.88)</f>
        <v>6.88</v>
      </c>
      <c r="G516" s="112">
        <f ca="1">IFERROR(__xludf.DUMMYFUNCTION("""COMPUTED_VALUE"""),41003.7055555555)</f>
        <v>41003.705555555498</v>
      </c>
      <c r="H516" s="111">
        <f ca="1">IFERROR(__xludf.DUMMYFUNCTION("""COMPUTED_VALUE"""),21.76)</f>
        <v>21.76</v>
      </c>
      <c r="K516" s="112">
        <f ca="1">IFERROR(__xludf.DUMMYFUNCTION("""COMPUTED_VALUE"""),41473.7055555555)</f>
        <v>41473.705555555498</v>
      </c>
      <c r="L516" s="111">
        <f ca="1">IFERROR(__xludf.DUMMYFUNCTION("""COMPUTED_VALUE"""),0.18)</f>
        <v>0.18</v>
      </c>
      <c r="M516" s="112">
        <f ca="1">IFERROR(__xludf.DUMMYFUNCTION("""COMPUTED_VALUE"""),40934.7055555555)</f>
        <v>40934.705555555498</v>
      </c>
      <c r="N516" s="111">
        <f ca="1">IFERROR(__xludf.DUMMYFUNCTION("""COMPUTED_VALUE"""),12.82)</f>
        <v>12.82</v>
      </c>
      <c r="O516" s="112">
        <f ca="1">IFERROR(__xludf.DUMMYFUNCTION("""COMPUTED_VALUE"""),41001.7055555555)</f>
        <v>41001.705555555498</v>
      </c>
      <c r="P516" s="111">
        <f ca="1">IFERROR(__xludf.DUMMYFUNCTION("""COMPUTED_VALUE"""),44.01)</f>
        <v>44.01</v>
      </c>
      <c r="Q516" s="112">
        <f ca="1">IFERROR(__xludf.DUMMYFUNCTION("""COMPUTED_VALUE"""),40997.7055555555)</f>
        <v>40997.705555555498</v>
      </c>
      <c r="R516" s="111">
        <f ca="1">IFERROR(__xludf.DUMMYFUNCTION("""COMPUTED_VALUE"""),26.36)</f>
        <v>26.36</v>
      </c>
      <c r="S516" s="112">
        <f ca="1">IFERROR(__xludf.DUMMYFUNCTION("""COMPUTED_VALUE"""),41004.7055555555)</f>
        <v>41004.705555555498</v>
      </c>
      <c r="T516" s="111">
        <f ca="1">IFERROR(__xludf.DUMMYFUNCTION("""COMPUTED_VALUE"""),9.65)</f>
        <v>9.65</v>
      </c>
    </row>
    <row r="517" spans="1:20" x14ac:dyDescent="0.3">
      <c r="A517" s="112">
        <f ca="1">IFERROR(__xludf.DUMMYFUNCTION("""COMPUTED_VALUE"""),41001.7055555555)</f>
        <v>41001.705555555498</v>
      </c>
      <c r="B517" s="111">
        <f ca="1">IFERROR(__xludf.DUMMYFUNCTION("""COMPUTED_VALUE"""),17.19)</f>
        <v>17.190000000000001</v>
      </c>
      <c r="C517" s="112">
        <f ca="1">IFERROR(__xludf.DUMMYFUNCTION("""COMPUTED_VALUE"""),41004.7055555555)</f>
        <v>41004.705555555498</v>
      </c>
      <c r="D517" s="111">
        <f ca="1">IFERROR(__xludf.DUMMYFUNCTION("""COMPUTED_VALUE"""),16.53)</f>
        <v>16.53</v>
      </c>
      <c r="E517" s="112">
        <f ca="1">IFERROR(__xludf.DUMMYFUNCTION("""COMPUTED_VALUE"""),41009.7055555555)</f>
        <v>41009.705555555498</v>
      </c>
      <c r="F517" s="111">
        <f ca="1">IFERROR(__xludf.DUMMYFUNCTION("""COMPUTED_VALUE"""),6.73)</f>
        <v>6.73</v>
      </c>
      <c r="G517" s="112">
        <f ca="1">IFERROR(__xludf.DUMMYFUNCTION("""COMPUTED_VALUE"""),41004.7055555555)</f>
        <v>41004.705555555498</v>
      </c>
      <c r="H517" s="111">
        <f ca="1">IFERROR(__xludf.DUMMYFUNCTION("""COMPUTED_VALUE"""),22)</f>
        <v>22</v>
      </c>
      <c r="K517" s="112">
        <f ca="1">IFERROR(__xludf.DUMMYFUNCTION("""COMPUTED_VALUE"""),41474.7055555555)</f>
        <v>41474.705555555498</v>
      </c>
      <c r="L517" s="111">
        <f ca="1">IFERROR(__xludf.DUMMYFUNCTION("""COMPUTED_VALUE"""),0.18)</f>
        <v>0.18</v>
      </c>
      <c r="M517" s="112">
        <f ca="1">IFERROR(__xludf.DUMMYFUNCTION("""COMPUTED_VALUE"""),40935.7055555555)</f>
        <v>40935.705555555498</v>
      </c>
      <c r="N517" s="111">
        <f ca="1">IFERROR(__xludf.DUMMYFUNCTION("""COMPUTED_VALUE"""),12.92)</f>
        <v>12.92</v>
      </c>
      <c r="O517" s="112">
        <f ca="1">IFERROR(__xludf.DUMMYFUNCTION("""COMPUTED_VALUE"""),41002.7055555555)</f>
        <v>41002.705555555498</v>
      </c>
      <c r="P517" s="111">
        <f ca="1">IFERROR(__xludf.DUMMYFUNCTION("""COMPUTED_VALUE"""),43.02)</f>
        <v>43.02</v>
      </c>
      <c r="Q517" s="112">
        <f ca="1">IFERROR(__xludf.DUMMYFUNCTION("""COMPUTED_VALUE"""),41001.7055555555)</f>
        <v>41001.705555555498</v>
      </c>
      <c r="R517" s="111">
        <f ca="1">IFERROR(__xludf.DUMMYFUNCTION("""COMPUTED_VALUE"""),25.85)</f>
        <v>25.85</v>
      </c>
      <c r="S517" s="112">
        <f ca="1">IFERROR(__xludf.DUMMYFUNCTION("""COMPUTED_VALUE"""),41008.7055555555)</f>
        <v>41008.705555555498</v>
      </c>
      <c r="T517" s="111">
        <f ca="1">IFERROR(__xludf.DUMMYFUNCTION("""COMPUTED_VALUE"""),9.46)</f>
        <v>9.4600000000000009</v>
      </c>
    </row>
    <row r="518" spans="1:20" x14ac:dyDescent="0.3">
      <c r="A518" s="112">
        <f ca="1">IFERROR(__xludf.DUMMYFUNCTION("""COMPUTED_VALUE"""),41002.7055555555)</f>
        <v>41002.705555555498</v>
      </c>
      <c r="B518" s="111">
        <f ca="1">IFERROR(__xludf.DUMMYFUNCTION("""COMPUTED_VALUE"""),16.52)</f>
        <v>16.52</v>
      </c>
      <c r="C518" s="112">
        <f ca="1">IFERROR(__xludf.DUMMYFUNCTION("""COMPUTED_VALUE"""),41008.7055555555)</f>
        <v>41008.705555555498</v>
      </c>
      <c r="D518" s="111">
        <f ca="1">IFERROR(__xludf.DUMMYFUNCTION("""COMPUTED_VALUE"""),16.28)</f>
        <v>16.28</v>
      </c>
      <c r="E518" s="112">
        <f ca="1">IFERROR(__xludf.DUMMYFUNCTION("""COMPUTED_VALUE"""),41010.7055555555)</f>
        <v>41010.705555555498</v>
      </c>
      <c r="F518" s="111">
        <f ca="1">IFERROR(__xludf.DUMMYFUNCTION("""COMPUTED_VALUE"""),6.69)</f>
        <v>6.69</v>
      </c>
      <c r="G518" s="112">
        <f ca="1">IFERROR(__xludf.DUMMYFUNCTION("""COMPUTED_VALUE"""),41008.7055555555)</f>
        <v>41008.705555555498</v>
      </c>
      <c r="H518" s="111">
        <f ca="1">IFERROR(__xludf.DUMMYFUNCTION("""COMPUTED_VALUE"""),21.59)</f>
        <v>21.59</v>
      </c>
      <c r="K518" s="112">
        <f ca="1">IFERROR(__xludf.DUMMYFUNCTION("""COMPUTED_VALUE"""),41477.7055555555)</f>
        <v>41477.705555555498</v>
      </c>
      <c r="L518" s="111">
        <f ca="1">IFERROR(__xludf.DUMMYFUNCTION("""COMPUTED_VALUE"""),0.19)</f>
        <v>0.19</v>
      </c>
      <c r="M518" s="112">
        <f ca="1">IFERROR(__xludf.DUMMYFUNCTION("""COMPUTED_VALUE"""),40938.7055555555)</f>
        <v>40938.705555555498</v>
      </c>
      <c r="N518" s="111">
        <f ca="1">IFERROR(__xludf.DUMMYFUNCTION("""COMPUTED_VALUE"""),12.71)</f>
        <v>12.71</v>
      </c>
      <c r="O518" s="112">
        <f ca="1">IFERROR(__xludf.DUMMYFUNCTION("""COMPUTED_VALUE"""),41003.7055555555)</f>
        <v>41003.705555555498</v>
      </c>
      <c r="P518" s="111">
        <f ca="1">IFERROR(__xludf.DUMMYFUNCTION("""COMPUTED_VALUE"""),42.17)</f>
        <v>42.17</v>
      </c>
      <c r="Q518" s="112">
        <f ca="1">IFERROR(__xludf.DUMMYFUNCTION("""COMPUTED_VALUE"""),41002.7055555555)</f>
        <v>41002.705555555498</v>
      </c>
      <c r="R518" s="111">
        <f ca="1">IFERROR(__xludf.DUMMYFUNCTION("""COMPUTED_VALUE"""),25.72)</f>
        <v>25.72</v>
      </c>
      <c r="S518" s="112">
        <f ca="1">IFERROR(__xludf.DUMMYFUNCTION("""COMPUTED_VALUE"""),41009.7055555555)</f>
        <v>41009.705555555498</v>
      </c>
      <c r="T518" s="111">
        <f ca="1">IFERROR(__xludf.DUMMYFUNCTION("""COMPUTED_VALUE"""),8.93)</f>
        <v>8.93</v>
      </c>
    </row>
    <row r="519" spans="1:20" x14ac:dyDescent="0.3">
      <c r="A519" s="112">
        <f ca="1">IFERROR(__xludf.DUMMYFUNCTION("""COMPUTED_VALUE"""),41003.7055555555)</f>
        <v>41003.705555555498</v>
      </c>
      <c r="B519" s="111">
        <f ca="1">IFERROR(__xludf.DUMMYFUNCTION("""COMPUTED_VALUE"""),16.61)</f>
        <v>16.61</v>
      </c>
      <c r="C519" s="112">
        <f ca="1">IFERROR(__xludf.DUMMYFUNCTION("""COMPUTED_VALUE"""),41009.7055555555)</f>
        <v>41009.705555555498</v>
      </c>
      <c r="D519" s="111">
        <f ca="1">IFERROR(__xludf.DUMMYFUNCTION("""COMPUTED_VALUE"""),15.95)</f>
        <v>15.95</v>
      </c>
      <c r="E519" s="112">
        <f ca="1">IFERROR(__xludf.DUMMYFUNCTION("""COMPUTED_VALUE"""),41011.7055555555)</f>
        <v>41011.705555555498</v>
      </c>
      <c r="F519" s="111">
        <f ca="1">IFERROR(__xludf.DUMMYFUNCTION("""COMPUTED_VALUE"""),6.96)</f>
        <v>6.96</v>
      </c>
      <c r="G519" s="112">
        <f ca="1">IFERROR(__xludf.DUMMYFUNCTION("""COMPUTED_VALUE"""),41009.7055555555)</f>
        <v>41009.705555555498</v>
      </c>
      <c r="H519" s="111">
        <f ca="1">IFERROR(__xludf.DUMMYFUNCTION("""COMPUTED_VALUE"""),21.19)</f>
        <v>21.19</v>
      </c>
      <c r="K519" s="112">
        <f ca="1">IFERROR(__xludf.DUMMYFUNCTION("""COMPUTED_VALUE"""),41478.7055555555)</f>
        <v>41478.705555555498</v>
      </c>
      <c r="L519" s="111">
        <f ca="1">IFERROR(__xludf.DUMMYFUNCTION("""COMPUTED_VALUE"""),0.18)</f>
        <v>0.18</v>
      </c>
      <c r="M519" s="112">
        <f ca="1">IFERROR(__xludf.DUMMYFUNCTION("""COMPUTED_VALUE"""),40939.7055555555)</f>
        <v>40939.705555555498</v>
      </c>
      <c r="N519" s="111">
        <f ca="1">IFERROR(__xludf.DUMMYFUNCTION("""COMPUTED_VALUE"""),12.31)</f>
        <v>12.31</v>
      </c>
      <c r="O519" s="112">
        <f ca="1">IFERROR(__xludf.DUMMYFUNCTION("""COMPUTED_VALUE"""),41004.7055555555)</f>
        <v>41004.705555555498</v>
      </c>
      <c r="P519" s="111">
        <f ca="1">IFERROR(__xludf.DUMMYFUNCTION("""COMPUTED_VALUE"""),42.06)</f>
        <v>42.06</v>
      </c>
      <c r="Q519" s="112">
        <f ca="1">IFERROR(__xludf.DUMMYFUNCTION("""COMPUTED_VALUE"""),41003.7055555555)</f>
        <v>41003.705555555498</v>
      </c>
      <c r="R519" s="111">
        <f ca="1">IFERROR(__xludf.DUMMYFUNCTION("""COMPUTED_VALUE"""),24.2)</f>
        <v>24.2</v>
      </c>
      <c r="S519" s="112">
        <f ca="1">IFERROR(__xludf.DUMMYFUNCTION("""COMPUTED_VALUE"""),41010.7055555555)</f>
        <v>41010.705555555498</v>
      </c>
      <c r="T519" s="111">
        <f ca="1">IFERROR(__xludf.DUMMYFUNCTION("""COMPUTED_VALUE"""),8.78)</f>
        <v>8.7799999999999994</v>
      </c>
    </row>
    <row r="520" spans="1:20" x14ac:dyDescent="0.3">
      <c r="A520" s="112">
        <f ca="1">IFERROR(__xludf.DUMMYFUNCTION("""COMPUTED_VALUE"""),41004.7055555555)</f>
        <v>41004.705555555498</v>
      </c>
      <c r="B520" s="111">
        <f ca="1">IFERROR(__xludf.DUMMYFUNCTION("""COMPUTED_VALUE"""),16.3)</f>
        <v>16.3</v>
      </c>
      <c r="C520" s="112">
        <f ca="1">IFERROR(__xludf.DUMMYFUNCTION("""COMPUTED_VALUE"""),41011.7055555555)</f>
        <v>41011.705555555498</v>
      </c>
      <c r="D520" s="111">
        <f ca="1">IFERROR(__xludf.DUMMYFUNCTION("""COMPUTED_VALUE"""),16.51)</f>
        <v>16.510000000000002</v>
      </c>
      <c r="E520" s="112">
        <f ca="1">IFERROR(__xludf.DUMMYFUNCTION("""COMPUTED_VALUE"""),41012.7055555555)</f>
        <v>41012.705555555498</v>
      </c>
      <c r="F520" s="111">
        <f ca="1">IFERROR(__xludf.DUMMYFUNCTION("""COMPUTED_VALUE"""),6.71)</f>
        <v>6.71</v>
      </c>
      <c r="G520" s="112">
        <f ca="1">IFERROR(__xludf.DUMMYFUNCTION("""COMPUTED_VALUE"""),41010.7055555555)</f>
        <v>41010.705555555498</v>
      </c>
      <c r="H520" s="111">
        <f ca="1">IFERROR(__xludf.DUMMYFUNCTION("""COMPUTED_VALUE"""),21.35)</f>
        <v>21.35</v>
      </c>
      <c r="K520" s="112">
        <f ca="1">IFERROR(__xludf.DUMMYFUNCTION("""COMPUTED_VALUE"""),41479.7055555555)</f>
        <v>41479.705555555498</v>
      </c>
      <c r="L520" s="111">
        <f ca="1">IFERROR(__xludf.DUMMYFUNCTION("""COMPUTED_VALUE"""),0.18)</f>
        <v>0.18</v>
      </c>
      <c r="M520" s="112">
        <f ca="1">IFERROR(__xludf.DUMMYFUNCTION("""COMPUTED_VALUE"""),40940.7055555555)</f>
        <v>40940.705555555498</v>
      </c>
      <c r="N520" s="111">
        <f ca="1">IFERROR(__xludf.DUMMYFUNCTION("""COMPUTED_VALUE"""),12.28)</f>
        <v>12.28</v>
      </c>
      <c r="O520" s="112">
        <f ca="1">IFERROR(__xludf.DUMMYFUNCTION("""COMPUTED_VALUE"""),41008.7055555555)</f>
        <v>41008.705555555498</v>
      </c>
      <c r="P520" s="111">
        <f ca="1">IFERROR(__xludf.DUMMYFUNCTION("""COMPUTED_VALUE"""),41.62)</f>
        <v>41.62</v>
      </c>
      <c r="Q520" s="112">
        <f ca="1">IFERROR(__xludf.DUMMYFUNCTION("""COMPUTED_VALUE"""),41004.7055555555)</f>
        <v>41004.705555555498</v>
      </c>
      <c r="R520" s="111">
        <f ca="1">IFERROR(__xludf.DUMMYFUNCTION("""COMPUTED_VALUE"""),24.13)</f>
        <v>24.13</v>
      </c>
      <c r="S520" s="112">
        <f ca="1">IFERROR(__xludf.DUMMYFUNCTION("""COMPUTED_VALUE"""),41011.7055555555)</f>
        <v>41011.705555555498</v>
      </c>
      <c r="T520" s="111">
        <f ca="1">IFERROR(__xludf.DUMMYFUNCTION("""COMPUTED_VALUE"""),8.8)</f>
        <v>8.8000000000000007</v>
      </c>
    </row>
    <row r="521" spans="1:20" x14ac:dyDescent="0.3">
      <c r="A521" s="112">
        <f ca="1">IFERROR(__xludf.DUMMYFUNCTION("""COMPUTED_VALUE"""),41008.7055555555)</f>
        <v>41008.705555555498</v>
      </c>
      <c r="B521" s="111">
        <f ca="1">IFERROR(__xludf.DUMMYFUNCTION("""COMPUTED_VALUE"""),15.99)</f>
        <v>15.99</v>
      </c>
      <c r="C521" s="112">
        <f ca="1">IFERROR(__xludf.DUMMYFUNCTION("""COMPUTED_VALUE"""),41012.7055555555)</f>
        <v>41012.705555555498</v>
      </c>
      <c r="D521" s="111">
        <f ca="1">IFERROR(__xludf.DUMMYFUNCTION("""COMPUTED_VALUE"""),15.87)</f>
        <v>15.87</v>
      </c>
      <c r="E521" s="112">
        <f ca="1">IFERROR(__xludf.DUMMYFUNCTION("""COMPUTED_VALUE"""),41016.7055555555)</f>
        <v>41016.705555555498</v>
      </c>
      <c r="F521" s="111">
        <f ca="1">IFERROR(__xludf.DUMMYFUNCTION("""COMPUTED_VALUE"""),6.69)</f>
        <v>6.69</v>
      </c>
      <c r="G521" s="112">
        <f ca="1">IFERROR(__xludf.DUMMYFUNCTION("""COMPUTED_VALUE"""),41011.7055555555)</f>
        <v>41011.705555555498</v>
      </c>
      <c r="H521" s="111">
        <f ca="1">IFERROR(__xludf.DUMMYFUNCTION("""COMPUTED_VALUE"""),22.01)</f>
        <v>22.01</v>
      </c>
      <c r="K521" s="112">
        <f ca="1">IFERROR(__xludf.DUMMYFUNCTION("""COMPUTED_VALUE"""),41480.7055555555)</f>
        <v>41480.705555555498</v>
      </c>
      <c r="L521" s="111">
        <f ca="1">IFERROR(__xludf.DUMMYFUNCTION("""COMPUTED_VALUE"""),0.18)</f>
        <v>0.18</v>
      </c>
      <c r="M521" s="112">
        <f ca="1">IFERROR(__xludf.DUMMYFUNCTION("""COMPUTED_VALUE"""),40941.7055555555)</f>
        <v>40941.705555555498</v>
      </c>
      <c r="N521" s="111">
        <f ca="1">IFERROR(__xludf.DUMMYFUNCTION("""COMPUTED_VALUE"""),12.31)</f>
        <v>12.31</v>
      </c>
      <c r="O521" s="112">
        <f ca="1">IFERROR(__xludf.DUMMYFUNCTION("""COMPUTED_VALUE"""),41009.7055555555)</f>
        <v>41009.705555555498</v>
      </c>
      <c r="P521" s="111">
        <f ca="1">IFERROR(__xludf.DUMMYFUNCTION("""COMPUTED_VALUE"""),41.24)</f>
        <v>41.24</v>
      </c>
      <c r="Q521" s="112">
        <f ca="1">IFERROR(__xludf.DUMMYFUNCTION("""COMPUTED_VALUE"""),41008.7055555555)</f>
        <v>41008.705555555498</v>
      </c>
      <c r="R521" s="111">
        <f ca="1">IFERROR(__xludf.DUMMYFUNCTION("""COMPUTED_VALUE"""),24.08)</f>
        <v>24.08</v>
      </c>
      <c r="S521" s="112">
        <f ca="1">IFERROR(__xludf.DUMMYFUNCTION("""COMPUTED_VALUE"""),41012.7055555555)</f>
        <v>41012.705555555498</v>
      </c>
      <c r="T521" s="111">
        <f ca="1">IFERROR(__xludf.DUMMYFUNCTION("""COMPUTED_VALUE"""),8.79)</f>
        <v>8.7899999999999991</v>
      </c>
    </row>
    <row r="522" spans="1:20" x14ac:dyDescent="0.3">
      <c r="A522" s="112">
        <f ca="1">IFERROR(__xludf.DUMMYFUNCTION("""COMPUTED_VALUE"""),41009.7055555555)</f>
        <v>41009.705555555498</v>
      </c>
      <c r="B522" s="111">
        <f ca="1">IFERROR(__xludf.DUMMYFUNCTION("""COMPUTED_VALUE"""),15.71)</f>
        <v>15.71</v>
      </c>
      <c r="C522" s="112">
        <f ca="1">IFERROR(__xludf.DUMMYFUNCTION("""COMPUTED_VALUE"""),41016.7055555555)</f>
        <v>41016.705555555498</v>
      </c>
      <c r="D522" s="111">
        <f ca="1">IFERROR(__xludf.DUMMYFUNCTION("""COMPUTED_VALUE"""),15.78)</f>
        <v>15.78</v>
      </c>
      <c r="E522" s="112">
        <f ca="1">IFERROR(__xludf.DUMMYFUNCTION("""COMPUTED_VALUE"""),41017.7055555555)</f>
        <v>41017.705555555498</v>
      </c>
      <c r="F522" s="111">
        <f ca="1">IFERROR(__xludf.DUMMYFUNCTION("""COMPUTED_VALUE"""),6.63)</f>
        <v>6.63</v>
      </c>
      <c r="G522" s="112">
        <f ca="1">IFERROR(__xludf.DUMMYFUNCTION("""COMPUTED_VALUE"""),41012.7055555555)</f>
        <v>41012.705555555498</v>
      </c>
      <c r="H522" s="111">
        <f ca="1">IFERROR(__xludf.DUMMYFUNCTION("""COMPUTED_VALUE"""),21.67)</f>
        <v>21.67</v>
      </c>
      <c r="K522" s="112">
        <f ca="1">IFERROR(__xludf.DUMMYFUNCTION("""COMPUTED_VALUE"""),41481.7055555555)</f>
        <v>41481.705555555498</v>
      </c>
      <c r="L522" s="111">
        <f ca="1">IFERROR(__xludf.DUMMYFUNCTION("""COMPUTED_VALUE"""),0.18)</f>
        <v>0.18</v>
      </c>
      <c r="M522" s="112">
        <f ca="1">IFERROR(__xludf.DUMMYFUNCTION("""COMPUTED_VALUE"""),40942.7055555555)</f>
        <v>40942.705555555498</v>
      </c>
      <c r="N522" s="111">
        <f ca="1">IFERROR(__xludf.DUMMYFUNCTION("""COMPUTED_VALUE"""),12.45)</f>
        <v>12.45</v>
      </c>
      <c r="O522" s="112">
        <f ca="1">IFERROR(__xludf.DUMMYFUNCTION("""COMPUTED_VALUE"""),41010.7055555555)</f>
        <v>41010.705555555498</v>
      </c>
      <c r="P522" s="111">
        <f ca="1">IFERROR(__xludf.DUMMYFUNCTION("""COMPUTED_VALUE"""),41.24)</f>
        <v>41.24</v>
      </c>
      <c r="Q522" s="112">
        <f ca="1">IFERROR(__xludf.DUMMYFUNCTION("""COMPUTED_VALUE"""),41009.7055555555)</f>
        <v>41009.705555555498</v>
      </c>
      <c r="R522" s="111">
        <f ca="1">IFERROR(__xludf.DUMMYFUNCTION("""COMPUTED_VALUE"""),24.23)</f>
        <v>24.23</v>
      </c>
      <c r="S522" s="112">
        <f ca="1">IFERROR(__xludf.DUMMYFUNCTION("""COMPUTED_VALUE"""),41016.7055555555)</f>
        <v>41016.705555555498</v>
      </c>
      <c r="T522" s="111">
        <f ca="1">IFERROR(__xludf.DUMMYFUNCTION("""COMPUTED_VALUE"""),9.26)</f>
        <v>9.26</v>
      </c>
    </row>
    <row r="523" spans="1:20" x14ac:dyDescent="0.3">
      <c r="A523" s="112">
        <f ca="1">IFERROR(__xludf.DUMMYFUNCTION("""COMPUTED_VALUE"""),41010.7055555555)</f>
        <v>41010.705555555498</v>
      </c>
      <c r="B523" s="111">
        <f ca="1">IFERROR(__xludf.DUMMYFUNCTION("""COMPUTED_VALUE"""),15.56)</f>
        <v>15.56</v>
      </c>
      <c r="C523" s="112">
        <f ca="1">IFERROR(__xludf.DUMMYFUNCTION("""COMPUTED_VALUE"""),41017.7055555555)</f>
        <v>41017.705555555498</v>
      </c>
      <c r="D523" s="111">
        <f ca="1">IFERROR(__xludf.DUMMYFUNCTION("""COMPUTED_VALUE"""),15.68)</f>
        <v>15.68</v>
      </c>
      <c r="E523" s="112">
        <f ca="1">IFERROR(__xludf.DUMMYFUNCTION("""COMPUTED_VALUE"""),41018.7055555555)</f>
        <v>41018.705555555498</v>
      </c>
      <c r="F523" s="111">
        <f ca="1">IFERROR(__xludf.DUMMYFUNCTION("""COMPUTED_VALUE"""),6.69)</f>
        <v>6.69</v>
      </c>
      <c r="G523" s="112">
        <f ca="1">IFERROR(__xludf.DUMMYFUNCTION("""COMPUTED_VALUE"""),41016.7055555555)</f>
        <v>41016.705555555498</v>
      </c>
      <c r="H523" s="111">
        <f ca="1">IFERROR(__xludf.DUMMYFUNCTION("""COMPUTED_VALUE"""),21.58)</f>
        <v>21.58</v>
      </c>
      <c r="K523" s="112">
        <f ca="1">IFERROR(__xludf.DUMMYFUNCTION("""COMPUTED_VALUE"""),41484.7055555555)</f>
        <v>41484.705555555498</v>
      </c>
      <c r="L523" s="111">
        <f ca="1">IFERROR(__xludf.DUMMYFUNCTION("""COMPUTED_VALUE"""),0.17)</f>
        <v>0.17</v>
      </c>
      <c r="M523" s="112">
        <f ca="1">IFERROR(__xludf.DUMMYFUNCTION("""COMPUTED_VALUE"""),40945.7055555555)</f>
        <v>40945.705555555498</v>
      </c>
      <c r="N523" s="111">
        <f ca="1">IFERROR(__xludf.DUMMYFUNCTION("""COMPUTED_VALUE"""),12.45)</f>
        <v>12.45</v>
      </c>
      <c r="O523" s="112">
        <f ca="1">IFERROR(__xludf.DUMMYFUNCTION("""COMPUTED_VALUE"""),41011.7055555555)</f>
        <v>41011.705555555498</v>
      </c>
      <c r="P523" s="111">
        <f ca="1">IFERROR(__xludf.DUMMYFUNCTION("""COMPUTED_VALUE"""),43.86)</f>
        <v>43.86</v>
      </c>
      <c r="Q523" s="112">
        <f ca="1">IFERROR(__xludf.DUMMYFUNCTION("""COMPUTED_VALUE"""),41010.7055555555)</f>
        <v>41010.705555555498</v>
      </c>
      <c r="R523" s="111">
        <f ca="1">IFERROR(__xludf.DUMMYFUNCTION("""COMPUTED_VALUE"""),24.59)</f>
        <v>24.59</v>
      </c>
      <c r="S523" s="112">
        <f ca="1">IFERROR(__xludf.DUMMYFUNCTION("""COMPUTED_VALUE"""),41017.7055555555)</f>
        <v>41017.705555555498</v>
      </c>
      <c r="T523" s="111">
        <f ca="1">IFERROR(__xludf.DUMMYFUNCTION("""COMPUTED_VALUE"""),9.24)</f>
        <v>9.24</v>
      </c>
    </row>
    <row r="524" spans="1:20" x14ac:dyDescent="0.3">
      <c r="A524" s="112">
        <f ca="1">IFERROR(__xludf.DUMMYFUNCTION("""COMPUTED_VALUE"""),41011.7055555555)</f>
        <v>41011.705555555498</v>
      </c>
      <c r="B524" s="111">
        <f ca="1">IFERROR(__xludf.DUMMYFUNCTION("""COMPUTED_VALUE"""),15.93)</f>
        <v>15.93</v>
      </c>
      <c r="C524" s="112">
        <f ca="1">IFERROR(__xludf.DUMMYFUNCTION("""COMPUTED_VALUE"""),41018.7055555555)</f>
        <v>41018.705555555498</v>
      </c>
      <c r="D524" s="111">
        <f ca="1">IFERROR(__xludf.DUMMYFUNCTION("""COMPUTED_VALUE"""),15.8)</f>
        <v>15.8</v>
      </c>
      <c r="E524" s="112">
        <f ca="1">IFERROR(__xludf.DUMMYFUNCTION("""COMPUTED_VALUE"""),41019.7055555555)</f>
        <v>41019.705555555498</v>
      </c>
      <c r="F524" s="111">
        <f ca="1">IFERROR(__xludf.DUMMYFUNCTION("""COMPUTED_VALUE"""),6.83)</f>
        <v>6.83</v>
      </c>
      <c r="G524" s="112">
        <f ca="1">IFERROR(__xludf.DUMMYFUNCTION("""COMPUTED_VALUE"""),41017.7055555555)</f>
        <v>41017.705555555498</v>
      </c>
      <c r="H524" s="111">
        <f ca="1">IFERROR(__xludf.DUMMYFUNCTION("""COMPUTED_VALUE"""),21.76)</f>
        <v>21.76</v>
      </c>
      <c r="K524" s="112">
        <f ca="1">IFERROR(__xludf.DUMMYFUNCTION("""COMPUTED_VALUE"""),41485.7055555555)</f>
        <v>41485.705555555498</v>
      </c>
      <c r="L524" s="111">
        <f ca="1">IFERROR(__xludf.DUMMYFUNCTION("""COMPUTED_VALUE"""),0.17)</f>
        <v>0.17</v>
      </c>
      <c r="M524" s="112">
        <f ca="1">IFERROR(__xludf.DUMMYFUNCTION("""COMPUTED_VALUE"""),40946.7055555555)</f>
        <v>40946.705555555498</v>
      </c>
      <c r="N524" s="111">
        <f ca="1">IFERROR(__xludf.DUMMYFUNCTION("""COMPUTED_VALUE"""),12.47)</f>
        <v>12.47</v>
      </c>
      <c r="O524" s="112">
        <f ca="1">IFERROR(__xludf.DUMMYFUNCTION("""COMPUTED_VALUE"""),41012.7055555555)</f>
        <v>41012.705555555498</v>
      </c>
      <c r="P524" s="111">
        <f ca="1">IFERROR(__xludf.DUMMYFUNCTION("""COMPUTED_VALUE"""),43.8)</f>
        <v>43.8</v>
      </c>
      <c r="Q524" s="112">
        <f ca="1">IFERROR(__xludf.DUMMYFUNCTION("""COMPUTED_VALUE"""),41011.7055555555)</f>
        <v>41011.705555555498</v>
      </c>
      <c r="R524" s="111">
        <f ca="1">IFERROR(__xludf.DUMMYFUNCTION("""COMPUTED_VALUE"""),25.18)</f>
        <v>25.18</v>
      </c>
      <c r="S524" s="112">
        <f ca="1">IFERROR(__xludf.DUMMYFUNCTION("""COMPUTED_VALUE"""),41018.7055555555)</f>
        <v>41018.705555555498</v>
      </c>
      <c r="T524" s="111">
        <f ca="1">IFERROR(__xludf.DUMMYFUNCTION("""COMPUTED_VALUE"""),9.12)</f>
        <v>9.1199999999999992</v>
      </c>
    </row>
    <row r="525" spans="1:20" x14ac:dyDescent="0.3">
      <c r="A525" s="112">
        <f ca="1">IFERROR(__xludf.DUMMYFUNCTION("""COMPUTED_VALUE"""),41012.7055555555)</f>
        <v>41012.705555555498</v>
      </c>
      <c r="B525" s="111">
        <f ca="1">IFERROR(__xludf.DUMMYFUNCTION("""COMPUTED_VALUE"""),15.64)</f>
        <v>15.64</v>
      </c>
      <c r="C525" s="112">
        <f ca="1">IFERROR(__xludf.DUMMYFUNCTION("""COMPUTED_VALUE"""),41019.7055555555)</f>
        <v>41019.705555555498</v>
      </c>
      <c r="D525" s="111">
        <f ca="1">IFERROR(__xludf.DUMMYFUNCTION("""COMPUTED_VALUE"""),16.14)</f>
        <v>16.14</v>
      </c>
      <c r="E525" s="112">
        <f ca="1">IFERROR(__xludf.DUMMYFUNCTION("""COMPUTED_VALUE"""),41022.7055555555)</f>
        <v>41022.705555555498</v>
      </c>
      <c r="F525" s="111">
        <f ca="1">IFERROR(__xludf.DUMMYFUNCTION("""COMPUTED_VALUE"""),6.73)</f>
        <v>6.73</v>
      </c>
      <c r="G525" s="112">
        <f ca="1">IFERROR(__xludf.DUMMYFUNCTION("""COMPUTED_VALUE"""),41018.7055555555)</f>
        <v>41018.705555555498</v>
      </c>
      <c r="H525" s="111">
        <f ca="1">IFERROR(__xludf.DUMMYFUNCTION("""COMPUTED_VALUE"""),21.45)</f>
        <v>21.45</v>
      </c>
      <c r="K525" s="112">
        <f ca="1">IFERROR(__xludf.DUMMYFUNCTION("""COMPUTED_VALUE"""),41486.7055555555)</f>
        <v>41486.705555555498</v>
      </c>
      <c r="L525" s="111">
        <f ca="1">IFERROR(__xludf.DUMMYFUNCTION("""COMPUTED_VALUE"""),0.16)</f>
        <v>0.16</v>
      </c>
      <c r="M525" s="112">
        <f ca="1">IFERROR(__xludf.DUMMYFUNCTION("""COMPUTED_VALUE"""),40947.7055555555)</f>
        <v>40947.705555555498</v>
      </c>
      <c r="N525" s="111">
        <f ca="1">IFERROR(__xludf.DUMMYFUNCTION("""COMPUTED_VALUE"""),12.44)</f>
        <v>12.44</v>
      </c>
      <c r="O525" s="112">
        <f ca="1">IFERROR(__xludf.DUMMYFUNCTION("""COMPUTED_VALUE"""),41016.7055555555)</f>
        <v>41016.705555555498</v>
      </c>
      <c r="P525" s="111">
        <f ca="1">IFERROR(__xludf.DUMMYFUNCTION("""COMPUTED_VALUE"""),43.06)</f>
        <v>43.06</v>
      </c>
      <c r="Q525" s="112">
        <f ca="1">IFERROR(__xludf.DUMMYFUNCTION("""COMPUTED_VALUE"""),41012.7055555555)</f>
        <v>41012.705555555498</v>
      </c>
      <c r="R525" s="111">
        <f ca="1">IFERROR(__xludf.DUMMYFUNCTION("""COMPUTED_VALUE"""),24.5)</f>
        <v>24.5</v>
      </c>
      <c r="S525" s="112">
        <f ca="1">IFERROR(__xludf.DUMMYFUNCTION("""COMPUTED_VALUE"""),41019.7055555555)</f>
        <v>41019.705555555498</v>
      </c>
      <c r="T525" s="111">
        <f ca="1">IFERROR(__xludf.DUMMYFUNCTION("""COMPUTED_VALUE"""),9.07)</f>
        <v>9.07</v>
      </c>
    </row>
    <row r="526" spans="1:20" x14ac:dyDescent="0.3">
      <c r="A526" s="112">
        <f ca="1">IFERROR(__xludf.DUMMYFUNCTION("""COMPUTED_VALUE"""),41016.7055555555)</f>
        <v>41016.705555555498</v>
      </c>
      <c r="B526" s="111">
        <f ca="1">IFERROR(__xludf.DUMMYFUNCTION("""COMPUTED_VALUE"""),16.65)</f>
        <v>16.649999999999999</v>
      </c>
      <c r="C526" s="112">
        <f ca="1">IFERROR(__xludf.DUMMYFUNCTION("""COMPUTED_VALUE"""),41022.7055555555)</f>
        <v>41022.705555555498</v>
      </c>
      <c r="D526" s="111">
        <f ca="1">IFERROR(__xludf.DUMMYFUNCTION("""COMPUTED_VALUE"""),15.92)</f>
        <v>15.92</v>
      </c>
      <c r="E526" s="112">
        <f ca="1">IFERROR(__xludf.DUMMYFUNCTION("""COMPUTED_VALUE"""),41023.7055555555)</f>
        <v>41023.705555555498</v>
      </c>
      <c r="F526" s="111">
        <f ca="1">IFERROR(__xludf.DUMMYFUNCTION("""COMPUTED_VALUE"""),6.66)</f>
        <v>6.66</v>
      </c>
      <c r="G526" s="112">
        <f ca="1">IFERROR(__xludf.DUMMYFUNCTION("""COMPUTED_VALUE"""),41019.7055555555)</f>
        <v>41019.705555555498</v>
      </c>
      <c r="H526" s="111">
        <f ca="1">IFERROR(__xludf.DUMMYFUNCTION("""COMPUTED_VALUE"""),21.46)</f>
        <v>21.46</v>
      </c>
      <c r="K526" s="112">
        <f ca="1">IFERROR(__xludf.DUMMYFUNCTION("""COMPUTED_VALUE"""),41487.7055555555)</f>
        <v>41487.705555555498</v>
      </c>
      <c r="L526" s="111">
        <f ca="1">IFERROR(__xludf.DUMMYFUNCTION("""COMPUTED_VALUE"""),0.16)</f>
        <v>0.16</v>
      </c>
      <c r="M526" s="112">
        <f ca="1">IFERROR(__xludf.DUMMYFUNCTION("""COMPUTED_VALUE"""),40948.7055555555)</f>
        <v>40948.705555555498</v>
      </c>
      <c r="N526" s="111">
        <f ca="1">IFERROR(__xludf.DUMMYFUNCTION("""COMPUTED_VALUE"""),12.35)</f>
        <v>12.35</v>
      </c>
      <c r="O526" s="112">
        <f ca="1">IFERROR(__xludf.DUMMYFUNCTION("""COMPUTED_VALUE"""),41017.7055555555)</f>
        <v>41017.705555555498</v>
      </c>
      <c r="P526" s="111">
        <f ca="1">IFERROR(__xludf.DUMMYFUNCTION("""COMPUTED_VALUE"""),43.5)</f>
        <v>43.5</v>
      </c>
      <c r="Q526" s="112">
        <f ca="1">IFERROR(__xludf.DUMMYFUNCTION("""COMPUTED_VALUE"""),41016.7055555555)</f>
        <v>41016.705555555498</v>
      </c>
      <c r="R526" s="111">
        <f ca="1">IFERROR(__xludf.DUMMYFUNCTION("""COMPUTED_VALUE"""),23.38)</f>
        <v>23.38</v>
      </c>
      <c r="S526" s="112">
        <f ca="1">IFERROR(__xludf.DUMMYFUNCTION("""COMPUTED_VALUE"""),41022.7055555555)</f>
        <v>41022.705555555498</v>
      </c>
      <c r="T526" s="111">
        <f ca="1">IFERROR(__xludf.DUMMYFUNCTION("""COMPUTED_VALUE"""),8.75)</f>
        <v>8.75</v>
      </c>
    </row>
    <row r="527" spans="1:20" x14ac:dyDescent="0.3">
      <c r="A527" s="112">
        <f ca="1">IFERROR(__xludf.DUMMYFUNCTION("""COMPUTED_VALUE"""),41017.7055555555)</f>
        <v>41017.705555555498</v>
      </c>
      <c r="B527" s="111">
        <f ca="1">IFERROR(__xludf.DUMMYFUNCTION("""COMPUTED_VALUE"""),16.16)</f>
        <v>16.16</v>
      </c>
      <c r="C527" s="112">
        <f ca="1">IFERROR(__xludf.DUMMYFUNCTION("""COMPUTED_VALUE"""),41023.7055555555)</f>
        <v>41023.705555555498</v>
      </c>
      <c r="D527" s="111">
        <f ca="1">IFERROR(__xludf.DUMMYFUNCTION("""COMPUTED_VALUE"""),15.75)</f>
        <v>15.75</v>
      </c>
      <c r="E527" s="112">
        <f ca="1">IFERROR(__xludf.DUMMYFUNCTION("""COMPUTED_VALUE"""),41024.7055555555)</f>
        <v>41024.705555555498</v>
      </c>
      <c r="F527" s="111">
        <f ca="1">IFERROR(__xludf.DUMMYFUNCTION("""COMPUTED_VALUE"""),6.28)</f>
        <v>6.28</v>
      </c>
      <c r="G527" s="112">
        <f ca="1">IFERROR(__xludf.DUMMYFUNCTION("""COMPUTED_VALUE"""),41022.7055555555)</f>
        <v>41022.705555555498</v>
      </c>
      <c r="H527" s="111">
        <f ca="1">IFERROR(__xludf.DUMMYFUNCTION("""COMPUTED_VALUE"""),21.28)</f>
        <v>21.28</v>
      </c>
      <c r="K527" s="112">
        <f ca="1">IFERROR(__xludf.DUMMYFUNCTION("""COMPUTED_VALUE"""),41488.7055555555)</f>
        <v>41488.705555555498</v>
      </c>
      <c r="L527" s="111">
        <f ca="1">IFERROR(__xludf.DUMMYFUNCTION("""COMPUTED_VALUE"""),0.16)</f>
        <v>0.16</v>
      </c>
      <c r="M527" s="112">
        <f ca="1">IFERROR(__xludf.DUMMYFUNCTION("""COMPUTED_VALUE"""),40949.7055555555)</f>
        <v>40949.705555555498</v>
      </c>
      <c r="N527" s="111">
        <f ca="1">IFERROR(__xludf.DUMMYFUNCTION("""COMPUTED_VALUE"""),12.12)</f>
        <v>12.12</v>
      </c>
      <c r="O527" s="112">
        <f ca="1">IFERROR(__xludf.DUMMYFUNCTION("""COMPUTED_VALUE"""),41018.7055555555)</f>
        <v>41018.705555555498</v>
      </c>
      <c r="P527" s="111">
        <f ca="1">IFERROR(__xludf.DUMMYFUNCTION("""COMPUTED_VALUE"""),43.18)</f>
        <v>43.18</v>
      </c>
      <c r="Q527" s="112">
        <f ca="1">IFERROR(__xludf.DUMMYFUNCTION("""COMPUTED_VALUE"""),41017.7055555555)</f>
        <v>41017.705555555498</v>
      </c>
      <c r="R527" s="111">
        <f ca="1">IFERROR(__xludf.DUMMYFUNCTION("""COMPUTED_VALUE"""),23.76)</f>
        <v>23.76</v>
      </c>
      <c r="S527" s="112">
        <f ca="1">IFERROR(__xludf.DUMMYFUNCTION("""COMPUTED_VALUE"""),41023.7055555555)</f>
        <v>41023.705555555498</v>
      </c>
      <c r="T527" s="111">
        <f ca="1">IFERROR(__xludf.DUMMYFUNCTION("""COMPUTED_VALUE"""),8.87)</f>
        <v>8.8699999999999992</v>
      </c>
    </row>
    <row r="528" spans="1:20" x14ac:dyDescent="0.3">
      <c r="A528" s="112">
        <f ca="1">IFERROR(__xludf.DUMMYFUNCTION("""COMPUTED_VALUE"""),41018.7055555555)</f>
        <v>41018.705555555498</v>
      </c>
      <c r="B528" s="111">
        <f ca="1">IFERROR(__xludf.DUMMYFUNCTION("""COMPUTED_VALUE"""),15.89)</f>
        <v>15.89</v>
      </c>
      <c r="C528" s="112">
        <f ca="1">IFERROR(__xludf.DUMMYFUNCTION("""COMPUTED_VALUE"""),41024.7055555555)</f>
        <v>41024.705555555498</v>
      </c>
      <c r="D528" s="111">
        <f ca="1">IFERROR(__xludf.DUMMYFUNCTION("""COMPUTED_VALUE"""),14.83)</f>
        <v>14.83</v>
      </c>
      <c r="E528" s="112">
        <f ca="1">IFERROR(__xludf.DUMMYFUNCTION("""COMPUTED_VALUE"""),41025.7055555555)</f>
        <v>41025.705555555498</v>
      </c>
      <c r="F528" s="111">
        <f ca="1">IFERROR(__xludf.DUMMYFUNCTION("""COMPUTED_VALUE"""),6.32)</f>
        <v>6.32</v>
      </c>
      <c r="G528" s="112">
        <f ca="1">IFERROR(__xludf.DUMMYFUNCTION("""COMPUTED_VALUE"""),41023.7055555555)</f>
        <v>41023.705555555498</v>
      </c>
      <c r="H528" s="111">
        <f ca="1">IFERROR(__xludf.DUMMYFUNCTION("""COMPUTED_VALUE"""),21.24)</f>
        <v>21.24</v>
      </c>
      <c r="K528" s="112">
        <f ca="1">IFERROR(__xludf.DUMMYFUNCTION("""COMPUTED_VALUE"""),41491.7055555555)</f>
        <v>41491.705555555498</v>
      </c>
      <c r="L528" s="111">
        <f ca="1">IFERROR(__xludf.DUMMYFUNCTION("""COMPUTED_VALUE"""),0.16)</f>
        <v>0.16</v>
      </c>
      <c r="M528" s="112">
        <f ca="1">IFERROR(__xludf.DUMMYFUNCTION("""COMPUTED_VALUE"""),40952.7055555555)</f>
        <v>40952.705555555498</v>
      </c>
      <c r="N528" s="111">
        <f ca="1">IFERROR(__xludf.DUMMYFUNCTION("""COMPUTED_VALUE"""),12.28)</f>
        <v>12.28</v>
      </c>
      <c r="O528" s="112">
        <f ca="1">IFERROR(__xludf.DUMMYFUNCTION("""COMPUTED_VALUE"""),41019.7055555555)</f>
        <v>41019.705555555498</v>
      </c>
      <c r="P528" s="111">
        <f ca="1">IFERROR(__xludf.DUMMYFUNCTION("""COMPUTED_VALUE"""),43.08)</f>
        <v>43.08</v>
      </c>
      <c r="Q528" s="112">
        <f ca="1">IFERROR(__xludf.DUMMYFUNCTION("""COMPUTED_VALUE"""),41018.7055555555)</f>
        <v>41018.705555555498</v>
      </c>
      <c r="R528" s="111">
        <f ca="1">IFERROR(__xludf.DUMMYFUNCTION("""COMPUTED_VALUE"""),23.83)</f>
        <v>23.83</v>
      </c>
      <c r="S528" s="112">
        <f ca="1">IFERROR(__xludf.DUMMYFUNCTION("""COMPUTED_VALUE"""),41024.7055555555)</f>
        <v>41024.705555555498</v>
      </c>
      <c r="T528" s="111">
        <f ca="1">IFERROR(__xludf.DUMMYFUNCTION("""COMPUTED_VALUE"""),8.7)</f>
        <v>8.6999999999999993</v>
      </c>
    </row>
    <row r="529" spans="1:20" x14ac:dyDescent="0.3">
      <c r="A529" s="112">
        <f ca="1">IFERROR(__xludf.DUMMYFUNCTION("""COMPUTED_VALUE"""),41019.7055555555)</f>
        <v>41019.705555555498</v>
      </c>
      <c r="B529" s="111">
        <f ca="1">IFERROR(__xludf.DUMMYFUNCTION("""COMPUTED_VALUE"""),15.67)</f>
        <v>15.67</v>
      </c>
      <c r="C529" s="112">
        <f ca="1">IFERROR(__xludf.DUMMYFUNCTION("""COMPUTED_VALUE"""),41025.7055555555)</f>
        <v>41025.705555555498</v>
      </c>
      <c r="D529" s="111">
        <f ca="1">IFERROR(__xludf.DUMMYFUNCTION("""COMPUTED_VALUE"""),14.83)</f>
        <v>14.83</v>
      </c>
      <c r="E529" s="112">
        <f ca="1">IFERROR(__xludf.DUMMYFUNCTION("""COMPUTED_VALUE"""),41026.7055555555)</f>
        <v>41026.705555555498</v>
      </c>
      <c r="F529" s="111">
        <f ca="1">IFERROR(__xludf.DUMMYFUNCTION("""COMPUTED_VALUE"""),5.76)</f>
        <v>5.76</v>
      </c>
      <c r="G529" s="112">
        <f ca="1">IFERROR(__xludf.DUMMYFUNCTION("""COMPUTED_VALUE"""),41024.7055555555)</f>
        <v>41024.705555555498</v>
      </c>
      <c r="H529" s="111">
        <f ca="1">IFERROR(__xludf.DUMMYFUNCTION("""COMPUTED_VALUE"""),21.13)</f>
        <v>21.13</v>
      </c>
      <c r="K529" s="112">
        <f ca="1">IFERROR(__xludf.DUMMYFUNCTION("""COMPUTED_VALUE"""),41492.7055555555)</f>
        <v>41492.705555555498</v>
      </c>
      <c r="L529" s="111">
        <f ca="1">IFERROR(__xludf.DUMMYFUNCTION("""COMPUTED_VALUE"""),0.15)</f>
        <v>0.15</v>
      </c>
      <c r="M529" s="112">
        <f ca="1">IFERROR(__xludf.DUMMYFUNCTION("""COMPUTED_VALUE"""),40953.7055555555)</f>
        <v>40953.705555555498</v>
      </c>
      <c r="N529" s="111">
        <f ca="1">IFERROR(__xludf.DUMMYFUNCTION("""COMPUTED_VALUE"""),12.17)</f>
        <v>12.17</v>
      </c>
      <c r="O529" s="112">
        <f ca="1">IFERROR(__xludf.DUMMYFUNCTION("""COMPUTED_VALUE"""),41022.7055555555)</f>
        <v>41022.705555555498</v>
      </c>
      <c r="P529" s="111">
        <f ca="1">IFERROR(__xludf.DUMMYFUNCTION("""COMPUTED_VALUE"""),42.8)</f>
        <v>42.8</v>
      </c>
      <c r="Q529" s="112">
        <f ca="1">IFERROR(__xludf.DUMMYFUNCTION("""COMPUTED_VALUE"""),41019.7055555555)</f>
        <v>41019.705555555498</v>
      </c>
      <c r="R529" s="111">
        <f ca="1">IFERROR(__xludf.DUMMYFUNCTION("""COMPUTED_VALUE"""),24.1)</f>
        <v>24.1</v>
      </c>
      <c r="S529" s="112">
        <f ca="1">IFERROR(__xludf.DUMMYFUNCTION("""COMPUTED_VALUE"""),41025.7055555555)</f>
        <v>41025.705555555498</v>
      </c>
      <c r="T529" s="111">
        <f ca="1">IFERROR(__xludf.DUMMYFUNCTION("""COMPUTED_VALUE"""),8.75)</f>
        <v>8.75</v>
      </c>
    </row>
    <row r="530" spans="1:20" x14ac:dyDescent="0.3">
      <c r="A530" s="112">
        <f ca="1">IFERROR(__xludf.DUMMYFUNCTION("""COMPUTED_VALUE"""),41022.7055555555)</f>
        <v>41022.705555555498</v>
      </c>
      <c r="B530" s="111">
        <f ca="1">IFERROR(__xludf.DUMMYFUNCTION("""COMPUTED_VALUE"""),15.98)</f>
        <v>15.98</v>
      </c>
      <c r="C530" s="112">
        <f ca="1">IFERROR(__xludf.DUMMYFUNCTION("""COMPUTED_VALUE"""),41026.7055555555)</f>
        <v>41026.705555555498</v>
      </c>
      <c r="D530" s="111">
        <f ca="1">IFERROR(__xludf.DUMMYFUNCTION("""COMPUTED_VALUE"""),14.88)</f>
        <v>14.88</v>
      </c>
      <c r="E530" s="112">
        <f ca="1">IFERROR(__xludf.DUMMYFUNCTION("""COMPUTED_VALUE"""),41031.7055555555)</f>
        <v>41031.705555555498</v>
      </c>
      <c r="F530" s="111">
        <f ca="1">IFERROR(__xludf.DUMMYFUNCTION("""COMPUTED_VALUE"""),5.89)</f>
        <v>5.89</v>
      </c>
      <c r="G530" s="112">
        <f ca="1">IFERROR(__xludf.DUMMYFUNCTION("""COMPUTED_VALUE"""),41025.7055555555)</f>
        <v>41025.705555555498</v>
      </c>
      <c r="H530" s="111">
        <f ca="1">IFERROR(__xludf.DUMMYFUNCTION("""COMPUTED_VALUE"""),21.24)</f>
        <v>21.24</v>
      </c>
      <c r="K530" s="112">
        <f ca="1">IFERROR(__xludf.DUMMYFUNCTION("""COMPUTED_VALUE"""),41493.7055555555)</f>
        <v>41493.705555555498</v>
      </c>
      <c r="L530" s="111">
        <f ca="1">IFERROR(__xludf.DUMMYFUNCTION("""COMPUTED_VALUE"""),0.2)</f>
        <v>0.2</v>
      </c>
      <c r="M530" s="112">
        <f ca="1">IFERROR(__xludf.DUMMYFUNCTION("""COMPUTED_VALUE"""),40954.7055555555)</f>
        <v>40954.705555555498</v>
      </c>
      <c r="N530" s="111">
        <f ca="1">IFERROR(__xludf.DUMMYFUNCTION("""COMPUTED_VALUE"""),12.04)</f>
        <v>12.04</v>
      </c>
      <c r="O530" s="112">
        <f ca="1">IFERROR(__xludf.DUMMYFUNCTION("""COMPUTED_VALUE"""),41023.7055555555)</f>
        <v>41023.705555555498</v>
      </c>
      <c r="P530" s="111">
        <f ca="1">IFERROR(__xludf.DUMMYFUNCTION("""COMPUTED_VALUE"""),42.9)</f>
        <v>42.9</v>
      </c>
      <c r="Q530" s="112">
        <f ca="1">IFERROR(__xludf.DUMMYFUNCTION("""COMPUTED_VALUE"""),41022.7055555555)</f>
        <v>41022.705555555498</v>
      </c>
      <c r="R530" s="111">
        <f ca="1">IFERROR(__xludf.DUMMYFUNCTION("""COMPUTED_VALUE"""),23.78)</f>
        <v>23.78</v>
      </c>
      <c r="S530" s="112">
        <f ca="1">IFERROR(__xludf.DUMMYFUNCTION("""COMPUTED_VALUE"""),41026.7055555555)</f>
        <v>41026.705555555498</v>
      </c>
      <c r="T530" s="111">
        <f ca="1">IFERROR(__xludf.DUMMYFUNCTION("""COMPUTED_VALUE"""),9.05)</f>
        <v>9.0500000000000007</v>
      </c>
    </row>
    <row r="531" spans="1:20" x14ac:dyDescent="0.3">
      <c r="A531" s="112">
        <f ca="1">IFERROR(__xludf.DUMMYFUNCTION("""COMPUTED_VALUE"""),41023.7055555555)</f>
        <v>41023.705555555498</v>
      </c>
      <c r="B531" s="111">
        <f ca="1">IFERROR(__xludf.DUMMYFUNCTION("""COMPUTED_VALUE"""),16.37)</f>
        <v>16.37</v>
      </c>
      <c r="C531" s="112">
        <f ca="1">IFERROR(__xludf.DUMMYFUNCTION("""COMPUTED_VALUE"""),41031.7055555555)</f>
        <v>41031.705555555498</v>
      </c>
      <c r="D531" s="111">
        <f ca="1">IFERROR(__xludf.DUMMYFUNCTION("""COMPUTED_VALUE"""),15.03)</f>
        <v>15.03</v>
      </c>
      <c r="E531" s="112">
        <f ca="1">IFERROR(__xludf.DUMMYFUNCTION("""COMPUTED_VALUE"""),41032.7055555555)</f>
        <v>41032.705555555498</v>
      </c>
      <c r="F531" s="111">
        <f ca="1">IFERROR(__xludf.DUMMYFUNCTION("""COMPUTED_VALUE"""),5.75)</f>
        <v>5.75</v>
      </c>
      <c r="G531" s="112">
        <f ca="1">IFERROR(__xludf.DUMMYFUNCTION("""COMPUTED_VALUE"""),41026.7055555555)</f>
        <v>41026.705555555498</v>
      </c>
      <c r="H531" s="111">
        <f ca="1">IFERROR(__xludf.DUMMYFUNCTION("""COMPUTED_VALUE"""),20.93)</f>
        <v>20.93</v>
      </c>
      <c r="K531" s="112">
        <f ca="1">IFERROR(__xludf.DUMMYFUNCTION("""COMPUTED_VALUE"""),41494.7055555555)</f>
        <v>41494.705555555498</v>
      </c>
      <c r="L531" s="111">
        <f ca="1">IFERROR(__xludf.DUMMYFUNCTION("""COMPUTED_VALUE"""),0.2)</f>
        <v>0.2</v>
      </c>
      <c r="M531" s="112">
        <f ca="1">IFERROR(__xludf.DUMMYFUNCTION("""COMPUTED_VALUE"""),40955.7055555555)</f>
        <v>40955.705555555498</v>
      </c>
      <c r="N531" s="111">
        <f ca="1">IFERROR(__xludf.DUMMYFUNCTION("""COMPUTED_VALUE"""),12.11)</f>
        <v>12.11</v>
      </c>
      <c r="O531" s="112">
        <f ca="1">IFERROR(__xludf.DUMMYFUNCTION("""COMPUTED_VALUE"""),41024.7055555555)</f>
        <v>41024.705555555498</v>
      </c>
      <c r="P531" s="111">
        <f ca="1">IFERROR(__xludf.DUMMYFUNCTION("""COMPUTED_VALUE"""),42.28)</f>
        <v>42.28</v>
      </c>
      <c r="Q531" s="112">
        <f ca="1">IFERROR(__xludf.DUMMYFUNCTION("""COMPUTED_VALUE"""),41023.7055555555)</f>
        <v>41023.705555555498</v>
      </c>
      <c r="R531" s="111">
        <f ca="1">IFERROR(__xludf.DUMMYFUNCTION("""COMPUTED_VALUE"""),23.6)</f>
        <v>23.6</v>
      </c>
      <c r="S531" s="112">
        <f ca="1">IFERROR(__xludf.DUMMYFUNCTION("""COMPUTED_VALUE"""),41031.7055555555)</f>
        <v>41031.705555555498</v>
      </c>
      <c r="T531" s="111">
        <f ca="1">IFERROR(__xludf.DUMMYFUNCTION("""COMPUTED_VALUE"""),9.21)</f>
        <v>9.2100000000000009</v>
      </c>
    </row>
    <row r="532" spans="1:20" x14ac:dyDescent="0.3">
      <c r="A532" s="112">
        <f ca="1">IFERROR(__xludf.DUMMYFUNCTION("""COMPUTED_VALUE"""),41024.7055555555)</f>
        <v>41024.705555555498</v>
      </c>
      <c r="B532" s="111">
        <f ca="1">IFERROR(__xludf.DUMMYFUNCTION("""COMPUTED_VALUE"""),16.16)</f>
        <v>16.16</v>
      </c>
      <c r="C532" s="112">
        <f ca="1">IFERROR(__xludf.DUMMYFUNCTION("""COMPUTED_VALUE"""),41032.7055555555)</f>
        <v>41032.705555555498</v>
      </c>
      <c r="D532" s="111">
        <f ca="1">IFERROR(__xludf.DUMMYFUNCTION("""COMPUTED_VALUE"""),14.63)</f>
        <v>14.63</v>
      </c>
      <c r="E532" s="112">
        <f ca="1">IFERROR(__xludf.DUMMYFUNCTION("""COMPUTED_VALUE"""),41033.7055555555)</f>
        <v>41033.705555555498</v>
      </c>
      <c r="F532" s="111">
        <f ca="1">IFERROR(__xludf.DUMMYFUNCTION("""COMPUTED_VALUE"""),5.67)</f>
        <v>5.67</v>
      </c>
      <c r="G532" s="112">
        <f ca="1">IFERROR(__xludf.DUMMYFUNCTION("""COMPUTED_VALUE"""),41031.7055555555)</f>
        <v>41031.705555555498</v>
      </c>
      <c r="H532" s="111">
        <f ca="1">IFERROR(__xludf.DUMMYFUNCTION("""COMPUTED_VALUE"""),21.29)</f>
        <v>21.29</v>
      </c>
      <c r="K532" s="112">
        <f ca="1">IFERROR(__xludf.DUMMYFUNCTION("""COMPUTED_VALUE"""),41495.7055555555)</f>
        <v>41495.705555555498</v>
      </c>
      <c r="L532" s="111">
        <f ca="1">IFERROR(__xludf.DUMMYFUNCTION("""COMPUTED_VALUE"""),0.19)</f>
        <v>0.19</v>
      </c>
      <c r="M532" s="112">
        <f ca="1">IFERROR(__xludf.DUMMYFUNCTION("""COMPUTED_VALUE"""),40956.7055555555)</f>
        <v>40956.705555555498</v>
      </c>
      <c r="N532" s="111">
        <f ca="1">IFERROR(__xludf.DUMMYFUNCTION("""COMPUTED_VALUE"""),12.08)</f>
        <v>12.08</v>
      </c>
      <c r="O532" s="112">
        <f ca="1">IFERROR(__xludf.DUMMYFUNCTION("""COMPUTED_VALUE"""),41025.7055555555)</f>
        <v>41025.705555555498</v>
      </c>
      <c r="P532" s="111">
        <f ca="1">IFERROR(__xludf.DUMMYFUNCTION("""COMPUTED_VALUE"""),42.9)</f>
        <v>42.9</v>
      </c>
      <c r="Q532" s="112">
        <f ca="1">IFERROR(__xludf.DUMMYFUNCTION("""COMPUTED_VALUE"""),41024.7055555555)</f>
        <v>41024.705555555498</v>
      </c>
      <c r="R532" s="111">
        <f ca="1">IFERROR(__xludf.DUMMYFUNCTION("""COMPUTED_VALUE"""),23.04)</f>
        <v>23.04</v>
      </c>
      <c r="S532" s="112">
        <f ca="1">IFERROR(__xludf.DUMMYFUNCTION("""COMPUTED_VALUE"""),41032.7055555555)</f>
        <v>41032.705555555498</v>
      </c>
      <c r="T532" s="111">
        <f ca="1">IFERROR(__xludf.DUMMYFUNCTION("""COMPUTED_VALUE"""),9.62)</f>
        <v>9.6199999999999992</v>
      </c>
    </row>
    <row r="533" spans="1:20" x14ac:dyDescent="0.3">
      <c r="A533" s="112">
        <f ca="1">IFERROR(__xludf.DUMMYFUNCTION("""COMPUTED_VALUE"""),41025.7055555555)</f>
        <v>41025.705555555498</v>
      </c>
      <c r="B533" s="111">
        <f ca="1">IFERROR(__xludf.DUMMYFUNCTION("""COMPUTED_VALUE"""),16.02)</f>
        <v>16.02</v>
      </c>
      <c r="C533" s="112">
        <f ca="1">IFERROR(__xludf.DUMMYFUNCTION("""COMPUTED_VALUE"""),41033.7055555555)</f>
        <v>41033.705555555498</v>
      </c>
      <c r="D533" s="111">
        <f ca="1">IFERROR(__xludf.DUMMYFUNCTION("""COMPUTED_VALUE"""),14.43)</f>
        <v>14.43</v>
      </c>
      <c r="E533" s="112">
        <f ca="1">IFERROR(__xludf.DUMMYFUNCTION("""COMPUTED_VALUE"""),41036.7055555555)</f>
        <v>41036.705555555498</v>
      </c>
      <c r="F533" s="111">
        <f ca="1">IFERROR(__xludf.DUMMYFUNCTION("""COMPUTED_VALUE"""),5.7)</f>
        <v>5.7</v>
      </c>
      <c r="G533" s="112">
        <f ca="1">IFERROR(__xludf.DUMMYFUNCTION("""COMPUTED_VALUE"""),41032.7055555555)</f>
        <v>41032.705555555498</v>
      </c>
      <c r="H533" s="111">
        <f ca="1">IFERROR(__xludf.DUMMYFUNCTION("""COMPUTED_VALUE"""),21.4)</f>
        <v>21.4</v>
      </c>
      <c r="K533" s="112">
        <f ca="1">IFERROR(__xludf.DUMMYFUNCTION("""COMPUTED_VALUE"""),41498.7055555555)</f>
        <v>41498.705555555498</v>
      </c>
      <c r="L533" s="111">
        <f ca="1">IFERROR(__xludf.DUMMYFUNCTION("""COMPUTED_VALUE"""),0.18)</f>
        <v>0.18</v>
      </c>
      <c r="M533" s="112">
        <f ca="1">IFERROR(__xludf.DUMMYFUNCTION("""COMPUTED_VALUE"""),40961.7055555555)</f>
        <v>40961.705555555498</v>
      </c>
      <c r="N533" s="111">
        <f ca="1">IFERROR(__xludf.DUMMYFUNCTION("""COMPUTED_VALUE"""),12.07)</f>
        <v>12.07</v>
      </c>
      <c r="O533" s="112">
        <f ca="1">IFERROR(__xludf.DUMMYFUNCTION("""COMPUTED_VALUE"""),41026.7055555555)</f>
        <v>41026.705555555498</v>
      </c>
      <c r="P533" s="111">
        <f ca="1">IFERROR(__xludf.DUMMYFUNCTION("""COMPUTED_VALUE"""),42.62)</f>
        <v>42.62</v>
      </c>
      <c r="Q533" s="112">
        <f ca="1">IFERROR(__xludf.DUMMYFUNCTION("""COMPUTED_VALUE"""),41025.7055555555)</f>
        <v>41025.705555555498</v>
      </c>
      <c r="R533" s="111">
        <f ca="1">IFERROR(__xludf.DUMMYFUNCTION("""COMPUTED_VALUE"""),23.25)</f>
        <v>23.25</v>
      </c>
      <c r="S533" s="112">
        <f ca="1">IFERROR(__xludf.DUMMYFUNCTION("""COMPUTED_VALUE"""),41033.7055555555)</f>
        <v>41033.705555555498</v>
      </c>
      <c r="T533" s="111">
        <f ca="1">IFERROR(__xludf.DUMMYFUNCTION("""COMPUTED_VALUE"""),9.26)</f>
        <v>9.26</v>
      </c>
    </row>
    <row r="534" spans="1:20" x14ac:dyDescent="0.3">
      <c r="A534" s="112">
        <f ca="1">IFERROR(__xludf.DUMMYFUNCTION("""COMPUTED_VALUE"""),41026.7055555555)</f>
        <v>41026.705555555498</v>
      </c>
      <c r="B534" s="111">
        <f ca="1">IFERROR(__xludf.DUMMYFUNCTION("""COMPUTED_VALUE"""),15.97)</f>
        <v>15.97</v>
      </c>
      <c r="C534" s="112">
        <f ca="1">IFERROR(__xludf.DUMMYFUNCTION("""COMPUTED_VALUE"""),41036.7055555555)</f>
        <v>41036.705555555498</v>
      </c>
      <c r="D534" s="111">
        <f ca="1">IFERROR(__xludf.DUMMYFUNCTION("""COMPUTED_VALUE"""),14.53)</f>
        <v>14.53</v>
      </c>
      <c r="E534" s="112">
        <f ca="1">IFERROR(__xludf.DUMMYFUNCTION("""COMPUTED_VALUE"""),41037.7055555555)</f>
        <v>41037.705555555498</v>
      </c>
      <c r="F534" s="111">
        <f ca="1">IFERROR(__xludf.DUMMYFUNCTION("""COMPUTED_VALUE"""),5.72)</f>
        <v>5.72</v>
      </c>
      <c r="G534" s="112">
        <f ca="1">IFERROR(__xludf.DUMMYFUNCTION("""COMPUTED_VALUE"""),41033.7055555555)</f>
        <v>41033.705555555498</v>
      </c>
      <c r="H534" s="111">
        <f ca="1">IFERROR(__xludf.DUMMYFUNCTION("""COMPUTED_VALUE"""),20.48)</f>
        <v>20.48</v>
      </c>
      <c r="K534" s="112">
        <f ca="1">IFERROR(__xludf.DUMMYFUNCTION("""COMPUTED_VALUE"""),41499.7055555555)</f>
        <v>41499.705555555498</v>
      </c>
      <c r="L534" s="111">
        <f ca="1">IFERROR(__xludf.DUMMYFUNCTION("""COMPUTED_VALUE"""),0.18)</f>
        <v>0.18</v>
      </c>
      <c r="M534" s="112">
        <f ca="1">IFERROR(__xludf.DUMMYFUNCTION("""COMPUTED_VALUE"""),40962.7055555555)</f>
        <v>40962.705555555498</v>
      </c>
      <c r="N534" s="111">
        <f ca="1">IFERROR(__xludf.DUMMYFUNCTION("""COMPUTED_VALUE"""),11.88)</f>
        <v>11.88</v>
      </c>
      <c r="O534" s="112">
        <f ca="1">IFERROR(__xludf.DUMMYFUNCTION("""COMPUTED_VALUE"""),41031.7055555555)</f>
        <v>41031.705555555498</v>
      </c>
      <c r="P534" s="111">
        <f ca="1">IFERROR(__xludf.DUMMYFUNCTION("""COMPUTED_VALUE"""),42.6)</f>
        <v>42.6</v>
      </c>
      <c r="Q534" s="112">
        <f ca="1">IFERROR(__xludf.DUMMYFUNCTION("""COMPUTED_VALUE"""),41026.7055555555)</f>
        <v>41026.705555555498</v>
      </c>
      <c r="R534" s="111">
        <f ca="1">IFERROR(__xludf.DUMMYFUNCTION("""COMPUTED_VALUE"""),23.54)</f>
        <v>23.54</v>
      </c>
      <c r="S534" s="112">
        <f ca="1">IFERROR(__xludf.DUMMYFUNCTION("""COMPUTED_VALUE"""),41036.7055555555)</f>
        <v>41036.705555555498</v>
      </c>
      <c r="T534" s="111">
        <f ca="1">IFERROR(__xludf.DUMMYFUNCTION("""COMPUTED_VALUE"""),9.34)</f>
        <v>9.34</v>
      </c>
    </row>
    <row r="535" spans="1:20" x14ac:dyDescent="0.3">
      <c r="A535" s="112">
        <f ca="1">IFERROR(__xludf.DUMMYFUNCTION("""COMPUTED_VALUE"""),41031.7055555555)</f>
        <v>41031.705555555498</v>
      </c>
      <c r="B535" s="111">
        <f ca="1">IFERROR(__xludf.DUMMYFUNCTION("""COMPUTED_VALUE"""),16.12)</f>
        <v>16.12</v>
      </c>
      <c r="C535" s="112">
        <f ca="1">IFERROR(__xludf.DUMMYFUNCTION("""COMPUTED_VALUE"""),41037.7055555555)</f>
        <v>41037.705555555498</v>
      </c>
      <c r="D535" s="111">
        <f ca="1">IFERROR(__xludf.DUMMYFUNCTION("""COMPUTED_VALUE"""),14.55)</f>
        <v>14.55</v>
      </c>
      <c r="E535" s="112">
        <f ca="1">IFERROR(__xludf.DUMMYFUNCTION("""COMPUTED_VALUE"""),41038.7055555555)</f>
        <v>41038.705555555498</v>
      </c>
      <c r="F535" s="111">
        <f ca="1">IFERROR(__xludf.DUMMYFUNCTION("""COMPUTED_VALUE"""),5.63)</f>
        <v>5.63</v>
      </c>
      <c r="G535" s="112">
        <f ca="1">IFERROR(__xludf.DUMMYFUNCTION("""COMPUTED_VALUE"""),41036.7055555555)</f>
        <v>41036.705555555498</v>
      </c>
      <c r="H535" s="111">
        <f ca="1">IFERROR(__xludf.DUMMYFUNCTION("""COMPUTED_VALUE"""),20.58)</f>
        <v>20.58</v>
      </c>
      <c r="K535" s="112">
        <f ca="1">IFERROR(__xludf.DUMMYFUNCTION("""COMPUTED_VALUE"""),41500.7055555555)</f>
        <v>41500.705555555498</v>
      </c>
      <c r="L535" s="111">
        <f ca="1">IFERROR(__xludf.DUMMYFUNCTION("""COMPUTED_VALUE"""),0.19)</f>
        <v>0.19</v>
      </c>
      <c r="M535" s="112">
        <f ca="1">IFERROR(__xludf.DUMMYFUNCTION("""COMPUTED_VALUE"""),40963.7055555555)</f>
        <v>40963.705555555498</v>
      </c>
      <c r="N535" s="111">
        <f ca="1">IFERROR(__xludf.DUMMYFUNCTION("""COMPUTED_VALUE"""),11.91)</f>
        <v>11.91</v>
      </c>
      <c r="O535" s="112">
        <f ca="1">IFERROR(__xludf.DUMMYFUNCTION("""COMPUTED_VALUE"""),41032.7055555555)</f>
        <v>41032.705555555498</v>
      </c>
      <c r="P535" s="111">
        <f ca="1">IFERROR(__xludf.DUMMYFUNCTION("""COMPUTED_VALUE"""),42.76)</f>
        <v>42.76</v>
      </c>
      <c r="Q535" s="112">
        <f ca="1">IFERROR(__xludf.DUMMYFUNCTION("""COMPUTED_VALUE"""),41031.7055555555)</f>
        <v>41031.705555555498</v>
      </c>
      <c r="R535" s="111">
        <f ca="1">IFERROR(__xludf.DUMMYFUNCTION("""COMPUTED_VALUE"""),23.58)</f>
        <v>23.58</v>
      </c>
      <c r="S535" s="112">
        <f ca="1">IFERROR(__xludf.DUMMYFUNCTION("""COMPUTED_VALUE"""),41037.7055555555)</f>
        <v>41037.705555555498</v>
      </c>
      <c r="T535" s="111">
        <f ca="1">IFERROR(__xludf.DUMMYFUNCTION("""COMPUTED_VALUE"""),9.17)</f>
        <v>9.17</v>
      </c>
    </row>
    <row r="536" spans="1:20" x14ac:dyDescent="0.3">
      <c r="A536" s="112">
        <f ca="1">IFERROR(__xludf.DUMMYFUNCTION("""COMPUTED_VALUE"""),41032.7055555555)</f>
        <v>41032.705555555498</v>
      </c>
      <c r="B536" s="111">
        <f ca="1">IFERROR(__xludf.DUMMYFUNCTION("""COMPUTED_VALUE"""),15.93)</f>
        <v>15.93</v>
      </c>
      <c r="C536" s="112">
        <f ca="1">IFERROR(__xludf.DUMMYFUNCTION("""COMPUTED_VALUE"""),41038.7055555555)</f>
        <v>41038.705555555498</v>
      </c>
      <c r="D536" s="111">
        <f ca="1">IFERROR(__xludf.DUMMYFUNCTION("""COMPUTED_VALUE"""),14.34)</f>
        <v>14.34</v>
      </c>
      <c r="E536" s="112">
        <f ca="1">IFERROR(__xludf.DUMMYFUNCTION("""COMPUTED_VALUE"""),41039.7055555555)</f>
        <v>41039.705555555498</v>
      </c>
      <c r="F536" s="111">
        <f ca="1">IFERROR(__xludf.DUMMYFUNCTION("""COMPUTED_VALUE"""),5.62)</f>
        <v>5.62</v>
      </c>
      <c r="G536" s="112">
        <f ca="1">IFERROR(__xludf.DUMMYFUNCTION("""COMPUTED_VALUE"""),41037.7055555555)</f>
        <v>41037.705555555498</v>
      </c>
      <c r="H536" s="111">
        <f ca="1">IFERROR(__xludf.DUMMYFUNCTION("""COMPUTED_VALUE"""),20.26)</f>
        <v>20.260000000000002</v>
      </c>
      <c r="K536" s="112">
        <f ca="1">IFERROR(__xludf.DUMMYFUNCTION("""COMPUTED_VALUE"""),41501.7055555555)</f>
        <v>41501.705555555498</v>
      </c>
      <c r="L536" s="111">
        <f ca="1">IFERROR(__xludf.DUMMYFUNCTION("""COMPUTED_VALUE"""),0.18)</f>
        <v>0.18</v>
      </c>
      <c r="M536" s="112">
        <f ca="1">IFERROR(__xludf.DUMMYFUNCTION("""COMPUTED_VALUE"""),40966.7055555555)</f>
        <v>40966.705555555498</v>
      </c>
      <c r="N536" s="111">
        <f ca="1">IFERROR(__xludf.DUMMYFUNCTION("""COMPUTED_VALUE"""),11.78)</f>
        <v>11.78</v>
      </c>
      <c r="O536" s="112">
        <f ca="1">IFERROR(__xludf.DUMMYFUNCTION("""COMPUTED_VALUE"""),41033.7055555555)</f>
        <v>41033.705555555498</v>
      </c>
      <c r="P536" s="111">
        <f ca="1">IFERROR(__xludf.DUMMYFUNCTION("""COMPUTED_VALUE"""),41.53)</f>
        <v>41.53</v>
      </c>
      <c r="Q536" s="112">
        <f ca="1">IFERROR(__xludf.DUMMYFUNCTION("""COMPUTED_VALUE"""),41032.7055555555)</f>
        <v>41032.705555555498</v>
      </c>
      <c r="R536" s="111">
        <f ca="1">IFERROR(__xludf.DUMMYFUNCTION("""COMPUTED_VALUE"""),22.6)</f>
        <v>22.6</v>
      </c>
      <c r="S536" s="112">
        <f ca="1">IFERROR(__xludf.DUMMYFUNCTION("""COMPUTED_VALUE"""),41038.7055555555)</f>
        <v>41038.705555555498</v>
      </c>
      <c r="T536" s="111">
        <f ca="1">IFERROR(__xludf.DUMMYFUNCTION("""COMPUTED_VALUE"""),9.39)</f>
        <v>9.39</v>
      </c>
    </row>
    <row r="537" spans="1:20" x14ac:dyDescent="0.3">
      <c r="A537" s="112">
        <f ca="1">IFERROR(__xludf.DUMMYFUNCTION("""COMPUTED_VALUE"""),41033.7055555555)</f>
        <v>41033.705555555498</v>
      </c>
      <c r="B537" s="111">
        <f ca="1">IFERROR(__xludf.DUMMYFUNCTION("""COMPUTED_VALUE"""),15.82)</f>
        <v>15.82</v>
      </c>
      <c r="C537" s="112">
        <f ca="1">IFERROR(__xludf.DUMMYFUNCTION("""COMPUTED_VALUE"""),41039.7055555555)</f>
        <v>41039.705555555498</v>
      </c>
      <c r="D537" s="111">
        <f ca="1">IFERROR(__xludf.DUMMYFUNCTION("""COMPUTED_VALUE"""),14.34)</f>
        <v>14.34</v>
      </c>
      <c r="E537" s="112">
        <f ca="1">IFERROR(__xludf.DUMMYFUNCTION("""COMPUTED_VALUE"""),41043.7055555555)</f>
        <v>41043.705555555498</v>
      </c>
      <c r="F537" s="111">
        <f ca="1">IFERROR(__xludf.DUMMYFUNCTION("""COMPUTED_VALUE"""),5.51)</f>
        <v>5.51</v>
      </c>
      <c r="G537" s="112">
        <f ca="1">IFERROR(__xludf.DUMMYFUNCTION("""COMPUTED_VALUE"""),41038.7055555555)</f>
        <v>41038.705555555498</v>
      </c>
      <c r="H537" s="111">
        <f ca="1">IFERROR(__xludf.DUMMYFUNCTION("""COMPUTED_VALUE"""),20.16)</f>
        <v>20.16</v>
      </c>
      <c r="K537" s="112">
        <f ca="1">IFERROR(__xludf.DUMMYFUNCTION("""COMPUTED_VALUE"""),41502.7055555555)</f>
        <v>41502.705555555498</v>
      </c>
      <c r="L537" s="111">
        <f ca="1">IFERROR(__xludf.DUMMYFUNCTION("""COMPUTED_VALUE"""),0.18)</f>
        <v>0.18</v>
      </c>
      <c r="M537" s="112">
        <f ca="1">IFERROR(__xludf.DUMMYFUNCTION("""COMPUTED_VALUE"""),40967.7055555555)</f>
        <v>40967.705555555498</v>
      </c>
      <c r="N537" s="111">
        <f ca="1">IFERROR(__xludf.DUMMYFUNCTION("""COMPUTED_VALUE"""),12.04)</f>
        <v>12.04</v>
      </c>
      <c r="O537" s="112">
        <f ca="1">IFERROR(__xludf.DUMMYFUNCTION("""COMPUTED_VALUE"""),41036.7055555555)</f>
        <v>41036.705555555498</v>
      </c>
      <c r="P537" s="111">
        <f ca="1">IFERROR(__xludf.DUMMYFUNCTION("""COMPUTED_VALUE"""),41.5)</f>
        <v>41.5</v>
      </c>
      <c r="Q537" s="112">
        <f ca="1">IFERROR(__xludf.DUMMYFUNCTION("""COMPUTED_VALUE"""),41033.7055555555)</f>
        <v>41033.705555555498</v>
      </c>
      <c r="R537" s="111">
        <f ca="1">IFERROR(__xludf.DUMMYFUNCTION("""COMPUTED_VALUE"""),22.66)</f>
        <v>22.66</v>
      </c>
      <c r="S537" s="112">
        <f ca="1">IFERROR(__xludf.DUMMYFUNCTION("""COMPUTED_VALUE"""),41039.7055555555)</f>
        <v>41039.705555555498</v>
      </c>
      <c r="T537" s="111">
        <f ca="1">IFERROR(__xludf.DUMMYFUNCTION("""COMPUTED_VALUE"""),9.36)</f>
        <v>9.36</v>
      </c>
    </row>
    <row r="538" spans="1:20" x14ac:dyDescent="0.3">
      <c r="A538" s="112">
        <f ca="1">IFERROR(__xludf.DUMMYFUNCTION("""COMPUTED_VALUE"""),41036.7055555555)</f>
        <v>41036.705555555498</v>
      </c>
      <c r="B538" s="111">
        <f ca="1">IFERROR(__xludf.DUMMYFUNCTION("""COMPUTED_VALUE"""),16.01)</f>
        <v>16.010000000000002</v>
      </c>
      <c r="C538" s="112">
        <f ca="1">IFERROR(__xludf.DUMMYFUNCTION("""COMPUTED_VALUE"""),41043.7055555555)</f>
        <v>41043.705555555498</v>
      </c>
      <c r="D538" s="111">
        <f ca="1">IFERROR(__xludf.DUMMYFUNCTION("""COMPUTED_VALUE"""),14.22)</f>
        <v>14.22</v>
      </c>
      <c r="E538" s="112">
        <f ca="1">IFERROR(__xludf.DUMMYFUNCTION("""COMPUTED_VALUE"""),41044.7055555555)</f>
        <v>41044.705555555498</v>
      </c>
      <c r="F538" s="111">
        <f ca="1">IFERROR(__xludf.DUMMYFUNCTION("""COMPUTED_VALUE"""),5.52)</f>
        <v>5.52</v>
      </c>
      <c r="G538" s="112">
        <f ca="1">IFERROR(__xludf.DUMMYFUNCTION("""COMPUTED_VALUE"""),41039.7055555555)</f>
        <v>41039.705555555498</v>
      </c>
      <c r="H538" s="111">
        <f ca="1">IFERROR(__xludf.DUMMYFUNCTION("""COMPUTED_VALUE"""),19.92)</f>
        <v>19.920000000000002</v>
      </c>
      <c r="K538" s="112">
        <f ca="1">IFERROR(__xludf.DUMMYFUNCTION("""COMPUTED_VALUE"""),41505.7055555555)</f>
        <v>41505.705555555498</v>
      </c>
      <c r="L538" s="111">
        <f ca="1">IFERROR(__xludf.DUMMYFUNCTION("""COMPUTED_VALUE"""),0.18)</f>
        <v>0.18</v>
      </c>
      <c r="M538" s="112">
        <f ca="1">IFERROR(__xludf.DUMMYFUNCTION("""COMPUTED_VALUE"""),40968.7055555555)</f>
        <v>40968.705555555498</v>
      </c>
      <c r="N538" s="111">
        <f ca="1">IFERROR(__xludf.DUMMYFUNCTION("""COMPUTED_VALUE"""),12.23)</f>
        <v>12.23</v>
      </c>
      <c r="O538" s="112">
        <f ca="1">IFERROR(__xludf.DUMMYFUNCTION("""COMPUTED_VALUE"""),41037.7055555555)</f>
        <v>41037.705555555498</v>
      </c>
      <c r="P538" s="111">
        <f ca="1">IFERROR(__xludf.DUMMYFUNCTION("""COMPUTED_VALUE"""),40.4)</f>
        <v>40.4</v>
      </c>
      <c r="Q538" s="112">
        <f ca="1">IFERROR(__xludf.DUMMYFUNCTION("""COMPUTED_VALUE"""),41036.7055555555)</f>
        <v>41036.705555555498</v>
      </c>
      <c r="R538" s="111">
        <f ca="1">IFERROR(__xludf.DUMMYFUNCTION("""COMPUTED_VALUE"""),22.87)</f>
        <v>22.87</v>
      </c>
      <c r="S538" s="112">
        <f ca="1">IFERROR(__xludf.DUMMYFUNCTION("""COMPUTED_VALUE"""),41043.7055555555)</f>
        <v>41043.705555555498</v>
      </c>
      <c r="T538" s="111">
        <f ca="1">IFERROR(__xludf.DUMMYFUNCTION("""COMPUTED_VALUE"""),9.31)</f>
        <v>9.31</v>
      </c>
    </row>
    <row r="539" spans="1:20" x14ac:dyDescent="0.3">
      <c r="A539" s="112">
        <f ca="1">IFERROR(__xludf.DUMMYFUNCTION("""COMPUTED_VALUE"""),41037.7055555555)</f>
        <v>41037.705555555498</v>
      </c>
      <c r="B539" s="111">
        <f ca="1">IFERROR(__xludf.DUMMYFUNCTION("""COMPUTED_VALUE"""),15.87)</f>
        <v>15.87</v>
      </c>
      <c r="C539" s="112">
        <f ca="1">IFERROR(__xludf.DUMMYFUNCTION("""COMPUTED_VALUE"""),41044.7055555555)</f>
        <v>41044.705555555498</v>
      </c>
      <c r="D539" s="111">
        <f ca="1">IFERROR(__xludf.DUMMYFUNCTION("""COMPUTED_VALUE"""),14.26)</f>
        <v>14.26</v>
      </c>
      <c r="E539" s="112">
        <f ca="1">IFERROR(__xludf.DUMMYFUNCTION("""COMPUTED_VALUE"""),41046.7055555555)</f>
        <v>41046.705555555498</v>
      </c>
      <c r="F539" s="111">
        <f ca="1">IFERROR(__xludf.DUMMYFUNCTION("""COMPUTED_VALUE"""),5.22)</f>
        <v>5.22</v>
      </c>
      <c r="G539" s="112">
        <f ca="1">IFERROR(__xludf.DUMMYFUNCTION("""COMPUTED_VALUE"""),41043.7055555555)</f>
        <v>41043.705555555498</v>
      </c>
      <c r="H539" s="111">
        <f ca="1">IFERROR(__xludf.DUMMYFUNCTION("""COMPUTED_VALUE"""),18.9)</f>
        <v>18.899999999999999</v>
      </c>
      <c r="K539" s="112">
        <f ca="1">IFERROR(__xludf.DUMMYFUNCTION("""COMPUTED_VALUE"""),41506.7055555555)</f>
        <v>41506.705555555498</v>
      </c>
      <c r="L539" s="111">
        <f ca="1">IFERROR(__xludf.DUMMYFUNCTION("""COMPUTED_VALUE"""),0.18)</f>
        <v>0.18</v>
      </c>
      <c r="M539" s="112">
        <f ca="1">IFERROR(__xludf.DUMMYFUNCTION("""COMPUTED_VALUE"""),40969.7055555555)</f>
        <v>40969.705555555498</v>
      </c>
      <c r="N539" s="111">
        <f ca="1">IFERROR(__xludf.DUMMYFUNCTION("""COMPUTED_VALUE"""),12.39)</f>
        <v>12.39</v>
      </c>
      <c r="O539" s="112">
        <f ca="1">IFERROR(__xludf.DUMMYFUNCTION("""COMPUTED_VALUE"""),41038.7055555555)</f>
        <v>41038.705555555498</v>
      </c>
      <c r="P539" s="111">
        <f ca="1">IFERROR(__xludf.DUMMYFUNCTION("""COMPUTED_VALUE"""),40.3)</f>
        <v>40.299999999999997</v>
      </c>
      <c r="Q539" s="112">
        <f ca="1">IFERROR(__xludf.DUMMYFUNCTION("""COMPUTED_VALUE"""),41037.7055555555)</f>
        <v>41037.705555555498</v>
      </c>
      <c r="R539" s="111">
        <f ca="1">IFERROR(__xludf.DUMMYFUNCTION("""COMPUTED_VALUE"""),22.92)</f>
        <v>22.92</v>
      </c>
      <c r="S539" s="112">
        <f ca="1">IFERROR(__xludf.DUMMYFUNCTION("""COMPUTED_VALUE"""),41044.7055555555)</f>
        <v>41044.705555555498</v>
      </c>
      <c r="T539" s="111">
        <f ca="1">IFERROR(__xludf.DUMMYFUNCTION("""COMPUTED_VALUE"""),8.92)</f>
        <v>8.92</v>
      </c>
    </row>
    <row r="540" spans="1:20" x14ac:dyDescent="0.3">
      <c r="A540" s="112">
        <f ca="1">IFERROR(__xludf.DUMMYFUNCTION("""COMPUTED_VALUE"""),41038.7055555555)</f>
        <v>41038.705555555498</v>
      </c>
      <c r="B540" s="111">
        <f ca="1">IFERROR(__xludf.DUMMYFUNCTION("""COMPUTED_VALUE"""),15.85)</f>
        <v>15.85</v>
      </c>
      <c r="C540" s="112">
        <f ca="1">IFERROR(__xludf.DUMMYFUNCTION("""COMPUTED_VALUE"""),41046.7055555555)</f>
        <v>41046.705555555498</v>
      </c>
      <c r="D540" s="111">
        <f ca="1">IFERROR(__xludf.DUMMYFUNCTION("""COMPUTED_VALUE"""),13.55)</f>
        <v>13.55</v>
      </c>
      <c r="E540" s="112">
        <f ca="1">IFERROR(__xludf.DUMMYFUNCTION("""COMPUTED_VALUE"""),41047.7055555555)</f>
        <v>41047.705555555498</v>
      </c>
      <c r="F540" s="111">
        <f ca="1">IFERROR(__xludf.DUMMYFUNCTION("""COMPUTED_VALUE"""),5.31)</f>
        <v>5.31</v>
      </c>
      <c r="G540" s="112">
        <f ca="1">IFERROR(__xludf.DUMMYFUNCTION("""COMPUTED_VALUE"""),41044.7055555555)</f>
        <v>41044.705555555498</v>
      </c>
      <c r="H540" s="111">
        <f ca="1">IFERROR(__xludf.DUMMYFUNCTION("""COMPUTED_VALUE"""),18.49)</f>
        <v>18.489999999999998</v>
      </c>
      <c r="K540" s="112">
        <f ca="1">IFERROR(__xludf.DUMMYFUNCTION("""COMPUTED_VALUE"""),41507.7055555555)</f>
        <v>41507.705555555498</v>
      </c>
      <c r="L540" s="111">
        <f ca="1">IFERROR(__xludf.DUMMYFUNCTION("""COMPUTED_VALUE"""),0.17)</f>
        <v>0.17</v>
      </c>
      <c r="M540" s="112">
        <f ca="1">IFERROR(__xludf.DUMMYFUNCTION("""COMPUTED_VALUE"""),40970.7055555555)</f>
        <v>40970.705555555498</v>
      </c>
      <c r="N540" s="111">
        <f ca="1">IFERROR(__xludf.DUMMYFUNCTION("""COMPUTED_VALUE"""),12.57)</f>
        <v>12.57</v>
      </c>
      <c r="O540" s="112">
        <f ca="1">IFERROR(__xludf.DUMMYFUNCTION("""COMPUTED_VALUE"""),41039.7055555555)</f>
        <v>41039.705555555498</v>
      </c>
      <c r="P540" s="111">
        <f ca="1">IFERROR(__xludf.DUMMYFUNCTION("""COMPUTED_VALUE"""),40.31)</f>
        <v>40.31</v>
      </c>
      <c r="Q540" s="112">
        <f ca="1">IFERROR(__xludf.DUMMYFUNCTION("""COMPUTED_VALUE"""),41038.7055555555)</f>
        <v>41038.705555555498</v>
      </c>
      <c r="R540" s="111">
        <f ca="1">IFERROR(__xludf.DUMMYFUNCTION("""COMPUTED_VALUE"""),22.35)</f>
        <v>22.35</v>
      </c>
      <c r="S540" s="112">
        <f ca="1">IFERROR(__xludf.DUMMYFUNCTION("""COMPUTED_VALUE"""),41046.7055555555)</f>
        <v>41046.705555555498</v>
      </c>
      <c r="T540" s="111">
        <f ca="1">IFERROR(__xludf.DUMMYFUNCTION("""COMPUTED_VALUE"""),8.51)</f>
        <v>8.51</v>
      </c>
    </row>
    <row r="541" spans="1:20" x14ac:dyDescent="0.3">
      <c r="A541" s="112">
        <f ca="1">IFERROR(__xludf.DUMMYFUNCTION("""COMPUTED_VALUE"""),41039.7055555555)</f>
        <v>41039.705555555498</v>
      </c>
      <c r="B541" s="111">
        <f ca="1">IFERROR(__xludf.DUMMYFUNCTION("""COMPUTED_VALUE"""),16.1)</f>
        <v>16.100000000000001</v>
      </c>
      <c r="C541" s="112">
        <f ca="1">IFERROR(__xludf.DUMMYFUNCTION("""COMPUTED_VALUE"""),41047.7055555555)</f>
        <v>41047.705555555498</v>
      </c>
      <c r="D541" s="111">
        <f ca="1">IFERROR(__xludf.DUMMYFUNCTION("""COMPUTED_VALUE"""),13.62)</f>
        <v>13.62</v>
      </c>
      <c r="E541" s="112">
        <f ca="1">IFERROR(__xludf.DUMMYFUNCTION("""COMPUTED_VALUE"""),41051.7055555555)</f>
        <v>41051.705555555498</v>
      </c>
      <c r="F541" s="111">
        <f ca="1">IFERROR(__xludf.DUMMYFUNCTION("""COMPUTED_VALUE"""),5.54)</f>
        <v>5.54</v>
      </c>
      <c r="G541" s="112">
        <f ca="1">IFERROR(__xludf.DUMMYFUNCTION("""COMPUTED_VALUE"""),41045.7055555555)</f>
        <v>41045.705555555498</v>
      </c>
      <c r="H541" s="111">
        <f ca="1">IFERROR(__xludf.DUMMYFUNCTION("""COMPUTED_VALUE"""),19.29)</f>
        <v>19.29</v>
      </c>
      <c r="K541" s="112">
        <f ca="1">IFERROR(__xludf.DUMMYFUNCTION("""COMPUTED_VALUE"""),41508.7055555555)</f>
        <v>41508.705555555498</v>
      </c>
      <c r="L541" s="111">
        <f ca="1">IFERROR(__xludf.DUMMYFUNCTION("""COMPUTED_VALUE"""),0.18)</f>
        <v>0.18</v>
      </c>
      <c r="M541" s="112">
        <f ca="1">IFERROR(__xludf.DUMMYFUNCTION("""COMPUTED_VALUE"""),40973.7055555555)</f>
        <v>40973.705555555498</v>
      </c>
      <c r="N541" s="111">
        <f ca="1">IFERROR(__xludf.DUMMYFUNCTION("""COMPUTED_VALUE"""),12.39)</f>
        <v>12.39</v>
      </c>
      <c r="O541" s="112">
        <f ca="1">IFERROR(__xludf.DUMMYFUNCTION("""COMPUTED_VALUE"""),41043.7055555555)</f>
        <v>41043.705555555498</v>
      </c>
      <c r="P541" s="111">
        <f ca="1">IFERROR(__xludf.DUMMYFUNCTION("""COMPUTED_VALUE"""),38.45)</f>
        <v>38.450000000000003</v>
      </c>
      <c r="Q541" s="112">
        <f ca="1">IFERROR(__xludf.DUMMYFUNCTION("""COMPUTED_VALUE"""),41039.7055555555)</f>
        <v>41039.705555555498</v>
      </c>
      <c r="R541" s="111">
        <f ca="1">IFERROR(__xludf.DUMMYFUNCTION("""COMPUTED_VALUE"""),22.33)</f>
        <v>22.33</v>
      </c>
      <c r="S541" s="112">
        <f ca="1">IFERROR(__xludf.DUMMYFUNCTION("""COMPUTED_VALUE"""),41047.7055555555)</f>
        <v>41047.705555555498</v>
      </c>
      <c r="T541" s="111">
        <f ca="1">IFERROR(__xludf.DUMMYFUNCTION("""COMPUTED_VALUE"""),8.81)</f>
        <v>8.81</v>
      </c>
    </row>
    <row r="542" spans="1:20" x14ac:dyDescent="0.3">
      <c r="A542" s="112">
        <f ca="1">IFERROR(__xludf.DUMMYFUNCTION("""COMPUTED_VALUE"""),41043.7055555555)</f>
        <v>41043.705555555498</v>
      </c>
      <c r="B542" s="111">
        <f ca="1">IFERROR(__xludf.DUMMYFUNCTION("""COMPUTED_VALUE"""),15.56)</f>
        <v>15.56</v>
      </c>
      <c r="C542" s="112">
        <f ca="1">IFERROR(__xludf.DUMMYFUNCTION("""COMPUTED_VALUE"""),41051.7055555555)</f>
        <v>41051.705555555498</v>
      </c>
      <c r="D542" s="111">
        <f ca="1">IFERROR(__xludf.DUMMYFUNCTION("""COMPUTED_VALUE"""),14.31)</f>
        <v>14.31</v>
      </c>
      <c r="E542" s="112">
        <f ca="1">IFERROR(__xludf.DUMMYFUNCTION("""COMPUTED_VALUE"""),41052.7055555555)</f>
        <v>41052.705555555498</v>
      </c>
      <c r="F542" s="111">
        <f ca="1">IFERROR(__xludf.DUMMYFUNCTION("""COMPUTED_VALUE"""),5.52)</f>
        <v>5.52</v>
      </c>
      <c r="G542" s="112">
        <f ca="1">IFERROR(__xludf.DUMMYFUNCTION("""COMPUTED_VALUE"""),41046.7055555555)</f>
        <v>41046.705555555498</v>
      </c>
      <c r="H542" s="111">
        <f ca="1">IFERROR(__xludf.DUMMYFUNCTION("""COMPUTED_VALUE"""),18.43)</f>
        <v>18.43</v>
      </c>
      <c r="K542" s="112">
        <f ca="1">IFERROR(__xludf.DUMMYFUNCTION("""COMPUTED_VALUE"""),41509.7055555555)</f>
        <v>41509.705555555498</v>
      </c>
      <c r="L542" s="111">
        <f ca="1">IFERROR(__xludf.DUMMYFUNCTION("""COMPUTED_VALUE"""),0.19)</f>
        <v>0.19</v>
      </c>
      <c r="M542" s="112">
        <f ca="1">IFERROR(__xludf.DUMMYFUNCTION("""COMPUTED_VALUE"""),40974.7055555555)</f>
        <v>40974.705555555498</v>
      </c>
      <c r="N542" s="111">
        <f ca="1">IFERROR(__xludf.DUMMYFUNCTION("""COMPUTED_VALUE"""),12.07)</f>
        <v>12.07</v>
      </c>
      <c r="O542" s="112">
        <f ca="1">IFERROR(__xludf.DUMMYFUNCTION("""COMPUTED_VALUE"""),41044.7055555555)</f>
        <v>41044.705555555498</v>
      </c>
      <c r="P542" s="111">
        <f ca="1">IFERROR(__xludf.DUMMYFUNCTION("""COMPUTED_VALUE"""),38.16)</f>
        <v>38.159999999999997</v>
      </c>
      <c r="Q542" s="112">
        <f ca="1">IFERROR(__xludf.DUMMYFUNCTION("""COMPUTED_VALUE"""),41043.7055555555)</f>
        <v>41043.705555555498</v>
      </c>
      <c r="R542" s="111">
        <f ca="1">IFERROR(__xludf.DUMMYFUNCTION("""COMPUTED_VALUE"""),21.3)</f>
        <v>21.3</v>
      </c>
      <c r="S542" s="112">
        <f ca="1">IFERROR(__xludf.DUMMYFUNCTION("""COMPUTED_VALUE"""),41051.7055555555)</f>
        <v>41051.705555555498</v>
      </c>
      <c r="T542" s="111">
        <f ca="1">IFERROR(__xludf.DUMMYFUNCTION("""COMPUTED_VALUE"""),8.74)</f>
        <v>8.74</v>
      </c>
    </row>
    <row r="543" spans="1:20" x14ac:dyDescent="0.3">
      <c r="A543" s="112">
        <f ca="1">IFERROR(__xludf.DUMMYFUNCTION("""COMPUTED_VALUE"""),41044.7055555555)</f>
        <v>41044.705555555498</v>
      </c>
      <c r="B543" s="111">
        <f ca="1">IFERROR(__xludf.DUMMYFUNCTION("""COMPUTED_VALUE"""),15.49)</f>
        <v>15.49</v>
      </c>
      <c r="C543" s="112">
        <f ca="1">IFERROR(__xludf.DUMMYFUNCTION("""COMPUTED_VALUE"""),41052.7055555555)</f>
        <v>41052.705555555498</v>
      </c>
      <c r="D543" s="111">
        <f ca="1">IFERROR(__xludf.DUMMYFUNCTION("""COMPUTED_VALUE"""),14.28)</f>
        <v>14.28</v>
      </c>
      <c r="E543" s="112">
        <f ca="1">IFERROR(__xludf.DUMMYFUNCTION("""COMPUTED_VALUE"""),41053.7055555555)</f>
        <v>41053.705555555498</v>
      </c>
      <c r="F543" s="111">
        <f ca="1">IFERROR(__xludf.DUMMYFUNCTION("""COMPUTED_VALUE"""),5.44)</f>
        <v>5.44</v>
      </c>
      <c r="G543" s="112">
        <f ca="1">IFERROR(__xludf.DUMMYFUNCTION("""COMPUTED_VALUE"""),41047.7055555555)</f>
        <v>41047.705555555498</v>
      </c>
      <c r="H543" s="111">
        <f ca="1">IFERROR(__xludf.DUMMYFUNCTION("""COMPUTED_VALUE"""),19.07)</f>
        <v>19.07</v>
      </c>
      <c r="K543" s="112">
        <f ca="1">IFERROR(__xludf.DUMMYFUNCTION("""COMPUTED_VALUE"""),41512.7055555555)</f>
        <v>41512.705555555498</v>
      </c>
      <c r="L543" s="111">
        <f ca="1">IFERROR(__xludf.DUMMYFUNCTION("""COMPUTED_VALUE"""),0.18)</f>
        <v>0.18</v>
      </c>
      <c r="M543" s="112">
        <f ca="1">IFERROR(__xludf.DUMMYFUNCTION("""COMPUTED_VALUE"""),40975.7055555555)</f>
        <v>40975.705555555498</v>
      </c>
      <c r="N543" s="111">
        <f ca="1">IFERROR(__xludf.DUMMYFUNCTION("""COMPUTED_VALUE"""),12.35)</f>
        <v>12.35</v>
      </c>
      <c r="O543" s="112">
        <f ca="1">IFERROR(__xludf.DUMMYFUNCTION("""COMPUTED_VALUE"""),41045.7055555555)</f>
        <v>41045.705555555498</v>
      </c>
      <c r="P543" s="111">
        <f ca="1">IFERROR(__xludf.DUMMYFUNCTION("""COMPUTED_VALUE"""),37.1)</f>
        <v>37.1</v>
      </c>
      <c r="Q543" s="112">
        <f ca="1">IFERROR(__xludf.DUMMYFUNCTION("""COMPUTED_VALUE"""),41044.7055555555)</f>
        <v>41044.705555555498</v>
      </c>
      <c r="R543" s="111">
        <f ca="1">IFERROR(__xludf.DUMMYFUNCTION("""COMPUTED_VALUE"""),20.52)</f>
        <v>20.52</v>
      </c>
      <c r="S543" s="112">
        <f ca="1">IFERROR(__xludf.DUMMYFUNCTION("""COMPUTED_VALUE"""),41052.7055555555)</f>
        <v>41052.705555555498</v>
      </c>
      <c r="T543" s="111">
        <f ca="1">IFERROR(__xludf.DUMMYFUNCTION("""COMPUTED_VALUE"""),8.56)</f>
        <v>8.56</v>
      </c>
    </row>
    <row r="544" spans="1:20" x14ac:dyDescent="0.3">
      <c r="A544" s="112">
        <f ca="1">IFERROR(__xludf.DUMMYFUNCTION("""COMPUTED_VALUE"""),41045.7055555555)</f>
        <v>41045.705555555498</v>
      </c>
      <c r="B544" s="111">
        <f ca="1">IFERROR(__xludf.DUMMYFUNCTION("""COMPUTED_VALUE"""),15.86)</f>
        <v>15.86</v>
      </c>
      <c r="C544" s="112">
        <f ca="1">IFERROR(__xludf.DUMMYFUNCTION("""COMPUTED_VALUE"""),41053.7055555555)</f>
        <v>41053.705555555498</v>
      </c>
      <c r="D544" s="111">
        <f ca="1">IFERROR(__xludf.DUMMYFUNCTION("""COMPUTED_VALUE"""),14.08)</f>
        <v>14.08</v>
      </c>
      <c r="E544" s="112">
        <f ca="1">IFERROR(__xludf.DUMMYFUNCTION("""COMPUTED_VALUE"""),41054.7055555555)</f>
        <v>41054.705555555498</v>
      </c>
      <c r="F544" s="111">
        <f ca="1">IFERROR(__xludf.DUMMYFUNCTION("""COMPUTED_VALUE"""),5.52)</f>
        <v>5.52</v>
      </c>
      <c r="G544" s="112">
        <f ca="1">IFERROR(__xludf.DUMMYFUNCTION("""COMPUTED_VALUE"""),41051.7055555555)</f>
        <v>41051.705555555498</v>
      </c>
      <c r="H544" s="111">
        <f ca="1">IFERROR(__xludf.DUMMYFUNCTION("""COMPUTED_VALUE"""),19.71)</f>
        <v>19.71</v>
      </c>
      <c r="K544" s="112">
        <f ca="1">IFERROR(__xludf.DUMMYFUNCTION("""COMPUTED_VALUE"""),41513.7055555555)</f>
        <v>41513.705555555498</v>
      </c>
      <c r="L544" s="111">
        <f ca="1">IFERROR(__xludf.DUMMYFUNCTION("""COMPUTED_VALUE"""),0.17)</f>
        <v>0.17</v>
      </c>
      <c r="M544" s="112">
        <f ca="1">IFERROR(__xludf.DUMMYFUNCTION("""COMPUTED_VALUE"""),40976.7055555555)</f>
        <v>40976.705555555498</v>
      </c>
      <c r="N544" s="111">
        <f ca="1">IFERROR(__xludf.DUMMYFUNCTION("""COMPUTED_VALUE"""),12.55)</f>
        <v>12.55</v>
      </c>
      <c r="O544" s="112">
        <f ca="1">IFERROR(__xludf.DUMMYFUNCTION("""COMPUTED_VALUE"""),41046.7055555555)</f>
        <v>41046.705555555498</v>
      </c>
      <c r="P544" s="111">
        <f ca="1">IFERROR(__xludf.DUMMYFUNCTION("""COMPUTED_VALUE"""),35.83)</f>
        <v>35.83</v>
      </c>
      <c r="Q544" s="112">
        <f ca="1">IFERROR(__xludf.DUMMYFUNCTION("""COMPUTED_VALUE"""),41045.7055555555)</f>
        <v>41045.705555555498</v>
      </c>
      <c r="R544" s="111">
        <f ca="1">IFERROR(__xludf.DUMMYFUNCTION("""COMPUTED_VALUE"""),20.4)</f>
        <v>20.399999999999999</v>
      </c>
      <c r="S544" s="112">
        <f ca="1">IFERROR(__xludf.DUMMYFUNCTION("""COMPUTED_VALUE"""),41053.7055555555)</f>
        <v>41053.705555555498</v>
      </c>
      <c r="T544" s="111">
        <f ca="1">IFERROR(__xludf.DUMMYFUNCTION("""COMPUTED_VALUE"""),8.75)</f>
        <v>8.75</v>
      </c>
    </row>
    <row r="545" spans="1:20" x14ac:dyDescent="0.3">
      <c r="A545" s="112">
        <f ca="1">IFERROR(__xludf.DUMMYFUNCTION("""COMPUTED_VALUE"""),41046.7055555555)</f>
        <v>41046.705555555498</v>
      </c>
      <c r="B545" s="111">
        <f ca="1">IFERROR(__xludf.DUMMYFUNCTION("""COMPUTED_VALUE"""),15.67)</f>
        <v>15.67</v>
      </c>
      <c r="C545" s="112">
        <f ca="1">IFERROR(__xludf.DUMMYFUNCTION("""COMPUTED_VALUE"""),41054.7055555555)</f>
        <v>41054.705555555498</v>
      </c>
      <c r="D545" s="111">
        <f ca="1">IFERROR(__xludf.DUMMYFUNCTION("""COMPUTED_VALUE"""),14.25)</f>
        <v>14.25</v>
      </c>
      <c r="E545" s="112">
        <f ca="1">IFERROR(__xludf.DUMMYFUNCTION("""COMPUTED_VALUE"""),41057.7055555555)</f>
        <v>41057.705555555498</v>
      </c>
      <c r="F545" s="111">
        <f ca="1">IFERROR(__xludf.DUMMYFUNCTION("""COMPUTED_VALUE"""),5.53)</f>
        <v>5.53</v>
      </c>
      <c r="G545" s="112">
        <f ca="1">IFERROR(__xludf.DUMMYFUNCTION("""COMPUTED_VALUE"""),41052.7055555555)</f>
        <v>41052.705555555498</v>
      </c>
      <c r="H545" s="111">
        <f ca="1">IFERROR(__xludf.DUMMYFUNCTION("""COMPUTED_VALUE"""),19.23)</f>
        <v>19.23</v>
      </c>
      <c r="K545" s="112">
        <f ca="1">IFERROR(__xludf.DUMMYFUNCTION("""COMPUTED_VALUE"""),41514.7055555555)</f>
        <v>41514.705555555498</v>
      </c>
      <c r="L545" s="111">
        <f ca="1">IFERROR(__xludf.DUMMYFUNCTION("""COMPUTED_VALUE"""),0.17)</f>
        <v>0.17</v>
      </c>
      <c r="M545" s="112">
        <f ca="1">IFERROR(__xludf.DUMMYFUNCTION("""COMPUTED_VALUE"""),40977.7055555555)</f>
        <v>40977.705555555498</v>
      </c>
      <c r="N545" s="111">
        <f ca="1">IFERROR(__xludf.DUMMYFUNCTION("""COMPUTED_VALUE"""),12.76)</f>
        <v>12.76</v>
      </c>
      <c r="O545" s="112">
        <f ca="1">IFERROR(__xludf.DUMMYFUNCTION("""COMPUTED_VALUE"""),41047.7055555555)</f>
        <v>41047.705555555498</v>
      </c>
      <c r="P545" s="111">
        <f ca="1">IFERROR(__xludf.DUMMYFUNCTION("""COMPUTED_VALUE"""),36.68)</f>
        <v>36.68</v>
      </c>
      <c r="Q545" s="112">
        <f ca="1">IFERROR(__xludf.DUMMYFUNCTION("""COMPUTED_VALUE"""),41046.7055555555)</f>
        <v>41046.705555555498</v>
      </c>
      <c r="R545" s="111">
        <f ca="1">IFERROR(__xludf.DUMMYFUNCTION("""COMPUTED_VALUE"""),19.4)</f>
        <v>19.399999999999999</v>
      </c>
      <c r="S545" s="112">
        <f ca="1">IFERROR(__xludf.DUMMYFUNCTION("""COMPUTED_VALUE"""),41054.7055555555)</f>
        <v>41054.705555555498</v>
      </c>
      <c r="T545" s="111">
        <f ca="1">IFERROR(__xludf.DUMMYFUNCTION("""COMPUTED_VALUE"""),8.92)</f>
        <v>8.92</v>
      </c>
    </row>
    <row r="546" spans="1:20" x14ac:dyDescent="0.3">
      <c r="A546" s="112">
        <f ca="1">IFERROR(__xludf.DUMMYFUNCTION("""COMPUTED_VALUE"""),41047.7055555555)</f>
        <v>41047.705555555498</v>
      </c>
      <c r="B546" s="111">
        <f ca="1">IFERROR(__xludf.DUMMYFUNCTION("""COMPUTED_VALUE"""),15.44)</f>
        <v>15.44</v>
      </c>
      <c r="C546" s="112">
        <f ca="1">IFERROR(__xludf.DUMMYFUNCTION("""COMPUTED_VALUE"""),41057.7055555555)</f>
        <v>41057.705555555498</v>
      </c>
      <c r="D546" s="111">
        <f ca="1">IFERROR(__xludf.DUMMYFUNCTION("""COMPUTED_VALUE"""),14.3)</f>
        <v>14.3</v>
      </c>
      <c r="E546" s="112">
        <f ca="1">IFERROR(__xludf.DUMMYFUNCTION("""COMPUTED_VALUE"""),41058.7055555555)</f>
        <v>41058.705555555498</v>
      </c>
      <c r="F546" s="111">
        <f ca="1">IFERROR(__xludf.DUMMYFUNCTION("""COMPUTED_VALUE"""),5.48)</f>
        <v>5.48</v>
      </c>
      <c r="G546" s="112">
        <f ca="1">IFERROR(__xludf.DUMMYFUNCTION("""COMPUTED_VALUE"""),41053.7055555555)</f>
        <v>41053.705555555498</v>
      </c>
      <c r="H546" s="111">
        <f ca="1">IFERROR(__xludf.DUMMYFUNCTION("""COMPUTED_VALUE"""),18.7)</f>
        <v>18.7</v>
      </c>
      <c r="K546" s="112">
        <f ca="1">IFERROR(__xludf.DUMMYFUNCTION("""COMPUTED_VALUE"""),41515.7055555555)</f>
        <v>41515.705555555498</v>
      </c>
      <c r="L546" s="111">
        <f ca="1">IFERROR(__xludf.DUMMYFUNCTION("""COMPUTED_VALUE"""),0.18)</f>
        <v>0.18</v>
      </c>
      <c r="M546" s="112">
        <f ca="1">IFERROR(__xludf.DUMMYFUNCTION("""COMPUTED_VALUE"""),40980.7055555555)</f>
        <v>40980.705555555498</v>
      </c>
      <c r="N546" s="111">
        <f ca="1">IFERROR(__xludf.DUMMYFUNCTION("""COMPUTED_VALUE"""),12.68)</f>
        <v>12.68</v>
      </c>
      <c r="O546" s="112">
        <f ca="1">IFERROR(__xludf.DUMMYFUNCTION("""COMPUTED_VALUE"""),41050.7055555555)</f>
        <v>41050.705555555498</v>
      </c>
      <c r="P546" s="111">
        <f ca="1">IFERROR(__xludf.DUMMYFUNCTION("""COMPUTED_VALUE"""),37.85)</f>
        <v>37.85</v>
      </c>
      <c r="Q546" s="112">
        <f ca="1">IFERROR(__xludf.DUMMYFUNCTION("""COMPUTED_VALUE"""),41047.7055555555)</f>
        <v>41047.705555555498</v>
      </c>
      <c r="R546" s="111">
        <f ca="1">IFERROR(__xludf.DUMMYFUNCTION("""COMPUTED_VALUE"""),20.15)</f>
        <v>20.149999999999999</v>
      </c>
      <c r="S546" s="112">
        <f ca="1">IFERROR(__xludf.DUMMYFUNCTION("""COMPUTED_VALUE"""),41057.7055555555)</f>
        <v>41057.705555555498</v>
      </c>
      <c r="T546" s="111">
        <f ca="1">IFERROR(__xludf.DUMMYFUNCTION("""COMPUTED_VALUE"""),8.9)</f>
        <v>8.9</v>
      </c>
    </row>
    <row r="547" spans="1:20" x14ac:dyDescent="0.3">
      <c r="A547" s="112">
        <f ca="1">IFERROR(__xludf.DUMMYFUNCTION("""COMPUTED_VALUE"""),41050.7055555555)</f>
        <v>41050.705555555498</v>
      </c>
      <c r="B547" s="111">
        <f ca="1">IFERROR(__xludf.DUMMYFUNCTION("""COMPUTED_VALUE"""),13.75)</f>
        <v>13.75</v>
      </c>
      <c r="C547" s="112">
        <f ca="1">IFERROR(__xludf.DUMMYFUNCTION("""COMPUTED_VALUE"""),41058.7055555555)</f>
        <v>41058.705555555498</v>
      </c>
      <c r="D547" s="111">
        <f ca="1">IFERROR(__xludf.DUMMYFUNCTION("""COMPUTED_VALUE"""),14.16)</f>
        <v>14.16</v>
      </c>
      <c r="E547" s="112">
        <f ca="1">IFERROR(__xludf.DUMMYFUNCTION("""COMPUTED_VALUE"""),41059.7055555555)</f>
        <v>41059.705555555498</v>
      </c>
      <c r="F547" s="111">
        <f ca="1">IFERROR(__xludf.DUMMYFUNCTION("""COMPUTED_VALUE"""),5.4)</f>
        <v>5.4</v>
      </c>
      <c r="G547" s="112">
        <f ca="1">IFERROR(__xludf.DUMMYFUNCTION("""COMPUTED_VALUE"""),41054.7055555555)</f>
        <v>41054.705555555498</v>
      </c>
      <c r="H547" s="111">
        <f ca="1">IFERROR(__xludf.DUMMYFUNCTION("""COMPUTED_VALUE"""),18.64)</f>
        <v>18.64</v>
      </c>
      <c r="K547" s="112">
        <f ca="1">IFERROR(__xludf.DUMMYFUNCTION("""COMPUTED_VALUE"""),41516.7055555555)</f>
        <v>41516.705555555498</v>
      </c>
      <c r="L547" s="111">
        <f ca="1">IFERROR(__xludf.DUMMYFUNCTION("""COMPUTED_VALUE"""),0.18)</f>
        <v>0.18</v>
      </c>
      <c r="M547" s="112">
        <f ca="1">IFERROR(__xludf.DUMMYFUNCTION("""COMPUTED_VALUE"""),40981.7055555555)</f>
        <v>40981.705555555498</v>
      </c>
      <c r="N547" s="111">
        <f ca="1">IFERROR(__xludf.DUMMYFUNCTION("""COMPUTED_VALUE"""),12.9)</f>
        <v>12.9</v>
      </c>
      <c r="O547" s="112">
        <f ca="1">IFERROR(__xludf.DUMMYFUNCTION("""COMPUTED_VALUE"""),41051.7055555555)</f>
        <v>41051.705555555498</v>
      </c>
      <c r="P547" s="111">
        <f ca="1">IFERROR(__xludf.DUMMYFUNCTION("""COMPUTED_VALUE"""),37.38)</f>
        <v>37.380000000000003</v>
      </c>
      <c r="Q547" s="112">
        <f ca="1">IFERROR(__xludf.DUMMYFUNCTION("""COMPUTED_VALUE"""),41050.7055555555)</f>
        <v>41050.705555555498</v>
      </c>
      <c r="R547" s="111">
        <f ca="1">IFERROR(__xludf.DUMMYFUNCTION("""COMPUTED_VALUE"""),21.37)</f>
        <v>21.37</v>
      </c>
      <c r="S547" s="112">
        <f ca="1">IFERROR(__xludf.DUMMYFUNCTION("""COMPUTED_VALUE"""),41058.7055555555)</f>
        <v>41058.705555555498</v>
      </c>
      <c r="T547" s="111">
        <f ca="1">IFERROR(__xludf.DUMMYFUNCTION("""COMPUTED_VALUE"""),8.63)</f>
        <v>8.6300000000000008</v>
      </c>
    </row>
    <row r="548" spans="1:20" x14ac:dyDescent="0.3">
      <c r="A548" s="112">
        <f ca="1">IFERROR(__xludf.DUMMYFUNCTION("""COMPUTED_VALUE"""),41051.7055555555)</f>
        <v>41051.705555555498</v>
      </c>
      <c r="B548" s="111">
        <f ca="1">IFERROR(__xludf.DUMMYFUNCTION("""COMPUTED_VALUE"""),13.48)</f>
        <v>13.48</v>
      </c>
      <c r="C548" s="112">
        <f ca="1">IFERROR(__xludf.DUMMYFUNCTION("""COMPUTED_VALUE"""),41059.7055555555)</f>
        <v>41059.705555555498</v>
      </c>
      <c r="D548" s="111">
        <f ca="1">IFERROR(__xludf.DUMMYFUNCTION("""COMPUTED_VALUE"""),14.08)</f>
        <v>14.08</v>
      </c>
      <c r="E548" s="112">
        <f ca="1">IFERROR(__xludf.DUMMYFUNCTION("""COMPUTED_VALUE"""),41061.7055555555)</f>
        <v>41061.705555555498</v>
      </c>
      <c r="F548" s="111">
        <f ca="1">IFERROR(__xludf.DUMMYFUNCTION("""COMPUTED_VALUE"""),5.5)</f>
        <v>5.5</v>
      </c>
      <c r="G548" s="112">
        <f ca="1">IFERROR(__xludf.DUMMYFUNCTION("""COMPUTED_VALUE"""),41057.7055555555)</f>
        <v>41057.705555555498</v>
      </c>
      <c r="H548" s="111">
        <f ca="1">IFERROR(__xludf.DUMMYFUNCTION("""COMPUTED_VALUE"""),18.79)</f>
        <v>18.79</v>
      </c>
      <c r="K548" s="112">
        <f ca="1">IFERROR(__xludf.DUMMYFUNCTION("""COMPUTED_VALUE"""),41519.7055555555)</f>
        <v>41519.705555555498</v>
      </c>
      <c r="L548" s="111">
        <f ca="1">IFERROR(__xludf.DUMMYFUNCTION("""COMPUTED_VALUE"""),0.18)</f>
        <v>0.18</v>
      </c>
      <c r="M548" s="112">
        <f ca="1">IFERROR(__xludf.DUMMYFUNCTION("""COMPUTED_VALUE"""),40982.7055555555)</f>
        <v>40982.705555555498</v>
      </c>
      <c r="N548" s="111">
        <f ca="1">IFERROR(__xludf.DUMMYFUNCTION("""COMPUTED_VALUE"""),12.87)</f>
        <v>12.87</v>
      </c>
      <c r="O548" s="112">
        <f ca="1">IFERROR(__xludf.DUMMYFUNCTION("""COMPUTED_VALUE"""),41052.7055555555)</f>
        <v>41052.705555555498</v>
      </c>
      <c r="P548" s="111">
        <f ca="1">IFERROR(__xludf.DUMMYFUNCTION("""COMPUTED_VALUE"""),37.68)</f>
        <v>37.68</v>
      </c>
      <c r="Q548" s="112">
        <f ca="1">IFERROR(__xludf.DUMMYFUNCTION("""COMPUTED_VALUE"""),41051.7055555555)</f>
        <v>41051.705555555498</v>
      </c>
      <c r="R548" s="111">
        <f ca="1">IFERROR(__xludf.DUMMYFUNCTION("""COMPUTED_VALUE"""),21.41)</f>
        <v>21.41</v>
      </c>
      <c r="S548" s="112">
        <f ca="1">IFERROR(__xludf.DUMMYFUNCTION("""COMPUTED_VALUE"""),41059.7055555555)</f>
        <v>41059.705555555498</v>
      </c>
      <c r="T548" s="111">
        <f ca="1">IFERROR(__xludf.DUMMYFUNCTION("""COMPUTED_VALUE"""),8.79)</f>
        <v>8.7899999999999991</v>
      </c>
    </row>
    <row r="549" spans="1:20" x14ac:dyDescent="0.3">
      <c r="A549" s="112">
        <f ca="1">IFERROR(__xludf.DUMMYFUNCTION("""COMPUTED_VALUE"""),41052.7055555555)</f>
        <v>41052.705555555498</v>
      </c>
      <c r="B549" s="111">
        <f ca="1">IFERROR(__xludf.DUMMYFUNCTION("""COMPUTED_VALUE"""),13.09)</f>
        <v>13.09</v>
      </c>
      <c r="C549" s="112">
        <f ca="1">IFERROR(__xludf.DUMMYFUNCTION("""COMPUTED_VALUE"""),41061.7055555555)</f>
        <v>41061.705555555498</v>
      </c>
      <c r="D549" s="111">
        <f ca="1">IFERROR(__xludf.DUMMYFUNCTION("""COMPUTED_VALUE"""),14.32)</f>
        <v>14.32</v>
      </c>
      <c r="E549" s="112">
        <f ca="1">IFERROR(__xludf.DUMMYFUNCTION("""COMPUTED_VALUE"""),41064.7055555555)</f>
        <v>41064.705555555498</v>
      </c>
      <c r="F549" s="111">
        <f ca="1">IFERROR(__xludf.DUMMYFUNCTION("""COMPUTED_VALUE"""),5.44)</f>
        <v>5.44</v>
      </c>
      <c r="G549" s="112">
        <f ca="1">IFERROR(__xludf.DUMMYFUNCTION("""COMPUTED_VALUE"""),41058.7055555555)</f>
        <v>41058.705555555498</v>
      </c>
      <c r="H549" s="111">
        <f ca="1">IFERROR(__xludf.DUMMYFUNCTION("""COMPUTED_VALUE"""),18.85)</f>
        <v>18.850000000000001</v>
      </c>
      <c r="K549" s="112">
        <f ca="1">IFERROR(__xludf.DUMMYFUNCTION("""COMPUTED_VALUE"""),41520.7055555555)</f>
        <v>41520.705555555498</v>
      </c>
      <c r="L549" s="111">
        <f ca="1">IFERROR(__xludf.DUMMYFUNCTION("""COMPUTED_VALUE"""),0.19)</f>
        <v>0.19</v>
      </c>
      <c r="M549" s="112">
        <f ca="1">IFERROR(__xludf.DUMMYFUNCTION("""COMPUTED_VALUE"""),40983.7055555555)</f>
        <v>40983.705555555498</v>
      </c>
      <c r="N549" s="111">
        <f ca="1">IFERROR(__xludf.DUMMYFUNCTION("""COMPUTED_VALUE"""),12.95)</f>
        <v>12.95</v>
      </c>
      <c r="O549" s="112">
        <f ca="1">IFERROR(__xludf.DUMMYFUNCTION("""COMPUTED_VALUE"""),41053.7055555555)</f>
        <v>41053.705555555498</v>
      </c>
      <c r="P549" s="111">
        <f ca="1">IFERROR(__xludf.DUMMYFUNCTION("""COMPUTED_VALUE"""),37.25)</f>
        <v>37.25</v>
      </c>
      <c r="Q549" s="112">
        <f ca="1">IFERROR(__xludf.DUMMYFUNCTION("""COMPUTED_VALUE"""),41052.7055555555)</f>
        <v>41052.705555555498</v>
      </c>
      <c r="R549" s="111">
        <f ca="1">IFERROR(__xludf.DUMMYFUNCTION("""COMPUTED_VALUE"""),20.51)</f>
        <v>20.51</v>
      </c>
      <c r="S549" s="112">
        <f ca="1">IFERROR(__xludf.DUMMYFUNCTION("""COMPUTED_VALUE"""),41061.7055555555)</f>
        <v>41061.705555555498</v>
      </c>
      <c r="T549" s="111">
        <f ca="1">IFERROR(__xludf.DUMMYFUNCTION("""COMPUTED_VALUE"""),8.56)</f>
        <v>8.56</v>
      </c>
    </row>
    <row r="550" spans="1:20" x14ac:dyDescent="0.3">
      <c r="A550" s="112">
        <f ca="1">IFERROR(__xludf.DUMMYFUNCTION("""COMPUTED_VALUE"""),41053.7055555555)</f>
        <v>41053.705555555498</v>
      </c>
      <c r="B550" s="111">
        <f ca="1">IFERROR(__xludf.DUMMYFUNCTION("""COMPUTED_VALUE"""),12.98)</f>
        <v>12.98</v>
      </c>
      <c r="C550" s="112">
        <f ca="1">IFERROR(__xludf.DUMMYFUNCTION("""COMPUTED_VALUE"""),41064.7055555555)</f>
        <v>41064.705555555498</v>
      </c>
      <c r="D550" s="111">
        <f ca="1">IFERROR(__xludf.DUMMYFUNCTION("""COMPUTED_VALUE"""),14.1)</f>
        <v>14.1</v>
      </c>
      <c r="E550" s="112">
        <f ca="1">IFERROR(__xludf.DUMMYFUNCTION("""COMPUTED_VALUE"""),41065.7055555555)</f>
        <v>41065.705555555498</v>
      </c>
      <c r="F550" s="111">
        <f ca="1">IFERROR(__xludf.DUMMYFUNCTION("""COMPUTED_VALUE"""),5.35)</f>
        <v>5.35</v>
      </c>
      <c r="G550" s="112">
        <f ca="1">IFERROR(__xludf.DUMMYFUNCTION("""COMPUTED_VALUE"""),41059.7055555555)</f>
        <v>41059.705555555498</v>
      </c>
      <c r="H550" s="111">
        <f ca="1">IFERROR(__xludf.DUMMYFUNCTION("""COMPUTED_VALUE"""),18.35)</f>
        <v>18.350000000000001</v>
      </c>
      <c r="K550" s="112">
        <f ca="1">IFERROR(__xludf.DUMMYFUNCTION("""COMPUTED_VALUE"""),41521.7055555555)</f>
        <v>41521.705555555498</v>
      </c>
      <c r="L550" s="111">
        <f ca="1">IFERROR(__xludf.DUMMYFUNCTION("""COMPUTED_VALUE"""),0.18)</f>
        <v>0.18</v>
      </c>
      <c r="M550" s="112">
        <f ca="1">IFERROR(__xludf.DUMMYFUNCTION("""COMPUTED_VALUE"""),40984.7055555555)</f>
        <v>40984.705555555498</v>
      </c>
      <c r="N550" s="111">
        <f ca="1">IFERROR(__xludf.DUMMYFUNCTION("""COMPUTED_VALUE"""),12.97)</f>
        <v>12.97</v>
      </c>
      <c r="O550" s="112">
        <f ca="1">IFERROR(__xludf.DUMMYFUNCTION("""COMPUTED_VALUE"""),41054.7055555555)</f>
        <v>41054.705555555498</v>
      </c>
      <c r="P550" s="111">
        <f ca="1">IFERROR(__xludf.DUMMYFUNCTION("""COMPUTED_VALUE"""),36.55)</f>
        <v>36.549999999999997</v>
      </c>
      <c r="Q550" s="112">
        <f ca="1">IFERROR(__xludf.DUMMYFUNCTION("""COMPUTED_VALUE"""),41053.7055555555)</f>
        <v>41053.705555555498</v>
      </c>
      <c r="R550" s="111">
        <f ca="1">IFERROR(__xludf.DUMMYFUNCTION("""COMPUTED_VALUE"""),20.62)</f>
        <v>20.62</v>
      </c>
      <c r="S550" s="112">
        <f ca="1">IFERROR(__xludf.DUMMYFUNCTION("""COMPUTED_VALUE"""),41064.7055555555)</f>
        <v>41064.705555555498</v>
      </c>
      <c r="T550" s="111">
        <f ca="1">IFERROR(__xludf.DUMMYFUNCTION("""COMPUTED_VALUE"""),8.59)</f>
        <v>8.59</v>
      </c>
    </row>
    <row r="551" spans="1:20" x14ac:dyDescent="0.3">
      <c r="A551" s="112">
        <f ca="1">IFERROR(__xludf.DUMMYFUNCTION("""COMPUTED_VALUE"""),41054.7055555555)</f>
        <v>41054.705555555498</v>
      </c>
      <c r="B551" s="111">
        <f ca="1">IFERROR(__xludf.DUMMYFUNCTION("""COMPUTED_VALUE"""),12.74)</f>
        <v>12.74</v>
      </c>
      <c r="C551" s="112">
        <f ca="1">IFERROR(__xludf.DUMMYFUNCTION("""COMPUTED_VALUE"""),41065.7055555555)</f>
        <v>41065.705555555498</v>
      </c>
      <c r="D551" s="111">
        <f ca="1">IFERROR(__xludf.DUMMYFUNCTION("""COMPUTED_VALUE"""),13.88)</f>
        <v>13.88</v>
      </c>
      <c r="E551" s="112">
        <f ca="1">IFERROR(__xludf.DUMMYFUNCTION("""COMPUTED_VALUE"""),41066.7055555555)</f>
        <v>41066.705555555498</v>
      </c>
      <c r="F551" s="111">
        <f ca="1">IFERROR(__xludf.DUMMYFUNCTION("""COMPUTED_VALUE"""),5.62)</f>
        <v>5.62</v>
      </c>
      <c r="G551" s="112">
        <f ca="1">IFERROR(__xludf.DUMMYFUNCTION("""COMPUTED_VALUE"""),41061.7055555555)</f>
        <v>41061.705555555498</v>
      </c>
      <c r="H551" s="111">
        <f ca="1">IFERROR(__xludf.DUMMYFUNCTION("""COMPUTED_VALUE"""),18.8)</f>
        <v>18.8</v>
      </c>
      <c r="K551" s="112">
        <f ca="1">IFERROR(__xludf.DUMMYFUNCTION("""COMPUTED_VALUE"""),41522.7055555555)</f>
        <v>41522.705555555498</v>
      </c>
      <c r="L551" s="111">
        <f ca="1">IFERROR(__xludf.DUMMYFUNCTION("""COMPUTED_VALUE"""),0.19)</f>
        <v>0.19</v>
      </c>
      <c r="M551" s="112">
        <f ca="1">IFERROR(__xludf.DUMMYFUNCTION("""COMPUTED_VALUE"""),40987.7055555555)</f>
        <v>40987.705555555498</v>
      </c>
      <c r="N551" s="111">
        <f ca="1">IFERROR(__xludf.DUMMYFUNCTION("""COMPUTED_VALUE"""),12.85)</f>
        <v>12.85</v>
      </c>
      <c r="O551" s="112">
        <f ca="1">IFERROR(__xludf.DUMMYFUNCTION("""COMPUTED_VALUE"""),41057.7055555555)</f>
        <v>41057.705555555498</v>
      </c>
      <c r="P551" s="111">
        <f ca="1">IFERROR(__xludf.DUMMYFUNCTION("""COMPUTED_VALUE"""),36.88)</f>
        <v>36.880000000000003</v>
      </c>
      <c r="Q551" s="112">
        <f ca="1">IFERROR(__xludf.DUMMYFUNCTION("""COMPUTED_VALUE"""),41054.7055555555)</f>
        <v>41054.705555555498</v>
      </c>
      <c r="R551" s="111">
        <f ca="1">IFERROR(__xludf.DUMMYFUNCTION("""COMPUTED_VALUE"""),20.8)</f>
        <v>20.8</v>
      </c>
      <c r="S551" s="112">
        <f ca="1">IFERROR(__xludf.DUMMYFUNCTION("""COMPUTED_VALUE"""),41065.7055555555)</f>
        <v>41065.705555555498</v>
      </c>
      <c r="T551" s="111">
        <f ca="1">IFERROR(__xludf.DUMMYFUNCTION("""COMPUTED_VALUE"""),8.41)</f>
        <v>8.41</v>
      </c>
    </row>
    <row r="552" spans="1:20" x14ac:dyDescent="0.3">
      <c r="A552" s="112">
        <f ca="1">IFERROR(__xludf.DUMMYFUNCTION("""COMPUTED_VALUE"""),41057.7055555555)</f>
        <v>41057.705555555498</v>
      </c>
      <c r="B552" s="111">
        <f ca="1">IFERROR(__xludf.DUMMYFUNCTION("""COMPUTED_VALUE"""),13.08)</f>
        <v>13.08</v>
      </c>
      <c r="C552" s="112">
        <f ca="1">IFERROR(__xludf.DUMMYFUNCTION("""COMPUTED_VALUE"""),41066.7055555555)</f>
        <v>41066.705555555498</v>
      </c>
      <c r="D552" s="111">
        <f ca="1">IFERROR(__xludf.DUMMYFUNCTION("""COMPUTED_VALUE"""),14.47)</f>
        <v>14.47</v>
      </c>
      <c r="E552" s="112">
        <f ca="1">IFERROR(__xludf.DUMMYFUNCTION("""COMPUTED_VALUE"""),41068.7055555555)</f>
        <v>41068.705555555498</v>
      </c>
      <c r="F552" s="111">
        <f ca="1">IFERROR(__xludf.DUMMYFUNCTION("""COMPUTED_VALUE"""),5.59)</f>
        <v>5.59</v>
      </c>
      <c r="G552" s="112">
        <f ca="1">IFERROR(__xludf.DUMMYFUNCTION("""COMPUTED_VALUE"""),41064.7055555555)</f>
        <v>41064.705555555498</v>
      </c>
      <c r="H552" s="111">
        <f ca="1">IFERROR(__xludf.DUMMYFUNCTION("""COMPUTED_VALUE"""),19.11)</f>
        <v>19.11</v>
      </c>
      <c r="K552" s="112">
        <f ca="1">IFERROR(__xludf.DUMMYFUNCTION("""COMPUTED_VALUE"""),41523.7055555555)</f>
        <v>41523.705555555498</v>
      </c>
      <c r="L552" s="111">
        <f ca="1">IFERROR(__xludf.DUMMYFUNCTION("""COMPUTED_VALUE"""),0.2)</f>
        <v>0.2</v>
      </c>
      <c r="M552" s="112">
        <f ca="1">IFERROR(__xludf.DUMMYFUNCTION("""COMPUTED_VALUE"""),40988.7055555555)</f>
        <v>40988.705555555498</v>
      </c>
      <c r="N552" s="111">
        <f ca="1">IFERROR(__xludf.DUMMYFUNCTION("""COMPUTED_VALUE"""),12.67)</f>
        <v>12.67</v>
      </c>
      <c r="O552" s="112">
        <f ca="1">IFERROR(__xludf.DUMMYFUNCTION("""COMPUTED_VALUE"""),41058.7055555555)</f>
        <v>41058.705555555498</v>
      </c>
      <c r="P552" s="111">
        <f ca="1">IFERROR(__xludf.DUMMYFUNCTION("""COMPUTED_VALUE"""),37.5)</f>
        <v>37.5</v>
      </c>
      <c r="Q552" s="112">
        <f ca="1">IFERROR(__xludf.DUMMYFUNCTION("""COMPUTED_VALUE"""),41057.7055555555)</f>
        <v>41057.705555555498</v>
      </c>
      <c r="R552" s="111">
        <f ca="1">IFERROR(__xludf.DUMMYFUNCTION("""COMPUTED_VALUE"""),20.61)</f>
        <v>20.61</v>
      </c>
      <c r="S552" s="112">
        <f ca="1">IFERROR(__xludf.DUMMYFUNCTION("""COMPUTED_VALUE"""),41066.7055555555)</f>
        <v>41066.705555555498</v>
      </c>
      <c r="T552" s="111">
        <f ca="1">IFERROR(__xludf.DUMMYFUNCTION("""COMPUTED_VALUE"""),8.6)</f>
        <v>8.6</v>
      </c>
    </row>
    <row r="553" spans="1:20" x14ac:dyDescent="0.3">
      <c r="A553" s="112">
        <f ca="1">IFERROR(__xludf.DUMMYFUNCTION("""COMPUTED_VALUE"""),41058.7055555555)</f>
        <v>41058.705555555498</v>
      </c>
      <c r="B553" s="111">
        <f ca="1">IFERROR(__xludf.DUMMYFUNCTION("""COMPUTED_VALUE"""),12.56)</f>
        <v>12.56</v>
      </c>
      <c r="C553" s="112">
        <f ca="1">IFERROR(__xludf.DUMMYFUNCTION("""COMPUTED_VALUE"""),41068.7055555555)</f>
        <v>41068.705555555498</v>
      </c>
      <c r="D553" s="111">
        <f ca="1">IFERROR(__xludf.DUMMYFUNCTION("""COMPUTED_VALUE"""),14.38)</f>
        <v>14.38</v>
      </c>
      <c r="E553" s="112">
        <f ca="1">IFERROR(__xludf.DUMMYFUNCTION("""COMPUTED_VALUE"""),41071.7055555555)</f>
        <v>41071.705555555498</v>
      </c>
      <c r="F553" s="111">
        <f ca="1">IFERROR(__xludf.DUMMYFUNCTION("""COMPUTED_VALUE"""),5.61)</f>
        <v>5.61</v>
      </c>
      <c r="G553" s="112">
        <f ca="1">IFERROR(__xludf.DUMMYFUNCTION("""COMPUTED_VALUE"""),41065.7055555555)</f>
        <v>41065.705555555498</v>
      </c>
      <c r="H553" s="111">
        <f ca="1">IFERROR(__xludf.DUMMYFUNCTION("""COMPUTED_VALUE"""),18.8)</f>
        <v>18.8</v>
      </c>
      <c r="K553" s="112">
        <f ca="1">IFERROR(__xludf.DUMMYFUNCTION("""COMPUTED_VALUE"""),41526.7055555555)</f>
        <v>41526.705555555498</v>
      </c>
      <c r="L553" s="111">
        <f ca="1">IFERROR(__xludf.DUMMYFUNCTION("""COMPUTED_VALUE"""),0.2)</f>
        <v>0.2</v>
      </c>
      <c r="M553" s="112">
        <f ca="1">IFERROR(__xludf.DUMMYFUNCTION("""COMPUTED_VALUE"""),40989.7055555555)</f>
        <v>40989.705555555498</v>
      </c>
      <c r="N553" s="111">
        <f ca="1">IFERROR(__xludf.DUMMYFUNCTION("""COMPUTED_VALUE"""),12.7)</f>
        <v>12.7</v>
      </c>
      <c r="O553" s="112">
        <f ca="1">IFERROR(__xludf.DUMMYFUNCTION("""COMPUTED_VALUE"""),41059.7055555555)</f>
        <v>41059.705555555498</v>
      </c>
      <c r="P553" s="111">
        <f ca="1">IFERROR(__xludf.DUMMYFUNCTION("""COMPUTED_VALUE"""),37.28)</f>
        <v>37.28</v>
      </c>
      <c r="Q553" s="112">
        <f ca="1">IFERROR(__xludf.DUMMYFUNCTION("""COMPUTED_VALUE"""),41058.7055555555)</f>
        <v>41058.705555555498</v>
      </c>
      <c r="R553" s="111">
        <f ca="1">IFERROR(__xludf.DUMMYFUNCTION("""COMPUTED_VALUE"""),20.35)</f>
        <v>20.350000000000001</v>
      </c>
      <c r="S553" s="112">
        <f ca="1">IFERROR(__xludf.DUMMYFUNCTION("""COMPUTED_VALUE"""),41068.7055555555)</f>
        <v>41068.705555555498</v>
      </c>
      <c r="T553" s="111">
        <f ca="1">IFERROR(__xludf.DUMMYFUNCTION("""COMPUTED_VALUE"""),8.63)</f>
        <v>8.6300000000000008</v>
      </c>
    </row>
    <row r="554" spans="1:20" x14ac:dyDescent="0.3">
      <c r="A554" s="112">
        <f ca="1">IFERROR(__xludf.DUMMYFUNCTION("""COMPUTED_VALUE"""),41059.7055555555)</f>
        <v>41059.705555555498</v>
      </c>
      <c r="B554" s="111">
        <f ca="1">IFERROR(__xludf.DUMMYFUNCTION("""COMPUTED_VALUE"""),12.85)</f>
        <v>12.85</v>
      </c>
      <c r="C554" s="112">
        <f ca="1">IFERROR(__xludf.DUMMYFUNCTION("""COMPUTED_VALUE"""),41071.7055555555)</f>
        <v>41071.705555555498</v>
      </c>
      <c r="D554" s="111">
        <f ca="1">IFERROR(__xludf.DUMMYFUNCTION("""COMPUTED_VALUE"""),14.53)</f>
        <v>14.53</v>
      </c>
      <c r="E554" s="112">
        <f ca="1">IFERROR(__xludf.DUMMYFUNCTION("""COMPUTED_VALUE"""),41072.7055555555)</f>
        <v>41072.705555555498</v>
      </c>
      <c r="F554" s="111">
        <f ca="1">IFERROR(__xludf.DUMMYFUNCTION("""COMPUTED_VALUE"""),5.73)</f>
        <v>5.73</v>
      </c>
      <c r="G554" s="112">
        <f ca="1">IFERROR(__xludf.DUMMYFUNCTION("""COMPUTED_VALUE"""),41066.7055555555)</f>
        <v>41066.705555555498</v>
      </c>
      <c r="H554" s="111">
        <f ca="1">IFERROR(__xludf.DUMMYFUNCTION("""COMPUTED_VALUE"""),19.09)</f>
        <v>19.09</v>
      </c>
      <c r="K554" s="112">
        <f ca="1">IFERROR(__xludf.DUMMYFUNCTION("""COMPUTED_VALUE"""),41527.7055555555)</f>
        <v>41527.705555555498</v>
      </c>
      <c r="L554" s="111">
        <f ca="1">IFERROR(__xludf.DUMMYFUNCTION("""COMPUTED_VALUE"""),0.21)</f>
        <v>0.21</v>
      </c>
      <c r="M554" s="112">
        <f ca="1">IFERROR(__xludf.DUMMYFUNCTION("""COMPUTED_VALUE"""),40990.7055555555)</f>
        <v>40990.705555555498</v>
      </c>
      <c r="N554" s="111">
        <f ca="1">IFERROR(__xludf.DUMMYFUNCTION("""COMPUTED_VALUE"""),12.65)</f>
        <v>12.65</v>
      </c>
      <c r="O554" s="112">
        <f ca="1">IFERROR(__xludf.DUMMYFUNCTION("""COMPUTED_VALUE"""),41061.7055555555)</f>
        <v>41061.705555555498</v>
      </c>
      <c r="P554" s="111">
        <f ca="1">IFERROR(__xludf.DUMMYFUNCTION("""COMPUTED_VALUE"""),37)</f>
        <v>37</v>
      </c>
      <c r="Q554" s="112">
        <f ca="1">IFERROR(__xludf.DUMMYFUNCTION("""COMPUTED_VALUE"""),41059.7055555555)</f>
        <v>41059.705555555498</v>
      </c>
      <c r="R554" s="111">
        <f ca="1">IFERROR(__xludf.DUMMYFUNCTION("""COMPUTED_VALUE"""),19.92)</f>
        <v>19.920000000000002</v>
      </c>
      <c r="S554" s="112">
        <f ca="1">IFERROR(__xludf.DUMMYFUNCTION("""COMPUTED_VALUE"""),41071.7055555555)</f>
        <v>41071.705555555498</v>
      </c>
      <c r="T554" s="111">
        <f ca="1">IFERROR(__xludf.DUMMYFUNCTION("""COMPUTED_VALUE"""),8.66)</f>
        <v>8.66</v>
      </c>
    </row>
    <row r="555" spans="1:20" x14ac:dyDescent="0.3">
      <c r="A555" s="112">
        <f ca="1">IFERROR(__xludf.DUMMYFUNCTION("""COMPUTED_VALUE"""),41061.7055555555)</f>
        <v>41061.705555555498</v>
      </c>
      <c r="B555" s="111">
        <f ca="1">IFERROR(__xludf.DUMMYFUNCTION("""COMPUTED_VALUE"""),12.87)</f>
        <v>12.87</v>
      </c>
      <c r="C555" s="112">
        <f ca="1">IFERROR(__xludf.DUMMYFUNCTION("""COMPUTED_VALUE"""),41072.7055555555)</f>
        <v>41072.705555555498</v>
      </c>
      <c r="D555" s="111">
        <f ca="1">IFERROR(__xludf.DUMMYFUNCTION("""COMPUTED_VALUE"""),14.78)</f>
        <v>14.78</v>
      </c>
      <c r="E555" s="112">
        <f ca="1">IFERROR(__xludf.DUMMYFUNCTION("""COMPUTED_VALUE"""),41073.7055555555)</f>
        <v>41073.705555555498</v>
      </c>
      <c r="F555" s="111">
        <f ca="1">IFERROR(__xludf.DUMMYFUNCTION("""COMPUTED_VALUE"""),5.76)</f>
        <v>5.76</v>
      </c>
      <c r="G555" s="112">
        <f ca="1">IFERROR(__xludf.DUMMYFUNCTION("""COMPUTED_VALUE"""),41068.7055555555)</f>
        <v>41068.705555555498</v>
      </c>
      <c r="H555" s="111">
        <f ca="1">IFERROR(__xludf.DUMMYFUNCTION("""COMPUTED_VALUE"""),18.88)</f>
        <v>18.88</v>
      </c>
      <c r="K555" s="112">
        <f ca="1">IFERROR(__xludf.DUMMYFUNCTION("""COMPUTED_VALUE"""),41528.7055555555)</f>
        <v>41528.705555555498</v>
      </c>
      <c r="L555" s="111">
        <f ca="1">IFERROR(__xludf.DUMMYFUNCTION("""COMPUTED_VALUE"""),0.2)</f>
        <v>0.2</v>
      </c>
      <c r="M555" s="112">
        <f ca="1">IFERROR(__xludf.DUMMYFUNCTION("""COMPUTED_VALUE"""),40991.7055555555)</f>
        <v>40991.705555555498</v>
      </c>
      <c r="N555" s="111">
        <f ca="1">IFERROR(__xludf.DUMMYFUNCTION("""COMPUTED_VALUE"""),12.84)</f>
        <v>12.84</v>
      </c>
      <c r="O555" s="112">
        <f ca="1">IFERROR(__xludf.DUMMYFUNCTION("""COMPUTED_VALUE"""),41064.7055555555)</f>
        <v>41064.705555555498</v>
      </c>
      <c r="P555" s="111">
        <f ca="1">IFERROR(__xludf.DUMMYFUNCTION("""COMPUTED_VALUE"""),36.92)</f>
        <v>36.92</v>
      </c>
      <c r="Q555" s="112">
        <f ca="1">IFERROR(__xludf.DUMMYFUNCTION("""COMPUTED_VALUE"""),41061.7055555555)</f>
        <v>41061.705555555498</v>
      </c>
      <c r="R555" s="111">
        <f ca="1">IFERROR(__xludf.DUMMYFUNCTION("""COMPUTED_VALUE"""),19.95)</f>
        <v>19.95</v>
      </c>
      <c r="S555" s="112">
        <f ca="1">IFERROR(__xludf.DUMMYFUNCTION("""COMPUTED_VALUE"""),41072.7055555555)</f>
        <v>41072.705555555498</v>
      </c>
      <c r="T555" s="111">
        <f ca="1">IFERROR(__xludf.DUMMYFUNCTION("""COMPUTED_VALUE"""),8.88)</f>
        <v>8.8800000000000008</v>
      </c>
    </row>
    <row r="556" spans="1:20" x14ac:dyDescent="0.3">
      <c r="A556" s="112">
        <f ca="1">IFERROR(__xludf.DUMMYFUNCTION("""COMPUTED_VALUE"""),41064.7055555555)</f>
        <v>41064.705555555498</v>
      </c>
      <c r="B556" s="111">
        <f ca="1">IFERROR(__xludf.DUMMYFUNCTION("""COMPUTED_VALUE"""),12.95)</f>
        <v>12.95</v>
      </c>
      <c r="C556" s="112">
        <f ca="1">IFERROR(__xludf.DUMMYFUNCTION("""COMPUTED_VALUE"""),41073.7055555555)</f>
        <v>41073.705555555498</v>
      </c>
      <c r="D556" s="111">
        <f ca="1">IFERROR(__xludf.DUMMYFUNCTION("""COMPUTED_VALUE"""),14.8)</f>
        <v>14.8</v>
      </c>
      <c r="E556" s="112">
        <f ca="1">IFERROR(__xludf.DUMMYFUNCTION("""COMPUTED_VALUE"""),41074.7055555555)</f>
        <v>41074.705555555498</v>
      </c>
      <c r="F556" s="111">
        <f ca="1">IFERROR(__xludf.DUMMYFUNCTION("""COMPUTED_VALUE"""),5.77)</f>
        <v>5.77</v>
      </c>
      <c r="G556" s="112">
        <f ca="1">IFERROR(__xludf.DUMMYFUNCTION("""COMPUTED_VALUE"""),41071.7055555555)</f>
        <v>41071.705555555498</v>
      </c>
      <c r="H556" s="111">
        <f ca="1">IFERROR(__xludf.DUMMYFUNCTION("""COMPUTED_VALUE"""),18.39)</f>
        <v>18.39</v>
      </c>
      <c r="K556" s="112">
        <f ca="1">IFERROR(__xludf.DUMMYFUNCTION("""COMPUTED_VALUE"""),41529.7055555555)</f>
        <v>41529.705555555498</v>
      </c>
      <c r="L556" s="111">
        <f ca="1">IFERROR(__xludf.DUMMYFUNCTION("""COMPUTED_VALUE"""),0.21)</f>
        <v>0.21</v>
      </c>
      <c r="M556" s="112">
        <f ca="1">IFERROR(__xludf.DUMMYFUNCTION("""COMPUTED_VALUE"""),40994.7055555555)</f>
        <v>40994.705555555498</v>
      </c>
      <c r="N556" s="111">
        <f ca="1">IFERROR(__xludf.DUMMYFUNCTION("""COMPUTED_VALUE"""),12.96)</f>
        <v>12.96</v>
      </c>
      <c r="O556" s="112">
        <f ca="1">IFERROR(__xludf.DUMMYFUNCTION("""COMPUTED_VALUE"""),41065.7055555555)</f>
        <v>41065.705555555498</v>
      </c>
      <c r="P556" s="111">
        <f ca="1">IFERROR(__xludf.DUMMYFUNCTION("""COMPUTED_VALUE"""),36.89)</f>
        <v>36.89</v>
      </c>
      <c r="Q556" s="112">
        <f ca="1">IFERROR(__xludf.DUMMYFUNCTION("""COMPUTED_VALUE"""),41064.7055555555)</f>
        <v>41064.705555555498</v>
      </c>
      <c r="R556" s="111">
        <f ca="1">IFERROR(__xludf.DUMMYFUNCTION("""COMPUTED_VALUE"""),19.28)</f>
        <v>19.28</v>
      </c>
      <c r="S556" s="112">
        <f ca="1">IFERROR(__xludf.DUMMYFUNCTION("""COMPUTED_VALUE"""),41073.7055555555)</f>
        <v>41073.705555555498</v>
      </c>
      <c r="T556" s="111">
        <f ca="1">IFERROR(__xludf.DUMMYFUNCTION("""COMPUTED_VALUE"""),9.02)</f>
        <v>9.02</v>
      </c>
    </row>
    <row r="557" spans="1:20" x14ac:dyDescent="0.3">
      <c r="A557" s="112">
        <f ca="1">IFERROR(__xludf.DUMMYFUNCTION("""COMPUTED_VALUE"""),41065.7055555555)</f>
        <v>41065.705555555498</v>
      </c>
      <c r="B557" s="111">
        <f ca="1">IFERROR(__xludf.DUMMYFUNCTION("""COMPUTED_VALUE"""),12.69)</f>
        <v>12.69</v>
      </c>
      <c r="C557" s="112">
        <f ca="1">IFERROR(__xludf.DUMMYFUNCTION("""COMPUTED_VALUE"""),41074.7055555555)</f>
        <v>41074.705555555498</v>
      </c>
      <c r="D557" s="111">
        <f ca="1">IFERROR(__xludf.DUMMYFUNCTION("""COMPUTED_VALUE"""),14.81)</f>
        <v>14.81</v>
      </c>
      <c r="E557" s="112">
        <f ca="1">IFERROR(__xludf.DUMMYFUNCTION("""COMPUTED_VALUE"""),41075.7055555555)</f>
        <v>41075.705555555498</v>
      </c>
      <c r="F557" s="111">
        <f ca="1">IFERROR(__xludf.DUMMYFUNCTION("""COMPUTED_VALUE"""),5.85)</f>
        <v>5.85</v>
      </c>
      <c r="G557" s="112">
        <f ca="1">IFERROR(__xludf.DUMMYFUNCTION("""COMPUTED_VALUE"""),41072.7055555555)</f>
        <v>41072.705555555498</v>
      </c>
      <c r="H557" s="111">
        <f ca="1">IFERROR(__xludf.DUMMYFUNCTION("""COMPUTED_VALUE"""),18.6)</f>
        <v>18.600000000000001</v>
      </c>
      <c r="K557" s="112">
        <f ca="1">IFERROR(__xludf.DUMMYFUNCTION("""COMPUTED_VALUE"""),41530.7055555555)</f>
        <v>41530.705555555498</v>
      </c>
      <c r="L557" s="111">
        <f ca="1">IFERROR(__xludf.DUMMYFUNCTION("""COMPUTED_VALUE"""),0.22)</f>
        <v>0.22</v>
      </c>
      <c r="M557" s="112">
        <f ca="1">IFERROR(__xludf.DUMMYFUNCTION("""COMPUTED_VALUE"""),40995.7055555555)</f>
        <v>40995.705555555498</v>
      </c>
      <c r="N557" s="111">
        <f ca="1">IFERROR(__xludf.DUMMYFUNCTION("""COMPUTED_VALUE"""),12.93)</f>
        <v>12.93</v>
      </c>
      <c r="O557" s="112">
        <f ca="1">IFERROR(__xludf.DUMMYFUNCTION("""COMPUTED_VALUE"""),41066.7055555555)</f>
        <v>41066.705555555498</v>
      </c>
      <c r="P557" s="111">
        <f ca="1">IFERROR(__xludf.DUMMYFUNCTION("""COMPUTED_VALUE"""),37.96)</f>
        <v>37.96</v>
      </c>
      <c r="Q557" s="112">
        <f ca="1">IFERROR(__xludf.DUMMYFUNCTION("""COMPUTED_VALUE"""),41065.7055555555)</f>
        <v>41065.705555555498</v>
      </c>
      <c r="R557" s="111">
        <f ca="1">IFERROR(__xludf.DUMMYFUNCTION("""COMPUTED_VALUE"""),18.8)</f>
        <v>18.8</v>
      </c>
      <c r="S557" s="112">
        <f ca="1">IFERROR(__xludf.DUMMYFUNCTION("""COMPUTED_VALUE"""),41074.7055555555)</f>
        <v>41074.705555555498</v>
      </c>
      <c r="T557" s="111">
        <f ca="1">IFERROR(__xludf.DUMMYFUNCTION("""COMPUTED_VALUE"""),8.87)</f>
        <v>8.8699999999999992</v>
      </c>
    </row>
    <row r="558" spans="1:20" x14ac:dyDescent="0.3">
      <c r="A558" s="112">
        <f ca="1">IFERROR(__xludf.DUMMYFUNCTION("""COMPUTED_VALUE"""),41066.7055555555)</f>
        <v>41066.705555555498</v>
      </c>
      <c r="B558" s="111">
        <f ca="1">IFERROR(__xludf.DUMMYFUNCTION("""COMPUTED_VALUE"""),13.15)</f>
        <v>13.15</v>
      </c>
      <c r="C558" s="112">
        <f ca="1">IFERROR(__xludf.DUMMYFUNCTION("""COMPUTED_VALUE"""),41075.7055555555)</f>
        <v>41075.705555555498</v>
      </c>
      <c r="D558" s="111">
        <f ca="1">IFERROR(__xludf.DUMMYFUNCTION("""COMPUTED_VALUE"""),15.13)</f>
        <v>15.13</v>
      </c>
      <c r="E558" s="112">
        <f ca="1">IFERROR(__xludf.DUMMYFUNCTION("""COMPUTED_VALUE"""),41079.7055555555)</f>
        <v>41079.705555555498</v>
      </c>
      <c r="F558" s="111">
        <f ca="1">IFERROR(__xludf.DUMMYFUNCTION("""COMPUTED_VALUE"""),5.95)</f>
        <v>5.95</v>
      </c>
      <c r="G558" s="112">
        <f ca="1">IFERROR(__xludf.DUMMYFUNCTION("""COMPUTED_VALUE"""),41073.7055555555)</f>
        <v>41073.705555555498</v>
      </c>
      <c r="H558" s="111">
        <f ca="1">IFERROR(__xludf.DUMMYFUNCTION("""COMPUTED_VALUE"""),18.9)</f>
        <v>18.899999999999999</v>
      </c>
      <c r="K558" s="112">
        <f ca="1">IFERROR(__xludf.DUMMYFUNCTION("""COMPUTED_VALUE"""),41533.7055555555)</f>
        <v>41533.705555555498</v>
      </c>
      <c r="L558" s="111">
        <f ca="1">IFERROR(__xludf.DUMMYFUNCTION("""COMPUTED_VALUE"""),0.23)</f>
        <v>0.23</v>
      </c>
      <c r="M558" s="112">
        <f ca="1">IFERROR(__xludf.DUMMYFUNCTION("""COMPUTED_VALUE"""),40996.7055555555)</f>
        <v>40996.705555555498</v>
      </c>
      <c r="N558" s="111">
        <f ca="1">IFERROR(__xludf.DUMMYFUNCTION("""COMPUTED_VALUE"""),12.65)</f>
        <v>12.65</v>
      </c>
      <c r="O558" s="112">
        <f ca="1">IFERROR(__xludf.DUMMYFUNCTION("""COMPUTED_VALUE"""),41068.7055555555)</f>
        <v>41068.705555555498</v>
      </c>
      <c r="P558" s="111">
        <f ca="1">IFERROR(__xludf.DUMMYFUNCTION("""COMPUTED_VALUE"""),38.34)</f>
        <v>38.340000000000003</v>
      </c>
      <c r="Q558" s="112">
        <f ca="1">IFERROR(__xludf.DUMMYFUNCTION("""COMPUTED_VALUE"""),41066.7055555555)</f>
        <v>41066.705555555498</v>
      </c>
      <c r="R558" s="111">
        <f ca="1">IFERROR(__xludf.DUMMYFUNCTION("""COMPUTED_VALUE"""),19.2)</f>
        <v>19.2</v>
      </c>
      <c r="S558" s="112">
        <f ca="1">IFERROR(__xludf.DUMMYFUNCTION("""COMPUTED_VALUE"""),41075.7055555555)</f>
        <v>41075.705555555498</v>
      </c>
      <c r="T558" s="111">
        <f ca="1">IFERROR(__xludf.DUMMYFUNCTION("""COMPUTED_VALUE"""),9.06)</f>
        <v>9.06</v>
      </c>
    </row>
    <row r="559" spans="1:20" x14ac:dyDescent="0.3">
      <c r="A559" s="112">
        <f ca="1">IFERROR(__xludf.DUMMYFUNCTION("""COMPUTED_VALUE"""),41068.7055555555)</f>
        <v>41068.705555555498</v>
      </c>
      <c r="B559" s="111">
        <f ca="1">IFERROR(__xludf.DUMMYFUNCTION("""COMPUTED_VALUE"""),13.55)</f>
        <v>13.55</v>
      </c>
      <c r="C559" s="112">
        <f ca="1">IFERROR(__xludf.DUMMYFUNCTION("""COMPUTED_VALUE"""),41079.7055555555)</f>
        <v>41079.705555555498</v>
      </c>
      <c r="D559" s="111">
        <f ca="1">IFERROR(__xludf.DUMMYFUNCTION("""COMPUTED_VALUE"""),15.27)</f>
        <v>15.27</v>
      </c>
      <c r="E559" s="112">
        <f ca="1">IFERROR(__xludf.DUMMYFUNCTION("""COMPUTED_VALUE"""),41080.7055555555)</f>
        <v>41080.705555555498</v>
      </c>
      <c r="F559" s="111">
        <f ca="1">IFERROR(__xludf.DUMMYFUNCTION("""COMPUTED_VALUE"""),5.85)</f>
        <v>5.85</v>
      </c>
      <c r="G559" s="112">
        <f ca="1">IFERROR(__xludf.DUMMYFUNCTION("""COMPUTED_VALUE"""),41074.7055555555)</f>
        <v>41074.705555555498</v>
      </c>
      <c r="H559" s="111">
        <f ca="1">IFERROR(__xludf.DUMMYFUNCTION("""COMPUTED_VALUE"""),18.17)</f>
        <v>18.170000000000002</v>
      </c>
      <c r="K559" s="112">
        <f ca="1">IFERROR(__xludf.DUMMYFUNCTION("""COMPUTED_VALUE"""),41534.7055555555)</f>
        <v>41534.705555555498</v>
      </c>
      <c r="L559" s="111">
        <f ca="1">IFERROR(__xludf.DUMMYFUNCTION("""COMPUTED_VALUE"""),0.24)</f>
        <v>0.24</v>
      </c>
      <c r="M559" s="112">
        <f ca="1">IFERROR(__xludf.DUMMYFUNCTION("""COMPUTED_VALUE"""),40997.7055555555)</f>
        <v>40997.705555555498</v>
      </c>
      <c r="N559" s="111">
        <f ca="1">IFERROR(__xludf.DUMMYFUNCTION("""COMPUTED_VALUE"""),12.56)</f>
        <v>12.56</v>
      </c>
      <c r="O559" s="112">
        <f ca="1">IFERROR(__xludf.DUMMYFUNCTION("""COMPUTED_VALUE"""),41071.7055555555)</f>
        <v>41071.705555555498</v>
      </c>
      <c r="P559" s="111">
        <f ca="1">IFERROR(__xludf.DUMMYFUNCTION("""COMPUTED_VALUE"""),37.86)</f>
        <v>37.86</v>
      </c>
      <c r="Q559" s="112">
        <f ca="1">IFERROR(__xludf.DUMMYFUNCTION("""COMPUTED_VALUE"""),41068.7055555555)</f>
        <v>41068.705555555498</v>
      </c>
      <c r="R559" s="111">
        <f ca="1">IFERROR(__xludf.DUMMYFUNCTION("""COMPUTED_VALUE"""),19.22)</f>
        <v>19.22</v>
      </c>
      <c r="S559" s="112">
        <f ca="1">IFERROR(__xludf.DUMMYFUNCTION("""COMPUTED_VALUE"""),41078.7055555555)</f>
        <v>41078.705555555498</v>
      </c>
      <c r="T559" s="111">
        <f ca="1">IFERROR(__xludf.DUMMYFUNCTION("""COMPUTED_VALUE"""),8.9)</f>
        <v>8.9</v>
      </c>
    </row>
    <row r="560" spans="1:20" x14ac:dyDescent="0.3">
      <c r="A560" s="112">
        <f ca="1">IFERROR(__xludf.DUMMYFUNCTION("""COMPUTED_VALUE"""),41071.7055555555)</f>
        <v>41071.705555555498</v>
      </c>
      <c r="B560" s="111">
        <f ca="1">IFERROR(__xludf.DUMMYFUNCTION("""COMPUTED_VALUE"""),13.33)</f>
        <v>13.33</v>
      </c>
      <c r="C560" s="112">
        <f ca="1">IFERROR(__xludf.DUMMYFUNCTION("""COMPUTED_VALUE"""),41080.7055555555)</f>
        <v>41080.705555555498</v>
      </c>
      <c r="D560" s="111">
        <f ca="1">IFERROR(__xludf.DUMMYFUNCTION("""COMPUTED_VALUE"""),15.05)</f>
        <v>15.05</v>
      </c>
      <c r="E560" s="112">
        <f ca="1">IFERROR(__xludf.DUMMYFUNCTION("""COMPUTED_VALUE"""),41081.7055555555)</f>
        <v>41081.705555555498</v>
      </c>
      <c r="F560" s="111">
        <f ca="1">IFERROR(__xludf.DUMMYFUNCTION("""COMPUTED_VALUE"""),5.59)</f>
        <v>5.59</v>
      </c>
      <c r="G560" s="112">
        <f ca="1">IFERROR(__xludf.DUMMYFUNCTION("""COMPUTED_VALUE"""),41075.7055555555)</f>
        <v>41075.705555555498</v>
      </c>
      <c r="H560" s="111">
        <f ca="1">IFERROR(__xludf.DUMMYFUNCTION("""COMPUTED_VALUE"""),18.55)</f>
        <v>18.55</v>
      </c>
      <c r="K560" s="112">
        <f ca="1">IFERROR(__xludf.DUMMYFUNCTION("""COMPUTED_VALUE"""),41535.7055555555)</f>
        <v>41535.705555555498</v>
      </c>
      <c r="L560" s="111">
        <f ca="1">IFERROR(__xludf.DUMMYFUNCTION("""COMPUTED_VALUE"""),0.24)</f>
        <v>0.24</v>
      </c>
      <c r="M560" s="112">
        <f ca="1">IFERROR(__xludf.DUMMYFUNCTION("""COMPUTED_VALUE"""),40998.7055555555)</f>
        <v>40998.705555555498</v>
      </c>
      <c r="N560" s="111">
        <f ca="1">IFERROR(__xludf.DUMMYFUNCTION("""COMPUTED_VALUE"""),12.5)</f>
        <v>12.5</v>
      </c>
      <c r="O560" s="112">
        <f ca="1">IFERROR(__xludf.DUMMYFUNCTION("""COMPUTED_VALUE"""),41072.7055555555)</f>
        <v>41072.705555555498</v>
      </c>
      <c r="P560" s="111">
        <f ca="1">IFERROR(__xludf.DUMMYFUNCTION("""COMPUTED_VALUE"""),38.75)</f>
        <v>38.75</v>
      </c>
      <c r="Q560" s="112">
        <f ca="1">IFERROR(__xludf.DUMMYFUNCTION("""COMPUTED_VALUE"""),41071.7055555555)</f>
        <v>41071.705555555498</v>
      </c>
      <c r="R560" s="111">
        <f ca="1">IFERROR(__xludf.DUMMYFUNCTION("""COMPUTED_VALUE"""),19.4)</f>
        <v>19.399999999999999</v>
      </c>
      <c r="S560" s="112">
        <f ca="1">IFERROR(__xludf.DUMMYFUNCTION("""COMPUTED_VALUE"""),41079.7055555555)</f>
        <v>41079.705555555498</v>
      </c>
      <c r="T560" s="111">
        <f ca="1">IFERROR(__xludf.DUMMYFUNCTION("""COMPUTED_VALUE"""),9.05)</f>
        <v>9.0500000000000007</v>
      </c>
    </row>
    <row r="561" spans="1:20" x14ac:dyDescent="0.3">
      <c r="A561" s="112">
        <f ca="1">IFERROR(__xludf.DUMMYFUNCTION("""COMPUTED_VALUE"""),41072.7055555555)</f>
        <v>41072.705555555498</v>
      </c>
      <c r="B561" s="111">
        <f ca="1">IFERROR(__xludf.DUMMYFUNCTION("""COMPUTED_VALUE"""),13.73)</f>
        <v>13.73</v>
      </c>
      <c r="C561" s="112">
        <f ca="1">IFERROR(__xludf.DUMMYFUNCTION("""COMPUTED_VALUE"""),41081.7055555555)</f>
        <v>41081.705555555498</v>
      </c>
      <c r="D561" s="111">
        <f ca="1">IFERROR(__xludf.DUMMYFUNCTION("""COMPUTED_VALUE"""),14.46)</f>
        <v>14.46</v>
      </c>
      <c r="E561" s="112">
        <f ca="1">IFERROR(__xludf.DUMMYFUNCTION("""COMPUTED_VALUE"""),41082.7055555555)</f>
        <v>41082.705555555498</v>
      </c>
      <c r="F561" s="111">
        <f ca="1">IFERROR(__xludf.DUMMYFUNCTION("""COMPUTED_VALUE"""),5.5)</f>
        <v>5.5</v>
      </c>
      <c r="G561" s="112">
        <f ca="1">IFERROR(__xludf.DUMMYFUNCTION("""COMPUTED_VALUE"""),41079.7055555555)</f>
        <v>41079.705555555498</v>
      </c>
      <c r="H561" s="111">
        <f ca="1">IFERROR(__xludf.DUMMYFUNCTION("""COMPUTED_VALUE"""),19.65)</f>
        <v>19.649999999999999</v>
      </c>
      <c r="K561" s="112">
        <f ca="1">IFERROR(__xludf.DUMMYFUNCTION("""COMPUTED_VALUE"""),41536.7055555555)</f>
        <v>41536.705555555498</v>
      </c>
      <c r="L561" s="111">
        <f ca="1">IFERROR(__xludf.DUMMYFUNCTION("""COMPUTED_VALUE"""),0.23)</f>
        <v>0.23</v>
      </c>
      <c r="M561" s="112">
        <f ca="1">IFERROR(__xludf.DUMMYFUNCTION("""COMPUTED_VALUE"""),41001.7055555555)</f>
        <v>41001.705555555498</v>
      </c>
      <c r="N561" s="111">
        <f ca="1">IFERROR(__xludf.DUMMYFUNCTION("""COMPUTED_VALUE"""),12.54)</f>
        <v>12.54</v>
      </c>
      <c r="O561" s="112">
        <f ca="1">IFERROR(__xludf.DUMMYFUNCTION("""COMPUTED_VALUE"""),41073.7055555555)</f>
        <v>41073.705555555498</v>
      </c>
      <c r="P561" s="111">
        <f ca="1">IFERROR(__xludf.DUMMYFUNCTION("""COMPUTED_VALUE"""),38.8)</f>
        <v>38.799999999999997</v>
      </c>
      <c r="Q561" s="112">
        <f ca="1">IFERROR(__xludf.DUMMYFUNCTION("""COMPUTED_VALUE"""),41072.7055555555)</f>
        <v>41072.705555555498</v>
      </c>
      <c r="R561" s="111">
        <f ca="1">IFERROR(__xludf.DUMMYFUNCTION("""COMPUTED_VALUE"""),19.4)</f>
        <v>19.399999999999999</v>
      </c>
      <c r="S561" s="112">
        <f ca="1">IFERROR(__xludf.DUMMYFUNCTION("""COMPUTED_VALUE"""),41080.7055555555)</f>
        <v>41080.705555555498</v>
      </c>
      <c r="T561" s="111">
        <f ca="1">IFERROR(__xludf.DUMMYFUNCTION("""COMPUTED_VALUE"""),9.09)</f>
        <v>9.09</v>
      </c>
    </row>
    <row r="562" spans="1:20" x14ac:dyDescent="0.3">
      <c r="A562" s="112">
        <f ca="1">IFERROR(__xludf.DUMMYFUNCTION("""COMPUTED_VALUE"""),41073.7055555555)</f>
        <v>41073.705555555498</v>
      </c>
      <c r="B562" s="111">
        <f ca="1">IFERROR(__xludf.DUMMYFUNCTION("""COMPUTED_VALUE"""),13.9)</f>
        <v>13.9</v>
      </c>
      <c r="C562" s="112">
        <f ca="1">IFERROR(__xludf.DUMMYFUNCTION("""COMPUTED_VALUE"""),41082.7055555555)</f>
        <v>41082.705555555498</v>
      </c>
      <c r="D562" s="111">
        <f ca="1">IFERROR(__xludf.DUMMYFUNCTION("""COMPUTED_VALUE"""),14.16)</f>
        <v>14.16</v>
      </c>
      <c r="E562" s="112">
        <f ca="1">IFERROR(__xludf.DUMMYFUNCTION("""COMPUTED_VALUE"""),41085.7055555555)</f>
        <v>41085.705555555498</v>
      </c>
      <c r="F562" s="111">
        <f ca="1">IFERROR(__xludf.DUMMYFUNCTION("""COMPUTED_VALUE"""),5.26)</f>
        <v>5.26</v>
      </c>
      <c r="G562" s="112">
        <f ca="1">IFERROR(__xludf.DUMMYFUNCTION("""COMPUTED_VALUE"""),41080.7055555555)</f>
        <v>41080.705555555498</v>
      </c>
      <c r="H562" s="111">
        <f ca="1">IFERROR(__xludf.DUMMYFUNCTION("""COMPUTED_VALUE"""),19.9)</f>
        <v>19.899999999999999</v>
      </c>
      <c r="K562" s="112">
        <f ca="1">IFERROR(__xludf.DUMMYFUNCTION("""COMPUTED_VALUE"""),41537.7055555555)</f>
        <v>41537.705555555498</v>
      </c>
      <c r="L562" s="111">
        <f ca="1">IFERROR(__xludf.DUMMYFUNCTION("""COMPUTED_VALUE"""),0.23)</f>
        <v>0.23</v>
      </c>
      <c r="M562" s="112">
        <f ca="1">IFERROR(__xludf.DUMMYFUNCTION("""COMPUTED_VALUE"""),41002.7055555555)</f>
        <v>41002.705555555498</v>
      </c>
      <c r="N562" s="111">
        <f ca="1">IFERROR(__xludf.DUMMYFUNCTION("""COMPUTED_VALUE"""),12.43)</f>
        <v>12.43</v>
      </c>
      <c r="O562" s="112">
        <f ca="1">IFERROR(__xludf.DUMMYFUNCTION("""COMPUTED_VALUE"""),41074.7055555555)</f>
        <v>41074.705555555498</v>
      </c>
      <c r="P562" s="111">
        <f ca="1">IFERROR(__xludf.DUMMYFUNCTION("""COMPUTED_VALUE"""),38.9)</f>
        <v>38.9</v>
      </c>
      <c r="Q562" s="112">
        <f ca="1">IFERROR(__xludf.DUMMYFUNCTION("""COMPUTED_VALUE"""),41073.7055555555)</f>
        <v>41073.705555555498</v>
      </c>
      <c r="R562" s="111">
        <f ca="1">IFERROR(__xludf.DUMMYFUNCTION("""COMPUTED_VALUE"""),19.35)</f>
        <v>19.350000000000001</v>
      </c>
      <c r="S562" s="112">
        <f ca="1">IFERROR(__xludf.DUMMYFUNCTION("""COMPUTED_VALUE"""),41081.7055555555)</f>
        <v>41081.705555555498</v>
      </c>
      <c r="T562" s="111">
        <f ca="1">IFERROR(__xludf.DUMMYFUNCTION("""COMPUTED_VALUE"""),8.84)</f>
        <v>8.84</v>
      </c>
    </row>
    <row r="563" spans="1:20" x14ac:dyDescent="0.3">
      <c r="A563" s="112">
        <f ca="1">IFERROR(__xludf.DUMMYFUNCTION("""COMPUTED_VALUE"""),41074.7055555555)</f>
        <v>41074.705555555498</v>
      </c>
      <c r="B563" s="111">
        <f ca="1">IFERROR(__xludf.DUMMYFUNCTION("""COMPUTED_VALUE"""),13.87)</f>
        <v>13.87</v>
      </c>
      <c r="C563" s="112">
        <f ca="1">IFERROR(__xludf.DUMMYFUNCTION("""COMPUTED_VALUE"""),41085.7055555555)</f>
        <v>41085.705555555498</v>
      </c>
      <c r="D563" s="111">
        <f ca="1">IFERROR(__xludf.DUMMYFUNCTION("""COMPUTED_VALUE"""),13.62)</f>
        <v>13.62</v>
      </c>
      <c r="E563" s="112">
        <f ca="1">IFERROR(__xludf.DUMMYFUNCTION("""COMPUTED_VALUE"""),41086.7055555555)</f>
        <v>41086.705555555498</v>
      </c>
      <c r="F563" s="111">
        <f ca="1">IFERROR(__xludf.DUMMYFUNCTION("""COMPUTED_VALUE"""),5.28)</f>
        <v>5.28</v>
      </c>
      <c r="G563" s="112">
        <f ca="1">IFERROR(__xludf.DUMMYFUNCTION("""COMPUTED_VALUE"""),41081.7055555555)</f>
        <v>41081.705555555498</v>
      </c>
      <c r="H563" s="111">
        <f ca="1">IFERROR(__xludf.DUMMYFUNCTION("""COMPUTED_VALUE"""),19.27)</f>
        <v>19.27</v>
      </c>
      <c r="K563" s="112">
        <f ca="1">IFERROR(__xludf.DUMMYFUNCTION("""COMPUTED_VALUE"""),41540.7055555555)</f>
        <v>41540.705555555498</v>
      </c>
      <c r="L563" s="111">
        <f ca="1">IFERROR(__xludf.DUMMYFUNCTION("""COMPUTED_VALUE"""),0.24)</f>
        <v>0.24</v>
      </c>
      <c r="M563" s="112">
        <f ca="1">IFERROR(__xludf.DUMMYFUNCTION("""COMPUTED_VALUE"""),41003.7055555555)</f>
        <v>41003.705555555498</v>
      </c>
      <c r="N563" s="111">
        <f ca="1">IFERROR(__xludf.DUMMYFUNCTION("""COMPUTED_VALUE"""),12.11)</f>
        <v>12.11</v>
      </c>
      <c r="O563" s="112">
        <f ca="1">IFERROR(__xludf.DUMMYFUNCTION("""COMPUTED_VALUE"""),41075.7055555555)</f>
        <v>41075.705555555498</v>
      </c>
      <c r="P563" s="111">
        <f ca="1">IFERROR(__xludf.DUMMYFUNCTION("""COMPUTED_VALUE"""),39.52)</f>
        <v>39.520000000000003</v>
      </c>
      <c r="Q563" s="112">
        <f ca="1">IFERROR(__xludf.DUMMYFUNCTION("""COMPUTED_VALUE"""),41074.7055555555)</f>
        <v>41074.705555555498</v>
      </c>
      <c r="R563" s="111">
        <f ca="1">IFERROR(__xludf.DUMMYFUNCTION("""COMPUTED_VALUE"""),19)</f>
        <v>19</v>
      </c>
      <c r="S563" s="112">
        <f ca="1">IFERROR(__xludf.DUMMYFUNCTION("""COMPUTED_VALUE"""),41082.7055555555)</f>
        <v>41082.705555555498</v>
      </c>
      <c r="T563" s="111">
        <f ca="1">IFERROR(__xludf.DUMMYFUNCTION("""COMPUTED_VALUE"""),8.69)</f>
        <v>8.69</v>
      </c>
    </row>
    <row r="564" spans="1:20" x14ac:dyDescent="0.3">
      <c r="A564" s="112">
        <f ca="1">IFERROR(__xludf.DUMMYFUNCTION("""COMPUTED_VALUE"""),41075.7055555555)</f>
        <v>41075.705555555498</v>
      </c>
      <c r="B564" s="111">
        <f ca="1">IFERROR(__xludf.DUMMYFUNCTION("""COMPUTED_VALUE"""),14.23)</f>
        <v>14.23</v>
      </c>
      <c r="C564" s="112">
        <f ca="1">IFERROR(__xludf.DUMMYFUNCTION("""COMPUTED_VALUE"""),41086.7055555555)</f>
        <v>41086.705555555498</v>
      </c>
      <c r="D564" s="111">
        <f ca="1">IFERROR(__xludf.DUMMYFUNCTION("""COMPUTED_VALUE"""),13.6)</f>
        <v>13.6</v>
      </c>
      <c r="E564" s="112">
        <f ca="1">IFERROR(__xludf.DUMMYFUNCTION("""COMPUTED_VALUE"""),41087.7055555555)</f>
        <v>41087.705555555498</v>
      </c>
      <c r="F564" s="111">
        <f ca="1">IFERROR(__xludf.DUMMYFUNCTION("""COMPUTED_VALUE"""),5.33)</f>
        <v>5.33</v>
      </c>
      <c r="G564" s="112">
        <f ca="1">IFERROR(__xludf.DUMMYFUNCTION("""COMPUTED_VALUE"""),41082.7055555555)</f>
        <v>41082.705555555498</v>
      </c>
      <c r="H564" s="111">
        <f ca="1">IFERROR(__xludf.DUMMYFUNCTION("""COMPUTED_VALUE"""),19.55)</f>
        <v>19.55</v>
      </c>
      <c r="K564" s="112">
        <f ca="1">IFERROR(__xludf.DUMMYFUNCTION("""COMPUTED_VALUE"""),41541.7055555555)</f>
        <v>41541.705555555498</v>
      </c>
      <c r="L564" s="111">
        <f ca="1">IFERROR(__xludf.DUMMYFUNCTION("""COMPUTED_VALUE"""),0.24)</f>
        <v>0.24</v>
      </c>
      <c r="M564" s="112">
        <f ca="1">IFERROR(__xludf.DUMMYFUNCTION("""COMPUTED_VALUE"""),41004.7055555555)</f>
        <v>41004.705555555498</v>
      </c>
      <c r="N564" s="111">
        <f ca="1">IFERROR(__xludf.DUMMYFUNCTION("""COMPUTED_VALUE"""),12.04)</f>
        <v>12.04</v>
      </c>
      <c r="O564" s="112">
        <f ca="1">IFERROR(__xludf.DUMMYFUNCTION("""COMPUTED_VALUE"""),41079.7055555555)</f>
        <v>41079.705555555498</v>
      </c>
      <c r="P564" s="111">
        <f ca="1">IFERROR(__xludf.DUMMYFUNCTION("""COMPUTED_VALUE"""),40.81)</f>
        <v>40.81</v>
      </c>
      <c r="Q564" s="112">
        <f ca="1">IFERROR(__xludf.DUMMYFUNCTION("""COMPUTED_VALUE"""),41075.7055555555)</f>
        <v>41075.705555555498</v>
      </c>
      <c r="R564" s="111">
        <f ca="1">IFERROR(__xludf.DUMMYFUNCTION("""COMPUTED_VALUE"""),19.19)</f>
        <v>19.190000000000001</v>
      </c>
      <c r="S564" s="112">
        <f ca="1">IFERROR(__xludf.DUMMYFUNCTION("""COMPUTED_VALUE"""),41085.7055555555)</f>
        <v>41085.705555555498</v>
      </c>
      <c r="T564" s="111">
        <f ca="1">IFERROR(__xludf.DUMMYFUNCTION("""COMPUTED_VALUE"""),8.66)</f>
        <v>8.66</v>
      </c>
    </row>
    <row r="565" spans="1:20" x14ac:dyDescent="0.3">
      <c r="A565" s="112">
        <f ca="1">IFERROR(__xludf.DUMMYFUNCTION("""COMPUTED_VALUE"""),41078.7055555555)</f>
        <v>41078.705555555498</v>
      </c>
      <c r="B565" s="111">
        <f ca="1">IFERROR(__xludf.DUMMYFUNCTION("""COMPUTED_VALUE"""),13.99)</f>
        <v>13.99</v>
      </c>
      <c r="C565" s="112">
        <f ca="1">IFERROR(__xludf.DUMMYFUNCTION("""COMPUTED_VALUE"""),41087.7055555555)</f>
        <v>41087.705555555498</v>
      </c>
      <c r="D565" s="111">
        <f ca="1">IFERROR(__xludf.DUMMYFUNCTION("""COMPUTED_VALUE"""),13.78)</f>
        <v>13.78</v>
      </c>
      <c r="E565" s="112">
        <f ca="1">IFERROR(__xludf.DUMMYFUNCTION("""COMPUTED_VALUE"""),41088.7055555555)</f>
        <v>41088.705555555498</v>
      </c>
      <c r="F565" s="111">
        <f ca="1">IFERROR(__xludf.DUMMYFUNCTION("""COMPUTED_VALUE"""),5.27)</f>
        <v>5.27</v>
      </c>
      <c r="G565" s="112">
        <f ca="1">IFERROR(__xludf.DUMMYFUNCTION("""COMPUTED_VALUE"""),41085.7055555555)</f>
        <v>41085.705555555498</v>
      </c>
      <c r="H565" s="111">
        <f ca="1">IFERROR(__xludf.DUMMYFUNCTION("""COMPUTED_VALUE"""),17.8)</f>
        <v>17.8</v>
      </c>
      <c r="K565" s="112">
        <f ca="1">IFERROR(__xludf.DUMMYFUNCTION("""COMPUTED_VALUE"""),41542.7055555555)</f>
        <v>41542.705555555498</v>
      </c>
      <c r="L565" s="111">
        <f ca="1">IFERROR(__xludf.DUMMYFUNCTION("""COMPUTED_VALUE"""),0.24)</f>
        <v>0.24</v>
      </c>
      <c r="M565" s="112">
        <f ca="1">IFERROR(__xludf.DUMMYFUNCTION("""COMPUTED_VALUE"""),41008.7055555555)</f>
        <v>41008.705555555498</v>
      </c>
      <c r="N565" s="111">
        <f ca="1">IFERROR(__xludf.DUMMYFUNCTION("""COMPUTED_VALUE"""),11.97)</f>
        <v>11.97</v>
      </c>
      <c r="O565" s="112">
        <f ca="1">IFERROR(__xludf.DUMMYFUNCTION("""COMPUTED_VALUE"""),41080.7055555555)</f>
        <v>41080.705555555498</v>
      </c>
      <c r="P565" s="111">
        <f ca="1">IFERROR(__xludf.DUMMYFUNCTION("""COMPUTED_VALUE"""),40.93)</f>
        <v>40.93</v>
      </c>
      <c r="Q565" s="112">
        <f ca="1">IFERROR(__xludf.DUMMYFUNCTION("""COMPUTED_VALUE"""),41078.7055555555)</f>
        <v>41078.705555555498</v>
      </c>
      <c r="R565" s="111">
        <f ca="1">IFERROR(__xludf.DUMMYFUNCTION("""COMPUTED_VALUE"""),19.94)</f>
        <v>19.940000000000001</v>
      </c>
      <c r="S565" s="112">
        <f ca="1">IFERROR(__xludf.DUMMYFUNCTION("""COMPUTED_VALUE"""),41086.7055555555)</f>
        <v>41086.705555555498</v>
      </c>
      <c r="T565" s="111">
        <f ca="1">IFERROR(__xludf.DUMMYFUNCTION("""COMPUTED_VALUE"""),8.41)</f>
        <v>8.41</v>
      </c>
    </row>
    <row r="566" spans="1:20" x14ac:dyDescent="0.3">
      <c r="A566" s="112">
        <f ca="1">IFERROR(__xludf.DUMMYFUNCTION("""COMPUTED_VALUE"""),41079.7055555555)</f>
        <v>41079.705555555498</v>
      </c>
      <c r="B566" s="111">
        <f ca="1">IFERROR(__xludf.DUMMYFUNCTION("""COMPUTED_VALUE"""),14)</f>
        <v>14</v>
      </c>
      <c r="C566" s="112">
        <f ca="1">IFERROR(__xludf.DUMMYFUNCTION("""COMPUTED_VALUE"""),41088.7055555555)</f>
        <v>41088.705555555498</v>
      </c>
      <c r="D566" s="111">
        <f ca="1">IFERROR(__xludf.DUMMYFUNCTION("""COMPUTED_VALUE"""),13.65)</f>
        <v>13.65</v>
      </c>
      <c r="E566" s="112">
        <f ca="1">IFERROR(__xludf.DUMMYFUNCTION("""COMPUTED_VALUE"""),41089.7055555555)</f>
        <v>41089.705555555498</v>
      </c>
      <c r="F566" s="111">
        <f ca="1">IFERROR(__xludf.DUMMYFUNCTION("""COMPUTED_VALUE"""),5.53)</f>
        <v>5.53</v>
      </c>
      <c r="G566" s="112">
        <f ca="1">IFERROR(__xludf.DUMMYFUNCTION("""COMPUTED_VALUE"""),41086.7055555555)</f>
        <v>41086.705555555498</v>
      </c>
      <c r="H566" s="111">
        <f ca="1">IFERROR(__xludf.DUMMYFUNCTION("""COMPUTED_VALUE"""),18)</f>
        <v>18</v>
      </c>
      <c r="K566" s="112">
        <f ca="1">IFERROR(__xludf.DUMMYFUNCTION("""COMPUTED_VALUE"""),41543.7055555555)</f>
        <v>41543.705555555498</v>
      </c>
      <c r="L566" s="111">
        <f ca="1">IFERROR(__xludf.DUMMYFUNCTION("""COMPUTED_VALUE"""),0.24)</f>
        <v>0.24</v>
      </c>
      <c r="M566" s="112">
        <f ca="1">IFERROR(__xludf.DUMMYFUNCTION("""COMPUTED_VALUE"""),41009.7055555555)</f>
        <v>41009.705555555498</v>
      </c>
      <c r="N566" s="111">
        <f ca="1">IFERROR(__xludf.DUMMYFUNCTION("""COMPUTED_VALUE"""),11.95)</f>
        <v>11.95</v>
      </c>
      <c r="O566" s="112">
        <f ca="1">IFERROR(__xludf.DUMMYFUNCTION("""COMPUTED_VALUE"""),41081.7055555555)</f>
        <v>41081.705555555498</v>
      </c>
      <c r="P566" s="111">
        <f ca="1">IFERROR(__xludf.DUMMYFUNCTION("""COMPUTED_VALUE"""),39.8)</f>
        <v>39.799999999999997</v>
      </c>
      <c r="Q566" s="112">
        <f ca="1">IFERROR(__xludf.DUMMYFUNCTION("""COMPUTED_VALUE"""),41079.7055555555)</f>
        <v>41079.705555555498</v>
      </c>
      <c r="R566" s="111">
        <f ca="1">IFERROR(__xludf.DUMMYFUNCTION("""COMPUTED_VALUE"""),20.76)</f>
        <v>20.76</v>
      </c>
      <c r="S566" s="112">
        <f ca="1">IFERROR(__xludf.DUMMYFUNCTION("""COMPUTED_VALUE"""),41087.7055555555)</f>
        <v>41087.705555555498</v>
      </c>
      <c r="T566" s="111">
        <f ca="1">IFERROR(__xludf.DUMMYFUNCTION("""COMPUTED_VALUE"""),8.27)</f>
        <v>8.27</v>
      </c>
    </row>
    <row r="567" spans="1:20" x14ac:dyDescent="0.3">
      <c r="A567" s="112">
        <f ca="1">IFERROR(__xludf.DUMMYFUNCTION("""COMPUTED_VALUE"""),41080.7055555555)</f>
        <v>41080.705555555498</v>
      </c>
      <c r="B567" s="111">
        <f ca="1">IFERROR(__xludf.DUMMYFUNCTION("""COMPUTED_VALUE"""),14.12)</f>
        <v>14.12</v>
      </c>
      <c r="C567" s="112">
        <f ca="1">IFERROR(__xludf.DUMMYFUNCTION("""COMPUTED_VALUE"""),41089.7055555555)</f>
        <v>41089.705555555498</v>
      </c>
      <c r="D567" s="111">
        <f ca="1">IFERROR(__xludf.DUMMYFUNCTION("""COMPUTED_VALUE"""),14.17)</f>
        <v>14.17</v>
      </c>
      <c r="E567" s="112">
        <f ca="1">IFERROR(__xludf.DUMMYFUNCTION("""COMPUTED_VALUE"""),41092.7055555555)</f>
        <v>41092.705555555498</v>
      </c>
      <c r="F567" s="111">
        <f ca="1">IFERROR(__xludf.DUMMYFUNCTION("""COMPUTED_VALUE"""),5.54)</f>
        <v>5.54</v>
      </c>
      <c r="G567" s="112">
        <f ca="1">IFERROR(__xludf.DUMMYFUNCTION("""COMPUTED_VALUE"""),41087.7055555555)</f>
        <v>41087.705555555498</v>
      </c>
      <c r="H567" s="111">
        <f ca="1">IFERROR(__xludf.DUMMYFUNCTION("""COMPUTED_VALUE"""),17.64)</f>
        <v>17.64</v>
      </c>
      <c r="K567" s="112">
        <f ca="1">IFERROR(__xludf.DUMMYFUNCTION("""COMPUTED_VALUE"""),41544.7055555555)</f>
        <v>41544.705555555498</v>
      </c>
      <c r="L567" s="111">
        <f ca="1">IFERROR(__xludf.DUMMYFUNCTION("""COMPUTED_VALUE"""),0.24)</f>
        <v>0.24</v>
      </c>
      <c r="M567" s="112">
        <f ca="1">IFERROR(__xludf.DUMMYFUNCTION("""COMPUTED_VALUE"""),41010.7055555555)</f>
        <v>41010.705555555498</v>
      </c>
      <c r="N567" s="111">
        <f ca="1">IFERROR(__xludf.DUMMYFUNCTION("""COMPUTED_VALUE"""),12.03)</f>
        <v>12.03</v>
      </c>
      <c r="O567" s="112">
        <f ca="1">IFERROR(__xludf.DUMMYFUNCTION("""COMPUTED_VALUE"""),41082.7055555555)</f>
        <v>41082.705555555498</v>
      </c>
      <c r="P567" s="111">
        <f ca="1">IFERROR(__xludf.DUMMYFUNCTION("""COMPUTED_VALUE"""),39.71)</f>
        <v>39.71</v>
      </c>
      <c r="Q567" s="112">
        <f ca="1">IFERROR(__xludf.DUMMYFUNCTION("""COMPUTED_VALUE"""),41080.7055555555)</f>
        <v>41080.705555555498</v>
      </c>
      <c r="R567" s="111">
        <f ca="1">IFERROR(__xludf.DUMMYFUNCTION("""COMPUTED_VALUE"""),20.68)</f>
        <v>20.68</v>
      </c>
      <c r="S567" s="112">
        <f ca="1">IFERROR(__xludf.DUMMYFUNCTION("""COMPUTED_VALUE"""),41088.7055555555)</f>
        <v>41088.705555555498</v>
      </c>
      <c r="T567" s="111">
        <f ca="1">IFERROR(__xludf.DUMMYFUNCTION("""COMPUTED_VALUE"""),8.08)</f>
        <v>8.08</v>
      </c>
    </row>
    <row r="568" spans="1:20" x14ac:dyDescent="0.3">
      <c r="A568" s="112">
        <f ca="1">IFERROR(__xludf.DUMMYFUNCTION("""COMPUTED_VALUE"""),41081.7055555555)</f>
        <v>41081.705555555498</v>
      </c>
      <c r="B568" s="111">
        <f ca="1">IFERROR(__xludf.DUMMYFUNCTION("""COMPUTED_VALUE"""),14.04)</f>
        <v>14.04</v>
      </c>
      <c r="C568" s="112">
        <f ca="1">IFERROR(__xludf.DUMMYFUNCTION("""COMPUTED_VALUE"""),41092.7055555555)</f>
        <v>41092.705555555498</v>
      </c>
      <c r="D568" s="111">
        <f ca="1">IFERROR(__xludf.DUMMYFUNCTION("""COMPUTED_VALUE"""),14.21)</f>
        <v>14.21</v>
      </c>
      <c r="E568" s="112">
        <f ca="1">IFERROR(__xludf.DUMMYFUNCTION("""COMPUTED_VALUE"""),41093.7055555555)</f>
        <v>41093.705555555498</v>
      </c>
      <c r="F568" s="111">
        <f ca="1">IFERROR(__xludf.DUMMYFUNCTION("""COMPUTED_VALUE"""),5.67)</f>
        <v>5.67</v>
      </c>
      <c r="G568" s="112">
        <f ca="1">IFERROR(__xludf.DUMMYFUNCTION("""COMPUTED_VALUE"""),41088.7055555555)</f>
        <v>41088.705555555498</v>
      </c>
      <c r="H568" s="111">
        <f ca="1">IFERROR(__xludf.DUMMYFUNCTION("""COMPUTED_VALUE"""),17.7)</f>
        <v>17.7</v>
      </c>
      <c r="K568" s="112">
        <f ca="1">IFERROR(__xludf.DUMMYFUNCTION("""COMPUTED_VALUE"""),41547.7055555555)</f>
        <v>41547.705555555498</v>
      </c>
      <c r="L568" s="111">
        <f ca="1">IFERROR(__xludf.DUMMYFUNCTION("""COMPUTED_VALUE"""),0.24)</f>
        <v>0.24</v>
      </c>
      <c r="M568" s="112">
        <f ca="1">IFERROR(__xludf.DUMMYFUNCTION("""COMPUTED_VALUE"""),41011.7055555555)</f>
        <v>41011.705555555498</v>
      </c>
      <c r="N568" s="111">
        <f ca="1">IFERROR(__xludf.DUMMYFUNCTION("""COMPUTED_VALUE"""),12.27)</f>
        <v>12.27</v>
      </c>
      <c r="O568" s="112">
        <f ca="1">IFERROR(__xludf.DUMMYFUNCTION("""COMPUTED_VALUE"""),41085.7055555555)</f>
        <v>41085.705555555498</v>
      </c>
      <c r="P568" s="111">
        <f ca="1">IFERROR(__xludf.DUMMYFUNCTION("""COMPUTED_VALUE"""),38.95)</f>
        <v>38.950000000000003</v>
      </c>
      <c r="Q568" s="112">
        <f ca="1">IFERROR(__xludf.DUMMYFUNCTION("""COMPUTED_VALUE"""),41081.7055555555)</f>
        <v>41081.705555555498</v>
      </c>
      <c r="R568" s="111">
        <f ca="1">IFERROR(__xludf.DUMMYFUNCTION("""COMPUTED_VALUE"""),20.49)</f>
        <v>20.49</v>
      </c>
      <c r="S568" s="112">
        <f ca="1">IFERROR(__xludf.DUMMYFUNCTION("""COMPUTED_VALUE"""),41089.7055555555)</f>
        <v>41089.705555555498</v>
      </c>
      <c r="T568" s="111">
        <f ca="1">IFERROR(__xludf.DUMMYFUNCTION("""COMPUTED_VALUE"""),8.47)</f>
        <v>8.4700000000000006</v>
      </c>
    </row>
    <row r="569" spans="1:20" x14ac:dyDescent="0.3">
      <c r="A569" s="112">
        <f ca="1">IFERROR(__xludf.DUMMYFUNCTION("""COMPUTED_VALUE"""),41082.7055555555)</f>
        <v>41082.705555555498</v>
      </c>
      <c r="B569" s="111">
        <f ca="1">IFERROR(__xludf.DUMMYFUNCTION("""COMPUTED_VALUE"""),13.62)</f>
        <v>13.62</v>
      </c>
      <c r="C569" s="112">
        <f ca="1">IFERROR(__xludf.DUMMYFUNCTION("""COMPUTED_VALUE"""),41093.7055555555)</f>
        <v>41093.705555555498</v>
      </c>
      <c r="D569" s="111">
        <f ca="1">IFERROR(__xludf.DUMMYFUNCTION("""COMPUTED_VALUE"""),14.5)</f>
        <v>14.5</v>
      </c>
      <c r="E569" s="112">
        <f ca="1">IFERROR(__xludf.DUMMYFUNCTION("""COMPUTED_VALUE"""),41095.7055555555)</f>
        <v>41095.705555555498</v>
      </c>
      <c r="F569" s="111">
        <f ca="1">IFERROR(__xludf.DUMMYFUNCTION("""COMPUTED_VALUE"""),5.77)</f>
        <v>5.77</v>
      </c>
      <c r="G569" s="112">
        <f ca="1">IFERROR(__xludf.DUMMYFUNCTION("""COMPUTED_VALUE"""),41089.7055555555)</f>
        <v>41089.705555555498</v>
      </c>
      <c r="H569" s="111">
        <f ca="1">IFERROR(__xludf.DUMMYFUNCTION("""COMPUTED_VALUE"""),18.25)</f>
        <v>18.25</v>
      </c>
      <c r="K569" s="112">
        <f ca="1">IFERROR(__xludf.DUMMYFUNCTION("""COMPUTED_VALUE"""),41548.7055555555)</f>
        <v>41548.705555555498</v>
      </c>
      <c r="L569" s="111">
        <f ca="1">IFERROR(__xludf.DUMMYFUNCTION("""COMPUTED_VALUE"""),0.24)</f>
        <v>0.24</v>
      </c>
      <c r="M569" s="112">
        <f ca="1">IFERROR(__xludf.DUMMYFUNCTION("""COMPUTED_VALUE"""),41012.7055555555)</f>
        <v>41012.705555555498</v>
      </c>
      <c r="N569" s="111">
        <f ca="1">IFERROR(__xludf.DUMMYFUNCTION("""COMPUTED_VALUE"""),12.03)</f>
        <v>12.03</v>
      </c>
      <c r="O569" s="112">
        <f ca="1">IFERROR(__xludf.DUMMYFUNCTION("""COMPUTED_VALUE"""),41086.7055555555)</f>
        <v>41086.705555555498</v>
      </c>
      <c r="P569" s="111">
        <f ca="1">IFERROR(__xludf.DUMMYFUNCTION("""COMPUTED_VALUE"""),39.85)</f>
        <v>39.85</v>
      </c>
      <c r="Q569" s="112">
        <f ca="1">IFERROR(__xludf.DUMMYFUNCTION("""COMPUTED_VALUE"""),41082.7055555555)</f>
        <v>41082.705555555498</v>
      </c>
      <c r="R569" s="111">
        <f ca="1">IFERROR(__xludf.DUMMYFUNCTION("""COMPUTED_VALUE"""),19.88)</f>
        <v>19.88</v>
      </c>
      <c r="S569" s="112">
        <f ca="1">IFERROR(__xludf.DUMMYFUNCTION("""COMPUTED_VALUE"""),41092.7055555555)</f>
        <v>41092.705555555498</v>
      </c>
      <c r="T569" s="111">
        <f ca="1">IFERROR(__xludf.DUMMYFUNCTION("""COMPUTED_VALUE"""),8.43)</f>
        <v>8.43</v>
      </c>
    </row>
    <row r="570" spans="1:20" x14ac:dyDescent="0.3">
      <c r="A570" s="112">
        <f ca="1">IFERROR(__xludf.DUMMYFUNCTION("""COMPUTED_VALUE"""),41085.7055555555)</f>
        <v>41085.705555555498</v>
      </c>
      <c r="B570" s="111">
        <f ca="1">IFERROR(__xludf.DUMMYFUNCTION("""COMPUTED_VALUE"""),13.5)</f>
        <v>13.5</v>
      </c>
      <c r="C570" s="112">
        <f ca="1">IFERROR(__xludf.DUMMYFUNCTION("""COMPUTED_VALUE"""),41095.7055555555)</f>
        <v>41095.705555555498</v>
      </c>
      <c r="D570" s="111">
        <f ca="1">IFERROR(__xludf.DUMMYFUNCTION("""COMPUTED_VALUE"""),14.75)</f>
        <v>14.75</v>
      </c>
      <c r="E570" s="112">
        <f ca="1">IFERROR(__xludf.DUMMYFUNCTION("""COMPUTED_VALUE"""),41096.7055555555)</f>
        <v>41096.705555555498</v>
      </c>
      <c r="F570" s="111">
        <f ca="1">IFERROR(__xludf.DUMMYFUNCTION("""COMPUTED_VALUE"""),5.72)</f>
        <v>5.72</v>
      </c>
      <c r="G570" s="112">
        <f ca="1">IFERROR(__xludf.DUMMYFUNCTION("""COMPUTED_VALUE"""),41092.7055555555)</f>
        <v>41092.705555555498</v>
      </c>
      <c r="H570" s="111">
        <f ca="1">IFERROR(__xludf.DUMMYFUNCTION("""COMPUTED_VALUE"""),18.36)</f>
        <v>18.36</v>
      </c>
      <c r="K570" s="112">
        <f ca="1">IFERROR(__xludf.DUMMYFUNCTION("""COMPUTED_VALUE"""),41549.7055555555)</f>
        <v>41549.705555555498</v>
      </c>
      <c r="L570" s="111">
        <f ca="1">IFERROR(__xludf.DUMMYFUNCTION("""COMPUTED_VALUE"""),0.24)</f>
        <v>0.24</v>
      </c>
      <c r="M570" s="112">
        <f ca="1">IFERROR(__xludf.DUMMYFUNCTION("""COMPUTED_VALUE"""),41015.7055555555)</f>
        <v>41015.705555555498</v>
      </c>
      <c r="N570" s="111">
        <f ca="1">IFERROR(__xludf.DUMMYFUNCTION("""COMPUTED_VALUE"""),11.96)</f>
        <v>11.96</v>
      </c>
      <c r="O570" s="112">
        <f ca="1">IFERROR(__xludf.DUMMYFUNCTION("""COMPUTED_VALUE"""),41087.7055555555)</f>
        <v>41087.705555555498</v>
      </c>
      <c r="P570" s="111">
        <f ca="1">IFERROR(__xludf.DUMMYFUNCTION("""COMPUTED_VALUE"""),39.69)</f>
        <v>39.69</v>
      </c>
      <c r="Q570" s="112">
        <f ca="1">IFERROR(__xludf.DUMMYFUNCTION("""COMPUTED_VALUE"""),41085.7055555555)</f>
        <v>41085.705555555498</v>
      </c>
      <c r="R570" s="111">
        <f ca="1">IFERROR(__xludf.DUMMYFUNCTION("""COMPUTED_VALUE"""),19.1)</f>
        <v>19.100000000000001</v>
      </c>
      <c r="S570" s="112">
        <f ca="1">IFERROR(__xludf.DUMMYFUNCTION("""COMPUTED_VALUE"""),41093.7055555555)</f>
        <v>41093.705555555498</v>
      </c>
      <c r="T570" s="111">
        <f ca="1">IFERROR(__xludf.DUMMYFUNCTION("""COMPUTED_VALUE"""),8.64)</f>
        <v>8.64</v>
      </c>
    </row>
    <row r="571" spans="1:20" x14ac:dyDescent="0.3">
      <c r="A571" s="112">
        <f ca="1">IFERROR(__xludf.DUMMYFUNCTION("""COMPUTED_VALUE"""),41086.7055555555)</f>
        <v>41086.705555555498</v>
      </c>
      <c r="B571" s="111">
        <f ca="1">IFERROR(__xludf.DUMMYFUNCTION("""COMPUTED_VALUE"""),13.52)</f>
        <v>13.52</v>
      </c>
      <c r="C571" s="112">
        <f ca="1">IFERROR(__xludf.DUMMYFUNCTION("""COMPUTED_VALUE"""),41096.7055555555)</f>
        <v>41096.705555555498</v>
      </c>
      <c r="D571" s="111">
        <f ca="1">IFERROR(__xludf.DUMMYFUNCTION("""COMPUTED_VALUE"""),14.65)</f>
        <v>14.65</v>
      </c>
      <c r="E571" s="112">
        <f ca="1">IFERROR(__xludf.DUMMYFUNCTION("""COMPUTED_VALUE"""),41100.7055555555)</f>
        <v>41100.705555555498</v>
      </c>
      <c r="F571" s="111">
        <f ca="1">IFERROR(__xludf.DUMMYFUNCTION("""COMPUTED_VALUE"""),5.41)</f>
        <v>5.41</v>
      </c>
      <c r="G571" s="112">
        <f ca="1">IFERROR(__xludf.DUMMYFUNCTION("""COMPUTED_VALUE"""),41093.7055555555)</f>
        <v>41093.705555555498</v>
      </c>
      <c r="H571" s="111">
        <f ca="1">IFERROR(__xludf.DUMMYFUNCTION("""COMPUTED_VALUE"""),18.99)</f>
        <v>18.989999999999998</v>
      </c>
      <c r="K571" s="112">
        <f ca="1">IFERROR(__xludf.DUMMYFUNCTION("""COMPUTED_VALUE"""),41550.7055555555)</f>
        <v>41550.705555555498</v>
      </c>
      <c r="L571" s="111">
        <f ca="1">IFERROR(__xludf.DUMMYFUNCTION("""COMPUTED_VALUE"""),0.24)</f>
        <v>0.24</v>
      </c>
      <c r="M571" s="112">
        <f ca="1">IFERROR(__xludf.DUMMYFUNCTION("""COMPUTED_VALUE"""),41016.7055555555)</f>
        <v>41016.705555555498</v>
      </c>
      <c r="N571" s="111">
        <f ca="1">IFERROR(__xludf.DUMMYFUNCTION("""COMPUTED_VALUE"""),11.99)</f>
        <v>11.99</v>
      </c>
      <c r="O571" s="112">
        <f ca="1">IFERROR(__xludf.DUMMYFUNCTION("""COMPUTED_VALUE"""),41088.7055555555)</f>
        <v>41088.705555555498</v>
      </c>
      <c r="P571" s="111">
        <f ca="1">IFERROR(__xludf.DUMMYFUNCTION("""COMPUTED_VALUE"""),39.22)</f>
        <v>39.22</v>
      </c>
      <c r="Q571" s="112">
        <f ca="1">IFERROR(__xludf.DUMMYFUNCTION("""COMPUTED_VALUE"""),41086.7055555555)</f>
        <v>41086.705555555498</v>
      </c>
      <c r="R571" s="111">
        <f ca="1">IFERROR(__xludf.DUMMYFUNCTION("""COMPUTED_VALUE"""),18.65)</f>
        <v>18.649999999999999</v>
      </c>
      <c r="S571" s="112">
        <f ca="1">IFERROR(__xludf.DUMMYFUNCTION("""COMPUTED_VALUE"""),41095.7055555555)</f>
        <v>41095.705555555498</v>
      </c>
      <c r="T571" s="111">
        <f ca="1">IFERROR(__xludf.DUMMYFUNCTION("""COMPUTED_VALUE"""),8.58)</f>
        <v>8.58</v>
      </c>
    </row>
    <row r="572" spans="1:20" x14ac:dyDescent="0.3">
      <c r="A572" s="112">
        <f ca="1">IFERROR(__xludf.DUMMYFUNCTION("""COMPUTED_VALUE"""),41087.7055555555)</f>
        <v>41087.705555555498</v>
      </c>
      <c r="B572" s="111">
        <f ca="1">IFERROR(__xludf.DUMMYFUNCTION("""COMPUTED_VALUE"""),13.77)</f>
        <v>13.77</v>
      </c>
      <c r="C572" s="112">
        <f ca="1">IFERROR(__xludf.DUMMYFUNCTION("""COMPUTED_VALUE"""),41100.7055555555)</f>
        <v>41100.705555555498</v>
      </c>
      <c r="D572" s="111">
        <f ca="1">IFERROR(__xludf.DUMMYFUNCTION("""COMPUTED_VALUE"""),13.99)</f>
        <v>13.99</v>
      </c>
      <c r="E572" s="112">
        <f ca="1">IFERROR(__xludf.DUMMYFUNCTION("""COMPUTED_VALUE"""),41101.7055555555)</f>
        <v>41101.705555555498</v>
      </c>
      <c r="F572" s="111">
        <f ca="1">IFERROR(__xludf.DUMMYFUNCTION("""COMPUTED_VALUE"""),5.44)</f>
        <v>5.44</v>
      </c>
      <c r="G572" s="112">
        <f ca="1">IFERROR(__xludf.DUMMYFUNCTION("""COMPUTED_VALUE"""),41095.7055555555)</f>
        <v>41095.705555555498</v>
      </c>
      <c r="H572" s="111">
        <f ca="1">IFERROR(__xludf.DUMMYFUNCTION("""COMPUTED_VALUE"""),19.6)</f>
        <v>19.600000000000001</v>
      </c>
      <c r="K572" s="112">
        <f ca="1">IFERROR(__xludf.DUMMYFUNCTION("""COMPUTED_VALUE"""),41551.7055555555)</f>
        <v>41551.705555555498</v>
      </c>
      <c r="L572" s="111">
        <f ca="1">IFERROR(__xludf.DUMMYFUNCTION("""COMPUTED_VALUE"""),0.24)</f>
        <v>0.24</v>
      </c>
      <c r="M572" s="112">
        <f ca="1">IFERROR(__xludf.DUMMYFUNCTION("""COMPUTED_VALUE"""),41017.7055555555)</f>
        <v>41017.705555555498</v>
      </c>
      <c r="N572" s="111">
        <f ca="1">IFERROR(__xludf.DUMMYFUNCTION("""COMPUTED_VALUE"""),11.97)</f>
        <v>11.97</v>
      </c>
      <c r="O572" s="112">
        <f ca="1">IFERROR(__xludf.DUMMYFUNCTION("""COMPUTED_VALUE"""),41089.7055555555)</f>
        <v>41089.705555555498</v>
      </c>
      <c r="P572" s="111">
        <f ca="1">IFERROR(__xludf.DUMMYFUNCTION("""COMPUTED_VALUE"""),40.13)</f>
        <v>40.130000000000003</v>
      </c>
      <c r="Q572" s="112">
        <f ca="1">IFERROR(__xludf.DUMMYFUNCTION("""COMPUTED_VALUE"""),41087.7055555555)</f>
        <v>41087.705555555498</v>
      </c>
      <c r="R572" s="111">
        <f ca="1">IFERROR(__xludf.DUMMYFUNCTION("""COMPUTED_VALUE"""),18.8)</f>
        <v>18.8</v>
      </c>
      <c r="S572" s="112">
        <f ca="1">IFERROR(__xludf.DUMMYFUNCTION("""COMPUTED_VALUE"""),41096.7055555555)</f>
        <v>41096.705555555498</v>
      </c>
      <c r="T572" s="111">
        <f ca="1">IFERROR(__xludf.DUMMYFUNCTION("""COMPUTED_VALUE"""),8.46)</f>
        <v>8.4600000000000009</v>
      </c>
    </row>
    <row r="573" spans="1:20" x14ac:dyDescent="0.3">
      <c r="A573" s="112">
        <f ca="1">IFERROR(__xludf.DUMMYFUNCTION("""COMPUTED_VALUE"""),41088.7055555555)</f>
        <v>41088.705555555498</v>
      </c>
      <c r="B573" s="111">
        <f ca="1">IFERROR(__xludf.DUMMYFUNCTION("""COMPUTED_VALUE"""),13.9)</f>
        <v>13.9</v>
      </c>
      <c r="C573" s="112">
        <f ca="1">IFERROR(__xludf.DUMMYFUNCTION("""COMPUTED_VALUE"""),41101.7055555555)</f>
        <v>41101.705555555498</v>
      </c>
      <c r="D573" s="111">
        <f ca="1">IFERROR(__xludf.DUMMYFUNCTION("""COMPUTED_VALUE"""),14.05)</f>
        <v>14.05</v>
      </c>
      <c r="E573" s="112">
        <f ca="1">IFERROR(__xludf.DUMMYFUNCTION("""COMPUTED_VALUE"""),41102.7055555555)</f>
        <v>41102.705555555498</v>
      </c>
      <c r="F573" s="111">
        <f ca="1">IFERROR(__xludf.DUMMYFUNCTION("""COMPUTED_VALUE"""),5.5)</f>
        <v>5.5</v>
      </c>
      <c r="G573" s="112">
        <f ca="1">IFERROR(__xludf.DUMMYFUNCTION("""COMPUTED_VALUE"""),41096.7055555555)</f>
        <v>41096.705555555498</v>
      </c>
      <c r="H573" s="111">
        <f ca="1">IFERROR(__xludf.DUMMYFUNCTION("""COMPUTED_VALUE"""),19.2)</f>
        <v>19.2</v>
      </c>
      <c r="K573" s="112">
        <f ca="1">IFERROR(__xludf.DUMMYFUNCTION("""COMPUTED_VALUE"""),41554.7055555555)</f>
        <v>41554.705555555498</v>
      </c>
      <c r="L573" s="111">
        <f ca="1">IFERROR(__xludf.DUMMYFUNCTION("""COMPUTED_VALUE"""),0.24)</f>
        <v>0.24</v>
      </c>
      <c r="M573" s="112">
        <f ca="1">IFERROR(__xludf.DUMMYFUNCTION("""COMPUTED_VALUE"""),41018.7055555555)</f>
        <v>41018.705555555498</v>
      </c>
      <c r="N573" s="111">
        <f ca="1">IFERROR(__xludf.DUMMYFUNCTION("""COMPUTED_VALUE"""),11.93)</f>
        <v>11.93</v>
      </c>
      <c r="O573" s="112">
        <f ca="1">IFERROR(__xludf.DUMMYFUNCTION("""COMPUTED_VALUE"""),41092.7055555555)</f>
        <v>41092.705555555498</v>
      </c>
      <c r="P573" s="111">
        <f ca="1">IFERROR(__xludf.DUMMYFUNCTION("""COMPUTED_VALUE"""),40.24)</f>
        <v>40.24</v>
      </c>
      <c r="Q573" s="112">
        <f ca="1">IFERROR(__xludf.DUMMYFUNCTION("""COMPUTED_VALUE"""),41088.7055555555)</f>
        <v>41088.705555555498</v>
      </c>
      <c r="R573" s="111">
        <f ca="1">IFERROR(__xludf.DUMMYFUNCTION("""COMPUTED_VALUE"""),18.76)</f>
        <v>18.760000000000002</v>
      </c>
      <c r="S573" s="112">
        <f ca="1">IFERROR(__xludf.DUMMYFUNCTION("""COMPUTED_VALUE"""),41100.7055555555)</f>
        <v>41100.705555555498</v>
      </c>
      <c r="T573" s="111">
        <f ca="1">IFERROR(__xludf.DUMMYFUNCTION("""COMPUTED_VALUE"""),8.25)</f>
        <v>8.25</v>
      </c>
    </row>
    <row r="574" spans="1:20" x14ac:dyDescent="0.3">
      <c r="A574" s="112">
        <f ca="1">IFERROR(__xludf.DUMMYFUNCTION("""COMPUTED_VALUE"""),41089.7055555555)</f>
        <v>41089.705555555498</v>
      </c>
      <c r="B574" s="111">
        <f ca="1">IFERROR(__xludf.DUMMYFUNCTION("""COMPUTED_VALUE"""),14.09)</f>
        <v>14.09</v>
      </c>
      <c r="C574" s="112">
        <f ca="1">IFERROR(__xludf.DUMMYFUNCTION("""COMPUTED_VALUE"""),41102.7055555555)</f>
        <v>41102.705555555498</v>
      </c>
      <c r="D574" s="111">
        <f ca="1">IFERROR(__xludf.DUMMYFUNCTION("""COMPUTED_VALUE"""),14.2)</f>
        <v>14.2</v>
      </c>
      <c r="E574" s="112">
        <f ca="1">IFERROR(__xludf.DUMMYFUNCTION("""COMPUTED_VALUE"""),41103.7055555555)</f>
        <v>41103.705555555498</v>
      </c>
      <c r="F574" s="111">
        <f ca="1">IFERROR(__xludf.DUMMYFUNCTION("""COMPUTED_VALUE"""),5.66)</f>
        <v>5.66</v>
      </c>
      <c r="G574" s="112">
        <f ca="1">IFERROR(__xludf.DUMMYFUNCTION("""COMPUTED_VALUE"""),41100.7055555555)</f>
        <v>41100.705555555498</v>
      </c>
      <c r="H574" s="111">
        <f ca="1">IFERROR(__xludf.DUMMYFUNCTION("""COMPUTED_VALUE"""),18.39)</f>
        <v>18.39</v>
      </c>
      <c r="K574" s="112">
        <f ca="1">IFERROR(__xludf.DUMMYFUNCTION("""COMPUTED_VALUE"""),41555.7055555555)</f>
        <v>41555.705555555498</v>
      </c>
      <c r="L574" s="111">
        <f ca="1">IFERROR(__xludf.DUMMYFUNCTION("""COMPUTED_VALUE"""),0.25)</f>
        <v>0.25</v>
      </c>
      <c r="M574" s="112">
        <f ca="1">IFERROR(__xludf.DUMMYFUNCTION("""COMPUTED_VALUE"""),41019.7055555555)</f>
        <v>41019.705555555498</v>
      </c>
      <c r="N574" s="111">
        <f ca="1">IFERROR(__xludf.DUMMYFUNCTION("""COMPUTED_VALUE"""),11.92)</f>
        <v>11.92</v>
      </c>
      <c r="O574" s="112">
        <f ca="1">IFERROR(__xludf.DUMMYFUNCTION("""COMPUTED_VALUE"""),41093.7055555555)</f>
        <v>41093.705555555498</v>
      </c>
      <c r="P574" s="111">
        <f ca="1">IFERROR(__xludf.DUMMYFUNCTION("""COMPUTED_VALUE"""),41)</f>
        <v>41</v>
      </c>
      <c r="Q574" s="112">
        <f ca="1">IFERROR(__xludf.DUMMYFUNCTION("""COMPUTED_VALUE"""),41089.7055555555)</f>
        <v>41089.705555555498</v>
      </c>
      <c r="R574" s="111">
        <f ca="1">IFERROR(__xludf.DUMMYFUNCTION("""COMPUTED_VALUE"""),19.53)</f>
        <v>19.53</v>
      </c>
      <c r="S574" s="112">
        <f ca="1">IFERROR(__xludf.DUMMYFUNCTION("""COMPUTED_VALUE"""),41101.7055555555)</f>
        <v>41101.705555555498</v>
      </c>
      <c r="T574" s="111">
        <f ca="1">IFERROR(__xludf.DUMMYFUNCTION("""COMPUTED_VALUE"""),8.13)</f>
        <v>8.1300000000000008</v>
      </c>
    </row>
    <row r="575" spans="1:20" x14ac:dyDescent="0.3">
      <c r="A575" s="112">
        <f ca="1">IFERROR(__xludf.DUMMYFUNCTION("""COMPUTED_VALUE"""),41092.7055555555)</f>
        <v>41092.705555555498</v>
      </c>
      <c r="B575" s="111">
        <f ca="1">IFERROR(__xludf.DUMMYFUNCTION("""COMPUTED_VALUE"""),14.11)</f>
        <v>14.11</v>
      </c>
      <c r="C575" s="112">
        <f ca="1">IFERROR(__xludf.DUMMYFUNCTION("""COMPUTED_VALUE"""),41103.7055555555)</f>
        <v>41103.705555555498</v>
      </c>
      <c r="D575" s="111">
        <f ca="1">IFERROR(__xludf.DUMMYFUNCTION("""COMPUTED_VALUE"""),14.6)</f>
        <v>14.6</v>
      </c>
      <c r="E575" s="112">
        <f ca="1">IFERROR(__xludf.DUMMYFUNCTION("""COMPUTED_VALUE"""),41107.7055555555)</f>
        <v>41107.705555555498</v>
      </c>
      <c r="F575" s="111">
        <f ca="1">IFERROR(__xludf.DUMMYFUNCTION("""COMPUTED_VALUE"""),5.56)</f>
        <v>5.56</v>
      </c>
      <c r="G575" s="112">
        <f ca="1">IFERROR(__xludf.DUMMYFUNCTION("""COMPUTED_VALUE"""),41101.7055555555)</f>
        <v>41101.705555555498</v>
      </c>
      <c r="H575" s="111">
        <f ca="1">IFERROR(__xludf.DUMMYFUNCTION("""COMPUTED_VALUE"""),18.54)</f>
        <v>18.54</v>
      </c>
      <c r="K575" s="112">
        <f ca="1">IFERROR(__xludf.DUMMYFUNCTION("""COMPUTED_VALUE"""),41556.7055555555)</f>
        <v>41556.705555555498</v>
      </c>
      <c r="L575" s="111">
        <f ca="1">IFERROR(__xludf.DUMMYFUNCTION("""COMPUTED_VALUE"""),0.26)</f>
        <v>0.26</v>
      </c>
      <c r="M575" s="112">
        <f ca="1">IFERROR(__xludf.DUMMYFUNCTION("""COMPUTED_VALUE"""),41022.7055555555)</f>
        <v>41022.705555555498</v>
      </c>
      <c r="N575" s="111">
        <f ca="1">IFERROR(__xludf.DUMMYFUNCTION("""COMPUTED_VALUE"""),11.92)</f>
        <v>11.92</v>
      </c>
      <c r="O575" s="112">
        <f ca="1">IFERROR(__xludf.DUMMYFUNCTION("""COMPUTED_VALUE"""),41095.7055555555)</f>
        <v>41095.705555555498</v>
      </c>
      <c r="P575" s="111">
        <f ca="1">IFERROR(__xludf.DUMMYFUNCTION("""COMPUTED_VALUE"""),41.77)</f>
        <v>41.77</v>
      </c>
      <c r="Q575" s="112">
        <f ca="1">IFERROR(__xludf.DUMMYFUNCTION("""COMPUTED_VALUE"""),41092.7055555555)</f>
        <v>41092.705555555498</v>
      </c>
      <c r="R575" s="111">
        <f ca="1">IFERROR(__xludf.DUMMYFUNCTION("""COMPUTED_VALUE"""),19.65)</f>
        <v>19.649999999999999</v>
      </c>
      <c r="S575" s="112">
        <f ca="1">IFERROR(__xludf.DUMMYFUNCTION("""COMPUTED_VALUE"""),41102.7055555555)</f>
        <v>41102.705555555498</v>
      </c>
      <c r="T575" s="111">
        <f ca="1">IFERROR(__xludf.DUMMYFUNCTION("""COMPUTED_VALUE"""),8.13)</f>
        <v>8.1300000000000008</v>
      </c>
    </row>
    <row r="576" spans="1:20" x14ac:dyDescent="0.3">
      <c r="A576" s="112">
        <f ca="1">IFERROR(__xludf.DUMMYFUNCTION("""COMPUTED_VALUE"""),41093.7055555555)</f>
        <v>41093.705555555498</v>
      </c>
      <c r="B576" s="111">
        <f ca="1">IFERROR(__xludf.DUMMYFUNCTION("""COMPUTED_VALUE"""),14.43)</f>
        <v>14.43</v>
      </c>
      <c r="C576" s="112">
        <f ca="1">IFERROR(__xludf.DUMMYFUNCTION("""COMPUTED_VALUE"""),41107.7055555555)</f>
        <v>41107.705555555498</v>
      </c>
      <c r="D576" s="111">
        <f ca="1">IFERROR(__xludf.DUMMYFUNCTION("""COMPUTED_VALUE"""),14.48)</f>
        <v>14.48</v>
      </c>
      <c r="E576" s="112">
        <f ca="1">IFERROR(__xludf.DUMMYFUNCTION("""COMPUTED_VALUE"""),41108.7055555555)</f>
        <v>41108.705555555498</v>
      </c>
      <c r="F576" s="111">
        <f ca="1">IFERROR(__xludf.DUMMYFUNCTION("""COMPUTED_VALUE"""),5.72)</f>
        <v>5.72</v>
      </c>
      <c r="G576" s="112">
        <f ca="1">IFERROR(__xludf.DUMMYFUNCTION("""COMPUTED_VALUE"""),41102.7055555555)</f>
        <v>41102.705555555498</v>
      </c>
      <c r="H576" s="111">
        <f ca="1">IFERROR(__xludf.DUMMYFUNCTION("""COMPUTED_VALUE"""),18.58)</f>
        <v>18.579999999999998</v>
      </c>
      <c r="K576" s="112">
        <f ca="1">IFERROR(__xludf.DUMMYFUNCTION("""COMPUTED_VALUE"""),41557.7055555555)</f>
        <v>41557.705555555498</v>
      </c>
      <c r="L576" s="111">
        <f ca="1">IFERROR(__xludf.DUMMYFUNCTION("""COMPUTED_VALUE"""),0.27)</f>
        <v>0.27</v>
      </c>
      <c r="M576" s="112">
        <f ca="1">IFERROR(__xludf.DUMMYFUNCTION("""COMPUTED_VALUE"""),41023.7055555555)</f>
        <v>41023.705555555498</v>
      </c>
      <c r="N576" s="111">
        <f ca="1">IFERROR(__xludf.DUMMYFUNCTION("""COMPUTED_VALUE"""),12.01)</f>
        <v>12.01</v>
      </c>
      <c r="O576" s="112">
        <f ca="1">IFERROR(__xludf.DUMMYFUNCTION("""COMPUTED_VALUE"""),41096.7055555555)</f>
        <v>41096.705555555498</v>
      </c>
      <c r="P576" s="111">
        <f ca="1">IFERROR(__xludf.DUMMYFUNCTION("""COMPUTED_VALUE"""),40.79)</f>
        <v>40.79</v>
      </c>
      <c r="Q576" s="112">
        <f ca="1">IFERROR(__xludf.DUMMYFUNCTION("""COMPUTED_VALUE"""),41093.7055555555)</f>
        <v>41093.705555555498</v>
      </c>
      <c r="R576" s="111">
        <f ca="1">IFERROR(__xludf.DUMMYFUNCTION("""COMPUTED_VALUE"""),19.95)</f>
        <v>19.95</v>
      </c>
      <c r="S576" s="112">
        <f ca="1">IFERROR(__xludf.DUMMYFUNCTION("""COMPUTED_VALUE"""),41103.7055555555)</f>
        <v>41103.705555555498</v>
      </c>
      <c r="T576" s="111">
        <f ca="1">IFERROR(__xludf.DUMMYFUNCTION("""COMPUTED_VALUE"""),8.07)</f>
        <v>8.07</v>
      </c>
    </row>
    <row r="577" spans="1:20" x14ac:dyDescent="0.3">
      <c r="A577" s="112">
        <f ca="1">IFERROR(__xludf.DUMMYFUNCTION("""COMPUTED_VALUE"""),41095.7055555555)</f>
        <v>41095.705555555498</v>
      </c>
      <c r="B577" s="111">
        <f ca="1">IFERROR(__xludf.DUMMYFUNCTION("""COMPUTED_VALUE"""),14.45)</f>
        <v>14.45</v>
      </c>
      <c r="C577" s="112">
        <f ca="1">IFERROR(__xludf.DUMMYFUNCTION("""COMPUTED_VALUE"""),41108.7055555555)</f>
        <v>41108.705555555498</v>
      </c>
      <c r="D577" s="111">
        <f ca="1">IFERROR(__xludf.DUMMYFUNCTION("""COMPUTED_VALUE"""),14.82)</f>
        <v>14.82</v>
      </c>
      <c r="E577" s="112">
        <f ca="1">IFERROR(__xludf.DUMMYFUNCTION("""COMPUTED_VALUE"""),41109.7055555555)</f>
        <v>41109.705555555498</v>
      </c>
      <c r="F577" s="111">
        <f ca="1">IFERROR(__xludf.DUMMYFUNCTION("""COMPUTED_VALUE"""),5.83)</f>
        <v>5.83</v>
      </c>
      <c r="G577" s="112">
        <f ca="1">IFERROR(__xludf.DUMMYFUNCTION("""COMPUTED_VALUE"""),41103.7055555555)</f>
        <v>41103.705555555498</v>
      </c>
      <c r="H577" s="111">
        <f ca="1">IFERROR(__xludf.DUMMYFUNCTION("""COMPUTED_VALUE"""),19.55)</f>
        <v>19.55</v>
      </c>
      <c r="K577" s="112">
        <f ca="1">IFERROR(__xludf.DUMMYFUNCTION("""COMPUTED_VALUE"""),41558.7055555555)</f>
        <v>41558.705555555498</v>
      </c>
      <c r="L577" s="111">
        <f ca="1">IFERROR(__xludf.DUMMYFUNCTION("""COMPUTED_VALUE"""),0.26)</f>
        <v>0.26</v>
      </c>
      <c r="M577" s="112">
        <f ca="1">IFERROR(__xludf.DUMMYFUNCTION("""COMPUTED_VALUE"""),41024.7055555555)</f>
        <v>41024.705555555498</v>
      </c>
      <c r="N577" s="111">
        <f ca="1">IFERROR(__xludf.DUMMYFUNCTION("""COMPUTED_VALUE"""),11.7)</f>
        <v>11.7</v>
      </c>
      <c r="O577" s="112">
        <f ca="1">IFERROR(__xludf.DUMMYFUNCTION("""COMPUTED_VALUE"""),41100.7055555555)</f>
        <v>41100.705555555498</v>
      </c>
      <c r="P577" s="111">
        <f ca="1">IFERROR(__xludf.DUMMYFUNCTION("""COMPUTED_VALUE"""),39.6)</f>
        <v>39.6</v>
      </c>
      <c r="Q577" s="112">
        <f ca="1">IFERROR(__xludf.DUMMYFUNCTION("""COMPUTED_VALUE"""),41095.7055555555)</f>
        <v>41095.705555555498</v>
      </c>
      <c r="R577" s="111">
        <f ca="1">IFERROR(__xludf.DUMMYFUNCTION("""COMPUTED_VALUE"""),19.9)</f>
        <v>19.899999999999999</v>
      </c>
      <c r="S577" s="112">
        <f ca="1">IFERROR(__xludf.DUMMYFUNCTION("""COMPUTED_VALUE"""),41107.7055555555)</f>
        <v>41107.705555555498</v>
      </c>
      <c r="T577" s="111">
        <f ca="1">IFERROR(__xludf.DUMMYFUNCTION("""COMPUTED_VALUE"""),8.12)</f>
        <v>8.1199999999999992</v>
      </c>
    </row>
    <row r="578" spans="1:20" x14ac:dyDescent="0.3">
      <c r="A578" s="112">
        <f ca="1">IFERROR(__xludf.DUMMYFUNCTION("""COMPUTED_VALUE"""),41096.7055555555)</f>
        <v>41096.705555555498</v>
      </c>
      <c r="B578" s="111">
        <f ca="1">IFERROR(__xludf.DUMMYFUNCTION("""COMPUTED_VALUE"""),13.94)</f>
        <v>13.94</v>
      </c>
      <c r="C578" s="112">
        <f ca="1">IFERROR(__xludf.DUMMYFUNCTION("""COMPUTED_VALUE"""),41109.7055555555)</f>
        <v>41109.705555555498</v>
      </c>
      <c r="D578" s="111">
        <f ca="1">IFERROR(__xludf.DUMMYFUNCTION("""COMPUTED_VALUE"""),15.11)</f>
        <v>15.11</v>
      </c>
      <c r="E578" s="112">
        <f ca="1">IFERROR(__xludf.DUMMYFUNCTION("""COMPUTED_VALUE"""),41110.7055555555)</f>
        <v>41110.705555555498</v>
      </c>
      <c r="F578" s="111">
        <f ca="1">IFERROR(__xludf.DUMMYFUNCTION("""COMPUTED_VALUE"""),5.78)</f>
        <v>5.78</v>
      </c>
      <c r="G578" s="112">
        <f ca="1">IFERROR(__xludf.DUMMYFUNCTION("""COMPUTED_VALUE"""),41107.7055555555)</f>
        <v>41107.705555555498</v>
      </c>
      <c r="H578" s="111">
        <f ca="1">IFERROR(__xludf.DUMMYFUNCTION("""COMPUTED_VALUE"""),19.25)</f>
        <v>19.25</v>
      </c>
      <c r="K578" s="112">
        <f ca="1">IFERROR(__xludf.DUMMYFUNCTION("""COMPUTED_VALUE"""),41561.7055555555)</f>
        <v>41561.705555555498</v>
      </c>
      <c r="L578" s="111">
        <f ca="1">IFERROR(__xludf.DUMMYFUNCTION("""COMPUTED_VALUE"""),0.28)</f>
        <v>0.28000000000000003</v>
      </c>
      <c r="M578" s="112">
        <f ca="1">IFERROR(__xludf.DUMMYFUNCTION("""COMPUTED_VALUE"""),41025.7055555555)</f>
        <v>41025.705555555498</v>
      </c>
      <c r="N578" s="111">
        <f ca="1">IFERROR(__xludf.DUMMYFUNCTION("""COMPUTED_VALUE"""),11.78)</f>
        <v>11.78</v>
      </c>
      <c r="O578" s="112">
        <f ca="1">IFERROR(__xludf.DUMMYFUNCTION("""COMPUTED_VALUE"""),41101.7055555555)</f>
        <v>41101.705555555498</v>
      </c>
      <c r="P578" s="111">
        <f ca="1">IFERROR(__xludf.DUMMYFUNCTION("""COMPUTED_VALUE"""),39.56)</f>
        <v>39.56</v>
      </c>
      <c r="Q578" s="112">
        <f ca="1">IFERROR(__xludf.DUMMYFUNCTION("""COMPUTED_VALUE"""),41096.7055555555)</f>
        <v>41096.705555555498</v>
      </c>
      <c r="R578" s="111">
        <f ca="1">IFERROR(__xludf.DUMMYFUNCTION("""COMPUTED_VALUE"""),19.44)</f>
        <v>19.440000000000001</v>
      </c>
      <c r="S578" s="112">
        <f ca="1">IFERROR(__xludf.DUMMYFUNCTION("""COMPUTED_VALUE"""),41108.7055555555)</f>
        <v>41108.705555555498</v>
      </c>
      <c r="T578" s="111">
        <f ca="1">IFERROR(__xludf.DUMMYFUNCTION("""COMPUTED_VALUE"""),8.28)</f>
        <v>8.2799999999999994</v>
      </c>
    </row>
    <row r="579" spans="1:20" x14ac:dyDescent="0.3">
      <c r="A579" s="112">
        <f ca="1">IFERROR(__xludf.DUMMYFUNCTION("""COMPUTED_VALUE"""),41100.7055555555)</f>
        <v>41100.705555555498</v>
      </c>
      <c r="B579" s="111">
        <f ca="1">IFERROR(__xludf.DUMMYFUNCTION("""COMPUTED_VALUE"""),13.65)</f>
        <v>13.65</v>
      </c>
      <c r="C579" s="112">
        <f ca="1">IFERROR(__xludf.DUMMYFUNCTION("""COMPUTED_VALUE"""),41110.7055555555)</f>
        <v>41110.705555555498</v>
      </c>
      <c r="D579" s="111">
        <f ca="1">IFERROR(__xludf.DUMMYFUNCTION("""COMPUTED_VALUE"""),15.05)</f>
        <v>15.05</v>
      </c>
      <c r="E579" s="112">
        <f ca="1">IFERROR(__xludf.DUMMYFUNCTION("""COMPUTED_VALUE"""),41113.7055555555)</f>
        <v>41113.705555555498</v>
      </c>
      <c r="F579" s="111">
        <f ca="1">IFERROR(__xludf.DUMMYFUNCTION("""COMPUTED_VALUE"""),5.61)</f>
        <v>5.61</v>
      </c>
      <c r="G579" s="112">
        <f ca="1">IFERROR(__xludf.DUMMYFUNCTION("""COMPUTED_VALUE"""),41108.7055555555)</f>
        <v>41108.705555555498</v>
      </c>
      <c r="H579" s="111">
        <f ca="1">IFERROR(__xludf.DUMMYFUNCTION("""COMPUTED_VALUE"""),19.33)</f>
        <v>19.329999999999998</v>
      </c>
      <c r="K579" s="112">
        <f ca="1">IFERROR(__xludf.DUMMYFUNCTION("""COMPUTED_VALUE"""),41562.7055555555)</f>
        <v>41562.705555555498</v>
      </c>
      <c r="L579" s="111">
        <f ca="1">IFERROR(__xludf.DUMMYFUNCTION("""COMPUTED_VALUE"""),0.29)</f>
        <v>0.28999999999999998</v>
      </c>
      <c r="M579" s="112">
        <f ca="1">IFERROR(__xludf.DUMMYFUNCTION("""COMPUTED_VALUE"""),41026.7055555555)</f>
        <v>41026.705555555498</v>
      </c>
      <c r="N579" s="111">
        <f ca="1">IFERROR(__xludf.DUMMYFUNCTION("""COMPUTED_VALUE"""),11.8)</f>
        <v>11.8</v>
      </c>
      <c r="O579" s="112">
        <f ca="1">IFERROR(__xludf.DUMMYFUNCTION("""COMPUTED_VALUE"""),41102.7055555555)</f>
        <v>41102.705555555498</v>
      </c>
      <c r="P579" s="111">
        <f ca="1">IFERROR(__xludf.DUMMYFUNCTION("""COMPUTED_VALUE"""),39.39)</f>
        <v>39.39</v>
      </c>
      <c r="Q579" s="112">
        <f ca="1">IFERROR(__xludf.DUMMYFUNCTION("""COMPUTED_VALUE"""),41100.7055555555)</f>
        <v>41100.705555555498</v>
      </c>
      <c r="R579" s="111">
        <f ca="1">IFERROR(__xludf.DUMMYFUNCTION("""COMPUTED_VALUE"""),18.88)</f>
        <v>18.88</v>
      </c>
      <c r="S579" s="112">
        <f ca="1">IFERROR(__xludf.DUMMYFUNCTION("""COMPUTED_VALUE"""),41109.7055555555)</f>
        <v>41109.705555555498</v>
      </c>
      <c r="T579" s="111">
        <f ca="1">IFERROR(__xludf.DUMMYFUNCTION("""COMPUTED_VALUE"""),8.44)</f>
        <v>8.44</v>
      </c>
    </row>
    <row r="580" spans="1:20" x14ac:dyDescent="0.3">
      <c r="A580" s="112">
        <f ca="1">IFERROR(__xludf.DUMMYFUNCTION("""COMPUTED_VALUE"""),41101.7055555555)</f>
        <v>41101.705555555498</v>
      </c>
      <c r="B580" s="111">
        <f ca="1">IFERROR(__xludf.DUMMYFUNCTION("""COMPUTED_VALUE"""),13.43)</f>
        <v>13.43</v>
      </c>
      <c r="C580" s="112">
        <f ca="1">IFERROR(__xludf.DUMMYFUNCTION("""COMPUTED_VALUE"""),41113.7055555555)</f>
        <v>41113.705555555498</v>
      </c>
      <c r="D580" s="111">
        <f ca="1">IFERROR(__xludf.DUMMYFUNCTION("""COMPUTED_VALUE"""),14.63)</f>
        <v>14.63</v>
      </c>
      <c r="E580" s="112">
        <f ca="1">IFERROR(__xludf.DUMMYFUNCTION("""COMPUTED_VALUE"""),41114.7055555555)</f>
        <v>41114.705555555498</v>
      </c>
      <c r="F580" s="111">
        <f ca="1">IFERROR(__xludf.DUMMYFUNCTION("""COMPUTED_VALUE"""),5.83)</f>
        <v>5.83</v>
      </c>
      <c r="G580" s="112">
        <f ca="1">IFERROR(__xludf.DUMMYFUNCTION("""COMPUTED_VALUE"""),41109.7055555555)</f>
        <v>41109.705555555498</v>
      </c>
      <c r="H580" s="111">
        <f ca="1">IFERROR(__xludf.DUMMYFUNCTION("""COMPUTED_VALUE"""),19.62)</f>
        <v>19.62</v>
      </c>
      <c r="K580" s="112">
        <f ca="1">IFERROR(__xludf.DUMMYFUNCTION("""COMPUTED_VALUE"""),41563.7055555555)</f>
        <v>41563.705555555498</v>
      </c>
      <c r="L580" s="111">
        <f ca="1">IFERROR(__xludf.DUMMYFUNCTION("""COMPUTED_VALUE"""),0.29)</f>
        <v>0.28999999999999998</v>
      </c>
      <c r="M580" s="112">
        <f ca="1">IFERROR(__xludf.DUMMYFUNCTION("""COMPUTED_VALUE"""),41029.7055555555)</f>
        <v>41029.705555555498</v>
      </c>
      <c r="N580" s="111">
        <f ca="1">IFERROR(__xludf.DUMMYFUNCTION("""COMPUTED_VALUE"""),12.01)</f>
        <v>12.01</v>
      </c>
      <c r="O580" s="112">
        <f ca="1">IFERROR(__xludf.DUMMYFUNCTION("""COMPUTED_VALUE"""),41103.7055555555)</f>
        <v>41103.705555555498</v>
      </c>
      <c r="P580" s="111">
        <f ca="1">IFERROR(__xludf.DUMMYFUNCTION("""COMPUTED_VALUE"""),40.23)</f>
        <v>40.229999999999997</v>
      </c>
      <c r="Q580" s="112">
        <f ca="1">IFERROR(__xludf.DUMMYFUNCTION("""COMPUTED_VALUE"""),41101.7055555555)</f>
        <v>41101.705555555498</v>
      </c>
      <c r="R580" s="111">
        <f ca="1">IFERROR(__xludf.DUMMYFUNCTION("""COMPUTED_VALUE"""),18.56)</f>
        <v>18.559999999999999</v>
      </c>
      <c r="S580" s="112">
        <f ca="1">IFERROR(__xludf.DUMMYFUNCTION("""COMPUTED_VALUE"""),41110.7055555555)</f>
        <v>41110.705555555498</v>
      </c>
      <c r="T580" s="111">
        <f ca="1">IFERROR(__xludf.DUMMYFUNCTION("""COMPUTED_VALUE"""),8.25)</f>
        <v>8.25</v>
      </c>
    </row>
    <row r="581" spans="1:20" x14ac:dyDescent="0.3">
      <c r="A581" s="112">
        <f ca="1">IFERROR(__xludf.DUMMYFUNCTION("""COMPUTED_VALUE"""),41102.7055555555)</f>
        <v>41102.705555555498</v>
      </c>
      <c r="B581" s="111">
        <f ca="1">IFERROR(__xludf.DUMMYFUNCTION("""COMPUTED_VALUE"""),13.54)</f>
        <v>13.54</v>
      </c>
      <c r="C581" s="112">
        <f ca="1">IFERROR(__xludf.DUMMYFUNCTION("""COMPUTED_VALUE"""),41114.7055555555)</f>
        <v>41114.705555555498</v>
      </c>
      <c r="D581" s="111">
        <f ca="1">IFERROR(__xludf.DUMMYFUNCTION("""COMPUTED_VALUE"""),15.12)</f>
        <v>15.12</v>
      </c>
      <c r="E581" s="112">
        <f ca="1">IFERROR(__xludf.DUMMYFUNCTION("""COMPUTED_VALUE"""),41115.7055555555)</f>
        <v>41115.705555555498</v>
      </c>
      <c r="F581" s="111">
        <f ca="1">IFERROR(__xludf.DUMMYFUNCTION("""COMPUTED_VALUE"""),5.85)</f>
        <v>5.85</v>
      </c>
      <c r="G581" s="112">
        <f ca="1">IFERROR(__xludf.DUMMYFUNCTION("""COMPUTED_VALUE"""),41110.7055555555)</f>
        <v>41110.705555555498</v>
      </c>
      <c r="H581" s="111">
        <f ca="1">IFERROR(__xludf.DUMMYFUNCTION("""COMPUTED_VALUE"""),19.18)</f>
        <v>19.18</v>
      </c>
      <c r="K581" s="112">
        <f ca="1">IFERROR(__xludf.DUMMYFUNCTION("""COMPUTED_VALUE"""),41564.7055555555)</f>
        <v>41564.705555555498</v>
      </c>
      <c r="L581" s="111">
        <f ca="1">IFERROR(__xludf.DUMMYFUNCTION("""COMPUTED_VALUE"""),0.3)</f>
        <v>0.3</v>
      </c>
      <c r="M581" s="112">
        <f ca="1">IFERROR(__xludf.DUMMYFUNCTION("""COMPUTED_VALUE"""),41031.7055555555)</f>
        <v>41031.705555555498</v>
      </c>
      <c r="N581" s="111">
        <f ca="1">IFERROR(__xludf.DUMMYFUNCTION("""COMPUTED_VALUE"""),11.84)</f>
        <v>11.84</v>
      </c>
      <c r="O581" s="112">
        <f ca="1">IFERROR(__xludf.DUMMYFUNCTION("""COMPUTED_VALUE"""),41106.7055555555)</f>
        <v>41106.705555555498</v>
      </c>
      <c r="P581" s="111">
        <f ca="1">IFERROR(__xludf.DUMMYFUNCTION("""COMPUTED_VALUE"""),39.6)</f>
        <v>39.6</v>
      </c>
      <c r="Q581" s="112">
        <f ca="1">IFERROR(__xludf.DUMMYFUNCTION("""COMPUTED_VALUE"""),41102.7055555555)</f>
        <v>41102.705555555498</v>
      </c>
      <c r="R581" s="111">
        <f ca="1">IFERROR(__xludf.DUMMYFUNCTION("""COMPUTED_VALUE"""),18.62)</f>
        <v>18.62</v>
      </c>
      <c r="S581" s="112">
        <f ca="1">IFERROR(__xludf.DUMMYFUNCTION("""COMPUTED_VALUE"""),41113.7055555555)</f>
        <v>41113.705555555498</v>
      </c>
      <c r="T581" s="111">
        <f ca="1">IFERROR(__xludf.DUMMYFUNCTION("""COMPUTED_VALUE"""),8.26)</f>
        <v>8.26</v>
      </c>
    </row>
    <row r="582" spans="1:20" x14ac:dyDescent="0.3">
      <c r="A582" s="112">
        <f ca="1">IFERROR(__xludf.DUMMYFUNCTION("""COMPUTED_VALUE"""),41103.7055555555)</f>
        <v>41103.705555555498</v>
      </c>
      <c r="B582" s="111">
        <f ca="1">IFERROR(__xludf.DUMMYFUNCTION("""COMPUTED_VALUE"""),13.45)</f>
        <v>13.45</v>
      </c>
      <c r="C582" s="112">
        <f ca="1">IFERROR(__xludf.DUMMYFUNCTION("""COMPUTED_VALUE"""),41115.7055555555)</f>
        <v>41115.705555555498</v>
      </c>
      <c r="D582" s="111">
        <f ca="1">IFERROR(__xludf.DUMMYFUNCTION("""COMPUTED_VALUE"""),15.23)</f>
        <v>15.23</v>
      </c>
      <c r="E582" s="112">
        <f ca="1">IFERROR(__xludf.DUMMYFUNCTION("""COMPUTED_VALUE"""),41116.7055555555)</f>
        <v>41116.705555555498</v>
      </c>
      <c r="F582" s="111">
        <f ca="1">IFERROR(__xludf.DUMMYFUNCTION("""COMPUTED_VALUE"""),6.04)</f>
        <v>6.04</v>
      </c>
      <c r="G582" s="112">
        <f ca="1">IFERROR(__xludf.DUMMYFUNCTION("""COMPUTED_VALUE"""),41113.7055555555)</f>
        <v>41113.705555555498</v>
      </c>
      <c r="H582" s="111">
        <f ca="1">IFERROR(__xludf.DUMMYFUNCTION("""COMPUTED_VALUE"""),18.96)</f>
        <v>18.96</v>
      </c>
      <c r="K582" s="112">
        <f ca="1">IFERROR(__xludf.DUMMYFUNCTION("""COMPUTED_VALUE"""),41565.7055555555)</f>
        <v>41565.705555555498</v>
      </c>
      <c r="L582" s="111">
        <f ca="1">IFERROR(__xludf.DUMMYFUNCTION("""COMPUTED_VALUE"""),0.29)</f>
        <v>0.28999999999999998</v>
      </c>
      <c r="M582" s="112">
        <f ca="1">IFERROR(__xludf.DUMMYFUNCTION("""COMPUTED_VALUE"""),41032.7055555555)</f>
        <v>41032.705555555498</v>
      </c>
      <c r="N582" s="111">
        <f ca="1">IFERROR(__xludf.DUMMYFUNCTION("""COMPUTED_VALUE"""),11.76)</f>
        <v>11.76</v>
      </c>
      <c r="O582" s="112">
        <f ca="1">IFERROR(__xludf.DUMMYFUNCTION("""COMPUTED_VALUE"""),41107.7055555555)</f>
        <v>41107.705555555498</v>
      </c>
      <c r="P582" s="111">
        <f ca="1">IFERROR(__xludf.DUMMYFUNCTION("""COMPUTED_VALUE"""),39.45)</f>
        <v>39.450000000000003</v>
      </c>
      <c r="Q582" s="112">
        <f ca="1">IFERROR(__xludf.DUMMYFUNCTION("""COMPUTED_VALUE"""),41103.7055555555)</f>
        <v>41103.705555555498</v>
      </c>
      <c r="R582" s="111">
        <f ca="1">IFERROR(__xludf.DUMMYFUNCTION("""COMPUTED_VALUE"""),18.8)</f>
        <v>18.8</v>
      </c>
      <c r="S582" s="112">
        <f ca="1">IFERROR(__xludf.DUMMYFUNCTION("""COMPUTED_VALUE"""),41114.7055555555)</f>
        <v>41114.705555555498</v>
      </c>
      <c r="T582" s="111">
        <f ca="1">IFERROR(__xludf.DUMMYFUNCTION("""COMPUTED_VALUE"""),8.15)</f>
        <v>8.15</v>
      </c>
    </row>
    <row r="583" spans="1:20" x14ac:dyDescent="0.3">
      <c r="A583" s="112">
        <f ca="1">IFERROR(__xludf.DUMMYFUNCTION("""COMPUTED_VALUE"""),41107.7055555555)</f>
        <v>41107.705555555498</v>
      </c>
      <c r="B583" s="111">
        <f ca="1">IFERROR(__xludf.DUMMYFUNCTION("""COMPUTED_VALUE"""),13.6)</f>
        <v>13.6</v>
      </c>
      <c r="C583" s="112">
        <f ca="1">IFERROR(__xludf.DUMMYFUNCTION("""COMPUTED_VALUE"""),41116.7055555555)</f>
        <v>41116.705555555498</v>
      </c>
      <c r="D583" s="111">
        <f ca="1">IFERROR(__xludf.DUMMYFUNCTION("""COMPUTED_VALUE"""),15.65)</f>
        <v>15.65</v>
      </c>
      <c r="E583" s="112">
        <f ca="1">IFERROR(__xludf.DUMMYFUNCTION("""COMPUTED_VALUE"""),41117.7055555555)</f>
        <v>41117.705555555498</v>
      </c>
      <c r="F583" s="111">
        <f ca="1">IFERROR(__xludf.DUMMYFUNCTION("""COMPUTED_VALUE"""),6.31)</f>
        <v>6.31</v>
      </c>
      <c r="G583" s="112">
        <f ca="1">IFERROR(__xludf.DUMMYFUNCTION("""COMPUTED_VALUE"""),41114.7055555555)</f>
        <v>41114.705555555498</v>
      </c>
      <c r="H583" s="111">
        <f ca="1">IFERROR(__xludf.DUMMYFUNCTION("""COMPUTED_VALUE"""),18.79)</f>
        <v>18.79</v>
      </c>
      <c r="K583" s="112">
        <f ca="1">IFERROR(__xludf.DUMMYFUNCTION("""COMPUTED_VALUE"""),41568.7055555555)</f>
        <v>41568.705555555498</v>
      </c>
      <c r="L583" s="111">
        <f ca="1">IFERROR(__xludf.DUMMYFUNCTION("""COMPUTED_VALUE"""),0.29)</f>
        <v>0.28999999999999998</v>
      </c>
      <c r="M583" s="112">
        <f ca="1">IFERROR(__xludf.DUMMYFUNCTION("""COMPUTED_VALUE"""),41033.7055555555)</f>
        <v>41033.705555555498</v>
      </c>
      <c r="N583" s="111">
        <f ca="1">IFERROR(__xludf.DUMMYFUNCTION("""COMPUTED_VALUE"""),11.7)</f>
        <v>11.7</v>
      </c>
      <c r="O583" s="112">
        <f ca="1">IFERROR(__xludf.DUMMYFUNCTION("""COMPUTED_VALUE"""),41108.7055555555)</f>
        <v>41108.705555555498</v>
      </c>
      <c r="P583" s="111">
        <f ca="1">IFERROR(__xludf.DUMMYFUNCTION("""COMPUTED_VALUE"""),39.5)</f>
        <v>39.5</v>
      </c>
      <c r="Q583" s="112">
        <f ca="1">IFERROR(__xludf.DUMMYFUNCTION("""COMPUTED_VALUE"""),41106.7055555555)</f>
        <v>41106.705555555498</v>
      </c>
      <c r="R583" s="111">
        <f ca="1">IFERROR(__xludf.DUMMYFUNCTION("""COMPUTED_VALUE"""),18.34)</f>
        <v>18.34</v>
      </c>
      <c r="S583" s="112">
        <f ca="1">IFERROR(__xludf.DUMMYFUNCTION("""COMPUTED_VALUE"""),41115.7055555555)</f>
        <v>41115.705555555498</v>
      </c>
      <c r="T583" s="111">
        <f ca="1">IFERROR(__xludf.DUMMYFUNCTION("""COMPUTED_VALUE"""),8.14)</f>
        <v>8.14</v>
      </c>
    </row>
    <row r="584" spans="1:20" x14ac:dyDescent="0.3">
      <c r="A584" s="112">
        <f ca="1">IFERROR(__xludf.DUMMYFUNCTION("""COMPUTED_VALUE"""),41109.7055555555)</f>
        <v>41109.705555555498</v>
      </c>
      <c r="B584" s="111">
        <f ca="1">IFERROR(__xludf.DUMMYFUNCTION("""COMPUTED_VALUE"""),13.88)</f>
        <v>13.88</v>
      </c>
      <c r="C584" s="112">
        <f ca="1">IFERROR(__xludf.DUMMYFUNCTION("""COMPUTED_VALUE"""),41117.7055555555)</f>
        <v>41117.705555555498</v>
      </c>
      <c r="D584" s="111">
        <f ca="1">IFERROR(__xludf.DUMMYFUNCTION("""COMPUTED_VALUE"""),16.23)</f>
        <v>16.23</v>
      </c>
      <c r="E584" s="112">
        <f ca="1">IFERROR(__xludf.DUMMYFUNCTION("""COMPUTED_VALUE"""),41120.7055555555)</f>
        <v>41120.705555555498</v>
      </c>
      <c r="F584" s="111">
        <f ca="1">IFERROR(__xludf.DUMMYFUNCTION("""COMPUTED_VALUE"""),6.44)</f>
        <v>6.44</v>
      </c>
      <c r="G584" s="112">
        <f ca="1">IFERROR(__xludf.DUMMYFUNCTION("""COMPUTED_VALUE"""),41115.7055555555)</f>
        <v>41115.705555555498</v>
      </c>
      <c r="H584" s="111">
        <f ca="1">IFERROR(__xludf.DUMMYFUNCTION("""COMPUTED_VALUE"""),19)</f>
        <v>19</v>
      </c>
      <c r="K584" s="112">
        <f ca="1">IFERROR(__xludf.DUMMYFUNCTION("""COMPUTED_VALUE"""),41569.7055555555)</f>
        <v>41569.705555555498</v>
      </c>
      <c r="L584" s="111">
        <f ca="1">IFERROR(__xludf.DUMMYFUNCTION("""COMPUTED_VALUE"""),0.29)</f>
        <v>0.28999999999999998</v>
      </c>
      <c r="M584" s="112">
        <f ca="1">IFERROR(__xludf.DUMMYFUNCTION("""COMPUTED_VALUE"""),41036.7055555555)</f>
        <v>41036.705555555498</v>
      </c>
      <c r="N584" s="111">
        <f ca="1">IFERROR(__xludf.DUMMYFUNCTION("""COMPUTED_VALUE"""),11.65)</f>
        <v>11.65</v>
      </c>
      <c r="O584" s="112">
        <f ca="1">IFERROR(__xludf.DUMMYFUNCTION("""COMPUTED_VALUE"""),41109.7055555555)</f>
        <v>41109.705555555498</v>
      </c>
      <c r="P584" s="111">
        <f ca="1">IFERROR(__xludf.DUMMYFUNCTION("""COMPUTED_VALUE"""),39.55)</f>
        <v>39.549999999999997</v>
      </c>
      <c r="Q584" s="112">
        <f ca="1">IFERROR(__xludf.DUMMYFUNCTION("""COMPUTED_VALUE"""),41107.7055555555)</f>
        <v>41107.705555555498</v>
      </c>
      <c r="R584" s="111">
        <f ca="1">IFERROR(__xludf.DUMMYFUNCTION("""COMPUTED_VALUE"""),18.2)</f>
        <v>18.2</v>
      </c>
      <c r="S584" s="112">
        <f ca="1">IFERROR(__xludf.DUMMYFUNCTION("""COMPUTED_VALUE"""),41116.7055555555)</f>
        <v>41116.705555555498</v>
      </c>
      <c r="T584" s="111">
        <f ca="1">IFERROR(__xludf.DUMMYFUNCTION("""COMPUTED_VALUE"""),8.56)</f>
        <v>8.56</v>
      </c>
    </row>
    <row r="585" spans="1:20" x14ac:dyDescent="0.3">
      <c r="A585" s="112">
        <f ca="1">IFERROR(__xludf.DUMMYFUNCTION("""COMPUTED_VALUE"""),41110.7055555555)</f>
        <v>41110.705555555498</v>
      </c>
      <c r="B585" s="111">
        <f ca="1">IFERROR(__xludf.DUMMYFUNCTION("""COMPUTED_VALUE"""),13.6)</f>
        <v>13.6</v>
      </c>
      <c r="C585" s="112">
        <f ca="1">IFERROR(__xludf.DUMMYFUNCTION("""COMPUTED_VALUE"""),41120.7055555555)</f>
        <v>41120.705555555498</v>
      </c>
      <c r="D585" s="111">
        <f ca="1">IFERROR(__xludf.DUMMYFUNCTION("""COMPUTED_VALUE"""),16.67)</f>
        <v>16.670000000000002</v>
      </c>
      <c r="E585" s="112">
        <f ca="1">IFERROR(__xludf.DUMMYFUNCTION("""COMPUTED_VALUE"""),41121.7055555555)</f>
        <v>41121.705555555498</v>
      </c>
      <c r="F585" s="111">
        <f ca="1">IFERROR(__xludf.DUMMYFUNCTION("""COMPUTED_VALUE"""),6.25)</f>
        <v>6.25</v>
      </c>
      <c r="G585" s="112">
        <f ca="1">IFERROR(__xludf.DUMMYFUNCTION("""COMPUTED_VALUE"""),41116.7055555555)</f>
        <v>41116.705555555498</v>
      </c>
      <c r="H585" s="111">
        <f ca="1">IFERROR(__xludf.DUMMYFUNCTION("""COMPUTED_VALUE"""),19.26)</f>
        <v>19.260000000000002</v>
      </c>
      <c r="K585" s="112">
        <f ca="1">IFERROR(__xludf.DUMMYFUNCTION("""COMPUTED_VALUE"""),41570.7055555555)</f>
        <v>41570.705555555498</v>
      </c>
      <c r="L585" s="111">
        <f ca="1">IFERROR(__xludf.DUMMYFUNCTION("""COMPUTED_VALUE"""),0.28)</f>
        <v>0.28000000000000003</v>
      </c>
      <c r="M585" s="112">
        <f ca="1">IFERROR(__xludf.DUMMYFUNCTION("""COMPUTED_VALUE"""),41037.7055555555)</f>
        <v>41037.705555555498</v>
      </c>
      <c r="N585" s="111">
        <f ca="1">IFERROR(__xludf.DUMMYFUNCTION("""COMPUTED_VALUE"""),11.57)</f>
        <v>11.57</v>
      </c>
      <c r="O585" s="112">
        <f ca="1">IFERROR(__xludf.DUMMYFUNCTION("""COMPUTED_VALUE"""),41110.7055555555)</f>
        <v>41110.705555555498</v>
      </c>
      <c r="P585" s="111">
        <f ca="1">IFERROR(__xludf.DUMMYFUNCTION("""COMPUTED_VALUE"""),38.59)</f>
        <v>38.590000000000003</v>
      </c>
      <c r="Q585" s="112">
        <f ca="1">IFERROR(__xludf.DUMMYFUNCTION("""COMPUTED_VALUE"""),41108.7055555555)</f>
        <v>41108.705555555498</v>
      </c>
      <c r="R585" s="111">
        <f ca="1">IFERROR(__xludf.DUMMYFUNCTION("""COMPUTED_VALUE"""),19.47)</f>
        <v>19.47</v>
      </c>
      <c r="S585" s="112">
        <f ca="1">IFERROR(__xludf.DUMMYFUNCTION("""COMPUTED_VALUE"""),41117.7055555555)</f>
        <v>41117.705555555498</v>
      </c>
      <c r="T585" s="111">
        <f ca="1">IFERROR(__xludf.DUMMYFUNCTION("""COMPUTED_VALUE"""),9.08)</f>
        <v>9.08</v>
      </c>
    </row>
    <row r="586" spans="1:20" x14ac:dyDescent="0.3">
      <c r="A586" s="112">
        <f ca="1">IFERROR(__xludf.DUMMYFUNCTION("""COMPUTED_VALUE"""),41113.7055555555)</f>
        <v>41113.705555555498</v>
      </c>
      <c r="B586" s="111">
        <f ca="1">IFERROR(__xludf.DUMMYFUNCTION("""COMPUTED_VALUE"""),13.26)</f>
        <v>13.26</v>
      </c>
      <c r="C586" s="112">
        <f ca="1">IFERROR(__xludf.DUMMYFUNCTION("""COMPUTED_VALUE"""),41121.7055555555)</f>
        <v>41121.705555555498</v>
      </c>
      <c r="D586" s="111">
        <f ca="1">IFERROR(__xludf.DUMMYFUNCTION("""COMPUTED_VALUE"""),16.26)</f>
        <v>16.260000000000002</v>
      </c>
      <c r="E586" s="112">
        <f ca="1">IFERROR(__xludf.DUMMYFUNCTION("""COMPUTED_VALUE"""),41122.7055555555)</f>
        <v>41122.705555555498</v>
      </c>
      <c r="F586" s="111">
        <f ca="1">IFERROR(__xludf.DUMMYFUNCTION("""COMPUTED_VALUE"""),6.23)</f>
        <v>6.23</v>
      </c>
      <c r="G586" s="112">
        <f ca="1">IFERROR(__xludf.DUMMYFUNCTION("""COMPUTED_VALUE"""),41117.7055555555)</f>
        <v>41117.705555555498</v>
      </c>
      <c r="H586" s="111">
        <f ca="1">IFERROR(__xludf.DUMMYFUNCTION("""COMPUTED_VALUE"""),20.17)</f>
        <v>20.170000000000002</v>
      </c>
      <c r="K586" s="112">
        <f ca="1">IFERROR(__xludf.DUMMYFUNCTION("""COMPUTED_VALUE"""),41571.7055555555)</f>
        <v>41571.705555555498</v>
      </c>
      <c r="L586" s="111">
        <f ca="1">IFERROR(__xludf.DUMMYFUNCTION("""COMPUTED_VALUE"""),0.28)</f>
        <v>0.28000000000000003</v>
      </c>
      <c r="M586" s="112">
        <f ca="1">IFERROR(__xludf.DUMMYFUNCTION("""COMPUTED_VALUE"""),41038.7055555555)</f>
        <v>41038.705555555498</v>
      </c>
      <c r="N586" s="111">
        <f ca="1">IFERROR(__xludf.DUMMYFUNCTION("""COMPUTED_VALUE"""),11.51)</f>
        <v>11.51</v>
      </c>
      <c r="O586" s="112">
        <f ca="1">IFERROR(__xludf.DUMMYFUNCTION("""COMPUTED_VALUE"""),41113.7055555555)</f>
        <v>41113.705555555498</v>
      </c>
      <c r="P586" s="111">
        <f ca="1">IFERROR(__xludf.DUMMYFUNCTION("""COMPUTED_VALUE"""),37.68)</f>
        <v>37.68</v>
      </c>
      <c r="Q586" s="112">
        <f ca="1">IFERROR(__xludf.DUMMYFUNCTION("""COMPUTED_VALUE"""),41109.7055555555)</f>
        <v>41109.705555555498</v>
      </c>
      <c r="R586" s="111">
        <f ca="1">IFERROR(__xludf.DUMMYFUNCTION("""COMPUTED_VALUE"""),19.9)</f>
        <v>19.899999999999999</v>
      </c>
      <c r="S586" s="112">
        <f ca="1">IFERROR(__xludf.DUMMYFUNCTION("""COMPUTED_VALUE"""),41120.7055555555)</f>
        <v>41120.705555555498</v>
      </c>
      <c r="T586" s="111">
        <f ca="1">IFERROR(__xludf.DUMMYFUNCTION("""COMPUTED_VALUE"""),9.22)</f>
        <v>9.2200000000000006</v>
      </c>
    </row>
    <row r="587" spans="1:20" x14ac:dyDescent="0.3">
      <c r="A587" s="112">
        <f ca="1">IFERROR(__xludf.DUMMYFUNCTION("""COMPUTED_VALUE"""),41114.7055555555)</f>
        <v>41114.705555555498</v>
      </c>
      <c r="B587" s="111">
        <f ca="1">IFERROR(__xludf.DUMMYFUNCTION("""COMPUTED_VALUE"""),13.11)</f>
        <v>13.11</v>
      </c>
      <c r="C587" s="112">
        <f ca="1">IFERROR(__xludf.DUMMYFUNCTION("""COMPUTED_VALUE"""),41122.7055555555)</f>
        <v>41122.705555555498</v>
      </c>
      <c r="D587" s="111">
        <f ca="1">IFERROR(__xludf.DUMMYFUNCTION("""COMPUTED_VALUE"""),16.14)</f>
        <v>16.14</v>
      </c>
      <c r="E587" s="112">
        <f ca="1">IFERROR(__xludf.DUMMYFUNCTION("""COMPUTED_VALUE"""),41123.7055555555)</f>
        <v>41123.705555555498</v>
      </c>
      <c r="F587" s="111">
        <f ca="1">IFERROR(__xludf.DUMMYFUNCTION("""COMPUTED_VALUE"""),6.1)</f>
        <v>6.1</v>
      </c>
      <c r="G587" s="112">
        <f ca="1">IFERROR(__xludf.DUMMYFUNCTION("""COMPUTED_VALUE"""),41120.7055555555)</f>
        <v>41120.705555555498</v>
      </c>
      <c r="H587" s="111">
        <f ca="1">IFERROR(__xludf.DUMMYFUNCTION("""COMPUTED_VALUE"""),20.31)</f>
        <v>20.309999999999999</v>
      </c>
      <c r="K587" s="112">
        <f ca="1">IFERROR(__xludf.DUMMYFUNCTION("""COMPUTED_VALUE"""),41572.7055555555)</f>
        <v>41572.705555555498</v>
      </c>
      <c r="L587" s="111">
        <f ca="1">IFERROR(__xludf.DUMMYFUNCTION("""COMPUTED_VALUE"""),0.28)</f>
        <v>0.28000000000000003</v>
      </c>
      <c r="M587" s="112">
        <f ca="1">IFERROR(__xludf.DUMMYFUNCTION("""COMPUTED_VALUE"""),41039.7055555555)</f>
        <v>41039.705555555498</v>
      </c>
      <c r="N587" s="111">
        <f ca="1">IFERROR(__xludf.DUMMYFUNCTION("""COMPUTED_VALUE"""),11.55)</f>
        <v>11.55</v>
      </c>
      <c r="O587" s="112">
        <f ca="1">IFERROR(__xludf.DUMMYFUNCTION("""COMPUTED_VALUE"""),41114.7055555555)</f>
        <v>41114.705555555498</v>
      </c>
      <c r="P587" s="111">
        <f ca="1">IFERROR(__xludf.DUMMYFUNCTION("""COMPUTED_VALUE"""),35.84)</f>
        <v>35.840000000000003</v>
      </c>
      <c r="Q587" s="112">
        <f ca="1">IFERROR(__xludf.DUMMYFUNCTION("""COMPUTED_VALUE"""),41110.7055555555)</f>
        <v>41110.705555555498</v>
      </c>
      <c r="R587" s="111">
        <f ca="1">IFERROR(__xludf.DUMMYFUNCTION("""COMPUTED_VALUE"""),19.92)</f>
        <v>19.920000000000002</v>
      </c>
      <c r="S587" s="112">
        <f ca="1">IFERROR(__xludf.DUMMYFUNCTION("""COMPUTED_VALUE"""),41121.7055555555)</f>
        <v>41121.705555555498</v>
      </c>
      <c r="T587" s="111">
        <f ca="1">IFERROR(__xludf.DUMMYFUNCTION("""COMPUTED_VALUE"""),9.21)</f>
        <v>9.2100000000000009</v>
      </c>
    </row>
    <row r="588" spans="1:20" x14ac:dyDescent="0.3">
      <c r="A588" s="112">
        <f ca="1">IFERROR(__xludf.DUMMYFUNCTION("""COMPUTED_VALUE"""),41115.7055555555)</f>
        <v>41115.705555555498</v>
      </c>
      <c r="B588" s="111">
        <f ca="1">IFERROR(__xludf.DUMMYFUNCTION("""COMPUTED_VALUE"""),13.1)</f>
        <v>13.1</v>
      </c>
      <c r="C588" s="112">
        <f ca="1">IFERROR(__xludf.DUMMYFUNCTION("""COMPUTED_VALUE"""),41123.7055555555)</f>
        <v>41123.705555555498</v>
      </c>
      <c r="D588" s="111">
        <f ca="1">IFERROR(__xludf.DUMMYFUNCTION("""COMPUTED_VALUE"""),15.73)</f>
        <v>15.73</v>
      </c>
      <c r="E588" s="112">
        <f ca="1">IFERROR(__xludf.DUMMYFUNCTION("""COMPUTED_VALUE"""),41124.7055555555)</f>
        <v>41124.705555555498</v>
      </c>
      <c r="F588" s="111">
        <f ca="1">IFERROR(__xludf.DUMMYFUNCTION("""COMPUTED_VALUE"""),6.34)</f>
        <v>6.34</v>
      </c>
      <c r="G588" s="112">
        <f ca="1">IFERROR(__xludf.DUMMYFUNCTION("""COMPUTED_VALUE"""),41121.7055555555)</f>
        <v>41121.705555555498</v>
      </c>
      <c r="H588" s="111">
        <f ca="1">IFERROR(__xludf.DUMMYFUNCTION("""COMPUTED_VALUE"""),19.5)</f>
        <v>19.5</v>
      </c>
      <c r="K588" s="112">
        <f ca="1">IFERROR(__xludf.DUMMYFUNCTION("""COMPUTED_VALUE"""),41575.7055555555)</f>
        <v>41575.705555555498</v>
      </c>
      <c r="L588" s="111">
        <f ca="1">IFERROR(__xludf.DUMMYFUNCTION("""COMPUTED_VALUE"""),0.29)</f>
        <v>0.28999999999999998</v>
      </c>
      <c r="M588" s="112">
        <f ca="1">IFERROR(__xludf.DUMMYFUNCTION("""COMPUTED_VALUE"""),41040.7055555555)</f>
        <v>41040.705555555498</v>
      </c>
      <c r="N588" s="111">
        <f ca="1">IFERROR(__xludf.DUMMYFUNCTION("""COMPUTED_VALUE"""),11.55)</f>
        <v>11.55</v>
      </c>
      <c r="O588" s="112">
        <f ca="1">IFERROR(__xludf.DUMMYFUNCTION("""COMPUTED_VALUE"""),41115.7055555555)</f>
        <v>41115.705555555498</v>
      </c>
      <c r="P588" s="111">
        <f ca="1">IFERROR(__xludf.DUMMYFUNCTION("""COMPUTED_VALUE"""),35.65)</f>
        <v>35.65</v>
      </c>
      <c r="Q588" s="112">
        <f ca="1">IFERROR(__xludf.DUMMYFUNCTION("""COMPUTED_VALUE"""),41113.7055555555)</f>
        <v>41113.705555555498</v>
      </c>
      <c r="R588" s="111">
        <f ca="1">IFERROR(__xludf.DUMMYFUNCTION("""COMPUTED_VALUE"""),19.55)</f>
        <v>19.55</v>
      </c>
      <c r="S588" s="112">
        <f ca="1">IFERROR(__xludf.DUMMYFUNCTION("""COMPUTED_VALUE"""),41122.7055555555)</f>
        <v>41122.705555555498</v>
      </c>
      <c r="T588" s="111">
        <f ca="1">IFERROR(__xludf.DUMMYFUNCTION("""COMPUTED_VALUE"""),9.32)</f>
        <v>9.32</v>
      </c>
    </row>
    <row r="589" spans="1:20" x14ac:dyDescent="0.3">
      <c r="A589" s="112">
        <f ca="1">IFERROR(__xludf.DUMMYFUNCTION("""COMPUTED_VALUE"""),41116.7055555555)</f>
        <v>41116.705555555498</v>
      </c>
      <c r="B589" s="111">
        <f ca="1">IFERROR(__xludf.DUMMYFUNCTION("""COMPUTED_VALUE"""),12.97)</f>
        <v>12.97</v>
      </c>
      <c r="C589" s="112">
        <f ca="1">IFERROR(__xludf.DUMMYFUNCTION("""COMPUTED_VALUE"""),41124.7055555555)</f>
        <v>41124.705555555498</v>
      </c>
      <c r="D589" s="111">
        <f ca="1">IFERROR(__xludf.DUMMYFUNCTION("""COMPUTED_VALUE"""),16.2)</f>
        <v>16.2</v>
      </c>
      <c r="E589" s="112">
        <f ca="1">IFERROR(__xludf.DUMMYFUNCTION("""COMPUTED_VALUE"""),41127.7055555555)</f>
        <v>41127.705555555498</v>
      </c>
      <c r="F589" s="111">
        <f ca="1">IFERROR(__xludf.DUMMYFUNCTION("""COMPUTED_VALUE"""),6.45)</f>
        <v>6.45</v>
      </c>
      <c r="G589" s="112">
        <f ca="1">IFERROR(__xludf.DUMMYFUNCTION("""COMPUTED_VALUE"""),41122.7055555555)</f>
        <v>41122.705555555498</v>
      </c>
      <c r="H589" s="111">
        <f ca="1">IFERROR(__xludf.DUMMYFUNCTION("""COMPUTED_VALUE"""),19.82)</f>
        <v>19.82</v>
      </c>
      <c r="K589" s="112">
        <f ca="1">IFERROR(__xludf.DUMMYFUNCTION("""COMPUTED_VALUE"""),41576.7055555555)</f>
        <v>41576.705555555498</v>
      </c>
      <c r="L589" s="111">
        <f ca="1">IFERROR(__xludf.DUMMYFUNCTION("""COMPUTED_VALUE"""),0.29)</f>
        <v>0.28999999999999998</v>
      </c>
      <c r="M589" s="112">
        <f ca="1">IFERROR(__xludf.DUMMYFUNCTION("""COMPUTED_VALUE"""),41043.7055555555)</f>
        <v>41043.705555555498</v>
      </c>
      <c r="N589" s="111">
        <f ca="1">IFERROR(__xludf.DUMMYFUNCTION("""COMPUTED_VALUE"""),11.31)</f>
        <v>11.31</v>
      </c>
      <c r="O589" s="112">
        <f ca="1">IFERROR(__xludf.DUMMYFUNCTION("""COMPUTED_VALUE"""),41116.7055555555)</f>
        <v>41116.705555555498</v>
      </c>
      <c r="P589" s="111">
        <f ca="1">IFERROR(__xludf.DUMMYFUNCTION("""COMPUTED_VALUE"""),36.09)</f>
        <v>36.090000000000003</v>
      </c>
      <c r="Q589" s="112">
        <f ca="1">IFERROR(__xludf.DUMMYFUNCTION("""COMPUTED_VALUE"""),41114.7055555555)</f>
        <v>41114.705555555498</v>
      </c>
      <c r="R589" s="111">
        <f ca="1">IFERROR(__xludf.DUMMYFUNCTION("""COMPUTED_VALUE"""),19.7)</f>
        <v>19.7</v>
      </c>
      <c r="S589" s="112">
        <f ca="1">IFERROR(__xludf.DUMMYFUNCTION("""COMPUTED_VALUE"""),41123.7055555555)</f>
        <v>41123.705555555498</v>
      </c>
      <c r="T589" s="111">
        <f ca="1">IFERROR(__xludf.DUMMYFUNCTION("""COMPUTED_VALUE"""),8.91)</f>
        <v>8.91</v>
      </c>
    </row>
    <row r="590" spans="1:20" x14ac:dyDescent="0.3">
      <c r="A590" s="112">
        <f ca="1">IFERROR(__xludf.DUMMYFUNCTION("""COMPUTED_VALUE"""),41120.7055555555)</f>
        <v>41120.705555555498</v>
      </c>
      <c r="B590" s="111">
        <f ca="1">IFERROR(__xludf.DUMMYFUNCTION("""COMPUTED_VALUE"""),13.96)</f>
        <v>13.96</v>
      </c>
      <c r="C590" s="112">
        <f ca="1">IFERROR(__xludf.DUMMYFUNCTION("""COMPUTED_VALUE"""),41127.7055555555)</f>
        <v>41127.705555555498</v>
      </c>
      <c r="D590" s="111">
        <f ca="1">IFERROR(__xludf.DUMMYFUNCTION("""COMPUTED_VALUE"""),16.57)</f>
        <v>16.57</v>
      </c>
      <c r="E590" s="112">
        <f ca="1">IFERROR(__xludf.DUMMYFUNCTION("""COMPUTED_VALUE"""),41131.7055555555)</f>
        <v>41131.705555555498</v>
      </c>
      <c r="F590" s="111">
        <f ca="1">IFERROR(__xludf.DUMMYFUNCTION("""COMPUTED_VALUE"""),6.56)</f>
        <v>6.56</v>
      </c>
      <c r="G590" s="112">
        <f ca="1">IFERROR(__xludf.DUMMYFUNCTION("""COMPUTED_VALUE"""),41123.7055555555)</f>
        <v>41123.705555555498</v>
      </c>
      <c r="H590" s="111">
        <f ca="1">IFERROR(__xludf.DUMMYFUNCTION("""COMPUTED_VALUE"""),19.6)</f>
        <v>19.600000000000001</v>
      </c>
      <c r="K590" s="112">
        <f ca="1">IFERROR(__xludf.DUMMYFUNCTION("""COMPUTED_VALUE"""),41577.7055555555)</f>
        <v>41577.705555555498</v>
      </c>
      <c r="L590" s="111">
        <f ca="1">IFERROR(__xludf.DUMMYFUNCTION("""COMPUTED_VALUE"""),0.28)</f>
        <v>0.28000000000000003</v>
      </c>
      <c r="M590" s="112">
        <f ca="1">IFERROR(__xludf.DUMMYFUNCTION("""COMPUTED_VALUE"""),41044.7055555555)</f>
        <v>41044.705555555498</v>
      </c>
      <c r="N590" s="111">
        <f ca="1">IFERROR(__xludf.DUMMYFUNCTION("""COMPUTED_VALUE"""),11.22)</f>
        <v>11.22</v>
      </c>
      <c r="O590" s="112">
        <f ca="1">IFERROR(__xludf.DUMMYFUNCTION("""COMPUTED_VALUE"""),41117.7055555555)</f>
        <v>41117.705555555498</v>
      </c>
      <c r="P590" s="111">
        <f ca="1">IFERROR(__xludf.DUMMYFUNCTION("""COMPUTED_VALUE"""),37.55)</f>
        <v>37.549999999999997</v>
      </c>
      <c r="Q590" s="112">
        <f ca="1">IFERROR(__xludf.DUMMYFUNCTION("""COMPUTED_VALUE"""),41115.7055555555)</f>
        <v>41115.705555555498</v>
      </c>
      <c r="R590" s="111">
        <f ca="1">IFERROR(__xludf.DUMMYFUNCTION("""COMPUTED_VALUE"""),19.25)</f>
        <v>19.25</v>
      </c>
      <c r="S590" s="112">
        <f ca="1">IFERROR(__xludf.DUMMYFUNCTION("""COMPUTED_VALUE"""),41124.7055555555)</f>
        <v>41124.705555555498</v>
      </c>
      <c r="T590" s="111">
        <f ca="1">IFERROR(__xludf.DUMMYFUNCTION("""COMPUTED_VALUE"""),9.35)</f>
        <v>9.35</v>
      </c>
    </row>
    <row r="591" spans="1:20" x14ac:dyDescent="0.3">
      <c r="A591" s="112">
        <f ca="1">IFERROR(__xludf.DUMMYFUNCTION("""COMPUTED_VALUE"""),41121.7055555555)</f>
        <v>41121.705555555498</v>
      </c>
      <c r="B591" s="111">
        <f ca="1">IFERROR(__xludf.DUMMYFUNCTION("""COMPUTED_VALUE"""),13.99)</f>
        <v>13.99</v>
      </c>
      <c r="C591" s="112">
        <f ca="1">IFERROR(__xludf.DUMMYFUNCTION("""COMPUTED_VALUE"""),41131.7055555555)</f>
        <v>41131.705555555498</v>
      </c>
      <c r="D591" s="111">
        <f ca="1">IFERROR(__xludf.DUMMYFUNCTION("""COMPUTED_VALUE"""),16.93)</f>
        <v>16.93</v>
      </c>
      <c r="E591" s="112">
        <f ca="1">IFERROR(__xludf.DUMMYFUNCTION("""COMPUTED_VALUE"""),41134.7055555555)</f>
        <v>41134.705555555498</v>
      </c>
      <c r="F591" s="111">
        <f ca="1">IFERROR(__xludf.DUMMYFUNCTION("""COMPUTED_VALUE"""),6.58)</f>
        <v>6.58</v>
      </c>
      <c r="G591" s="112">
        <f ca="1">IFERROR(__xludf.DUMMYFUNCTION("""COMPUTED_VALUE"""),41124.7055555555)</f>
        <v>41124.705555555498</v>
      </c>
      <c r="H591" s="111">
        <f ca="1">IFERROR(__xludf.DUMMYFUNCTION("""COMPUTED_VALUE"""),19.94)</f>
        <v>19.940000000000001</v>
      </c>
      <c r="K591" s="112">
        <f ca="1">IFERROR(__xludf.DUMMYFUNCTION("""COMPUTED_VALUE"""),41578.7055555555)</f>
        <v>41578.705555555498</v>
      </c>
      <c r="L591" s="111">
        <f ca="1">IFERROR(__xludf.DUMMYFUNCTION("""COMPUTED_VALUE"""),0.3)</f>
        <v>0.3</v>
      </c>
      <c r="M591" s="112">
        <f ca="1">IFERROR(__xludf.DUMMYFUNCTION("""COMPUTED_VALUE"""),41045.7055555555)</f>
        <v>41045.705555555498</v>
      </c>
      <c r="N591" s="111">
        <f ca="1">IFERROR(__xludf.DUMMYFUNCTION("""COMPUTED_VALUE"""),11.02)</f>
        <v>11.02</v>
      </c>
      <c r="O591" s="112">
        <f ca="1">IFERROR(__xludf.DUMMYFUNCTION("""COMPUTED_VALUE"""),41120.7055555555)</f>
        <v>41120.705555555498</v>
      </c>
      <c r="P591" s="111">
        <f ca="1">IFERROR(__xludf.DUMMYFUNCTION("""COMPUTED_VALUE"""),37.52)</f>
        <v>37.520000000000003</v>
      </c>
      <c r="Q591" s="112">
        <f ca="1">IFERROR(__xludf.DUMMYFUNCTION("""COMPUTED_VALUE"""),41116.7055555555)</f>
        <v>41116.705555555498</v>
      </c>
      <c r="R591" s="111">
        <f ca="1">IFERROR(__xludf.DUMMYFUNCTION("""COMPUTED_VALUE"""),20.59)</f>
        <v>20.59</v>
      </c>
      <c r="S591" s="112">
        <f ca="1">IFERROR(__xludf.DUMMYFUNCTION("""COMPUTED_VALUE"""),41127.7055555555)</f>
        <v>41127.705555555498</v>
      </c>
      <c r="T591" s="111">
        <f ca="1">IFERROR(__xludf.DUMMYFUNCTION("""COMPUTED_VALUE"""),9.62)</f>
        <v>9.6199999999999992</v>
      </c>
    </row>
    <row r="592" spans="1:20" x14ac:dyDescent="0.3">
      <c r="A592" s="112">
        <f ca="1">IFERROR(__xludf.DUMMYFUNCTION("""COMPUTED_VALUE"""),41122.7055555555)</f>
        <v>41122.705555555498</v>
      </c>
      <c r="B592" s="111">
        <f ca="1">IFERROR(__xludf.DUMMYFUNCTION("""COMPUTED_VALUE"""),14.11)</f>
        <v>14.11</v>
      </c>
      <c r="C592" s="112">
        <f ca="1">IFERROR(__xludf.DUMMYFUNCTION("""COMPUTED_VALUE"""),41134.7055555555)</f>
        <v>41134.705555555498</v>
      </c>
      <c r="D592" s="111">
        <f ca="1">IFERROR(__xludf.DUMMYFUNCTION("""COMPUTED_VALUE"""),17)</f>
        <v>17</v>
      </c>
      <c r="E592" s="112">
        <f ca="1">IFERROR(__xludf.DUMMYFUNCTION("""COMPUTED_VALUE"""),41135.7055555555)</f>
        <v>41135.705555555498</v>
      </c>
      <c r="F592" s="111">
        <f ca="1">IFERROR(__xludf.DUMMYFUNCTION("""COMPUTED_VALUE"""),6.5)</f>
        <v>6.5</v>
      </c>
      <c r="G592" s="112">
        <f ca="1">IFERROR(__xludf.DUMMYFUNCTION("""COMPUTED_VALUE"""),41127.7055555555)</f>
        <v>41127.705555555498</v>
      </c>
      <c r="H592" s="111">
        <f ca="1">IFERROR(__xludf.DUMMYFUNCTION("""COMPUTED_VALUE"""),19.92)</f>
        <v>19.920000000000002</v>
      </c>
      <c r="K592" s="112">
        <f ca="1">IFERROR(__xludf.DUMMYFUNCTION("""COMPUTED_VALUE"""),41579.7055555555)</f>
        <v>41579.705555555498</v>
      </c>
      <c r="L592" s="111">
        <f ca="1">IFERROR(__xludf.DUMMYFUNCTION("""COMPUTED_VALUE"""),0.3)</f>
        <v>0.3</v>
      </c>
      <c r="M592" s="112">
        <f ca="1">IFERROR(__xludf.DUMMYFUNCTION("""COMPUTED_VALUE"""),41046.7055555555)</f>
        <v>41046.705555555498</v>
      </c>
      <c r="N592" s="111">
        <f ca="1">IFERROR(__xludf.DUMMYFUNCTION("""COMPUTED_VALUE"""),10.54)</f>
        <v>10.54</v>
      </c>
      <c r="O592" s="112">
        <f ca="1">IFERROR(__xludf.DUMMYFUNCTION("""COMPUTED_VALUE"""),41121.7055555555)</f>
        <v>41121.705555555498</v>
      </c>
      <c r="P592" s="111">
        <f ca="1">IFERROR(__xludf.DUMMYFUNCTION("""COMPUTED_VALUE"""),37.15)</f>
        <v>37.15</v>
      </c>
      <c r="Q592" s="112">
        <f ca="1">IFERROR(__xludf.DUMMYFUNCTION("""COMPUTED_VALUE"""),41117.7055555555)</f>
        <v>41117.705555555498</v>
      </c>
      <c r="R592" s="111">
        <f ca="1">IFERROR(__xludf.DUMMYFUNCTION("""COMPUTED_VALUE"""),21.63)</f>
        <v>21.63</v>
      </c>
      <c r="S592" s="112">
        <f ca="1">IFERROR(__xludf.DUMMYFUNCTION("""COMPUTED_VALUE"""),41128.7055555555)</f>
        <v>41128.705555555498</v>
      </c>
      <c r="T592" s="111">
        <f ca="1">IFERROR(__xludf.DUMMYFUNCTION("""COMPUTED_VALUE"""),9.32)</f>
        <v>9.32</v>
      </c>
    </row>
    <row r="593" spans="1:20" x14ac:dyDescent="0.3">
      <c r="A593" s="112">
        <f ca="1">IFERROR(__xludf.DUMMYFUNCTION("""COMPUTED_VALUE"""),41123.7055555555)</f>
        <v>41123.705555555498</v>
      </c>
      <c r="B593" s="111">
        <f ca="1">IFERROR(__xludf.DUMMYFUNCTION("""COMPUTED_VALUE"""),13.78)</f>
        <v>13.78</v>
      </c>
      <c r="C593" s="112">
        <f ca="1">IFERROR(__xludf.DUMMYFUNCTION("""COMPUTED_VALUE"""),41135.7055555555)</f>
        <v>41135.705555555498</v>
      </c>
      <c r="D593" s="111">
        <f ca="1">IFERROR(__xludf.DUMMYFUNCTION("""COMPUTED_VALUE"""),16.87)</f>
        <v>16.87</v>
      </c>
      <c r="E593" s="112">
        <f ca="1">IFERROR(__xludf.DUMMYFUNCTION("""COMPUTED_VALUE"""),41136.7055555555)</f>
        <v>41136.705555555498</v>
      </c>
      <c r="F593" s="111">
        <f ca="1">IFERROR(__xludf.DUMMYFUNCTION("""COMPUTED_VALUE"""),6.55)</f>
        <v>6.55</v>
      </c>
      <c r="G593" s="112">
        <f ca="1">IFERROR(__xludf.DUMMYFUNCTION("""COMPUTED_VALUE"""),41128.7055555555)</f>
        <v>41128.705555555498</v>
      </c>
      <c r="H593" s="111">
        <f ca="1">IFERROR(__xludf.DUMMYFUNCTION("""COMPUTED_VALUE"""),20.25)</f>
        <v>20.25</v>
      </c>
      <c r="K593" s="112">
        <f ca="1">IFERROR(__xludf.DUMMYFUNCTION("""COMPUTED_VALUE"""),41582.7055555555)</f>
        <v>41582.705555555498</v>
      </c>
      <c r="L593" s="111">
        <f ca="1">IFERROR(__xludf.DUMMYFUNCTION("""COMPUTED_VALUE"""),0.3)</f>
        <v>0.3</v>
      </c>
      <c r="M593" s="112">
        <f ca="1">IFERROR(__xludf.DUMMYFUNCTION("""COMPUTED_VALUE"""),41047.7055555555)</f>
        <v>41047.705555555498</v>
      </c>
      <c r="N593" s="111">
        <f ca="1">IFERROR(__xludf.DUMMYFUNCTION("""COMPUTED_VALUE"""),10.6)</f>
        <v>10.6</v>
      </c>
      <c r="O593" s="112">
        <f ca="1">IFERROR(__xludf.DUMMYFUNCTION("""COMPUTED_VALUE"""),41122.7055555555)</f>
        <v>41122.705555555498</v>
      </c>
      <c r="P593" s="111">
        <f ca="1">IFERROR(__xludf.DUMMYFUNCTION("""COMPUTED_VALUE"""),37.39)</f>
        <v>37.39</v>
      </c>
      <c r="Q593" s="112">
        <f ca="1">IFERROR(__xludf.DUMMYFUNCTION("""COMPUTED_VALUE"""),41120.7055555555)</f>
        <v>41120.705555555498</v>
      </c>
      <c r="R593" s="111">
        <f ca="1">IFERROR(__xludf.DUMMYFUNCTION("""COMPUTED_VALUE"""),22)</f>
        <v>22</v>
      </c>
      <c r="S593" s="112">
        <f ca="1">IFERROR(__xludf.DUMMYFUNCTION("""COMPUTED_VALUE"""),41131.7055555555)</f>
        <v>41131.705555555498</v>
      </c>
      <c r="T593" s="111">
        <f ca="1">IFERROR(__xludf.DUMMYFUNCTION("""COMPUTED_VALUE"""),9.47)</f>
        <v>9.4700000000000006</v>
      </c>
    </row>
    <row r="594" spans="1:20" x14ac:dyDescent="0.3">
      <c r="A594" s="112">
        <f ca="1">IFERROR(__xludf.DUMMYFUNCTION("""COMPUTED_VALUE"""),41124.7055555555)</f>
        <v>41124.705555555498</v>
      </c>
      <c r="B594" s="111">
        <f ca="1">IFERROR(__xludf.DUMMYFUNCTION("""COMPUTED_VALUE"""),14.29)</f>
        <v>14.29</v>
      </c>
      <c r="C594" s="112">
        <f ca="1">IFERROR(__xludf.DUMMYFUNCTION("""COMPUTED_VALUE"""),41136.7055555555)</f>
        <v>41136.705555555498</v>
      </c>
      <c r="D594" s="111">
        <f ca="1">IFERROR(__xludf.DUMMYFUNCTION("""COMPUTED_VALUE"""),16.95)</f>
        <v>16.95</v>
      </c>
      <c r="E594" s="112">
        <f ca="1">IFERROR(__xludf.DUMMYFUNCTION("""COMPUTED_VALUE"""),41137.7055555555)</f>
        <v>41137.705555555498</v>
      </c>
      <c r="F594" s="111">
        <f ca="1">IFERROR(__xludf.DUMMYFUNCTION("""COMPUTED_VALUE"""),6.65)</f>
        <v>6.65</v>
      </c>
      <c r="G594" s="112">
        <f ca="1">IFERROR(__xludf.DUMMYFUNCTION("""COMPUTED_VALUE"""),41129.7055555555)</f>
        <v>41129.705555555498</v>
      </c>
      <c r="H594" s="111">
        <f ca="1">IFERROR(__xludf.DUMMYFUNCTION("""COMPUTED_VALUE"""),21.18)</f>
        <v>21.18</v>
      </c>
      <c r="K594" s="112">
        <f ca="1">IFERROR(__xludf.DUMMYFUNCTION("""COMPUTED_VALUE"""),41583.7055555555)</f>
        <v>41583.705555555498</v>
      </c>
      <c r="L594" s="111">
        <f ca="1">IFERROR(__xludf.DUMMYFUNCTION("""COMPUTED_VALUE"""),0.29)</f>
        <v>0.28999999999999998</v>
      </c>
      <c r="M594" s="112">
        <f ca="1">IFERROR(__xludf.DUMMYFUNCTION("""COMPUTED_VALUE"""),41050.7055555555)</f>
        <v>41050.705555555498</v>
      </c>
      <c r="N594" s="111">
        <f ca="1">IFERROR(__xludf.DUMMYFUNCTION("""COMPUTED_VALUE"""),11.35)</f>
        <v>11.35</v>
      </c>
      <c r="O594" s="112">
        <f ca="1">IFERROR(__xludf.DUMMYFUNCTION("""COMPUTED_VALUE"""),41123.7055555555)</f>
        <v>41123.705555555498</v>
      </c>
      <c r="P594" s="111">
        <f ca="1">IFERROR(__xludf.DUMMYFUNCTION("""COMPUTED_VALUE"""),36.75)</f>
        <v>36.75</v>
      </c>
      <c r="Q594" s="112">
        <f ca="1">IFERROR(__xludf.DUMMYFUNCTION("""COMPUTED_VALUE"""),41121.7055555555)</f>
        <v>41121.705555555498</v>
      </c>
      <c r="R594" s="111">
        <f ca="1">IFERROR(__xludf.DUMMYFUNCTION("""COMPUTED_VALUE"""),21.8)</f>
        <v>21.8</v>
      </c>
      <c r="S594" s="112">
        <f ca="1">IFERROR(__xludf.DUMMYFUNCTION("""COMPUTED_VALUE"""),41134.7055555555)</f>
        <v>41134.705555555498</v>
      </c>
      <c r="T594" s="111">
        <f ca="1">IFERROR(__xludf.DUMMYFUNCTION("""COMPUTED_VALUE"""),10.01)</f>
        <v>10.01</v>
      </c>
    </row>
    <row r="595" spans="1:20" x14ac:dyDescent="0.3">
      <c r="A595" s="112">
        <f ca="1">IFERROR(__xludf.DUMMYFUNCTION("""COMPUTED_VALUE"""),41127.7055555555)</f>
        <v>41127.705555555498</v>
      </c>
      <c r="B595" s="111">
        <f ca="1">IFERROR(__xludf.DUMMYFUNCTION("""COMPUTED_VALUE"""),14.5)</f>
        <v>14.5</v>
      </c>
      <c r="C595" s="112">
        <f ca="1">IFERROR(__xludf.DUMMYFUNCTION("""COMPUTED_VALUE"""),41137.7055555555)</f>
        <v>41137.705555555498</v>
      </c>
      <c r="D595" s="111">
        <f ca="1">IFERROR(__xludf.DUMMYFUNCTION("""COMPUTED_VALUE"""),17.28)</f>
        <v>17.28</v>
      </c>
      <c r="E595" s="112">
        <f ca="1">IFERROR(__xludf.DUMMYFUNCTION("""COMPUTED_VALUE"""),41138.7055555555)</f>
        <v>41138.705555555498</v>
      </c>
      <c r="F595" s="111">
        <f ca="1">IFERROR(__xludf.DUMMYFUNCTION("""COMPUTED_VALUE"""),6.66)</f>
        <v>6.66</v>
      </c>
      <c r="G595" s="112">
        <f ca="1">IFERROR(__xludf.DUMMYFUNCTION("""COMPUTED_VALUE"""),41131.7055555555)</f>
        <v>41131.705555555498</v>
      </c>
      <c r="H595" s="111">
        <f ca="1">IFERROR(__xludf.DUMMYFUNCTION("""COMPUTED_VALUE"""),21)</f>
        <v>21</v>
      </c>
      <c r="K595" s="112">
        <f ca="1">IFERROR(__xludf.DUMMYFUNCTION("""COMPUTED_VALUE"""),41584.7055555555)</f>
        <v>41584.705555555498</v>
      </c>
      <c r="L595" s="111">
        <f ca="1">IFERROR(__xludf.DUMMYFUNCTION("""COMPUTED_VALUE"""),0.3)</f>
        <v>0.3</v>
      </c>
      <c r="M595" s="112">
        <f ca="1">IFERROR(__xludf.DUMMYFUNCTION("""COMPUTED_VALUE"""),41051.7055555555)</f>
        <v>41051.705555555498</v>
      </c>
      <c r="N595" s="111">
        <f ca="1">IFERROR(__xludf.DUMMYFUNCTION("""COMPUTED_VALUE"""),11.35)</f>
        <v>11.35</v>
      </c>
      <c r="O595" s="112">
        <f ca="1">IFERROR(__xludf.DUMMYFUNCTION("""COMPUTED_VALUE"""),41124.7055555555)</f>
        <v>41124.705555555498</v>
      </c>
      <c r="P595" s="111">
        <f ca="1">IFERROR(__xludf.DUMMYFUNCTION("""COMPUTED_VALUE"""),37.3)</f>
        <v>37.299999999999997</v>
      </c>
      <c r="Q595" s="112">
        <f ca="1">IFERROR(__xludf.DUMMYFUNCTION("""COMPUTED_VALUE"""),41122.7055555555)</f>
        <v>41122.705555555498</v>
      </c>
      <c r="R595" s="111">
        <f ca="1">IFERROR(__xludf.DUMMYFUNCTION("""COMPUTED_VALUE"""),22.2)</f>
        <v>22.2</v>
      </c>
      <c r="S595" s="112">
        <f ca="1">IFERROR(__xludf.DUMMYFUNCTION("""COMPUTED_VALUE"""),41135.7055555555)</f>
        <v>41135.705555555498</v>
      </c>
      <c r="T595" s="111">
        <f ca="1">IFERROR(__xludf.DUMMYFUNCTION("""COMPUTED_VALUE"""),9.69)</f>
        <v>9.69</v>
      </c>
    </row>
    <row r="596" spans="1:20" x14ac:dyDescent="0.3">
      <c r="A596" s="112">
        <f ca="1">IFERROR(__xludf.DUMMYFUNCTION("""COMPUTED_VALUE"""),41134.7055555555)</f>
        <v>41134.705555555498</v>
      </c>
      <c r="B596" s="111">
        <f ca="1">IFERROR(__xludf.DUMMYFUNCTION("""COMPUTED_VALUE"""),15.04)</f>
        <v>15.04</v>
      </c>
      <c r="C596" s="112">
        <f ca="1">IFERROR(__xludf.DUMMYFUNCTION("""COMPUTED_VALUE"""),41138.7055555555)</f>
        <v>41138.705555555498</v>
      </c>
      <c r="D596" s="111">
        <f ca="1">IFERROR(__xludf.DUMMYFUNCTION("""COMPUTED_VALUE"""),17.36)</f>
        <v>17.36</v>
      </c>
      <c r="E596" s="112">
        <f ca="1">IFERROR(__xludf.DUMMYFUNCTION("""COMPUTED_VALUE"""),41141.7055555555)</f>
        <v>41141.705555555498</v>
      </c>
      <c r="F596" s="111">
        <f ca="1">IFERROR(__xludf.DUMMYFUNCTION("""COMPUTED_VALUE"""),6.63)</f>
        <v>6.63</v>
      </c>
      <c r="G596" s="112">
        <f ca="1">IFERROR(__xludf.DUMMYFUNCTION("""COMPUTED_VALUE"""),41134.7055555555)</f>
        <v>41134.705555555498</v>
      </c>
      <c r="H596" s="111">
        <f ca="1">IFERROR(__xludf.DUMMYFUNCTION("""COMPUTED_VALUE"""),21.03)</f>
        <v>21.03</v>
      </c>
      <c r="K596" s="112">
        <f ca="1">IFERROR(__xludf.DUMMYFUNCTION("""COMPUTED_VALUE"""),41585.7055555555)</f>
        <v>41585.705555555498</v>
      </c>
      <c r="L596" s="111">
        <f ca="1">IFERROR(__xludf.DUMMYFUNCTION("""COMPUTED_VALUE"""),0.31)</f>
        <v>0.31</v>
      </c>
      <c r="M596" s="112">
        <f ca="1">IFERROR(__xludf.DUMMYFUNCTION("""COMPUTED_VALUE"""),41052.7055555555)</f>
        <v>41052.705555555498</v>
      </c>
      <c r="N596" s="111">
        <f ca="1">IFERROR(__xludf.DUMMYFUNCTION("""COMPUTED_VALUE"""),11.22)</f>
        <v>11.22</v>
      </c>
      <c r="O596" s="112">
        <f ca="1">IFERROR(__xludf.DUMMYFUNCTION("""COMPUTED_VALUE"""),41127.7055555555)</f>
        <v>41127.705555555498</v>
      </c>
      <c r="P596" s="111">
        <f ca="1">IFERROR(__xludf.DUMMYFUNCTION("""COMPUTED_VALUE"""),37.7)</f>
        <v>37.700000000000003</v>
      </c>
      <c r="Q596" s="112">
        <f ca="1">IFERROR(__xludf.DUMMYFUNCTION("""COMPUTED_VALUE"""),41123.7055555555)</f>
        <v>41123.705555555498</v>
      </c>
      <c r="R596" s="111">
        <f ca="1">IFERROR(__xludf.DUMMYFUNCTION("""COMPUTED_VALUE"""),22.09)</f>
        <v>22.09</v>
      </c>
      <c r="S596" s="112">
        <f ca="1">IFERROR(__xludf.DUMMYFUNCTION("""COMPUTED_VALUE"""),41136.7055555555)</f>
        <v>41136.705555555498</v>
      </c>
      <c r="T596" s="111">
        <f ca="1">IFERROR(__xludf.DUMMYFUNCTION("""COMPUTED_VALUE"""),9.74)</f>
        <v>9.74</v>
      </c>
    </row>
    <row r="597" spans="1:20" x14ac:dyDescent="0.3">
      <c r="A597" s="112">
        <f ca="1">IFERROR(__xludf.DUMMYFUNCTION("""COMPUTED_VALUE"""),41135.7055555555)</f>
        <v>41135.705555555498</v>
      </c>
      <c r="B597" s="111">
        <f ca="1">IFERROR(__xludf.DUMMYFUNCTION("""COMPUTED_VALUE"""),15.02)</f>
        <v>15.02</v>
      </c>
      <c r="C597" s="112">
        <f ca="1">IFERROR(__xludf.DUMMYFUNCTION("""COMPUTED_VALUE"""),41141.7055555555)</f>
        <v>41141.705555555498</v>
      </c>
      <c r="D597" s="111">
        <f ca="1">IFERROR(__xludf.DUMMYFUNCTION("""COMPUTED_VALUE"""),17.21)</f>
        <v>17.21</v>
      </c>
      <c r="E597" s="112">
        <f ca="1">IFERROR(__xludf.DUMMYFUNCTION("""COMPUTED_VALUE"""),41142.7055555555)</f>
        <v>41142.705555555498</v>
      </c>
      <c r="F597" s="111">
        <f ca="1">IFERROR(__xludf.DUMMYFUNCTION("""COMPUTED_VALUE"""),6.57)</f>
        <v>6.57</v>
      </c>
      <c r="G597" s="112">
        <f ca="1">IFERROR(__xludf.DUMMYFUNCTION("""COMPUTED_VALUE"""),41135.7055555555)</f>
        <v>41135.705555555498</v>
      </c>
      <c r="H597" s="111">
        <f ca="1">IFERROR(__xludf.DUMMYFUNCTION("""COMPUTED_VALUE"""),20.84)</f>
        <v>20.84</v>
      </c>
      <c r="K597" s="112">
        <f ca="1">IFERROR(__xludf.DUMMYFUNCTION("""COMPUTED_VALUE"""),41586.7055555555)</f>
        <v>41586.705555555498</v>
      </c>
      <c r="L597" s="111">
        <f ca="1">IFERROR(__xludf.DUMMYFUNCTION("""COMPUTED_VALUE"""),0.31)</f>
        <v>0.31</v>
      </c>
      <c r="M597" s="112">
        <f ca="1">IFERROR(__xludf.DUMMYFUNCTION("""COMPUTED_VALUE"""),41053.7055555555)</f>
        <v>41053.705555555498</v>
      </c>
      <c r="N597" s="111">
        <f ca="1">IFERROR(__xludf.DUMMYFUNCTION("""COMPUTED_VALUE"""),11.12)</f>
        <v>11.12</v>
      </c>
      <c r="O597" s="112">
        <f ca="1">IFERROR(__xludf.DUMMYFUNCTION("""COMPUTED_VALUE"""),41128.7055555555)</f>
        <v>41128.705555555498</v>
      </c>
      <c r="P597" s="111">
        <f ca="1">IFERROR(__xludf.DUMMYFUNCTION("""COMPUTED_VALUE"""),37.64)</f>
        <v>37.64</v>
      </c>
      <c r="Q597" s="112">
        <f ca="1">IFERROR(__xludf.DUMMYFUNCTION("""COMPUTED_VALUE"""),41124.7055555555)</f>
        <v>41124.705555555498</v>
      </c>
      <c r="R597" s="111">
        <f ca="1">IFERROR(__xludf.DUMMYFUNCTION("""COMPUTED_VALUE"""),23.12)</f>
        <v>23.12</v>
      </c>
      <c r="S597" s="112">
        <f ca="1">IFERROR(__xludf.DUMMYFUNCTION("""COMPUTED_VALUE"""),41137.7055555555)</f>
        <v>41137.705555555498</v>
      </c>
      <c r="T597" s="111">
        <f ca="1">IFERROR(__xludf.DUMMYFUNCTION("""COMPUTED_VALUE"""),10.06)</f>
        <v>10.06</v>
      </c>
    </row>
    <row r="598" spans="1:20" x14ac:dyDescent="0.3">
      <c r="A598" s="112">
        <f ca="1">IFERROR(__xludf.DUMMYFUNCTION("""COMPUTED_VALUE"""),41136.7055555555)</f>
        <v>41136.705555555498</v>
      </c>
      <c r="B598" s="111">
        <f ca="1">IFERROR(__xludf.DUMMYFUNCTION("""COMPUTED_VALUE"""),15.47)</f>
        <v>15.47</v>
      </c>
      <c r="C598" s="112">
        <f ca="1">IFERROR(__xludf.DUMMYFUNCTION("""COMPUTED_VALUE"""),41142.7055555555)</f>
        <v>41142.705555555498</v>
      </c>
      <c r="D598" s="111">
        <f ca="1">IFERROR(__xludf.DUMMYFUNCTION("""COMPUTED_VALUE"""),17.1)</f>
        <v>17.100000000000001</v>
      </c>
      <c r="E598" s="112">
        <f ca="1">IFERROR(__xludf.DUMMYFUNCTION("""COMPUTED_VALUE"""),41143.7055555555)</f>
        <v>41143.705555555498</v>
      </c>
      <c r="F598" s="111">
        <f ca="1">IFERROR(__xludf.DUMMYFUNCTION("""COMPUTED_VALUE"""),6.56)</f>
        <v>6.56</v>
      </c>
      <c r="G598" s="112">
        <f ca="1">IFERROR(__xludf.DUMMYFUNCTION("""COMPUTED_VALUE"""),41136.7055555555)</f>
        <v>41136.705555555498</v>
      </c>
      <c r="H598" s="111">
        <f ca="1">IFERROR(__xludf.DUMMYFUNCTION("""COMPUTED_VALUE"""),21.05)</f>
        <v>21.05</v>
      </c>
      <c r="K598" s="112">
        <f ca="1">IFERROR(__xludf.DUMMYFUNCTION("""COMPUTED_VALUE"""),41589.7055555555)</f>
        <v>41589.705555555498</v>
      </c>
      <c r="L598" s="111">
        <f ca="1">IFERROR(__xludf.DUMMYFUNCTION("""COMPUTED_VALUE"""),0.29)</f>
        <v>0.28999999999999998</v>
      </c>
      <c r="M598" s="112">
        <f ca="1">IFERROR(__xludf.DUMMYFUNCTION("""COMPUTED_VALUE"""),41054.7055555555)</f>
        <v>41054.705555555498</v>
      </c>
      <c r="N598" s="111">
        <f ca="1">IFERROR(__xludf.DUMMYFUNCTION("""COMPUTED_VALUE"""),11.24)</f>
        <v>11.24</v>
      </c>
      <c r="O598" s="112">
        <f ca="1">IFERROR(__xludf.DUMMYFUNCTION("""COMPUTED_VALUE"""),41129.7055555555)</f>
        <v>41129.705555555498</v>
      </c>
      <c r="P598" s="111">
        <f ca="1">IFERROR(__xludf.DUMMYFUNCTION("""COMPUTED_VALUE"""),37.93)</f>
        <v>37.93</v>
      </c>
      <c r="Q598" s="112">
        <f ca="1">IFERROR(__xludf.DUMMYFUNCTION("""COMPUTED_VALUE"""),41127.7055555555)</f>
        <v>41127.705555555498</v>
      </c>
      <c r="R598" s="111">
        <f ca="1">IFERROR(__xludf.DUMMYFUNCTION("""COMPUTED_VALUE"""),23.83)</f>
        <v>23.83</v>
      </c>
      <c r="S598" s="112">
        <f ca="1">IFERROR(__xludf.DUMMYFUNCTION("""COMPUTED_VALUE"""),41138.7055555555)</f>
        <v>41138.705555555498</v>
      </c>
      <c r="T598" s="111">
        <f ca="1">IFERROR(__xludf.DUMMYFUNCTION("""COMPUTED_VALUE"""),9.84)</f>
        <v>9.84</v>
      </c>
    </row>
    <row r="599" spans="1:20" x14ac:dyDescent="0.3">
      <c r="A599" s="112">
        <f ca="1">IFERROR(__xludf.DUMMYFUNCTION("""COMPUTED_VALUE"""),41137.7055555555)</f>
        <v>41137.705555555498</v>
      </c>
      <c r="B599" s="111">
        <f ca="1">IFERROR(__xludf.DUMMYFUNCTION("""COMPUTED_VALUE"""),15.58)</f>
        <v>15.58</v>
      </c>
      <c r="C599" s="112">
        <f ca="1">IFERROR(__xludf.DUMMYFUNCTION("""COMPUTED_VALUE"""),41143.7055555555)</f>
        <v>41143.705555555498</v>
      </c>
      <c r="D599" s="111">
        <f ca="1">IFERROR(__xludf.DUMMYFUNCTION("""COMPUTED_VALUE"""),17.17)</f>
        <v>17.170000000000002</v>
      </c>
      <c r="E599" s="112">
        <f ca="1">IFERROR(__xludf.DUMMYFUNCTION("""COMPUTED_VALUE"""),41144.7055555555)</f>
        <v>41144.705555555498</v>
      </c>
      <c r="F599" s="111">
        <f ca="1">IFERROR(__xludf.DUMMYFUNCTION("""COMPUTED_VALUE"""),6.52)</f>
        <v>6.52</v>
      </c>
      <c r="G599" s="112">
        <f ca="1">IFERROR(__xludf.DUMMYFUNCTION("""COMPUTED_VALUE"""),41137.7055555555)</f>
        <v>41137.705555555498</v>
      </c>
      <c r="H599" s="111">
        <f ca="1">IFERROR(__xludf.DUMMYFUNCTION("""COMPUTED_VALUE"""),21.46)</f>
        <v>21.46</v>
      </c>
      <c r="K599" s="112">
        <f ca="1">IFERROR(__xludf.DUMMYFUNCTION("""COMPUTED_VALUE"""),41590.7055555555)</f>
        <v>41590.705555555498</v>
      </c>
      <c r="L599" s="111">
        <f ca="1">IFERROR(__xludf.DUMMYFUNCTION("""COMPUTED_VALUE"""),0.28)</f>
        <v>0.28000000000000003</v>
      </c>
      <c r="M599" s="112">
        <f ca="1">IFERROR(__xludf.DUMMYFUNCTION("""COMPUTED_VALUE"""),41057.7055555555)</f>
        <v>41057.705555555498</v>
      </c>
      <c r="N599" s="111">
        <f ca="1">IFERROR(__xludf.DUMMYFUNCTION("""COMPUTED_VALUE"""),11.15)</f>
        <v>11.15</v>
      </c>
      <c r="O599" s="112">
        <f ca="1">IFERROR(__xludf.DUMMYFUNCTION("""COMPUTED_VALUE"""),41131.7055555555)</f>
        <v>41131.705555555498</v>
      </c>
      <c r="P599" s="111">
        <f ca="1">IFERROR(__xludf.DUMMYFUNCTION("""COMPUTED_VALUE"""),38.3)</f>
        <v>38.299999999999997</v>
      </c>
      <c r="Q599" s="112">
        <f ca="1">IFERROR(__xludf.DUMMYFUNCTION("""COMPUTED_VALUE"""),41128.7055555555)</f>
        <v>41128.705555555498</v>
      </c>
      <c r="R599" s="111">
        <f ca="1">IFERROR(__xludf.DUMMYFUNCTION("""COMPUTED_VALUE"""),23.55)</f>
        <v>23.55</v>
      </c>
      <c r="S599" s="112">
        <f ca="1">IFERROR(__xludf.DUMMYFUNCTION("""COMPUTED_VALUE"""),41141.7055555555)</f>
        <v>41141.705555555498</v>
      </c>
      <c r="T599" s="111">
        <f ca="1">IFERROR(__xludf.DUMMYFUNCTION("""COMPUTED_VALUE"""),9.88)</f>
        <v>9.8800000000000008</v>
      </c>
    </row>
    <row r="600" spans="1:20" x14ac:dyDescent="0.3">
      <c r="A600" s="112">
        <f ca="1">IFERROR(__xludf.DUMMYFUNCTION("""COMPUTED_VALUE"""),41138.7055555555)</f>
        <v>41138.705555555498</v>
      </c>
      <c r="B600" s="111">
        <f ca="1">IFERROR(__xludf.DUMMYFUNCTION("""COMPUTED_VALUE"""),15.18)</f>
        <v>15.18</v>
      </c>
      <c r="C600" s="112">
        <f ca="1">IFERROR(__xludf.DUMMYFUNCTION("""COMPUTED_VALUE"""),41144.7055555555)</f>
        <v>41144.705555555498</v>
      </c>
      <c r="D600" s="111">
        <f ca="1">IFERROR(__xludf.DUMMYFUNCTION("""COMPUTED_VALUE"""),17.06)</f>
        <v>17.059999999999999</v>
      </c>
      <c r="E600" s="112">
        <f ca="1">IFERROR(__xludf.DUMMYFUNCTION("""COMPUTED_VALUE"""),41145.7055555555)</f>
        <v>41145.705555555498</v>
      </c>
      <c r="F600" s="111">
        <f ca="1">IFERROR(__xludf.DUMMYFUNCTION("""COMPUTED_VALUE"""),6.51)</f>
        <v>6.51</v>
      </c>
      <c r="G600" s="112">
        <f ca="1">IFERROR(__xludf.DUMMYFUNCTION("""COMPUTED_VALUE"""),41138.7055555555)</f>
        <v>41138.705555555498</v>
      </c>
      <c r="H600" s="111">
        <f ca="1">IFERROR(__xludf.DUMMYFUNCTION("""COMPUTED_VALUE"""),21.55)</f>
        <v>21.55</v>
      </c>
      <c r="K600" s="112">
        <f ca="1">IFERROR(__xludf.DUMMYFUNCTION("""COMPUTED_VALUE"""),41591.7055555555)</f>
        <v>41591.705555555498</v>
      </c>
      <c r="L600" s="111">
        <f ca="1">IFERROR(__xludf.DUMMYFUNCTION("""COMPUTED_VALUE"""),0.26)</f>
        <v>0.26</v>
      </c>
      <c r="M600" s="112">
        <f ca="1">IFERROR(__xludf.DUMMYFUNCTION("""COMPUTED_VALUE"""),41058.7055555555)</f>
        <v>41058.705555555498</v>
      </c>
      <c r="N600" s="111">
        <f ca="1">IFERROR(__xludf.DUMMYFUNCTION("""COMPUTED_VALUE"""),11.27)</f>
        <v>11.27</v>
      </c>
      <c r="O600" s="112">
        <f ca="1">IFERROR(__xludf.DUMMYFUNCTION("""COMPUTED_VALUE"""),41134.7055555555)</f>
        <v>41134.705555555498</v>
      </c>
      <c r="P600" s="111">
        <f ca="1">IFERROR(__xludf.DUMMYFUNCTION("""COMPUTED_VALUE"""),38.61)</f>
        <v>38.61</v>
      </c>
      <c r="Q600" s="112">
        <f ca="1">IFERROR(__xludf.DUMMYFUNCTION("""COMPUTED_VALUE"""),41129.7055555555)</f>
        <v>41129.705555555498</v>
      </c>
      <c r="R600" s="111">
        <f ca="1">IFERROR(__xludf.DUMMYFUNCTION("""COMPUTED_VALUE"""),23.88)</f>
        <v>23.88</v>
      </c>
      <c r="S600" s="112">
        <f ca="1">IFERROR(__xludf.DUMMYFUNCTION("""COMPUTED_VALUE"""),41142.7055555555)</f>
        <v>41142.705555555498</v>
      </c>
      <c r="T600" s="111">
        <f ca="1">IFERROR(__xludf.DUMMYFUNCTION("""COMPUTED_VALUE"""),9.93)</f>
        <v>9.93</v>
      </c>
    </row>
    <row r="601" spans="1:20" x14ac:dyDescent="0.3">
      <c r="A601" s="112">
        <f ca="1">IFERROR(__xludf.DUMMYFUNCTION("""COMPUTED_VALUE"""),41141.7055555555)</f>
        <v>41141.705555555498</v>
      </c>
      <c r="B601" s="111">
        <f ca="1">IFERROR(__xludf.DUMMYFUNCTION("""COMPUTED_VALUE"""),15.76)</f>
        <v>15.76</v>
      </c>
      <c r="C601" s="112">
        <f ca="1">IFERROR(__xludf.DUMMYFUNCTION("""COMPUTED_VALUE"""),41145.7055555555)</f>
        <v>41145.705555555498</v>
      </c>
      <c r="D601" s="111">
        <f ca="1">IFERROR(__xludf.DUMMYFUNCTION("""COMPUTED_VALUE"""),17.03)</f>
        <v>17.03</v>
      </c>
      <c r="E601" s="112">
        <f ca="1">IFERROR(__xludf.DUMMYFUNCTION("""COMPUTED_VALUE"""),41148.7055555555)</f>
        <v>41148.705555555498</v>
      </c>
      <c r="F601" s="111">
        <f ca="1">IFERROR(__xludf.DUMMYFUNCTION("""COMPUTED_VALUE"""),6.42)</f>
        <v>6.42</v>
      </c>
      <c r="G601" s="112">
        <f ca="1">IFERROR(__xludf.DUMMYFUNCTION("""COMPUTED_VALUE"""),41141.7055555555)</f>
        <v>41141.705555555498</v>
      </c>
      <c r="H601" s="111">
        <f ca="1">IFERROR(__xludf.DUMMYFUNCTION("""COMPUTED_VALUE"""),21.58)</f>
        <v>21.58</v>
      </c>
      <c r="K601" s="112">
        <f ca="1">IFERROR(__xludf.DUMMYFUNCTION("""COMPUTED_VALUE"""),41592.7055555555)</f>
        <v>41592.705555555498</v>
      </c>
      <c r="L601" s="111">
        <f ca="1">IFERROR(__xludf.DUMMYFUNCTION("""COMPUTED_VALUE"""),0.28)</f>
        <v>0.28000000000000003</v>
      </c>
      <c r="M601" s="112">
        <f ca="1">IFERROR(__xludf.DUMMYFUNCTION("""COMPUTED_VALUE"""),41059.7055555555)</f>
        <v>41059.705555555498</v>
      </c>
      <c r="N601" s="111">
        <f ca="1">IFERROR(__xludf.DUMMYFUNCTION("""COMPUTED_VALUE"""),11.38)</f>
        <v>11.38</v>
      </c>
      <c r="O601" s="112">
        <f ca="1">IFERROR(__xludf.DUMMYFUNCTION("""COMPUTED_VALUE"""),41135.7055555555)</f>
        <v>41135.705555555498</v>
      </c>
      <c r="P601" s="111">
        <f ca="1">IFERROR(__xludf.DUMMYFUNCTION("""COMPUTED_VALUE"""),37.05)</f>
        <v>37.049999999999997</v>
      </c>
      <c r="Q601" s="112">
        <f ca="1">IFERROR(__xludf.DUMMYFUNCTION("""COMPUTED_VALUE"""),41131.7055555555)</f>
        <v>41131.705555555498</v>
      </c>
      <c r="R601" s="111">
        <f ca="1">IFERROR(__xludf.DUMMYFUNCTION("""COMPUTED_VALUE"""),23.39)</f>
        <v>23.39</v>
      </c>
      <c r="S601" s="112">
        <f ca="1">IFERROR(__xludf.DUMMYFUNCTION("""COMPUTED_VALUE"""),41143.7055555555)</f>
        <v>41143.705555555498</v>
      </c>
      <c r="T601" s="111">
        <f ca="1">IFERROR(__xludf.DUMMYFUNCTION("""COMPUTED_VALUE"""),10.17)</f>
        <v>10.17</v>
      </c>
    </row>
    <row r="602" spans="1:20" x14ac:dyDescent="0.3">
      <c r="A602" s="112">
        <f ca="1">IFERROR(__xludf.DUMMYFUNCTION("""COMPUTED_VALUE"""),41142.7055555555)</f>
        <v>41142.705555555498</v>
      </c>
      <c r="B602" s="111">
        <f ca="1">IFERROR(__xludf.DUMMYFUNCTION("""COMPUTED_VALUE"""),15.35)</f>
        <v>15.35</v>
      </c>
      <c r="C602" s="112">
        <f ca="1">IFERROR(__xludf.DUMMYFUNCTION("""COMPUTED_VALUE"""),41148.7055555555)</f>
        <v>41148.705555555498</v>
      </c>
      <c r="D602" s="111">
        <f ca="1">IFERROR(__xludf.DUMMYFUNCTION("""COMPUTED_VALUE"""),16.78)</f>
        <v>16.78</v>
      </c>
      <c r="E602" s="112">
        <f ca="1">IFERROR(__xludf.DUMMYFUNCTION("""COMPUTED_VALUE"""),41149.7055555555)</f>
        <v>41149.705555555498</v>
      </c>
      <c r="F602" s="111">
        <f ca="1">IFERROR(__xludf.DUMMYFUNCTION("""COMPUTED_VALUE"""),6.41)</f>
        <v>6.41</v>
      </c>
      <c r="G602" s="112">
        <f ca="1">IFERROR(__xludf.DUMMYFUNCTION("""COMPUTED_VALUE"""),41142.7055555555)</f>
        <v>41142.705555555498</v>
      </c>
      <c r="H602" s="111">
        <f ca="1">IFERROR(__xludf.DUMMYFUNCTION("""COMPUTED_VALUE"""),21.24)</f>
        <v>21.24</v>
      </c>
      <c r="K602" s="112">
        <f ca="1">IFERROR(__xludf.DUMMYFUNCTION("""COMPUTED_VALUE"""),41596.7055555555)</f>
        <v>41596.705555555498</v>
      </c>
      <c r="L602" s="111">
        <f ca="1">IFERROR(__xludf.DUMMYFUNCTION("""COMPUTED_VALUE"""),0.29)</f>
        <v>0.28999999999999998</v>
      </c>
      <c r="M602" s="112">
        <f ca="1">IFERROR(__xludf.DUMMYFUNCTION("""COMPUTED_VALUE"""),41060.7055555555)</f>
        <v>41060.705555555498</v>
      </c>
      <c r="N602" s="111">
        <f ca="1">IFERROR(__xludf.DUMMYFUNCTION("""COMPUTED_VALUE"""),11.6)</f>
        <v>11.6</v>
      </c>
      <c r="O602" s="112">
        <f ca="1">IFERROR(__xludf.DUMMYFUNCTION("""COMPUTED_VALUE"""),41136.7055555555)</f>
        <v>41136.705555555498</v>
      </c>
      <c r="P602" s="111">
        <f ca="1">IFERROR(__xludf.DUMMYFUNCTION("""COMPUTED_VALUE"""),36.3)</f>
        <v>36.299999999999997</v>
      </c>
      <c r="Q602" s="112">
        <f ca="1">IFERROR(__xludf.DUMMYFUNCTION("""COMPUTED_VALUE"""),41134.7055555555)</f>
        <v>41134.705555555498</v>
      </c>
      <c r="R602" s="111">
        <f ca="1">IFERROR(__xludf.DUMMYFUNCTION("""COMPUTED_VALUE"""),23.43)</f>
        <v>23.43</v>
      </c>
      <c r="S602" s="112">
        <f ca="1">IFERROR(__xludf.DUMMYFUNCTION("""COMPUTED_VALUE"""),41144.7055555555)</f>
        <v>41144.705555555498</v>
      </c>
      <c r="T602" s="111">
        <f ca="1">IFERROR(__xludf.DUMMYFUNCTION("""COMPUTED_VALUE"""),9.95)</f>
        <v>9.9499999999999993</v>
      </c>
    </row>
    <row r="603" spans="1:20" x14ac:dyDescent="0.3">
      <c r="A603" s="112">
        <f ca="1">IFERROR(__xludf.DUMMYFUNCTION("""COMPUTED_VALUE"""),41143.7055555555)</f>
        <v>41143.705555555498</v>
      </c>
      <c r="B603" s="111">
        <f ca="1">IFERROR(__xludf.DUMMYFUNCTION("""COMPUTED_VALUE"""),15.5)</f>
        <v>15.5</v>
      </c>
      <c r="C603" s="112">
        <f ca="1">IFERROR(__xludf.DUMMYFUNCTION("""COMPUTED_VALUE"""),41149.7055555555)</f>
        <v>41149.705555555498</v>
      </c>
      <c r="D603" s="111">
        <f ca="1">IFERROR(__xludf.DUMMYFUNCTION("""COMPUTED_VALUE"""),16.78)</f>
        <v>16.78</v>
      </c>
      <c r="E603" s="112">
        <f ca="1">IFERROR(__xludf.DUMMYFUNCTION("""COMPUTED_VALUE"""),41150.7055555555)</f>
        <v>41150.705555555498</v>
      </c>
      <c r="F603" s="111">
        <f ca="1">IFERROR(__xludf.DUMMYFUNCTION("""COMPUTED_VALUE"""),6.26)</f>
        <v>6.26</v>
      </c>
      <c r="G603" s="112">
        <f ca="1">IFERROR(__xludf.DUMMYFUNCTION("""COMPUTED_VALUE"""),41143.7055555555)</f>
        <v>41143.705555555498</v>
      </c>
      <c r="H603" s="111">
        <f ca="1">IFERROR(__xludf.DUMMYFUNCTION("""COMPUTED_VALUE"""),21.49)</f>
        <v>21.49</v>
      </c>
      <c r="K603" s="112">
        <f ca="1">IFERROR(__xludf.DUMMYFUNCTION("""COMPUTED_VALUE"""),41597.7055555555)</f>
        <v>41597.705555555498</v>
      </c>
      <c r="L603" s="111">
        <f ca="1">IFERROR(__xludf.DUMMYFUNCTION("""COMPUTED_VALUE"""),0.28)</f>
        <v>0.28000000000000003</v>
      </c>
      <c r="M603" s="112">
        <f ca="1">IFERROR(__xludf.DUMMYFUNCTION("""COMPUTED_VALUE"""),41061.7055555555)</f>
        <v>41061.705555555498</v>
      </c>
      <c r="N603" s="111">
        <f ca="1">IFERROR(__xludf.DUMMYFUNCTION("""COMPUTED_VALUE"""),11.55)</f>
        <v>11.55</v>
      </c>
      <c r="O603" s="112">
        <f ca="1">IFERROR(__xludf.DUMMYFUNCTION("""COMPUTED_VALUE"""),41137.7055555555)</f>
        <v>41137.705555555498</v>
      </c>
      <c r="P603" s="111">
        <f ca="1">IFERROR(__xludf.DUMMYFUNCTION("""COMPUTED_VALUE"""),36.8)</f>
        <v>36.799999999999997</v>
      </c>
      <c r="Q603" s="112">
        <f ca="1">IFERROR(__xludf.DUMMYFUNCTION("""COMPUTED_VALUE"""),41135.7055555555)</f>
        <v>41135.705555555498</v>
      </c>
      <c r="R603" s="111">
        <f ca="1">IFERROR(__xludf.DUMMYFUNCTION("""COMPUTED_VALUE"""),22.47)</f>
        <v>22.47</v>
      </c>
      <c r="S603" s="112">
        <f ca="1">IFERROR(__xludf.DUMMYFUNCTION("""COMPUTED_VALUE"""),41145.7055555555)</f>
        <v>41145.705555555498</v>
      </c>
      <c r="T603" s="111">
        <f ca="1">IFERROR(__xludf.DUMMYFUNCTION("""COMPUTED_VALUE"""),9.77)</f>
        <v>9.77</v>
      </c>
    </row>
    <row r="604" spans="1:20" x14ac:dyDescent="0.3">
      <c r="A604" s="112">
        <f ca="1">IFERROR(__xludf.DUMMYFUNCTION("""COMPUTED_VALUE"""),41144.7055555555)</f>
        <v>41144.705555555498</v>
      </c>
      <c r="B604" s="111">
        <f ca="1">IFERROR(__xludf.DUMMYFUNCTION("""COMPUTED_VALUE"""),15.06)</f>
        <v>15.06</v>
      </c>
      <c r="C604" s="112">
        <f ca="1">IFERROR(__xludf.DUMMYFUNCTION("""COMPUTED_VALUE"""),41150.7055555555)</f>
        <v>41150.705555555498</v>
      </c>
      <c r="D604" s="111">
        <f ca="1">IFERROR(__xludf.DUMMYFUNCTION("""COMPUTED_VALUE"""),16.37)</f>
        <v>16.37</v>
      </c>
      <c r="E604" s="112">
        <f ca="1">IFERROR(__xludf.DUMMYFUNCTION("""COMPUTED_VALUE"""),41151.7055555555)</f>
        <v>41151.705555555498</v>
      </c>
      <c r="F604" s="111">
        <f ca="1">IFERROR(__xludf.DUMMYFUNCTION("""COMPUTED_VALUE"""),6.23)</f>
        <v>6.23</v>
      </c>
      <c r="G604" s="112">
        <f ca="1">IFERROR(__xludf.DUMMYFUNCTION("""COMPUTED_VALUE"""),41144.7055555555)</f>
        <v>41144.705555555498</v>
      </c>
      <c r="H604" s="111">
        <f ca="1">IFERROR(__xludf.DUMMYFUNCTION("""COMPUTED_VALUE"""),21.21)</f>
        <v>21.21</v>
      </c>
      <c r="K604" s="112">
        <f ca="1">IFERROR(__xludf.DUMMYFUNCTION("""COMPUTED_VALUE"""),41599.7055555555)</f>
        <v>41599.705555555498</v>
      </c>
      <c r="L604" s="111">
        <f ca="1">IFERROR(__xludf.DUMMYFUNCTION("""COMPUTED_VALUE"""),0.28)</f>
        <v>0.28000000000000003</v>
      </c>
      <c r="M604" s="112">
        <f ca="1">IFERROR(__xludf.DUMMYFUNCTION("""COMPUTED_VALUE"""),41064.7055555555)</f>
        <v>41064.705555555498</v>
      </c>
      <c r="N604" s="111">
        <f ca="1">IFERROR(__xludf.DUMMYFUNCTION("""COMPUTED_VALUE"""),11.45)</f>
        <v>11.45</v>
      </c>
      <c r="O604" s="112">
        <f ca="1">IFERROR(__xludf.DUMMYFUNCTION("""COMPUTED_VALUE"""),41138.7055555555)</f>
        <v>41138.705555555498</v>
      </c>
      <c r="P604" s="111">
        <f ca="1">IFERROR(__xludf.DUMMYFUNCTION("""COMPUTED_VALUE"""),35.65)</f>
        <v>35.65</v>
      </c>
      <c r="Q604" s="112">
        <f ca="1">IFERROR(__xludf.DUMMYFUNCTION("""COMPUTED_VALUE"""),41136.7055555555)</f>
        <v>41136.705555555498</v>
      </c>
      <c r="R604" s="111">
        <f ca="1">IFERROR(__xludf.DUMMYFUNCTION("""COMPUTED_VALUE"""),23.15)</f>
        <v>23.15</v>
      </c>
      <c r="S604" s="112">
        <f ca="1">IFERROR(__xludf.DUMMYFUNCTION("""COMPUTED_VALUE"""),41148.7055555555)</f>
        <v>41148.705555555498</v>
      </c>
      <c r="T604" s="111">
        <f ca="1">IFERROR(__xludf.DUMMYFUNCTION("""COMPUTED_VALUE"""),9.87)</f>
        <v>9.8699999999999992</v>
      </c>
    </row>
    <row r="605" spans="1:20" x14ac:dyDescent="0.3">
      <c r="A605" s="112">
        <f ca="1">IFERROR(__xludf.DUMMYFUNCTION("""COMPUTED_VALUE"""),41145.7055555555)</f>
        <v>41145.705555555498</v>
      </c>
      <c r="B605" s="111">
        <f ca="1">IFERROR(__xludf.DUMMYFUNCTION("""COMPUTED_VALUE"""),14.93)</f>
        <v>14.93</v>
      </c>
      <c r="C605" s="112">
        <f ca="1">IFERROR(__xludf.DUMMYFUNCTION("""COMPUTED_VALUE"""),41151.7055555555)</f>
        <v>41151.705555555498</v>
      </c>
      <c r="D605" s="111">
        <f ca="1">IFERROR(__xludf.DUMMYFUNCTION("""COMPUTED_VALUE"""),16.28)</f>
        <v>16.28</v>
      </c>
      <c r="E605" s="112">
        <f ca="1">IFERROR(__xludf.DUMMYFUNCTION("""COMPUTED_VALUE"""),41152.7055555555)</f>
        <v>41152.705555555498</v>
      </c>
      <c r="F605" s="111">
        <f ca="1">IFERROR(__xludf.DUMMYFUNCTION("""COMPUTED_VALUE"""),6.08)</f>
        <v>6.08</v>
      </c>
      <c r="G605" s="112">
        <f ca="1">IFERROR(__xludf.DUMMYFUNCTION("""COMPUTED_VALUE"""),41145.7055555555)</f>
        <v>41145.705555555498</v>
      </c>
      <c r="H605" s="111">
        <f ca="1">IFERROR(__xludf.DUMMYFUNCTION("""COMPUTED_VALUE"""),21.23)</f>
        <v>21.23</v>
      </c>
      <c r="K605" s="112">
        <f ca="1">IFERROR(__xludf.DUMMYFUNCTION("""COMPUTED_VALUE"""),41600.7055555555)</f>
        <v>41600.705555555498</v>
      </c>
      <c r="L605" s="111">
        <f ca="1">IFERROR(__xludf.DUMMYFUNCTION("""COMPUTED_VALUE"""),0.28)</f>
        <v>0.28000000000000003</v>
      </c>
      <c r="M605" s="112">
        <f ca="1">IFERROR(__xludf.DUMMYFUNCTION("""COMPUTED_VALUE"""),41065.7055555555)</f>
        <v>41065.705555555498</v>
      </c>
      <c r="N605" s="111">
        <f ca="1">IFERROR(__xludf.DUMMYFUNCTION("""COMPUTED_VALUE"""),11.23)</f>
        <v>11.23</v>
      </c>
      <c r="O605" s="112">
        <f ca="1">IFERROR(__xludf.DUMMYFUNCTION("""COMPUTED_VALUE"""),41141.7055555555)</f>
        <v>41141.705555555498</v>
      </c>
      <c r="P605" s="111">
        <f ca="1">IFERROR(__xludf.DUMMYFUNCTION("""COMPUTED_VALUE"""),36.36)</f>
        <v>36.36</v>
      </c>
      <c r="Q605" s="112">
        <f ca="1">IFERROR(__xludf.DUMMYFUNCTION("""COMPUTED_VALUE"""),41137.7055555555)</f>
        <v>41137.705555555498</v>
      </c>
      <c r="R605" s="111">
        <f ca="1">IFERROR(__xludf.DUMMYFUNCTION("""COMPUTED_VALUE"""),23.55)</f>
        <v>23.55</v>
      </c>
      <c r="S605" s="112">
        <f ca="1">IFERROR(__xludf.DUMMYFUNCTION("""COMPUTED_VALUE"""),41149.7055555555)</f>
        <v>41149.705555555498</v>
      </c>
      <c r="T605" s="111">
        <f ca="1">IFERROR(__xludf.DUMMYFUNCTION("""COMPUTED_VALUE"""),10.07)</f>
        <v>10.07</v>
      </c>
    </row>
    <row r="606" spans="1:20" x14ac:dyDescent="0.3">
      <c r="A606" s="112">
        <f ca="1">IFERROR(__xludf.DUMMYFUNCTION("""COMPUTED_VALUE"""),41148.7055555555)</f>
        <v>41148.705555555498</v>
      </c>
      <c r="B606" s="111">
        <f ca="1">IFERROR(__xludf.DUMMYFUNCTION("""COMPUTED_VALUE"""),14.89)</f>
        <v>14.89</v>
      </c>
      <c r="C606" s="112">
        <f ca="1">IFERROR(__xludf.DUMMYFUNCTION("""COMPUTED_VALUE"""),41152.7055555555)</f>
        <v>41152.705555555498</v>
      </c>
      <c r="D606" s="111">
        <f ca="1">IFERROR(__xludf.DUMMYFUNCTION("""COMPUTED_VALUE"""),15.85)</f>
        <v>15.85</v>
      </c>
      <c r="E606" s="112">
        <f ca="1">IFERROR(__xludf.DUMMYFUNCTION("""COMPUTED_VALUE"""),41155.7055555555)</f>
        <v>41155.705555555498</v>
      </c>
      <c r="F606" s="111">
        <f ca="1">IFERROR(__xludf.DUMMYFUNCTION("""COMPUTED_VALUE"""),6.13)</f>
        <v>6.13</v>
      </c>
      <c r="G606" s="112">
        <f ca="1">IFERROR(__xludf.DUMMYFUNCTION("""COMPUTED_VALUE"""),41148.7055555555)</f>
        <v>41148.705555555498</v>
      </c>
      <c r="H606" s="111">
        <f ca="1">IFERROR(__xludf.DUMMYFUNCTION("""COMPUTED_VALUE"""),21.37)</f>
        <v>21.37</v>
      </c>
      <c r="K606" s="112">
        <f ca="1">IFERROR(__xludf.DUMMYFUNCTION("""COMPUTED_VALUE"""),41603.7055555555)</f>
        <v>41603.705555555498</v>
      </c>
      <c r="L606" s="111">
        <f ca="1">IFERROR(__xludf.DUMMYFUNCTION("""COMPUTED_VALUE"""),0.27)</f>
        <v>0.27</v>
      </c>
      <c r="M606" s="112">
        <f ca="1">IFERROR(__xludf.DUMMYFUNCTION("""COMPUTED_VALUE"""),41066.7055555555)</f>
        <v>41066.705555555498</v>
      </c>
      <c r="N606" s="111">
        <f ca="1">IFERROR(__xludf.DUMMYFUNCTION("""COMPUTED_VALUE"""),11.68)</f>
        <v>11.68</v>
      </c>
      <c r="O606" s="112">
        <f ca="1">IFERROR(__xludf.DUMMYFUNCTION("""COMPUTED_VALUE"""),41142.7055555555)</f>
        <v>41142.705555555498</v>
      </c>
      <c r="P606" s="111">
        <f ca="1">IFERROR(__xludf.DUMMYFUNCTION("""COMPUTED_VALUE"""),36.09)</f>
        <v>36.090000000000003</v>
      </c>
      <c r="Q606" s="112">
        <f ca="1">IFERROR(__xludf.DUMMYFUNCTION("""COMPUTED_VALUE"""),41138.7055555555)</f>
        <v>41138.705555555498</v>
      </c>
      <c r="R606" s="111">
        <f ca="1">IFERROR(__xludf.DUMMYFUNCTION("""COMPUTED_VALUE"""),23.61)</f>
        <v>23.61</v>
      </c>
      <c r="S606" s="112">
        <f ca="1">IFERROR(__xludf.DUMMYFUNCTION("""COMPUTED_VALUE"""),41150.7055555555)</f>
        <v>41150.705555555498</v>
      </c>
      <c r="T606" s="111">
        <f ca="1">IFERROR(__xludf.DUMMYFUNCTION("""COMPUTED_VALUE"""),10.16)</f>
        <v>10.16</v>
      </c>
    </row>
    <row r="607" spans="1:20" x14ac:dyDescent="0.3">
      <c r="A607" s="112">
        <f ca="1">IFERROR(__xludf.DUMMYFUNCTION("""COMPUTED_VALUE"""),41149.7055555555)</f>
        <v>41149.705555555498</v>
      </c>
      <c r="B607" s="111">
        <f ca="1">IFERROR(__xludf.DUMMYFUNCTION("""COMPUTED_VALUE"""),15.1)</f>
        <v>15.1</v>
      </c>
      <c r="C607" s="112">
        <f ca="1">IFERROR(__xludf.DUMMYFUNCTION("""COMPUTED_VALUE"""),41155.7055555555)</f>
        <v>41155.705555555498</v>
      </c>
      <c r="D607" s="111">
        <f ca="1">IFERROR(__xludf.DUMMYFUNCTION("""COMPUTED_VALUE"""),16)</f>
        <v>16</v>
      </c>
      <c r="E607" s="112">
        <f ca="1">IFERROR(__xludf.DUMMYFUNCTION("""COMPUTED_VALUE"""),41157.7055555555)</f>
        <v>41157.705555555498</v>
      </c>
      <c r="F607" s="111">
        <f ca="1">IFERROR(__xludf.DUMMYFUNCTION("""COMPUTED_VALUE"""),6.06)</f>
        <v>6.06</v>
      </c>
      <c r="G607" s="112">
        <f ca="1">IFERROR(__xludf.DUMMYFUNCTION("""COMPUTED_VALUE"""),41149.7055555555)</f>
        <v>41149.705555555498</v>
      </c>
      <c r="H607" s="111">
        <f ca="1">IFERROR(__xludf.DUMMYFUNCTION("""COMPUTED_VALUE"""),21.42)</f>
        <v>21.42</v>
      </c>
      <c r="K607" s="112">
        <f ca="1">IFERROR(__xludf.DUMMYFUNCTION("""COMPUTED_VALUE"""),41604.7055555555)</f>
        <v>41604.705555555498</v>
      </c>
      <c r="L607" s="111">
        <f ca="1">IFERROR(__xludf.DUMMYFUNCTION("""COMPUTED_VALUE"""),0.27)</f>
        <v>0.27</v>
      </c>
      <c r="M607" s="112">
        <f ca="1">IFERROR(__xludf.DUMMYFUNCTION("""COMPUTED_VALUE"""),41068.7055555555)</f>
        <v>41068.705555555498</v>
      </c>
      <c r="N607" s="111">
        <f ca="1">IFERROR(__xludf.DUMMYFUNCTION("""COMPUTED_VALUE"""),11.71)</f>
        <v>11.71</v>
      </c>
      <c r="O607" s="112">
        <f ca="1">IFERROR(__xludf.DUMMYFUNCTION("""COMPUTED_VALUE"""),41143.7055555555)</f>
        <v>41143.705555555498</v>
      </c>
      <c r="P607" s="111">
        <f ca="1">IFERROR(__xludf.DUMMYFUNCTION("""COMPUTED_VALUE"""),36.1)</f>
        <v>36.1</v>
      </c>
      <c r="Q607" s="112">
        <f ca="1">IFERROR(__xludf.DUMMYFUNCTION("""COMPUTED_VALUE"""),41141.7055555555)</f>
        <v>41141.705555555498</v>
      </c>
      <c r="R607" s="111">
        <f ca="1">IFERROR(__xludf.DUMMYFUNCTION("""COMPUTED_VALUE"""),23.37)</f>
        <v>23.37</v>
      </c>
      <c r="S607" s="112">
        <f ca="1">IFERROR(__xludf.DUMMYFUNCTION("""COMPUTED_VALUE"""),41151.7055555555)</f>
        <v>41151.705555555498</v>
      </c>
      <c r="T607" s="111">
        <f ca="1">IFERROR(__xludf.DUMMYFUNCTION("""COMPUTED_VALUE"""),10.07)</f>
        <v>10.07</v>
      </c>
    </row>
    <row r="608" spans="1:20" x14ac:dyDescent="0.3">
      <c r="A608" s="112">
        <f ca="1">IFERROR(__xludf.DUMMYFUNCTION("""COMPUTED_VALUE"""),41150.7055555555)</f>
        <v>41150.705555555498</v>
      </c>
      <c r="B608" s="111">
        <f ca="1">IFERROR(__xludf.DUMMYFUNCTION("""COMPUTED_VALUE"""),14.74)</f>
        <v>14.74</v>
      </c>
      <c r="C608" s="112">
        <f ca="1">IFERROR(__xludf.DUMMYFUNCTION("""COMPUTED_VALUE"""),41157.7055555555)</f>
        <v>41157.705555555498</v>
      </c>
      <c r="D608" s="111">
        <f ca="1">IFERROR(__xludf.DUMMYFUNCTION("""COMPUTED_VALUE"""),15.78)</f>
        <v>15.78</v>
      </c>
      <c r="E608" s="112">
        <f ca="1">IFERROR(__xludf.DUMMYFUNCTION("""COMPUTED_VALUE"""),41158.7055555555)</f>
        <v>41158.705555555498</v>
      </c>
      <c r="F608" s="111">
        <f ca="1">IFERROR(__xludf.DUMMYFUNCTION("""COMPUTED_VALUE"""),6.24)</f>
        <v>6.24</v>
      </c>
      <c r="G608" s="112">
        <f ca="1">IFERROR(__xludf.DUMMYFUNCTION("""COMPUTED_VALUE"""),41150.7055555555)</f>
        <v>41150.705555555498</v>
      </c>
      <c r="H608" s="111">
        <f ca="1">IFERROR(__xludf.DUMMYFUNCTION("""COMPUTED_VALUE"""),21.21)</f>
        <v>21.21</v>
      </c>
      <c r="K608" s="112">
        <f ca="1">IFERROR(__xludf.DUMMYFUNCTION("""COMPUTED_VALUE"""),41605.7055555555)</f>
        <v>41605.705555555498</v>
      </c>
      <c r="L608" s="111">
        <f ca="1">IFERROR(__xludf.DUMMYFUNCTION("""COMPUTED_VALUE"""),0.26)</f>
        <v>0.26</v>
      </c>
      <c r="M608" s="112">
        <f ca="1">IFERROR(__xludf.DUMMYFUNCTION("""COMPUTED_VALUE"""),41071.7055555555)</f>
        <v>41071.705555555498</v>
      </c>
      <c r="N608" s="111">
        <f ca="1">IFERROR(__xludf.DUMMYFUNCTION("""COMPUTED_VALUE"""),11.84)</f>
        <v>11.84</v>
      </c>
      <c r="O608" s="112">
        <f ca="1">IFERROR(__xludf.DUMMYFUNCTION("""COMPUTED_VALUE"""),41144.7055555555)</f>
        <v>41144.705555555498</v>
      </c>
      <c r="P608" s="111">
        <f ca="1">IFERROR(__xludf.DUMMYFUNCTION("""COMPUTED_VALUE"""),34.8)</f>
        <v>34.799999999999997</v>
      </c>
      <c r="Q608" s="112">
        <f ca="1">IFERROR(__xludf.DUMMYFUNCTION("""COMPUTED_VALUE"""),41142.7055555555)</f>
        <v>41142.705555555498</v>
      </c>
      <c r="R608" s="111">
        <f ca="1">IFERROR(__xludf.DUMMYFUNCTION("""COMPUTED_VALUE"""),23.17)</f>
        <v>23.17</v>
      </c>
      <c r="S608" s="112">
        <f ca="1">IFERROR(__xludf.DUMMYFUNCTION("""COMPUTED_VALUE"""),41152.7055555555)</f>
        <v>41152.705555555498</v>
      </c>
      <c r="T608" s="111">
        <f ca="1">IFERROR(__xludf.DUMMYFUNCTION("""COMPUTED_VALUE"""),10)</f>
        <v>10</v>
      </c>
    </row>
    <row r="609" spans="1:20" x14ac:dyDescent="0.3">
      <c r="A609" s="112">
        <f ca="1">IFERROR(__xludf.DUMMYFUNCTION("""COMPUTED_VALUE"""),41151.7055555555)</f>
        <v>41151.705555555498</v>
      </c>
      <c r="B609" s="111">
        <f ca="1">IFERROR(__xludf.DUMMYFUNCTION("""COMPUTED_VALUE"""),14.02)</f>
        <v>14.02</v>
      </c>
      <c r="C609" s="112">
        <f ca="1">IFERROR(__xludf.DUMMYFUNCTION("""COMPUTED_VALUE"""),41158.7055555555)</f>
        <v>41158.705555555498</v>
      </c>
      <c r="D609" s="111">
        <f ca="1">IFERROR(__xludf.DUMMYFUNCTION("""COMPUTED_VALUE"""),16.23)</f>
        <v>16.23</v>
      </c>
      <c r="E609" s="112">
        <f ca="1">IFERROR(__xludf.DUMMYFUNCTION("""COMPUTED_VALUE"""),41162.7055555555)</f>
        <v>41162.705555555498</v>
      </c>
      <c r="F609" s="111">
        <f ca="1">IFERROR(__xludf.DUMMYFUNCTION("""COMPUTED_VALUE"""),6.26)</f>
        <v>6.26</v>
      </c>
      <c r="G609" s="112">
        <f ca="1">IFERROR(__xludf.DUMMYFUNCTION("""COMPUTED_VALUE"""),41151.7055555555)</f>
        <v>41151.705555555498</v>
      </c>
      <c r="H609" s="111">
        <f ca="1">IFERROR(__xludf.DUMMYFUNCTION("""COMPUTED_VALUE"""),21.04)</f>
        <v>21.04</v>
      </c>
      <c r="K609" s="112">
        <f ca="1">IFERROR(__xludf.DUMMYFUNCTION("""COMPUTED_VALUE"""),41606.7055555555)</f>
        <v>41606.705555555498</v>
      </c>
      <c r="L609" s="111">
        <f ca="1">IFERROR(__xludf.DUMMYFUNCTION("""COMPUTED_VALUE"""),0.27)</f>
        <v>0.27</v>
      </c>
      <c r="M609" s="112">
        <f ca="1">IFERROR(__xludf.DUMMYFUNCTION("""COMPUTED_VALUE"""),41072.7055555555)</f>
        <v>41072.705555555498</v>
      </c>
      <c r="N609" s="111">
        <f ca="1">IFERROR(__xludf.DUMMYFUNCTION("""COMPUTED_VALUE"""),12.04)</f>
        <v>12.04</v>
      </c>
      <c r="O609" s="112">
        <f ca="1">IFERROR(__xludf.DUMMYFUNCTION("""COMPUTED_VALUE"""),41145.7055555555)</f>
        <v>41145.705555555498</v>
      </c>
      <c r="P609" s="111">
        <f ca="1">IFERROR(__xludf.DUMMYFUNCTION("""COMPUTED_VALUE"""),34.53)</f>
        <v>34.53</v>
      </c>
      <c r="Q609" s="112">
        <f ca="1">IFERROR(__xludf.DUMMYFUNCTION("""COMPUTED_VALUE"""),41143.7055555555)</f>
        <v>41143.705555555498</v>
      </c>
      <c r="R609" s="111">
        <f ca="1">IFERROR(__xludf.DUMMYFUNCTION("""COMPUTED_VALUE"""),23.45)</f>
        <v>23.45</v>
      </c>
      <c r="S609" s="112">
        <f ca="1">IFERROR(__xludf.DUMMYFUNCTION("""COMPUTED_VALUE"""),41155.7055555555)</f>
        <v>41155.705555555498</v>
      </c>
      <c r="T609" s="111">
        <f ca="1">IFERROR(__xludf.DUMMYFUNCTION("""COMPUTED_VALUE"""),10.04)</f>
        <v>10.039999999999999</v>
      </c>
    </row>
    <row r="610" spans="1:20" x14ac:dyDescent="0.3">
      <c r="A610" s="112">
        <f ca="1">IFERROR(__xludf.DUMMYFUNCTION("""COMPUTED_VALUE"""),41152.7055555555)</f>
        <v>41152.705555555498</v>
      </c>
      <c r="B610" s="111">
        <f ca="1">IFERROR(__xludf.DUMMYFUNCTION("""COMPUTED_VALUE"""),13)</f>
        <v>13</v>
      </c>
      <c r="C610" s="112">
        <f ca="1">IFERROR(__xludf.DUMMYFUNCTION("""COMPUTED_VALUE"""),41162.7055555555)</f>
        <v>41162.705555555498</v>
      </c>
      <c r="D610" s="111">
        <f ca="1">IFERROR(__xludf.DUMMYFUNCTION("""COMPUTED_VALUE"""),16.32)</f>
        <v>16.32</v>
      </c>
      <c r="E610" s="112">
        <f ca="1">IFERROR(__xludf.DUMMYFUNCTION("""COMPUTED_VALUE"""),41163.7055555555)</f>
        <v>41163.705555555498</v>
      </c>
      <c r="F610" s="111">
        <f ca="1">IFERROR(__xludf.DUMMYFUNCTION("""COMPUTED_VALUE"""),6.34)</f>
        <v>6.34</v>
      </c>
      <c r="G610" s="112">
        <f ca="1">IFERROR(__xludf.DUMMYFUNCTION("""COMPUTED_VALUE"""),41152.7055555555)</f>
        <v>41152.705555555498</v>
      </c>
      <c r="H610" s="111">
        <f ca="1">IFERROR(__xludf.DUMMYFUNCTION("""COMPUTED_VALUE"""),20.76)</f>
        <v>20.76</v>
      </c>
      <c r="K610" s="112">
        <f ca="1">IFERROR(__xludf.DUMMYFUNCTION("""COMPUTED_VALUE"""),41607.7055555555)</f>
        <v>41607.705555555498</v>
      </c>
      <c r="L610" s="111">
        <f ca="1">IFERROR(__xludf.DUMMYFUNCTION("""COMPUTED_VALUE"""),0.26)</f>
        <v>0.26</v>
      </c>
      <c r="M610" s="112">
        <f ca="1">IFERROR(__xludf.DUMMYFUNCTION("""COMPUTED_VALUE"""),41073.7055555555)</f>
        <v>41073.705555555498</v>
      </c>
      <c r="N610" s="111">
        <f ca="1">IFERROR(__xludf.DUMMYFUNCTION("""COMPUTED_VALUE"""),12.07)</f>
        <v>12.07</v>
      </c>
      <c r="O610" s="112">
        <f ca="1">IFERROR(__xludf.DUMMYFUNCTION("""COMPUTED_VALUE"""),41148.7055555555)</f>
        <v>41148.705555555498</v>
      </c>
      <c r="P610" s="111">
        <f ca="1">IFERROR(__xludf.DUMMYFUNCTION("""COMPUTED_VALUE"""),34)</f>
        <v>34</v>
      </c>
      <c r="Q610" s="112">
        <f ca="1">IFERROR(__xludf.DUMMYFUNCTION("""COMPUTED_VALUE"""),41144.7055555555)</f>
        <v>41144.705555555498</v>
      </c>
      <c r="R610" s="111">
        <f ca="1">IFERROR(__xludf.DUMMYFUNCTION("""COMPUTED_VALUE"""),23.08)</f>
        <v>23.08</v>
      </c>
      <c r="S610" s="112">
        <f ca="1">IFERROR(__xludf.DUMMYFUNCTION("""COMPUTED_VALUE"""),41157.7055555555)</f>
        <v>41157.705555555498</v>
      </c>
      <c r="T610" s="111">
        <f ca="1">IFERROR(__xludf.DUMMYFUNCTION("""COMPUTED_VALUE"""),10.29)</f>
        <v>10.29</v>
      </c>
    </row>
    <row r="611" spans="1:20" x14ac:dyDescent="0.3">
      <c r="A611" s="112">
        <f ca="1">IFERROR(__xludf.DUMMYFUNCTION("""COMPUTED_VALUE"""),41155.7055555555)</f>
        <v>41155.705555555498</v>
      </c>
      <c r="B611" s="111">
        <f ca="1">IFERROR(__xludf.DUMMYFUNCTION("""COMPUTED_VALUE"""),12.97)</f>
        <v>12.97</v>
      </c>
      <c r="C611" s="112">
        <f ca="1">IFERROR(__xludf.DUMMYFUNCTION("""COMPUTED_VALUE"""),41163.7055555555)</f>
        <v>41163.705555555498</v>
      </c>
      <c r="D611" s="111">
        <f ca="1">IFERROR(__xludf.DUMMYFUNCTION("""COMPUTED_VALUE"""),16.55)</f>
        <v>16.55</v>
      </c>
      <c r="E611" s="112">
        <f ca="1">IFERROR(__xludf.DUMMYFUNCTION("""COMPUTED_VALUE"""),41164.7055555555)</f>
        <v>41164.705555555498</v>
      </c>
      <c r="F611" s="111">
        <f ca="1">IFERROR(__xludf.DUMMYFUNCTION("""COMPUTED_VALUE"""),6.48)</f>
        <v>6.48</v>
      </c>
      <c r="G611" s="112">
        <f ca="1">IFERROR(__xludf.DUMMYFUNCTION("""COMPUTED_VALUE"""),41155.7055555555)</f>
        <v>41155.705555555498</v>
      </c>
      <c r="H611" s="111">
        <f ca="1">IFERROR(__xludf.DUMMYFUNCTION("""COMPUTED_VALUE"""),20.64)</f>
        <v>20.64</v>
      </c>
      <c r="K611" s="112">
        <f ca="1">IFERROR(__xludf.DUMMYFUNCTION("""COMPUTED_VALUE"""),41610.7055555555)</f>
        <v>41610.705555555498</v>
      </c>
      <c r="L611" s="111">
        <f ca="1">IFERROR(__xludf.DUMMYFUNCTION("""COMPUTED_VALUE"""),0.25)</f>
        <v>0.25</v>
      </c>
      <c r="M611" s="112">
        <f ca="1">IFERROR(__xludf.DUMMYFUNCTION("""COMPUTED_VALUE"""),41074.7055555555)</f>
        <v>41074.705555555498</v>
      </c>
      <c r="N611" s="111">
        <f ca="1">IFERROR(__xludf.DUMMYFUNCTION("""COMPUTED_VALUE"""),12.15)</f>
        <v>12.15</v>
      </c>
      <c r="O611" s="112">
        <f ca="1">IFERROR(__xludf.DUMMYFUNCTION("""COMPUTED_VALUE"""),41149.7055555555)</f>
        <v>41149.705555555498</v>
      </c>
      <c r="P611" s="111">
        <f ca="1">IFERROR(__xludf.DUMMYFUNCTION("""COMPUTED_VALUE"""),33.92)</f>
        <v>33.92</v>
      </c>
      <c r="Q611" s="112">
        <f ca="1">IFERROR(__xludf.DUMMYFUNCTION("""COMPUTED_VALUE"""),41145.7055555555)</f>
        <v>41145.705555555498</v>
      </c>
      <c r="R611" s="111">
        <f ca="1">IFERROR(__xludf.DUMMYFUNCTION("""COMPUTED_VALUE"""),23.02)</f>
        <v>23.02</v>
      </c>
      <c r="S611" s="112">
        <f ca="1">IFERROR(__xludf.DUMMYFUNCTION("""COMPUTED_VALUE"""),41158.7055555555)</f>
        <v>41158.705555555498</v>
      </c>
      <c r="T611" s="111">
        <f ca="1">IFERROR(__xludf.DUMMYFUNCTION("""COMPUTED_VALUE"""),10.5)</f>
        <v>10.5</v>
      </c>
    </row>
    <row r="612" spans="1:20" x14ac:dyDescent="0.3">
      <c r="A612" s="112">
        <f ca="1">IFERROR(__xludf.DUMMYFUNCTION("""COMPUTED_VALUE"""),41157.7055555555)</f>
        <v>41157.705555555498</v>
      </c>
      <c r="B612" s="111">
        <f ca="1">IFERROR(__xludf.DUMMYFUNCTION("""COMPUTED_VALUE"""),13.07)</f>
        <v>13.07</v>
      </c>
      <c r="C612" s="112">
        <f ca="1">IFERROR(__xludf.DUMMYFUNCTION("""COMPUTED_VALUE"""),41164.7055555555)</f>
        <v>41164.705555555498</v>
      </c>
      <c r="D612" s="111">
        <f ca="1">IFERROR(__xludf.DUMMYFUNCTION("""COMPUTED_VALUE"""),16.93)</f>
        <v>16.93</v>
      </c>
      <c r="E612" s="112">
        <f ca="1">IFERROR(__xludf.DUMMYFUNCTION("""COMPUTED_VALUE"""),41165.7055555555)</f>
        <v>41165.705555555498</v>
      </c>
      <c r="F612" s="111">
        <f ca="1">IFERROR(__xludf.DUMMYFUNCTION("""COMPUTED_VALUE"""),6.62)</f>
        <v>6.62</v>
      </c>
      <c r="G612" s="112">
        <f ca="1">IFERROR(__xludf.DUMMYFUNCTION("""COMPUTED_VALUE"""),41157.7055555555)</f>
        <v>41157.705555555498</v>
      </c>
      <c r="H612" s="111">
        <f ca="1">IFERROR(__xludf.DUMMYFUNCTION("""COMPUTED_VALUE"""),20.59)</f>
        <v>20.59</v>
      </c>
      <c r="K612" s="112">
        <f ca="1">IFERROR(__xludf.DUMMYFUNCTION("""COMPUTED_VALUE"""),41611.7055555555)</f>
        <v>41611.705555555498</v>
      </c>
      <c r="L612" s="111">
        <f ca="1">IFERROR(__xludf.DUMMYFUNCTION("""COMPUTED_VALUE"""),0.25)</f>
        <v>0.25</v>
      </c>
      <c r="M612" s="112">
        <f ca="1">IFERROR(__xludf.DUMMYFUNCTION("""COMPUTED_VALUE"""),41075.7055555555)</f>
        <v>41075.705555555498</v>
      </c>
      <c r="N612" s="111">
        <f ca="1">IFERROR(__xludf.DUMMYFUNCTION("""COMPUTED_VALUE"""),12.31)</f>
        <v>12.31</v>
      </c>
      <c r="O612" s="112">
        <f ca="1">IFERROR(__xludf.DUMMYFUNCTION("""COMPUTED_VALUE"""),41150.7055555555)</f>
        <v>41150.705555555498</v>
      </c>
      <c r="P612" s="111">
        <f ca="1">IFERROR(__xludf.DUMMYFUNCTION("""COMPUTED_VALUE"""),32.91)</f>
        <v>32.909999999999997</v>
      </c>
      <c r="Q612" s="112">
        <f ca="1">IFERROR(__xludf.DUMMYFUNCTION("""COMPUTED_VALUE"""),41148.7055555555)</f>
        <v>41148.705555555498</v>
      </c>
      <c r="R612" s="111">
        <f ca="1">IFERROR(__xludf.DUMMYFUNCTION("""COMPUTED_VALUE"""),23.54)</f>
        <v>23.54</v>
      </c>
      <c r="S612" s="112">
        <f ca="1">IFERROR(__xludf.DUMMYFUNCTION("""COMPUTED_VALUE"""),41162.7055555555)</f>
        <v>41162.705555555498</v>
      </c>
      <c r="T612" s="111">
        <f ca="1">IFERROR(__xludf.DUMMYFUNCTION("""COMPUTED_VALUE"""),10.28)</f>
        <v>10.28</v>
      </c>
    </row>
    <row r="613" spans="1:20" x14ac:dyDescent="0.3">
      <c r="A613" s="112">
        <f ca="1">IFERROR(__xludf.DUMMYFUNCTION("""COMPUTED_VALUE"""),41158.7055555555)</f>
        <v>41158.705555555498</v>
      </c>
      <c r="B613" s="111">
        <f ca="1">IFERROR(__xludf.DUMMYFUNCTION("""COMPUTED_VALUE"""),12.91)</f>
        <v>12.91</v>
      </c>
      <c r="C613" s="112">
        <f ca="1">IFERROR(__xludf.DUMMYFUNCTION("""COMPUTED_VALUE"""),41165.7055555555)</f>
        <v>41165.705555555498</v>
      </c>
      <c r="D613" s="111">
        <f ca="1">IFERROR(__xludf.DUMMYFUNCTION("""COMPUTED_VALUE"""),17.28)</f>
        <v>17.28</v>
      </c>
      <c r="E613" s="112">
        <f ca="1">IFERROR(__xludf.DUMMYFUNCTION("""COMPUTED_VALUE"""),41166.7055555555)</f>
        <v>41166.705555555498</v>
      </c>
      <c r="F613" s="111">
        <f ca="1">IFERROR(__xludf.DUMMYFUNCTION("""COMPUTED_VALUE"""),6.69)</f>
        <v>6.69</v>
      </c>
      <c r="G613" s="112">
        <f ca="1">IFERROR(__xludf.DUMMYFUNCTION("""COMPUTED_VALUE"""),41158.7055555555)</f>
        <v>41158.705555555498</v>
      </c>
      <c r="H613" s="111">
        <f ca="1">IFERROR(__xludf.DUMMYFUNCTION("""COMPUTED_VALUE"""),21)</f>
        <v>21</v>
      </c>
      <c r="K613" s="112">
        <f ca="1">IFERROR(__xludf.DUMMYFUNCTION("""COMPUTED_VALUE"""),41612.7055555555)</f>
        <v>41612.705555555498</v>
      </c>
      <c r="L613" s="111">
        <f ca="1">IFERROR(__xludf.DUMMYFUNCTION("""COMPUTED_VALUE"""),0.24)</f>
        <v>0.24</v>
      </c>
      <c r="M613" s="112">
        <f ca="1">IFERROR(__xludf.DUMMYFUNCTION("""COMPUTED_VALUE"""),41078.7055555555)</f>
        <v>41078.705555555498</v>
      </c>
      <c r="N613" s="111">
        <f ca="1">IFERROR(__xludf.DUMMYFUNCTION("""COMPUTED_VALUE"""),12.21)</f>
        <v>12.21</v>
      </c>
      <c r="O613" s="112">
        <f ca="1">IFERROR(__xludf.DUMMYFUNCTION("""COMPUTED_VALUE"""),41151.7055555555)</f>
        <v>41151.705555555498</v>
      </c>
      <c r="P613" s="111">
        <f ca="1">IFERROR(__xludf.DUMMYFUNCTION("""COMPUTED_VALUE"""),32.8)</f>
        <v>32.799999999999997</v>
      </c>
      <c r="Q613" s="112">
        <f ca="1">IFERROR(__xludf.DUMMYFUNCTION("""COMPUTED_VALUE"""),41149.7055555555)</f>
        <v>41149.705555555498</v>
      </c>
      <c r="R613" s="111">
        <f ca="1">IFERROR(__xludf.DUMMYFUNCTION("""COMPUTED_VALUE"""),24.06)</f>
        <v>24.06</v>
      </c>
      <c r="S613" s="112">
        <f ca="1">IFERROR(__xludf.DUMMYFUNCTION("""COMPUTED_VALUE"""),41163.7055555555)</f>
        <v>41163.705555555498</v>
      </c>
      <c r="T613" s="111">
        <f ca="1">IFERROR(__xludf.DUMMYFUNCTION("""COMPUTED_VALUE"""),10.37)</f>
        <v>10.37</v>
      </c>
    </row>
    <row r="614" spans="1:20" x14ac:dyDescent="0.3">
      <c r="A614" s="112">
        <f ca="1">IFERROR(__xludf.DUMMYFUNCTION("""COMPUTED_VALUE"""),41162.7055555555)</f>
        <v>41162.705555555498</v>
      </c>
      <c r="B614" s="111">
        <f ca="1">IFERROR(__xludf.DUMMYFUNCTION("""COMPUTED_VALUE"""),12.85)</f>
        <v>12.85</v>
      </c>
      <c r="C614" s="112">
        <f ca="1">IFERROR(__xludf.DUMMYFUNCTION("""COMPUTED_VALUE"""),41166.7055555555)</f>
        <v>41166.705555555498</v>
      </c>
      <c r="D614" s="111">
        <f ca="1">IFERROR(__xludf.DUMMYFUNCTION("""COMPUTED_VALUE"""),17.48)</f>
        <v>17.48</v>
      </c>
      <c r="E614" s="112">
        <f ca="1">IFERROR(__xludf.DUMMYFUNCTION("""COMPUTED_VALUE"""),41169.7055555555)</f>
        <v>41169.705555555498</v>
      </c>
      <c r="F614" s="111">
        <f ca="1">IFERROR(__xludf.DUMMYFUNCTION("""COMPUTED_VALUE"""),6.58)</f>
        <v>6.58</v>
      </c>
      <c r="G614" s="112">
        <f ca="1">IFERROR(__xludf.DUMMYFUNCTION("""COMPUTED_VALUE"""),41162.7055555555)</f>
        <v>41162.705555555498</v>
      </c>
      <c r="H614" s="111">
        <f ca="1">IFERROR(__xludf.DUMMYFUNCTION("""COMPUTED_VALUE"""),21.23)</f>
        <v>21.23</v>
      </c>
      <c r="K614" s="112">
        <f ca="1">IFERROR(__xludf.DUMMYFUNCTION("""COMPUTED_VALUE"""),41613.7055555555)</f>
        <v>41613.705555555498</v>
      </c>
      <c r="L614" s="111">
        <f ca="1">IFERROR(__xludf.DUMMYFUNCTION("""COMPUTED_VALUE"""),0.25)</f>
        <v>0.25</v>
      </c>
      <c r="M614" s="112">
        <f ca="1">IFERROR(__xludf.DUMMYFUNCTION("""COMPUTED_VALUE"""),41079.7055555555)</f>
        <v>41079.705555555498</v>
      </c>
      <c r="N614" s="111">
        <f ca="1">IFERROR(__xludf.DUMMYFUNCTION("""COMPUTED_VALUE"""),12.31)</f>
        <v>12.31</v>
      </c>
      <c r="O614" s="112">
        <f ca="1">IFERROR(__xludf.DUMMYFUNCTION("""COMPUTED_VALUE"""),41152.7055555555)</f>
        <v>41152.705555555498</v>
      </c>
      <c r="P614" s="111">
        <f ca="1">IFERROR(__xludf.DUMMYFUNCTION("""COMPUTED_VALUE"""),33.58)</f>
        <v>33.58</v>
      </c>
      <c r="Q614" s="112">
        <f ca="1">IFERROR(__xludf.DUMMYFUNCTION("""COMPUTED_VALUE"""),41150.7055555555)</f>
        <v>41150.705555555498</v>
      </c>
      <c r="R614" s="111">
        <f ca="1">IFERROR(__xludf.DUMMYFUNCTION("""COMPUTED_VALUE"""),23.66)</f>
        <v>23.66</v>
      </c>
      <c r="S614" s="112">
        <f ca="1">IFERROR(__xludf.DUMMYFUNCTION("""COMPUTED_VALUE"""),41164.7055555555)</f>
        <v>41164.705555555498</v>
      </c>
      <c r="T614" s="111">
        <f ca="1">IFERROR(__xludf.DUMMYFUNCTION("""COMPUTED_VALUE"""),10.49)</f>
        <v>10.49</v>
      </c>
    </row>
    <row r="615" spans="1:20" x14ac:dyDescent="0.3">
      <c r="A615" s="112">
        <f ca="1">IFERROR(__xludf.DUMMYFUNCTION("""COMPUTED_VALUE"""),41163.7055555555)</f>
        <v>41163.705555555498</v>
      </c>
      <c r="B615" s="111">
        <f ca="1">IFERROR(__xludf.DUMMYFUNCTION("""COMPUTED_VALUE"""),12.36)</f>
        <v>12.36</v>
      </c>
      <c r="C615" s="112">
        <f ca="1">IFERROR(__xludf.DUMMYFUNCTION("""COMPUTED_VALUE"""),41169.7055555555)</f>
        <v>41169.705555555498</v>
      </c>
      <c r="D615" s="111">
        <f ca="1">IFERROR(__xludf.DUMMYFUNCTION("""COMPUTED_VALUE"""),17.28)</f>
        <v>17.28</v>
      </c>
      <c r="E615" s="112">
        <f ca="1">IFERROR(__xludf.DUMMYFUNCTION("""COMPUTED_VALUE"""),41170.7055555555)</f>
        <v>41170.705555555498</v>
      </c>
      <c r="F615" s="111">
        <f ca="1">IFERROR(__xludf.DUMMYFUNCTION("""COMPUTED_VALUE"""),6.45)</f>
        <v>6.45</v>
      </c>
      <c r="G615" s="112">
        <f ca="1">IFERROR(__xludf.DUMMYFUNCTION("""COMPUTED_VALUE"""),41163.7055555555)</f>
        <v>41163.705555555498</v>
      </c>
      <c r="H615" s="111">
        <f ca="1">IFERROR(__xludf.DUMMYFUNCTION("""COMPUTED_VALUE"""),21.71)</f>
        <v>21.71</v>
      </c>
      <c r="K615" s="112">
        <f ca="1">IFERROR(__xludf.DUMMYFUNCTION("""COMPUTED_VALUE"""),41614.7055555555)</f>
        <v>41614.705555555498</v>
      </c>
      <c r="L615" s="111">
        <f ca="1">IFERROR(__xludf.DUMMYFUNCTION("""COMPUTED_VALUE"""),0.26)</f>
        <v>0.26</v>
      </c>
      <c r="M615" s="112">
        <f ca="1">IFERROR(__xludf.DUMMYFUNCTION("""COMPUTED_VALUE"""),41080.7055555555)</f>
        <v>41080.705555555498</v>
      </c>
      <c r="N615" s="111">
        <f ca="1">IFERROR(__xludf.DUMMYFUNCTION("""COMPUTED_VALUE"""),12.21)</f>
        <v>12.21</v>
      </c>
      <c r="O615" s="112">
        <f ca="1">IFERROR(__xludf.DUMMYFUNCTION("""COMPUTED_VALUE"""),41155.7055555555)</f>
        <v>41155.705555555498</v>
      </c>
      <c r="P615" s="111">
        <f ca="1">IFERROR(__xludf.DUMMYFUNCTION("""COMPUTED_VALUE"""),33.52)</f>
        <v>33.520000000000003</v>
      </c>
      <c r="Q615" s="112">
        <f ca="1">IFERROR(__xludf.DUMMYFUNCTION("""COMPUTED_VALUE"""),41151.7055555555)</f>
        <v>41151.705555555498</v>
      </c>
      <c r="R615" s="111">
        <f ca="1">IFERROR(__xludf.DUMMYFUNCTION("""COMPUTED_VALUE"""),23.39)</f>
        <v>23.39</v>
      </c>
      <c r="S615" s="112">
        <f ca="1">IFERROR(__xludf.DUMMYFUNCTION("""COMPUTED_VALUE"""),41165.7055555555)</f>
        <v>41165.705555555498</v>
      </c>
      <c r="T615" s="111">
        <f ca="1">IFERROR(__xludf.DUMMYFUNCTION("""COMPUTED_VALUE"""),10.71)</f>
        <v>10.71</v>
      </c>
    </row>
    <row r="616" spans="1:20" x14ac:dyDescent="0.3">
      <c r="A616" s="112">
        <f ca="1">IFERROR(__xludf.DUMMYFUNCTION("""COMPUTED_VALUE"""),41164.7055555555)</f>
        <v>41164.705555555498</v>
      </c>
      <c r="B616" s="111">
        <f ca="1">IFERROR(__xludf.DUMMYFUNCTION("""COMPUTED_VALUE"""),11.57)</f>
        <v>11.57</v>
      </c>
      <c r="C616" s="112">
        <f ca="1">IFERROR(__xludf.DUMMYFUNCTION("""COMPUTED_VALUE"""),41170.7055555555)</f>
        <v>41170.705555555498</v>
      </c>
      <c r="D616" s="111">
        <f ca="1">IFERROR(__xludf.DUMMYFUNCTION("""COMPUTED_VALUE"""),16.87)</f>
        <v>16.87</v>
      </c>
      <c r="E616" s="112">
        <f ca="1">IFERROR(__xludf.DUMMYFUNCTION("""COMPUTED_VALUE"""),41171.7055555555)</f>
        <v>41171.705555555498</v>
      </c>
      <c r="F616" s="111">
        <f ca="1">IFERROR(__xludf.DUMMYFUNCTION("""COMPUTED_VALUE"""),6.43)</f>
        <v>6.43</v>
      </c>
      <c r="G616" s="112">
        <f ca="1">IFERROR(__xludf.DUMMYFUNCTION("""COMPUTED_VALUE"""),41164.7055555555)</f>
        <v>41164.705555555498</v>
      </c>
      <c r="H616" s="111">
        <f ca="1">IFERROR(__xludf.DUMMYFUNCTION("""COMPUTED_VALUE"""),21.99)</f>
        <v>21.99</v>
      </c>
      <c r="K616" s="112">
        <f ca="1">IFERROR(__xludf.DUMMYFUNCTION("""COMPUTED_VALUE"""),41617.7055555555)</f>
        <v>41617.705555555498</v>
      </c>
      <c r="L616" s="111">
        <f ca="1">IFERROR(__xludf.DUMMYFUNCTION("""COMPUTED_VALUE"""),0.26)</f>
        <v>0.26</v>
      </c>
      <c r="M616" s="112">
        <f ca="1">IFERROR(__xludf.DUMMYFUNCTION("""COMPUTED_VALUE"""),41081.7055555555)</f>
        <v>41081.705555555498</v>
      </c>
      <c r="N616" s="111">
        <f ca="1">IFERROR(__xludf.DUMMYFUNCTION("""COMPUTED_VALUE"""),11.85)</f>
        <v>11.85</v>
      </c>
      <c r="O616" s="112">
        <f ca="1">IFERROR(__xludf.DUMMYFUNCTION("""COMPUTED_VALUE"""),41157.7055555555)</f>
        <v>41157.705555555498</v>
      </c>
      <c r="P616" s="111">
        <f ca="1">IFERROR(__xludf.DUMMYFUNCTION("""COMPUTED_VALUE"""),33)</f>
        <v>33</v>
      </c>
      <c r="Q616" s="112">
        <f ca="1">IFERROR(__xludf.DUMMYFUNCTION("""COMPUTED_VALUE"""),41152.7055555555)</f>
        <v>41152.705555555498</v>
      </c>
      <c r="R616" s="111">
        <f ca="1">IFERROR(__xludf.DUMMYFUNCTION("""COMPUTED_VALUE"""),23.14)</f>
        <v>23.14</v>
      </c>
      <c r="S616" s="112">
        <f ca="1">IFERROR(__xludf.DUMMYFUNCTION("""COMPUTED_VALUE"""),41166.7055555555)</f>
        <v>41166.705555555498</v>
      </c>
      <c r="T616" s="111">
        <f ca="1">IFERROR(__xludf.DUMMYFUNCTION("""COMPUTED_VALUE"""),10.91)</f>
        <v>10.91</v>
      </c>
    </row>
    <row r="617" spans="1:20" x14ac:dyDescent="0.3">
      <c r="A617" s="112">
        <f ca="1">IFERROR(__xludf.DUMMYFUNCTION("""COMPUTED_VALUE"""),41165.7055555555)</f>
        <v>41165.705555555498</v>
      </c>
      <c r="B617" s="111">
        <f ca="1">IFERROR(__xludf.DUMMYFUNCTION("""COMPUTED_VALUE"""),12.07)</f>
        <v>12.07</v>
      </c>
      <c r="C617" s="112">
        <f ca="1">IFERROR(__xludf.DUMMYFUNCTION("""COMPUTED_VALUE"""),41171.7055555555)</f>
        <v>41171.705555555498</v>
      </c>
      <c r="D617" s="111">
        <f ca="1">IFERROR(__xludf.DUMMYFUNCTION("""COMPUTED_VALUE"""),16.88)</f>
        <v>16.88</v>
      </c>
      <c r="E617" s="112">
        <f ca="1">IFERROR(__xludf.DUMMYFUNCTION("""COMPUTED_VALUE"""),41172.7055555555)</f>
        <v>41172.705555555498</v>
      </c>
      <c r="F617" s="111">
        <f ca="1">IFERROR(__xludf.DUMMYFUNCTION("""COMPUTED_VALUE"""),6.39)</f>
        <v>6.39</v>
      </c>
      <c r="G617" s="112">
        <f ca="1">IFERROR(__xludf.DUMMYFUNCTION("""COMPUTED_VALUE"""),41165.7055555555)</f>
        <v>41165.705555555498</v>
      </c>
      <c r="H617" s="111">
        <f ca="1">IFERROR(__xludf.DUMMYFUNCTION("""COMPUTED_VALUE"""),22.9)</f>
        <v>22.9</v>
      </c>
      <c r="K617" s="112">
        <f ca="1">IFERROR(__xludf.DUMMYFUNCTION("""COMPUTED_VALUE"""),41618.7055555555)</f>
        <v>41618.705555555498</v>
      </c>
      <c r="L617" s="111">
        <f ca="1">IFERROR(__xludf.DUMMYFUNCTION("""COMPUTED_VALUE"""),0.25)</f>
        <v>0.25</v>
      </c>
      <c r="M617" s="112">
        <f ca="1">IFERROR(__xludf.DUMMYFUNCTION("""COMPUTED_VALUE"""),41082.7055555555)</f>
        <v>41082.705555555498</v>
      </c>
      <c r="N617" s="111">
        <f ca="1">IFERROR(__xludf.DUMMYFUNCTION("""COMPUTED_VALUE"""),11.85)</f>
        <v>11.85</v>
      </c>
      <c r="O617" s="112">
        <f ca="1">IFERROR(__xludf.DUMMYFUNCTION("""COMPUTED_VALUE"""),41158.7055555555)</f>
        <v>41158.705555555498</v>
      </c>
      <c r="P617" s="111">
        <f ca="1">IFERROR(__xludf.DUMMYFUNCTION("""COMPUTED_VALUE"""),34.52)</f>
        <v>34.520000000000003</v>
      </c>
      <c r="Q617" s="112">
        <f ca="1">IFERROR(__xludf.DUMMYFUNCTION("""COMPUTED_VALUE"""),41155.7055555555)</f>
        <v>41155.705555555498</v>
      </c>
      <c r="R617" s="111">
        <f ca="1">IFERROR(__xludf.DUMMYFUNCTION("""COMPUTED_VALUE"""),23.43)</f>
        <v>23.43</v>
      </c>
      <c r="S617" s="112">
        <f ca="1">IFERROR(__xludf.DUMMYFUNCTION("""COMPUTED_VALUE"""),41169.7055555555)</f>
        <v>41169.705555555498</v>
      </c>
      <c r="T617" s="111">
        <f ca="1">IFERROR(__xludf.DUMMYFUNCTION("""COMPUTED_VALUE"""),10.83)</f>
        <v>10.83</v>
      </c>
    </row>
    <row r="618" spans="1:20" x14ac:dyDescent="0.3">
      <c r="A618" s="112">
        <f ca="1">IFERROR(__xludf.DUMMYFUNCTION("""COMPUTED_VALUE"""),41166.7055555555)</f>
        <v>41166.705555555498</v>
      </c>
      <c r="B618" s="111">
        <f ca="1">IFERROR(__xludf.DUMMYFUNCTION("""COMPUTED_VALUE"""),12.26)</f>
        <v>12.26</v>
      </c>
      <c r="C618" s="112">
        <f ca="1">IFERROR(__xludf.DUMMYFUNCTION("""COMPUTED_VALUE"""),41172.7055555555)</f>
        <v>41172.705555555498</v>
      </c>
      <c r="D618" s="111">
        <f ca="1">IFERROR(__xludf.DUMMYFUNCTION("""COMPUTED_VALUE"""),16.8)</f>
        <v>16.8</v>
      </c>
      <c r="E618" s="112">
        <f ca="1">IFERROR(__xludf.DUMMYFUNCTION("""COMPUTED_VALUE"""),41173.7055555555)</f>
        <v>41173.705555555498</v>
      </c>
      <c r="F618" s="111">
        <f ca="1">IFERROR(__xludf.DUMMYFUNCTION("""COMPUTED_VALUE"""),6.45)</f>
        <v>6.45</v>
      </c>
      <c r="G618" s="112">
        <f ca="1">IFERROR(__xludf.DUMMYFUNCTION("""COMPUTED_VALUE"""),41166.7055555555)</f>
        <v>41166.705555555498</v>
      </c>
      <c r="H618" s="111">
        <f ca="1">IFERROR(__xludf.DUMMYFUNCTION("""COMPUTED_VALUE"""),23.3)</f>
        <v>23.3</v>
      </c>
      <c r="K618" s="112">
        <f ca="1">IFERROR(__xludf.DUMMYFUNCTION("""COMPUTED_VALUE"""),41619.7055555555)</f>
        <v>41619.705555555498</v>
      </c>
      <c r="L618" s="111">
        <f ca="1">IFERROR(__xludf.DUMMYFUNCTION("""COMPUTED_VALUE"""),0.25)</f>
        <v>0.25</v>
      </c>
      <c r="M618" s="112">
        <f ca="1">IFERROR(__xludf.DUMMYFUNCTION("""COMPUTED_VALUE"""),41085.7055555555)</f>
        <v>41085.705555555498</v>
      </c>
      <c r="N618" s="111">
        <f ca="1">IFERROR(__xludf.DUMMYFUNCTION("""COMPUTED_VALUE"""),11.56)</f>
        <v>11.56</v>
      </c>
      <c r="O618" s="112">
        <f ca="1">IFERROR(__xludf.DUMMYFUNCTION("""COMPUTED_VALUE"""),41162.7055555555)</f>
        <v>41162.705555555498</v>
      </c>
      <c r="P618" s="111">
        <f ca="1">IFERROR(__xludf.DUMMYFUNCTION("""COMPUTED_VALUE"""),35.79)</f>
        <v>35.79</v>
      </c>
      <c r="Q618" s="112">
        <f ca="1">IFERROR(__xludf.DUMMYFUNCTION("""COMPUTED_VALUE"""),41157.7055555555)</f>
        <v>41157.705555555498</v>
      </c>
      <c r="R618" s="111">
        <f ca="1">IFERROR(__xludf.DUMMYFUNCTION("""COMPUTED_VALUE"""),24.21)</f>
        <v>24.21</v>
      </c>
      <c r="S618" s="112">
        <f ca="1">IFERROR(__xludf.DUMMYFUNCTION("""COMPUTED_VALUE"""),41170.7055555555)</f>
        <v>41170.705555555498</v>
      </c>
      <c r="T618" s="111">
        <f ca="1">IFERROR(__xludf.DUMMYFUNCTION("""COMPUTED_VALUE"""),10.76)</f>
        <v>10.76</v>
      </c>
    </row>
    <row r="619" spans="1:20" x14ac:dyDescent="0.3">
      <c r="A619" s="112">
        <f ca="1">IFERROR(__xludf.DUMMYFUNCTION("""COMPUTED_VALUE"""),41169.7055555555)</f>
        <v>41169.705555555498</v>
      </c>
      <c r="B619" s="111">
        <f ca="1">IFERROR(__xludf.DUMMYFUNCTION("""COMPUTED_VALUE"""),12.34)</f>
        <v>12.34</v>
      </c>
      <c r="C619" s="112">
        <f ca="1">IFERROR(__xludf.DUMMYFUNCTION("""COMPUTED_VALUE"""),41173.7055555555)</f>
        <v>41173.705555555498</v>
      </c>
      <c r="D619" s="111">
        <f ca="1">IFERROR(__xludf.DUMMYFUNCTION("""COMPUTED_VALUE"""),16.85)</f>
        <v>16.850000000000001</v>
      </c>
      <c r="E619" s="112">
        <f ca="1">IFERROR(__xludf.DUMMYFUNCTION("""COMPUTED_VALUE"""),41176.7055555555)</f>
        <v>41176.705555555498</v>
      </c>
      <c r="F619" s="111">
        <f ca="1">IFERROR(__xludf.DUMMYFUNCTION("""COMPUTED_VALUE"""),6.43)</f>
        <v>6.43</v>
      </c>
      <c r="G619" s="112">
        <f ca="1">IFERROR(__xludf.DUMMYFUNCTION("""COMPUTED_VALUE"""),41169.7055555555)</f>
        <v>41169.705555555498</v>
      </c>
      <c r="H619" s="111">
        <f ca="1">IFERROR(__xludf.DUMMYFUNCTION("""COMPUTED_VALUE"""),23.27)</f>
        <v>23.27</v>
      </c>
      <c r="K619" s="112">
        <f ca="1">IFERROR(__xludf.DUMMYFUNCTION("""COMPUTED_VALUE"""),41620.7055555555)</f>
        <v>41620.705555555498</v>
      </c>
      <c r="L619" s="111">
        <f ca="1">IFERROR(__xludf.DUMMYFUNCTION("""COMPUTED_VALUE"""),0.24)</f>
        <v>0.24</v>
      </c>
      <c r="M619" s="112">
        <f ca="1">IFERROR(__xludf.DUMMYFUNCTION("""COMPUTED_VALUE"""),41086.7055555555)</f>
        <v>41086.705555555498</v>
      </c>
      <c r="N619" s="111">
        <f ca="1">IFERROR(__xludf.DUMMYFUNCTION("""COMPUTED_VALUE"""),11.49)</f>
        <v>11.49</v>
      </c>
      <c r="O619" s="112">
        <f ca="1">IFERROR(__xludf.DUMMYFUNCTION("""COMPUTED_VALUE"""),41163.7055555555)</f>
        <v>41163.705555555498</v>
      </c>
      <c r="P619" s="111">
        <f ca="1">IFERROR(__xludf.DUMMYFUNCTION("""COMPUTED_VALUE"""),36.81)</f>
        <v>36.81</v>
      </c>
      <c r="Q619" s="112">
        <f ca="1">IFERROR(__xludf.DUMMYFUNCTION("""COMPUTED_VALUE"""),41158.7055555555)</f>
        <v>41158.705555555498</v>
      </c>
      <c r="R619" s="111">
        <f ca="1">IFERROR(__xludf.DUMMYFUNCTION("""COMPUTED_VALUE"""),24.82)</f>
        <v>24.82</v>
      </c>
      <c r="S619" s="112">
        <f ca="1">IFERROR(__xludf.DUMMYFUNCTION("""COMPUTED_VALUE"""),41171.7055555555)</f>
        <v>41171.705555555498</v>
      </c>
      <c r="T619" s="111">
        <f ca="1">IFERROR(__xludf.DUMMYFUNCTION("""COMPUTED_VALUE"""),10.7)</f>
        <v>10.7</v>
      </c>
    </row>
    <row r="620" spans="1:20" x14ac:dyDescent="0.3">
      <c r="A620" s="112">
        <f ca="1">IFERROR(__xludf.DUMMYFUNCTION("""COMPUTED_VALUE"""),41170.7055555555)</f>
        <v>41170.705555555498</v>
      </c>
      <c r="B620" s="111">
        <f ca="1">IFERROR(__xludf.DUMMYFUNCTION("""COMPUTED_VALUE"""),12.3)</f>
        <v>12.3</v>
      </c>
      <c r="C620" s="112">
        <f ca="1">IFERROR(__xludf.DUMMYFUNCTION("""COMPUTED_VALUE"""),41176.7055555555)</f>
        <v>41176.705555555498</v>
      </c>
      <c r="D620" s="111">
        <f ca="1">IFERROR(__xludf.DUMMYFUNCTION("""COMPUTED_VALUE"""),16.91)</f>
        <v>16.91</v>
      </c>
      <c r="E620" s="112">
        <f ca="1">IFERROR(__xludf.DUMMYFUNCTION("""COMPUTED_VALUE"""),41177.7055555555)</f>
        <v>41177.705555555498</v>
      </c>
      <c r="F620" s="111">
        <f ca="1">IFERROR(__xludf.DUMMYFUNCTION("""COMPUTED_VALUE"""),6.04)</f>
        <v>6.04</v>
      </c>
      <c r="G620" s="112">
        <f ca="1">IFERROR(__xludf.DUMMYFUNCTION("""COMPUTED_VALUE"""),41170.7055555555)</f>
        <v>41170.705555555498</v>
      </c>
      <c r="H620" s="111">
        <f ca="1">IFERROR(__xludf.DUMMYFUNCTION("""COMPUTED_VALUE"""),23.2)</f>
        <v>23.2</v>
      </c>
      <c r="K620" s="112">
        <f ca="1">IFERROR(__xludf.DUMMYFUNCTION("""COMPUTED_VALUE"""),41621.7055555555)</f>
        <v>41621.705555555498</v>
      </c>
      <c r="L620" s="111">
        <f ca="1">IFERROR(__xludf.DUMMYFUNCTION("""COMPUTED_VALUE"""),0.23)</f>
        <v>0.23</v>
      </c>
      <c r="M620" s="112">
        <f ca="1">IFERROR(__xludf.DUMMYFUNCTION("""COMPUTED_VALUE"""),41087.7055555555)</f>
        <v>41087.705555555498</v>
      </c>
      <c r="N620" s="111">
        <f ca="1">IFERROR(__xludf.DUMMYFUNCTION("""COMPUTED_VALUE"""),11.67)</f>
        <v>11.67</v>
      </c>
      <c r="O620" s="112">
        <f ca="1">IFERROR(__xludf.DUMMYFUNCTION("""COMPUTED_VALUE"""),41164.7055555555)</f>
        <v>41164.705555555498</v>
      </c>
      <c r="P620" s="111">
        <f ca="1">IFERROR(__xludf.DUMMYFUNCTION("""COMPUTED_VALUE"""),37.28)</f>
        <v>37.28</v>
      </c>
      <c r="Q620" s="112">
        <f ca="1">IFERROR(__xludf.DUMMYFUNCTION("""COMPUTED_VALUE"""),41162.7055555555)</f>
        <v>41162.705555555498</v>
      </c>
      <c r="R620" s="111">
        <f ca="1">IFERROR(__xludf.DUMMYFUNCTION("""COMPUTED_VALUE"""),25.06)</f>
        <v>25.06</v>
      </c>
      <c r="S620" s="112">
        <f ca="1">IFERROR(__xludf.DUMMYFUNCTION("""COMPUTED_VALUE"""),41172.7055555555)</f>
        <v>41172.705555555498</v>
      </c>
      <c r="T620" s="111">
        <f ca="1">IFERROR(__xludf.DUMMYFUNCTION("""COMPUTED_VALUE"""),10.7)</f>
        <v>10.7</v>
      </c>
    </row>
    <row r="621" spans="1:20" x14ac:dyDescent="0.3">
      <c r="A621" s="112">
        <f ca="1">IFERROR(__xludf.DUMMYFUNCTION("""COMPUTED_VALUE"""),41171.7055555555)</f>
        <v>41171.705555555498</v>
      </c>
      <c r="B621" s="111">
        <f ca="1">IFERROR(__xludf.DUMMYFUNCTION("""COMPUTED_VALUE"""),11.99)</f>
        <v>11.99</v>
      </c>
      <c r="C621" s="112">
        <f ca="1">IFERROR(__xludf.DUMMYFUNCTION("""COMPUTED_VALUE"""),41177.7055555555)</f>
        <v>41177.705555555498</v>
      </c>
      <c r="D621" s="111">
        <f ca="1">IFERROR(__xludf.DUMMYFUNCTION("""COMPUTED_VALUE"""),15.87)</f>
        <v>15.87</v>
      </c>
      <c r="E621" s="112">
        <f ca="1">IFERROR(__xludf.DUMMYFUNCTION("""COMPUTED_VALUE"""),41178.7055555555)</f>
        <v>41178.705555555498</v>
      </c>
      <c r="F621" s="111">
        <f ca="1">IFERROR(__xludf.DUMMYFUNCTION("""COMPUTED_VALUE"""),6.11)</f>
        <v>6.11</v>
      </c>
      <c r="G621" s="112">
        <f ca="1">IFERROR(__xludf.DUMMYFUNCTION("""COMPUTED_VALUE"""),41171.7055555555)</f>
        <v>41171.705555555498</v>
      </c>
      <c r="H621" s="111">
        <f ca="1">IFERROR(__xludf.DUMMYFUNCTION("""COMPUTED_VALUE"""),22.67)</f>
        <v>22.67</v>
      </c>
      <c r="K621" s="112">
        <f ca="1">IFERROR(__xludf.DUMMYFUNCTION("""COMPUTED_VALUE"""),41624.7055555555)</f>
        <v>41624.705555555498</v>
      </c>
      <c r="L621" s="111">
        <f ca="1">IFERROR(__xludf.DUMMYFUNCTION("""COMPUTED_VALUE"""),0.23)</f>
        <v>0.23</v>
      </c>
      <c r="M621" s="112">
        <f ca="1">IFERROR(__xludf.DUMMYFUNCTION("""COMPUTED_VALUE"""),41088.7055555555)</f>
        <v>41088.705555555498</v>
      </c>
      <c r="N621" s="111">
        <f ca="1">IFERROR(__xludf.DUMMYFUNCTION("""COMPUTED_VALUE"""),11.5)</f>
        <v>11.5</v>
      </c>
      <c r="O621" s="112">
        <f ca="1">IFERROR(__xludf.DUMMYFUNCTION("""COMPUTED_VALUE"""),41165.7055555555)</f>
        <v>41165.705555555498</v>
      </c>
      <c r="P621" s="111">
        <f ca="1">IFERROR(__xludf.DUMMYFUNCTION("""COMPUTED_VALUE"""),38.23)</f>
        <v>38.229999999999997</v>
      </c>
      <c r="Q621" s="112">
        <f ca="1">IFERROR(__xludf.DUMMYFUNCTION("""COMPUTED_VALUE"""),41163.7055555555)</f>
        <v>41163.705555555498</v>
      </c>
      <c r="R621" s="111">
        <f ca="1">IFERROR(__xludf.DUMMYFUNCTION("""COMPUTED_VALUE"""),25.21)</f>
        <v>25.21</v>
      </c>
      <c r="S621" s="112">
        <f ca="1">IFERROR(__xludf.DUMMYFUNCTION("""COMPUTED_VALUE"""),41173.7055555555)</f>
        <v>41173.705555555498</v>
      </c>
      <c r="T621" s="111">
        <f ca="1">IFERROR(__xludf.DUMMYFUNCTION("""COMPUTED_VALUE"""),10.82)</f>
        <v>10.82</v>
      </c>
    </row>
    <row r="622" spans="1:20" x14ac:dyDescent="0.3">
      <c r="A622" s="112">
        <f ca="1">IFERROR(__xludf.DUMMYFUNCTION("""COMPUTED_VALUE"""),41172.7055555555)</f>
        <v>41172.705555555498</v>
      </c>
      <c r="B622" s="111">
        <f ca="1">IFERROR(__xludf.DUMMYFUNCTION("""COMPUTED_VALUE"""),12.24)</f>
        <v>12.24</v>
      </c>
      <c r="C622" s="112">
        <f ca="1">IFERROR(__xludf.DUMMYFUNCTION("""COMPUTED_VALUE"""),41178.7055555555)</f>
        <v>41178.705555555498</v>
      </c>
      <c r="D622" s="111">
        <f ca="1">IFERROR(__xludf.DUMMYFUNCTION("""COMPUTED_VALUE"""),15.98)</f>
        <v>15.98</v>
      </c>
      <c r="E622" s="112">
        <f ca="1">IFERROR(__xludf.DUMMYFUNCTION("""COMPUTED_VALUE"""),41179.7055555555)</f>
        <v>41179.705555555498</v>
      </c>
      <c r="F622" s="111">
        <f ca="1">IFERROR(__xludf.DUMMYFUNCTION("""COMPUTED_VALUE"""),6.01)</f>
        <v>6.01</v>
      </c>
      <c r="G622" s="112">
        <f ca="1">IFERROR(__xludf.DUMMYFUNCTION("""COMPUTED_VALUE"""),41172.7055555555)</f>
        <v>41172.705555555498</v>
      </c>
      <c r="H622" s="111">
        <f ca="1">IFERROR(__xludf.DUMMYFUNCTION("""COMPUTED_VALUE"""),23.01)</f>
        <v>23.01</v>
      </c>
      <c r="K622" s="112">
        <f ca="1">IFERROR(__xludf.DUMMYFUNCTION("""COMPUTED_VALUE"""),41625.7055555555)</f>
        <v>41625.705555555498</v>
      </c>
      <c r="L622" s="111">
        <f ca="1">IFERROR(__xludf.DUMMYFUNCTION("""COMPUTED_VALUE"""),0.23)</f>
        <v>0.23</v>
      </c>
      <c r="M622" s="112">
        <f ca="1">IFERROR(__xludf.DUMMYFUNCTION("""COMPUTED_VALUE"""),41089.7055555555)</f>
        <v>41089.705555555498</v>
      </c>
      <c r="N622" s="111">
        <f ca="1">IFERROR(__xludf.DUMMYFUNCTION("""COMPUTED_VALUE"""),11.74)</f>
        <v>11.74</v>
      </c>
      <c r="O622" s="112">
        <f ca="1">IFERROR(__xludf.DUMMYFUNCTION("""COMPUTED_VALUE"""),41166.7055555555)</f>
        <v>41166.705555555498</v>
      </c>
      <c r="P622" s="111">
        <f ca="1">IFERROR(__xludf.DUMMYFUNCTION("""COMPUTED_VALUE"""),38.65)</f>
        <v>38.65</v>
      </c>
      <c r="Q622" s="112">
        <f ca="1">IFERROR(__xludf.DUMMYFUNCTION("""COMPUTED_VALUE"""),41164.7055555555)</f>
        <v>41164.705555555498</v>
      </c>
      <c r="R622" s="111">
        <f ca="1">IFERROR(__xludf.DUMMYFUNCTION("""COMPUTED_VALUE"""),25.51)</f>
        <v>25.51</v>
      </c>
      <c r="S622" s="112">
        <f ca="1">IFERROR(__xludf.DUMMYFUNCTION("""COMPUTED_VALUE"""),41176.7055555555)</f>
        <v>41176.705555555498</v>
      </c>
      <c r="T622" s="111">
        <f ca="1">IFERROR(__xludf.DUMMYFUNCTION("""COMPUTED_VALUE"""),10.75)</f>
        <v>10.75</v>
      </c>
    </row>
    <row r="623" spans="1:20" x14ac:dyDescent="0.3">
      <c r="A623" s="112">
        <f ca="1">IFERROR(__xludf.DUMMYFUNCTION("""COMPUTED_VALUE"""),41173.7055555555)</f>
        <v>41173.705555555498</v>
      </c>
      <c r="B623" s="111">
        <f ca="1">IFERROR(__xludf.DUMMYFUNCTION("""COMPUTED_VALUE"""),11.95)</f>
        <v>11.95</v>
      </c>
      <c r="C623" s="112">
        <f ca="1">IFERROR(__xludf.DUMMYFUNCTION("""COMPUTED_VALUE"""),41179.7055555555)</f>
        <v>41179.705555555498</v>
      </c>
      <c r="D623" s="111">
        <f ca="1">IFERROR(__xludf.DUMMYFUNCTION("""COMPUTED_VALUE"""),15.78)</f>
        <v>15.78</v>
      </c>
      <c r="E623" s="112">
        <f ca="1">IFERROR(__xludf.DUMMYFUNCTION("""COMPUTED_VALUE"""),41180.7055555555)</f>
        <v>41180.705555555498</v>
      </c>
      <c r="F623" s="111">
        <f ca="1">IFERROR(__xludf.DUMMYFUNCTION("""COMPUTED_VALUE"""),5.87)</f>
        <v>5.87</v>
      </c>
      <c r="G623" s="112">
        <f ca="1">IFERROR(__xludf.DUMMYFUNCTION("""COMPUTED_VALUE"""),41173.7055555555)</f>
        <v>41173.705555555498</v>
      </c>
      <c r="H623" s="111">
        <f ca="1">IFERROR(__xludf.DUMMYFUNCTION("""COMPUTED_VALUE"""),22.7)</f>
        <v>22.7</v>
      </c>
      <c r="K623" s="112">
        <f ca="1">IFERROR(__xludf.DUMMYFUNCTION("""COMPUTED_VALUE"""),41626.7055555555)</f>
        <v>41626.705555555498</v>
      </c>
      <c r="L623" s="111">
        <f ca="1">IFERROR(__xludf.DUMMYFUNCTION("""COMPUTED_VALUE"""),0.23)</f>
        <v>0.23</v>
      </c>
      <c r="M623" s="112">
        <f ca="1">IFERROR(__xludf.DUMMYFUNCTION("""COMPUTED_VALUE"""),41092.7055555555)</f>
        <v>41092.705555555498</v>
      </c>
      <c r="N623" s="111">
        <f ca="1">IFERROR(__xludf.DUMMYFUNCTION("""COMPUTED_VALUE"""),11.76)</f>
        <v>11.76</v>
      </c>
      <c r="O623" s="112">
        <f ca="1">IFERROR(__xludf.DUMMYFUNCTION("""COMPUTED_VALUE"""),41169.7055555555)</f>
        <v>41169.705555555498</v>
      </c>
      <c r="P623" s="111">
        <f ca="1">IFERROR(__xludf.DUMMYFUNCTION("""COMPUTED_VALUE"""),39.07)</f>
        <v>39.07</v>
      </c>
      <c r="Q623" s="112">
        <f ca="1">IFERROR(__xludf.DUMMYFUNCTION("""COMPUTED_VALUE"""),41165.7055555555)</f>
        <v>41165.705555555498</v>
      </c>
      <c r="R623" s="111">
        <f ca="1">IFERROR(__xludf.DUMMYFUNCTION("""COMPUTED_VALUE"""),26.04)</f>
        <v>26.04</v>
      </c>
      <c r="S623" s="112">
        <f ca="1">IFERROR(__xludf.DUMMYFUNCTION("""COMPUTED_VALUE"""),41177.7055555555)</f>
        <v>41177.705555555498</v>
      </c>
      <c r="T623" s="111">
        <f ca="1">IFERROR(__xludf.DUMMYFUNCTION("""COMPUTED_VALUE"""),10.56)</f>
        <v>10.56</v>
      </c>
    </row>
    <row r="624" spans="1:20" x14ac:dyDescent="0.3">
      <c r="A624" s="112">
        <f ca="1">IFERROR(__xludf.DUMMYFUNCTION("""COMPUTED_VALUE"""),41176.7055555555)</f>
        <v>41176.705555555498</v>
      </c>
      <c r="B624" s="111">
        <f ca="1">IFERROR(__xludf.DUMMYFUNCTION("""COMPUTED_VALUE"""),12.18)</f>
        <v>12.18</v>
      </c>
      <c r="C624" s="112">
        <f ca="1">IFERROR(__xludf.DUMMYFUNCTION("""COMPUTED_VALUE"""),41180.7055555555)</f>
        <v>41180.705555555498</v>
      </c>
      <c r="D624" s="111">
        <f ca="1">IFERROR(__xludf.DUMMYFUNCTION("""COMPUTED_VALUE"""),15.31)</f>
        <v>15.31</v>
      </c>
      <c r="E624" s="112">
        <f ca="1">IFERROR(__xludf.DUMMYFUNCTION("""COMPUTED_VALUE"""),41183.7055555555)</f>
        <v>41183.705555555498</v>
      </c>
      <c r="F624" s="111">
        <f ca="1">IFERROR(__xludf.DUMMYFUNCTION("""COMPUTED_VALUE"""),5.95)</f>
        <v>5.95</v>
      </c>
      <c r="G624" s="112">
        <f ca="1">IFERROR(__xludf.DUMMYFUNCTION("""COMPUTED_VALUE"""),41176.7055555555)</f>
        <v>41176.705555555498</v>
      </c>
      <c r="H624" s="111">
        <f ca="1">IFERROR(__xludf.DUMMYFUNCTION("""COMPUTED_VALUE"""),22.96)</f>
        <v>22.96</v>
      </c>
      <c r="K624" s="112">
        <f ca="1">IFERROR(__xludf.DUMMYFUNCTION("""COMPUTED_VALUE"""),41627.7055555555)</f>
        <v>41627.705555555498</v>
      </c>
      <c r="L624" s="111">
        <f ca="1">IFERROR(__xludf.DUMMYFUNCTION("""COMPUTED_VALUE"""),0.24)</f>
        <v>0.24</v>
      </c>
      <c r="M624" s="112">
        <f ca="1">IFERROR(__xludf.DUMMYFUNCTION("""COMPUTED_VALUE"""),41093.7055555555)</f>
        <v>41093.705555555498</v>
      </c>
      <c r="N624" s="111">
        <f ca="1">IFERROR(__xludf.DUMMYFUNCTION("""COMPUTED_VALUE"""),12.05)</f>
        <v>12.05</v>
      </c>
      <c r="O624" s="112">
        <f ca="1">IFERROR(__xludf.DUMMYFUNCTION("""COMPUTED_VALUE"""),41170.7055555555)</f>
        <v>41170.705555555498</v>
      </c>
      <c r="P624" s="111">
        <f ca="1">IFERROR(__xludf.DUMMYFUNCTION("""COMPUTED_VALUE"""),39.55)</f>
        <v>39.549999999999997</v>
      </c>
      <c r="Q624" s="112">
        <f ca="1">IFERROR(__xludf.DUMMYFUNCTION("""COMPUTED_VALUE"""),41166.7055555555)</f>
        <v>41166.705555555498</v>
      </c>
      <c r="R624" s="111">
        <f ca="1">IFERROR(__xludf.DUMMYFUNCTION("""COMPUTED_VALUE"""),26.5)</f>
        <v>26.5</v>
      </c>
      <c r="S624" s="112">
        <f ca="1">IFERROR(__xludf.DUMMYFUNCTION("""COMPUTED_VALUE"""),41178.7055555555)</f>
        <v>41178.705555555498</v>
      </c>
      <c r="T624" s="111">
        <f ca="1">IFERROR(__xludf.DUMMYFUNCTION("""COMPUTED_VALUE"""),10.14)</f>
        <v>10.14</v>
      </c>
    </row>
    <row r="625" spans="1:20" x14ac:dyDescent="0.3">
      <c r="A625" s="112">
        <f ca="1">IFERROR(__xludf.DUMMYFUNCTION("""COMPUTED_VALUE"""),41177.7055555555)</f>
        <v>41177.705555555498</v>
      </c>
      <c r="B625" s="111">
        <f ca="1">IFERROR(__xludf.DUMMYFUNCTION("""COMPUTED_VALUE"""),12.13)</f>
        <v>12.13</v>
      </c>
      <c r="C625" s="112">
        <f ca="1">IFERROR(__xludf.DUMMYFUNCTION("""COMPUTED_VALUE"""),41183.7055555555)</f>
        <v>41183.705555555498</v>
      </c>
      <c r="D625" s="111">
        <f ca="1">IFERROR(__xludf.DUMMYFUNCTION("""COMPUTED_VALUE"""),15.55)</f>
        <v>15.55</v>
      </c>
      <c r="E625" s="112">
        <f ca="1">IFERROR(__xludf.DUMMYFUNCTION("""COMPUTED_VALUE"""),41184.7055555555)</f>
        <v>41184.705555555498</v>
      </c>
      <c r="F625" s="111">
        <f ca="1">IFERROR(__xludf.DUMMYFUNCTION("""COMPUTED_VALUE"""),5.94)</f>
        <v>5.94</v>
      </c>
      <c r="G625" s="112">
        <f ca="1">IFERROR(__xludf.DUMMYFUNCTION("""COMPUTED_VALUE"""),41177.7055555555)</f>
        <v>41177.705555555498</v>
      </c>
      <c r="H625" s="111">
        <f ca="1">IFERROR(__xludf.DUMMYFUNCTION("""COMPUTED_VALUE"""),22.67)</f>
        <v>22.67</v>
      </c>
      <c r="K625" s="112">
        <f ca="1">IFERROR(__xludf.DUMMYFUNCTION("""COMPUTED_VALUE"""),41628.7055555555)</f>
        <v>41628.705555555498</v>
      </c>
      <c r="L625" s="111">
        <f ca="1">IFERROR(__xludf.DUMMYFUNCTION("""COMPUTED_VALUE"""),0.23)</f>
        <v>0.23</v>
      </c>
      <c r="M625" s="112">
        <f ca="1">IFERROR(__xludf.DUMMYFUNCTION("""COMPUTED_VALUE"""),41094.7055555555)</f>
        <v>41094.705555555498</v>
      </c>
      <c r="N625" s="111">
        <f ca="1">IFERROR(__xludf.DUMMYFUNCTION("""COMPUTED_VALUE"""),12.06)</f>
        <v>12.06</v>
      </c>
      <c r="O625" s="112">
        <f ca="1">IFERROR(__xludf.DUMMYFUNCTION("""COMPUTED_VALUE"""),41171.7055555555)</f>
        <v>41171.705555555498</v>
      </c>
      <c r="P625" s="111">
        <f ca="1">IFERROR(__xludf.DUMMYFUNCTION("""COMPUTED_VALUE"""),39.1)</f>
        <v>39.1</v>
      </c>
      <c r="Q625" s="112">
        <f ca="1">IFERROR(__xludf.DUMMYFUNCTION("""COMPUTED_VALUE"""),41169.7055555555)</f>
        <v>41169.705555555498</v>
      </c>
      <c r="R625" s="111">
        <f ca="1">IFERROR(__xludf.DUMMYFUNCTION("""COMPUTED_VALUE"""),26.34)</f>
        <v>26.34</v>
      </c>
      <c r="S625" s="112">
        <f ca="1">IFERROR(__xludf.DUMMYFUNCTION("""COMPUTED_VALUE"""),41179.7055555555)</f>
        <v>41179.705555555498</v>
      </c>
      <c r="T625" s="111">
        <f ca="1">IFERROR(__xludf.DUMMYFUNCTION("""COMPUTED_VALUE"""),10.37)</f>
        <v>10.37</v>
      </c>
    </row>
    <row r="626" spans="1:20" x14ac:dyDescent="0.3">
      <c r="A626" s="112">
        <f ca="1">IFERROR(__xludf.DUMMYFUNCTION("""COMPUTED_VALUE"""),41178.7055555555)</f>
        <v>41178.705555555498</v>
      </c>
      <c r="B626" s="111">
        <f ca="1">IFERROR(__xludf.DUMMYFUNCTION("""COMPUTED_VALUE"""),12.19)</f>
        <v>12.19</v>
      </c>
      <c r="C626" s="112">
        <f ca="1">IFERROR(__xludf.DUMMYFUNCTION("""COMPUTED_VALUE"""),41184.7055555555)</f>
        <v>41184.705555555498</v>
      </c>
      <c r="D626" s="111">
        <f ca="1">IFERROR(__xludf.DUMMYFUNCTION("""COMPUTED_VALUE"""),15.48)</f>
        <v>15.48</v>
      </c>
      <c r="E626" s="112">
        <f ca="1">IFERROR(__xludf.DUMMYFUNCTION("""COMPUTED_VALUE"""),41185.7055555555)</f>
        <v>41185.705555555498</v>
      </c>
      <c r="F626" s="111">
        <f ca="1">IFERROR(__xludf.DUMMYFUNCTION("""COMPUTED_VALUE"""),5.84)</f>
        <v>5.84</v>
      </c>
      <c r="G626" s="112">
        <f ca="1">IFERROR(__xludf.DUMMYFUNCTION("""COMPUTED_VALUE"""),41178.7055555555)</f>
        <v>41178.705555555498</v>
      </c>
      <c r="H626" s="111">
        <f ca="1">IFERROR(__xludf.DUMMYFUNCTION("""COMPUTED_VALUE"""),22.77)</f>
        <v>22.77</v>
      </c>
      <c r="K626" s="112">
        <f ca="1">IFERROR(__xludf.DUMMYFUNCTION("""COMPUTED_VALUE"""),41631.7055555555)</f>
        <v>41631.705555555498</v>
      </c>
      <c r="L626" s="111">
        <f ca="1">IFERROR(__xludf.DUMMYFUNCTION("""COMPUTED_VALUE"""),0.23)</f>
        <v>0.23</v>
      </c>
      <c r="M626" s="112">
        <f ca="1">IFERROR(__xludf.DUMMYFUNCTION("""COMPUTED_VALUE"""),41095.7055555555)</f>
        <v>41095.705555555498</v>
      </c>
      <c r="N626" s="111">
        <f ca="1">IFERROR(__xludf.DUMMYFUNCTION("""COMPUTED_VALUE"""),12.08)</f>
        <v>12.08</v>
      </c>
      <c r="O626" s="112">
        <f ca="1">IFERROR(__xludf.DUMMYFUNCTION("""COMPUTED_VALUE"""),41172.7055555555)</f>
        <v>41172.705555555498</v>
      </c>
      <c r="P626" s="111">
        <f ca="1">IFERROR(__xludf.DUMMYFUNCTION("""COMPUTED_VALUE"""),38.8)</f>
        <v>38.799999999999997</v>
      </c>
      <c r="Q626" s="112">
        <f ca="1">IFERROR(__xludf.DUMMYFUNCTION("""COMPUTED_VALUE"""),41170.7055555555)</f>
        <v>41170.705555555498</v>
      </c>
      <c r="R626" s="111">
        <f ca="1">IFERROR(__xludf.DUMMYFUNCTION("""COMPUTED_VALUE"""),25.94)</f>
        <v>25.94</v>
      </c>
      <c r="S626" s="112">
        <f ca="1">IFERROR(__xludf.DUMMYFUNCTION("""COMPUTED_VALUE"""),41180.7055555555)</f>
        <v>41180.705555555498</v>
      </c>
      <c r="T626" s="111">
        <f ca="1">IFERROR(__xludf.DUMMYFUNCTION("""COMPUTED_VALUE"""),10.2)</f>
        <v>10.199999999999999</v>
      </c>
    </row>
    <row r="627" spans="1:20" x14ac:dyDescent="0.3">
      <c r="A627" s="112">
        <f ca="1">IFERROR(__xludf.DUMMYFUNCTION("""COMPUTED_VALUE"""),41179.7055555555)</f>
        <v>41179.705555555498</v>
      </c>
      <c r="B627" s="111">
        <f ca="1">IFERROR(__xludf.DUMMYFUNCTION("""COMPUTED_VALUE"""),12.17)</f>
        <v>12.17</v>
      </c>
      <c r="C627" s="112">
        <f ca="1">IFERROR(__xludf.DUMMYFUNCTION("""COMPUTED_VALUE"""),41185.7055555555)</f>
        <v>41185.705555555498</v>
      </c>
      <c r="D627" s="111">
        <f ca="1">IFERROR(__xludf.DUMMYFUNCTION("""COMPUTED_VALUE"""),15.28)</f>
        <v>15.28</v>
      </c>
      <c r="E627" s="112">
        <f ca="1">IFERROR(__xludf.DUMMYFUNCTION("""COMPUTED_VALUE"""),41186.7055555555)</f>
        <v>41186.705555555498</v>
      </c>
      <c r="F627" s="111">
        <f ca="1">IFERROR(__xludf.DUMMYFUNCTION("""COMPUTED_VALUE"""),5.86)</f>
        <v>5.86</v>
      </c>
      <c r="G627" s="112">
        <f ca="1">IFERROR(__xludf.DUMMYFUNCTION("""COMPUTED_VALUE"""),41179.7055555555)</f>
        <v>41179.705555555498</v>
      </c>
      <c r="H627" s="111">
        <f ca="1">IFERROR(__xludf.DUMMYFUNCTION("""COMPUTED_VALUE"""),22.71)</f>
        <v>22.71</v>
      </c>
      <c r="K627" s="112">
        <f ca="1">IFERROR(__xludf.DUMMYFUNCTION("""COMPUTED_VALUE"""),41634.7055555555)</f>
        <v>41634.705555555498</v>
      </c>
      <c r="L627" s="111">
        <f ca="1">IFERROR(__xludf.DUMMYFUNCTION("""COMPUTED_VALUE"""),0.23)</f>
        <v>0.23</v>
      </c>
      <c r="M627" s="112">
        <f ca="1">IFERROR(__xludf.DUMMYFUNCTION("""COMPUTED_VALUE"""),41096.7055555555)</f>
        <v>41096.705555555498</v>
      </c>
      <c r="N627" s="111">
        <f ca="1">IFERROR(__xludf.DUMMYFUNCTION("""COMPUTED_VALUE"""),12.04)</f>
        <v>12.04</v>
      </c>
      <c r="O627" s="112">
        <f ca="1">IFERROR(__xludf.DUMMYFUNCTION("""COMPUTED_VALUE"""),41173.7055555555)</f>
        <v>41173.705555555498</v>
      </c>
      <c r="P627" s="111">
        <f ca="1">IFERROR(__xludf.DUMMYFUNCTION("""COMPUTED_VALUE"""),37.62)</f>
        <v>37.619999999999997</v>
      </c>
      <c r="Q627" s="112">
        <f ca="1">IFERROR(__xludf.DUMMYFUNCTION("""COMPUTED_VALUE"""),41171.7055555555)</f>
        <v>41171.705555555498</v>
      </c>
      <c r="R627" s="111">
        <f ca="1">IFERROR(__xludf.DUMMYFUNCTION("""COMPUTED_VALUE"""),26.45)</f>
        <v>26.45</v>
      </c>
      <c r="S627" s="112">
        <f ca="1">IFERROR(__xludf.DUMMYFUNCTION("""COMPUTED_VALUE"""),41183.7055555555)</f>
        <v>41183.705555555498</v>
      </c>
      <c r="T627" s="111">
        <f ca="1">IFERROR(__xludf.DUMMYFUNCTION("""COMPUTED_VALUE"""),10.48)</f>
        <v>10.48</v>
      </c>
    </row>
    <row r="628" spans="1:20" x14ac:dyDescent="0.3">
      <c r="A628" s="112">
        <f ca="1">IFERROR(__xludf.DUMMYFUNCTION("""COMPUTED_VALUE"""),41180.7055555555)</f>
        <v>41180.705555555498</v>
      </c>
      <c r="B628" s="111">
        <f ca="1">IFERROR(__xludf.DUMMYFUNCTION("""COMPUTED_VALUE"""),11.97)</f>
        <v>11.97</v>
      </c>
      <c r="C628" s="112">
        <f ca="1">IFERROR(__xludf.DUMMYFUNCTION("""COMPUTED_VALUE"""),41186.7055555555)</f>
        <v>41186.705555555498</v>
      </c>
      <c r="D628" s="111">
        <f ca="1">IFERROR(__xludf.DUMMYFUNCTION("""COMPUTED_VALUE"""),15.3)</f>
        <v>15.3</v>
      </c>
      <c r="E628" s="112">
        <f ca="1">IFERROR(__xludf.DUMMYFUNCTION("""COMPUTED_VALUE"""),41187.7055555555)</f>
        <v>41187.705555555498</v>
      </c>
      <c r="F628" s="111">
        <f ca="1">IFERROR(__xludf.DUMMYFUNCTION("""COMPUTED_VALUE"""),5.91)</f>
        <v>5.91</v>
      </c>
      <c r="G628" s="112">
        <f ca="1">IFERROR(__xludf.DUMMYFUNCTION("""COMPUTED_VALUE"""),41180.7055555555)</f>
        <v>41180.705555555498</v>
      </c>
      <c r="H628" s="111">
        <f ca="1">IFERROR(__xludf.DUMMYFUNCTION("""COMPUTED_VALUE"""),22.37)</f>
        <v>22.37</v>
      </c>
      <c r="K628" s="112">
        <f ca="1">IFERROR(__xludf.DUMMYFUNCTION("""COMPUTED_VALUE"""),41635.7055555555)</f>
        <v>41635.705555555498</v>
      </c>
      <c r="L628" s="111">
        <f ca="1">IFERROR(__xludf.DUMMYFUNCTION("""COMPUTED_VALUE"""),0.23)</f>
        <v>0.23</v>
      </c>
      <c r="M628" s="112">
        <f ca="1">IFERROR(__xludf.DUMMYFUNCTION("""COMPUTED_VALUE"""),41100.7055555555)</f>
        <v>41100.705555555498</v>
      </c>
      <c r="N628" s="111">
        <f ca="1">IFERROR(__xludf.DUMMYFUNCTION("""COMPUTED_VALUE"""),11.8)</f>
        <v>11.8</v>
      </c>
      <c r="O628" s="112">
        <f ca="1">IFERROR(__xludf.DUMMYFUNCTION("""COMPUTED_VALUE"""),41176.7055555555)</f>
        <v>41176.705555555498</v>
      </c>
      <c r="P628" s="111">
        <f ca="1">IFERROR(__xludf.DUMMYFUNCTION("""COMPUTED_VALUE"""),37.88)</f>
        <v>37.880000000000003</v>
      </c>
      <c r="Q628" s="112">
        <f ca="1">IFERROR(__xludf.DUMMYFUNCTION("""COMPUTED_VALUE"""),41172.7055555555)</f>
        <v>41172.705555555498</v>
      </c>
      <c r="R628" s="111">
        <f ca="1">IFERROR(__xludf.DUMMYFUNCTION("""COMPUTED_VALUE"""),26.71)</f>
        <v>26.71</v>
      </c>
      <c r="S628" s="112">
        <f ca="1">IFERROR(__xludf.DUMMYFUNCTION("""COMPUTED_VALUE"""),41184.7055555555)</f>
        <v>41184.705555555498</v>
      </c>
      <c r="T628" s="111">
        <f ca="1">IFERROR(__xludf.DUMMYFUNCTION("""COMPUTED_VALUE"""),10.77)</f>
        <v>10.77</v>
      </c>
    </row>
    <row r="629" spans="1:20" x14ac:dyDescent="0.3">
      <c r="A629" s="112">
        <f ca="1">IFERROR(__xludf.DUMMYFUNCTION("""COMPUTED_VALUE"""),41183.7055555555)</f>
        <v>41183.705555555498</v>
      </c>
      <c r="B629" s="111">
        <f ca="1">IFERROR(__xludf.DUMMYFUNCTION("""COMPUTED_VALUE"""),12.08)</f>
        <v>12.08</v>
      </c>
      <c r="C629" s="112">
        <f ca="1">IFERROR(__xludf.DUMMYFUNCTION("""COMPUTED_VALUE"""),41187.7055555555)</f>
        <v>41187.705555555498</v>
      </c>
      <c r="D629" s="111">
        <f ca="1">IFERROR(__xludf.DUMMYFUNCTION("""COMPUTED_VALUE"""),15.42)</f>
        <v>15.42</v>
      </c>
      <c r="E629" s="112">
        <f ca="1">IFERROR(__xludf.DUMMYFUNCTION("""COMPUTED_VALUE"""),41190.7055555555)</f>
        <v>41190.705555555498</v>
      </c>
      <c r="F629" s="111">
        <f ca="1">IFERROR(__xludf.DUMMYFUNCTION("""COMPUTED_VALUE"""),5.93)</f>
        <v>5.93</v>
      </c>
      <c r="G629" s="112">
        <f ca="1">IFERROR(__xludf.DUMMYFUNCTION("""COMPUTED_VALUE"""),41183.7055555555)</f>
        <v>41183.705555555498</v>
      </c>
      <c r="H629" s="111">
        <f ca="1">IFERROR(__xludf.DUMMYFUNCTION("""COMPUTED_VALUE"""),22.51)</f>
        <v>22.51</v>
      </c>
      <c r="K629" s="112">
        <f ca="1">IFERROR(__xludf.DUMMYFUNCTION("""COMPUTED_VALUE"""),41638.7055555555)</f>
        <v>41638.705555555498</v>
      </c>
      <c r="L629" s="111">
        <f ca="1">IFERROR(__xludf.DUMMYFUNCTION("""COMPUTED_VALUE"""),0.24)</f>
        <v>0.24</v>
      </c>
      <c r="M629" s="112">
        <f ca="1">IFERROR(__xludf.DUMMYFUNCTION("""COMPUTED_VALUE"""),41101.7055555555)</f>
        <v>41101.705555555498</v>
      </c>
      <c r="N629" s="111">
        <f ca="1">IFERROR(__xludf.DUMMYFUNCTION("""COMPUTED_VALUE"""),11.78)</f>
        <v>11.78</v>
      </c>
      <c r="O629" s="112">
        <f ca="1">IFERROR(__xludf.DUMMYFUNCTION("""COMPUTED_VALUE"""),41177.7055555555)</f>
        <v>41177.705555555498</v>
      </c>
      <c r="P629" s="111">
        <f ca="1">IFERROR(__xludf.DUMMYFUNCTION("""COMPUTED_VALUE"""),36.9)</f>
        <v>36.9</v>
      </c>
      <c r="Q629" s="112">
        <f ca="1">IFERROR(__xludf.DUMMYFUNCTION("""COMPUTED_VALUE"""),41173.7055555555)</f>
        <v>41173.705555555498</v>
      </c>
      <c r="R629" s="111">
        <f ca="1">IFERROR(__xludf.DUMMYFUNCTION("""COMPUTED_VALUE"""),26.52)</f>
        <v>26.52</v>
      </c>
      <c r="S629" s="112">
        <f ca="1">IFERROR(__xludf.DUMMYFUNCTION("""COMPUTED_VALUE"""),41185.7055555555)</f>
        <v>41185.705555555498</v>
      </c>
      <c r="T629" s="111">
        <f ca="1">IFERROR(__xludf.DUMMYFUNCTION("""COMPUTED_VALUE"""),10.79)</f>
        <v>10.79</v>
      </c>
    </row>
    <row r="630" spans="1:20" x14ac:dyDescent="0.3">
      <c r="A630" s="112">
        <f ca="1">IFERROR(__xludf.DUMMYFUNCTION("""COMPUTED_VALUE"""),41184.7055555555)</f>
        <v>41184.705555555498</v>
      </c>
      <c r="B630" s="111">
        <f ca="1">IFERROR(__xludf.DUMMYFUNCTION("""COMPUTED_VALUE"""),12.05)</f>
        <v>12.05</v>
      </c>
      <c r="C630" s="112">
        <f ca="1">IFERROR(__xludf.DUMMYFUNCTION("""COMPUTED_VALUE"""),41190.7055555555)</f>
        <v>41190.705555555498</v>
      </c>
      <c r="D630" s="111">
        <f ca="1">IFERROR(__xludf.DUMMYFUNCTION("""COMPUTED_VALUE"""),15.48)</f>
        <v>15.48</v>
      </c>
      <c r="E630" s="112">
        <f ca="1">IFERROR(__xludf.DUMMYFUNCTION("""COMPUTED_VALUE"""),41191.7055555555)</f>
        <v>41191.705555555498</v>
      </c>
      <c r="F630" s="111">
        <f ca="1">IFERROR(__xludf.DUMMYFUNCTION("""COMPUTED_VALUE"""),5.78)</f>
        <v>5.78</v>
      </c>
      <c r="G630" s="112">
        <f ca="1">IFERROR(__xludf.DUMMYFUNCTION("""COMPUTED_VALUE"""),41184.7055555555)</f>
        <v>41184.705555555498</v>
      </c>
      <c r="H630" s="111">
        <f ca="1">IFERROR(__xludf.DUMMYFUNCTION("""COMPUTED_VALUE"""),22.7)</f>
        <v>22.7</v>
      </c>
      <c r="K630" s="112">
        <f ca="1">IFERROR(__xludf.DUMMYFUNCTION("""COMPUTED_VALUE"""),41641.7055555555)</f>
        <v>41641.705555555498</v>
      </c>
      <c r="L630" s="111">
        <f ca="1">IFERROR(__xludf.DUMMYFUNCTION("""COMPUTED_VALUE"""),0.23)</f>
        <v>0.23</v>
      </c>
      <c r="M630" s="112">
        <f ca="1">IFERROR(__xludf.DUMMYFUNCTION("""COMPUTED_VALUE"""),41102.7055555555)</f>
        <v>41102.705555555498</v>
      </c>
      <c r="N630" s="111">
        <f ca="1">IFERROR(__xludf.DUMMYFUNCTION("""COMPUTED_VALUE"""),11.56)</f>
        <v>11.56</v>
      </c>
      <c r="O630" s="112">
        <f ca="1">IFERROR(__xludf.DUMMYFUNCTION("""COMPUTED_VALUE"""),41178.7055555555)</f>
        <v>41178.705555555498</v>
      </c>
      <c r="P630" s="111">
        <f ca="1">IFERROR(__xludf.DUMMYFUNCTION("""COMPUTED_VALUE"""),36.95)</f>
        <v>36.950000000000003</v>
      </c>
      <c r="Q630" s="112">
        <f ca="1">IFERROR(__xludf.DUMMYFUNCTION("""COMPUTED_VALUE"""),41176.7055555555)</f>
        <v>41176.705555555498</v>
      </c>
      <c r="R630" s="111">
        <f ca="1">IFERROR(__xludf.DUMMYFUNCTION("""COMPUTED_VALUE"""),26.42)</f>
        <v>26.42</v>
      </c>
      <c r="S630" s="112">
        <f ca="1">IFERROR(__xludf.DUMMYFUNCTION("""COMPUTED_VALUE"""),41186.7055555555)</f>
        <v>41186.705555555498</v>
      </c>
      <c r="T630" s="111">
        <f ca="1">IFERROR(__xludf.DUMMYFUNCTION("""COMPUTED_VALUE"""),10.74)</f>
        <v>10.74</v>
      </c>
    </row>
    <row r="631" spans="1:20" x14ac:dyDescent="0.3">
      <c r="A631" s="112">
        <f ca="1">IFERROR(__xludf.DUMMYFUNCTION("""COMPUTED_VALUE"""),41185.7055555555)</f>
        <v>41185.705555555498</v>
      </c>
      <c r="B631" s="111">
        <f ca="1">IFERROR(__xludf.DUMMYFUNCTION("""COMPUTED_VALUE"""),11.82)</f>
        <v>11.82</v>
      </c>
      <c r="C631" s="112">
        <f ca="1">IFERROR(__xludf.DUMMYFUNCTION("""COMPUTED_VALUE"""),41191.7055555555)</f>
        <v>41191.705555555498</v>
      </c>
      <c r="D631" s="111">
        <f ca="1">IFERROR(__xludf.DUMMYFUNCTION("""COMPUTED_VALUE"""),15.08)</f>
        <v>15.08</v>
      </c>
      <c r="E631" s="112">
        <f ca="1">IFERROR(__xludf.DUMMYFUNCTION("""COMPUTED_VALUE"""),41192.7055555555)</f>
        <v>41192.705555555498</v>
      </c>
      <c r="F631" s="111">
        <f ca="1">IFERROR(__xludf.DUMMYFUNCTION("""COMPUTED_VALUE"""),5.65)</f>
        <v>5.65</v>
      </c>
      <c r="G631" s="112">
        <f ca="1">IFERROR(__xludf.DUMMYFUNCTION("""COMPUTED_VALUE"""),41185.7055555555)</f>
        <v>41185.705555555498</v>
      </c>
      <c r="H631" s="111">
        <f ca="1">IFERROR(__xludf.DUMMYFUNCTION("""COMPUTED_VALUE"""),22.34)</f>
        <v>22.34</v>
      </c>
      <c r="K631" s="112">
        <f ca="1">IFERROR(__xludf.DUMMYFUNCTION("""COMPUTED_VALUE"""),41642.7055555555)</f>
        <v>41642.705555555498</v>
      </c>
      <c r="L631" s="111">
        <f ca="1">IFERROR(__xludf.DUMMYFUNCTION("""COMPUTED_VALUE"""),0.23)</f>
        <v>0.23</v>
      </c>
      <c r="M631" s="112">
        <f ca="1">IFERROR(__xludf.DUMMYFUNCTION("""COMPUTED_VALUE"""),41103.7055555555)</f>
        <v>41103.705555555498</v>
      </c>
      <c r="N631" s="111">
        <f ca="1">IFERROR(__xludf.DUMMYFUNCTION("""COMPUTED_VALUE"""),11.69)</f>
        <v>11.69</v>
      </c>
      <c r="O631" s="112">
        <f ca="1">IFERROR(__xludf.DUMMYFUNCTION("""COMPUTED_VALUE"""),41179.7055555555)</f>
        <v>41179.705555555498</v>
      </c>
      <c r="P631" s="111">
        <f ca="1">IFERROR(__xludf.DUMMYFUNCTION("""COMPUTED_VALUE"""),36.88)</f>
        <v>36.880000000000003</v>
      </c>
      <c r="Q631" s="112">
        <f ca="1">IFERROR(__xludf.DUMMYFUNCTION("""COMPUTED_VALUE"""),41177.7055555555)</f>
        <v>41177.705555555498</v>
      </c>
      <c r="R631" s="111">
        <f ca="1">IFERROR(__xludf.DUMMYFUNCTION("""COMPUTED_VALUE"""),25.6)</f>
        <v>25.6</v>
      </c>
      <c r="S631" s="112">
        <f ca="1">IFERROR(__xludf.DUMMYFUNCTION("""COMPUTED_VALUE"""),41187.7055555555)</f>
        <v>41187.705555555498</v>
      </c>
      <c r="T631" s="111">
        <f ca="1">IFERROR(__xludf.DUMMYFUNCTION("""COMPUTED_VALUE"""),11.04)</f>
        <v>11.04</v>
      </c>
    </row>
    <row r="632" spans="1:20" x14ac:dyDescent="0.3">
      <c r="A632" s="112">
        <f ca="1">IFERROR(__xludf.DUMMYFUNCTION("""COMPUTED_VALUE"""),41186.7055555555)</f>
        <v>41186.705555555498</v>
      </c>
      <c r="B632" s="111">
        <f ca="1">IFERROR(__xludf.DUMMYFUNCTION("""COMPUTED_VALUE"""),11.47)</f>
        <v>11.47</v>
      </c>
      <c r="C632" s="112">
        <f ca="1">IFERROR(__xludf.DUMMYFUNCTION("""COMPUTED_VALUE"""),41192.7055555555)</f>
        <v>41192.705555555498</v>
      </c>
      <c r="D632" s="111">
        <f ca="1">IFERROR(__xludf.DUMMYFUNCTION("""COMPUTED_VALUE"""),14.73)</f>
        <v>14.73</v>
      </c>
      <c r="E632" s="112">
        <f ca="1">IFERROR(__xludf.DUMMYFUNCTION("""COMPUTED_VALUE"""),41193.7055555555)</f>
        <v>41193.705555555498</v>
      </c>
      <c r="F632" s="111">
        <f ca="1">IFERROR(__xludf.DUMMYFUNCTION("""COMPUTED_VALUE"""),5.74)</f>
        <v>5.74</v>
      </c>
      <c r="G632" s="112">
        <f ca="1">IFERROR(__xludf.DUMMYFUNCTION("""COMPUTED_VALUE"""),41186.7055555555)</f>
        <v>41186.705555555498</v>
      </c>
      <c r="H632" s="111">
        <f ca="1">IFERROR(__xludf.DUMMYFUNCTION("""COMPUTED_VALUE"""),22.4)</f>
        <v>22.4</v>
      </c>
      <c r="K632" s="112">
        <f ca="1">IFERROR(__xludf.DUMMYFUNCTION("""COMPUTED_VALUE"""),41645.7055555555)</f>
        <v>41645.705555555498</v>
      </c>
      <c r="L632" s="111">
        <f ca="1">IFERROR(__xludf.DUMMYFUNCTION("""COMPUTED_VALUE"""),0.25)</f>
        <v>0.25</v>
      </c>
      <c r="M632" s="112">
        <f ca="1">IFERROR(__xludf.DUMMYFUNCTION("""COMPUTED_VALUE"""),41106.7055555555)</f>
        <v>41106.705555555498</v>
      </c>
      <c r="N632" s="111">
        <f ca="1">IFERROR(__xludf.DUMMYFUNCTION("""COMPUTED_VALUE"""),11.68)</f>
        <v>11.68</v>
      </c>
      <c r="O632" s="112">
        <f ca="1">IFERROR(__xludf.DUMMYFUNCTION("""COMPUTED_VALUE"""),41180.7055555555)</f>
        <v>41180.705555555498</v>
      </c>
      <c r="P632" s="111">
        <f ca="1">IFERROR(__xludf.DUMMYFUNCTION("""COMPUTED_VALUE"""),36.49)</f>
        <v>36.49</v>
      </c>
      <c r="Q632" s="112">
        <f ca="1">IFERROR(__xludf.DUMMYFUNCTION("""COMPUTED_VALUE"""),41178.7055555555)</f>
        <v>41178.705555555498</v>
      </c>
      <c r="R632" s="111">
        <f ca="1">IFERROR(__xludf.DUMMYFUNCTION("""COMPUTED_VALUE"""),25.76)</f>
        <v>25.76</v>
      </c>
      <c r="S632" s="112">
        <f ca="1">IFERROR(__xludf.DUMMYFUNCTION("""COMPUTED_VALUE"""),41190.7055555555)</f>
        <v>41190.705555555498</v>
      </c>
      <c r="T632" s="111">
        <f ca="1">IFERROR(__xludf.DUMMYFUNCTION("""COMPUTED_VALUE"""),11.17)</f>
        <v>11.17</v>
      </c>
    </row>
    <row r="633" spans="1:20" x14ac:dyDescent="0.3">
      <c r="A633" s="112">
        <f ca="1">IFERROR(__xludf.DUMMYFUNCTION("""COMPUTED_VALUE"""),41187.7055555555)</f>
        <v>41187.705555555498</v>
      </c>
      <c r="B633" s="111">
        <f ca="1">IFERROR(__xludf.DUMMYFUNCTION("""COMPUTED_VALUE"""),11.75)</f>
        <v>11.75</v>
      </c>
      <c r="C633" s="112">
        <f ca="1">IFERROR(__xludf.DUMMYFUNCTION("""COMPUTED_VALUE"""),41193.7055555555)</f>
        <v>41193.705555555498</v>
      </c>
      <c r="D633" s="111">
        <f ca="1">IFERROR(__xludf.DUMMYFUNCTION("""COMPUTED_VALUE"""),14.85)</f>
        <v>14.85</v>
      </c>
      <c r="E633" s="112">
        <f ca="1">IFERROR(__xludf.DUMMYFUNCTION("""COMPUTED_VALUE"""),41197.7055555555)</f>
        <v>41197.705555555498</v>
      </c>
      <c r="F633" s="111">
        <f ca="1">IFERROR(__xludf.DUMMYFUNCTION("""COMPUTED_VALUE"""),5.78)</f>
        <v>5.78</v>
      </c>
      <c r="G633" s="112">
        <f ca="1">IFERROR(__xludf.DUMMYFUNCTION("""COMPUTED_VALUE"""),41187.7055555555)</f>
        <v>41187.705555555498</v>
      </c>
      <c r="H633" s="111">
        <f ca="1">IFERROR(__xludf.DUMMYFUNCTION("""COMPUTED_VALUE"""),22.25)</f>
        <v>22.25</v>
      </c>
      <c r="K633" s="112">
        <f ca="1">IFERROR(__xludf.DUMMYFUNCTION("""COMPUTED_VALUE"""),41646.7055555555)</f>
        <v>41646.705555555498</v>
      </c>
      <c r="L633" s="111">
        <f ca="1">IFERROR(__xludf.DUMMYFUNCTION("""COMPUTED_VALUE"""),0.25)</f>
        <v>0.25</v>
      </c>
      <c r="M633" s="112">
        <f ca="1">IFERROR(__xludf.DUMMYFUNCTION("""COMPUTED_VALUE"""),41107.7055555555)</f>
        <v>41107.705555555498</v>
      </c>
      <c r="N633" s="111">
        <f ca="1">IFERROR(__xludf.DUMMYFUNCTION("""COMPUTED_VALUE"""),11.68)</f>
        <v>11.68</v>
      </c>
      <c r="O633" s="112">
        <f ca="1">IFERROR(__xludf.DUMMYFUNCTION("""COMPUTED_VALUE"""),41183.7055555555)</f>
        <v>41183.705555555498</v>
      </c>
      <c r="P633" s="111">
        <f ca="1">IFERROR(__xludf.DUMMYFUNCTION("""COMPUTED_VALUE"""),36.33)</f>
        <v>36.33</v>
      </c>
      <c r="Q633" s="112">
        <f ca="1">IFERROR(__xludf.DUMMYFUNCTION("""COMPUTED_VALUE"""),41179.7055555555)</f>
        <v>41179.705555555498</v>
      </c>
      <c r="R633" s="111">
        <f ca="1">IFERROR(__xludf.DUMMYFUNCTION("""COMPUTED_VALUE"""),25.8)</f>
        <v>25.8</v>
      </c>
      <c r="S633" s="112">
        <f ca="1">IFERROR(__xludf.DUMMYFUNCTION("""COMPUTED_VALUE"""),41191.7055555555)</f>
        <v>41191.705555555498</v>
      </c>
      <c r="T633" s="111">
        <f ca="1">IFERROR(__xludf.DUMMYFUNCTION("""COMPUTED_VALUE"""),11.21)</f>
        <v>11.21</v>
      </c>
    </row>
    <row r="634" spans="1:20" x14ac:dyDescent="0.3">
      <c r="A634" s="112">
        <f ca="1">IFERROR(__xludf.DUMMYFUNCTION("""COMPUTED_VALUE"""),41190.7055555555)</f>
        <v>41190.705555555498</v>
      </c>
      <c r="B634" s="111">
        <f ca="1">IFERROR(__xludf.DUMMYFUNCTION("""COMPUTED_VALUE"""),11.75)</f>
        <v>11.75</v>
      </c>
      <c r="C634" s="112">
        <f ca="1">IFERROR(__xludf.DUMMYFUNCTION("""COMPUTED_VALUE"""),41197.7055555555)</f>
        <v>41197.705555555498</v>
      </c>
      <c r="D634" s="111">
        <f ca="1">IFERROR(__xludf.DUMMYFUNCTION("""COMPUTED_VALUE"""),14.93)</f>
        <v>14.93</v>
      </c>
      <c r="E634" s="112">
        <f ca="1">IFERROR(__xludf.DUMMYFUNCTION("""COMPUTED_VALUE"""),41198.7055555555)</f>
        <v>41198.705555555498</v>
      </c>
      <c r="F634" s="111">
        <f ca="1">IFERROR(__xludf.DUMMYFUNCTION("""COMPUTED_VALUE"""),5.8)</f>
        <v>5.8</v>
      </c>
      <c r="G634" s="112">
        <f ca="1">IFERROR(__xludf.DUMMYFUNCTION("""COMPUTED_VALUE"""),41190.7055555555)</f>
        <v>41190.705555555498</v>
      </c>
      <c r="H634" s="111">
        <f ca="1">IFERROR(__xludf.DUMMYFUNCTION("""COMPUTED_VALUE"""),22.37)</f>
        <v>22.37</v>
      </c>
      <c r="K634" s="112">
        <f ca="1">IFERROR(__xludf.DUMMYFUNCTION("""COMPUTED_VALUE"""),41647.7055555555)</f>
        <v>41647.705555555498</v>
      </c>
      <c r="L634" s="111">
        <f ca="1">IFERROR(__xludf.DUMMYFUNCTION("""COMPUTED_VALUE"""),0.26)</f>
        <v>0.26</v>
      </c>
      <c r="M634" s="112">
        <f ca="1">IFERROR(__xludf.DUMMYFUNCTION("""COMPUTED_VALUE"""),41108.7055555555)</f>
        <v>41108.705555555498</v>
      </c>
      <c r="N634" s="111">
        <f ca="1">IFERROR(__xludf.DUMMYFUNCTION("""COMPUTED_VALUE"""),11.88)</f>
        <v>11.88</v>
      </c>
      <c r="O634" s="112">
        <f ca="1">IFERROR(__xludf.DUMMYFUNCTION("""COMPUTED_VALUE"""),41184.7055555555)</f>
        <v>41184.705555555498</v>
      </c>
      <c r="P634" s="111">
        <f ca="1">IFERROR(__xludf.DUMMYFUNCTION("""COMPUTED_VALUE"""),36.19)</f>
        <v>36.19</v>
      </c>
      <c r="Q634" s="112">
        <f ca="1">IFERROR(__xludf.DUMMYFUNCTION("""COMPUTED_VALUE"""),41180.7055555555)</f>
        <v>41180.705555555498</v>
      </c>
      <c r="R634" s="111">
        <f ca="1">IFERROR(__xludf.DUMMYFUNCTION("""COMPUTED_VALUE"""),24.8)</f>
        <v>24.8</v>
      </c>
      <c r="S634" s="112">
        <f ca="1">IFERROR(__xludf.DUMMYFUNCTION("""COMPUTED_VALUE"""),41192.7055555555)</f>
        <v>41192.705555555498</v>
      </c>
      <c r="T634" s="111">
        <f ca="1">IFERROR(__xludf.DUMMYFUNCTION("""COMPUTED_VALUE"""),11.42)</f>
        <v>11.42</v>
      </c>
    </row>
    <row r="635" spans="1:20" x14ac:dyDescent="0.3">
      <c r="A635" s="112">
        <f ca="1">IFERROR(__xludf.DUMMYFUNCTION("""COMPUTED_VALUE"""),41191.7055555555)</f>
        <v>41191.705555555498</v>
      </c>
      <c r="B635" s="111">
        <f ca="1">IFERROR(__xludf.DUMMYFUNCTION("""COMPUTED_VALUE"""),11.65)</f>
        <v>11.65</v>
      </c>
      <c r="C635" s="112">
        <f ca="1">IFERROR(__xludf.DUMMYFUNCTION("""COMPUTED_VALUE"""),41198.7055555555)</f>
        <v>41198.705555555498</v>
      </c>
      <c r="D635" s="111">
        <f ca="1">IFERROR(__xludf.DUMMYFUNCTION("""COMPUTED_VALUE"""),14.98)</f>
        <v>14.98</v>
      </c>
      <c r="E635" s="112">
        <f ca="1">IFERROR(__xludf.DUMMYFUNCTION("""COMPUTED_VALUE"""),41199.7055555555)</f>
        <v>41199.705555555498</v>
      </c>
      <c r="F635" s="111">
        <f ca="1">IFERROR(__xludf.DUMMYFUNCTION("""COMPUTED_VALUE"""),5.76)</f>
        <v>5.76</v>
      </c>
      <c r="G635" s="112">
        <f ca="1">IFERROR(__xludf.DUMMYFUNCTION("""COMPUTED_VALUE"""),41191.7055555555)</f>
        <v>41191.705555555498</v>
      </c>
      <c r="H635" s="111">
        <f ca="1">IFERROR(__xludf.DUMMYFUNCTION("""COMPUTED_VALUE"""),22.22)</f>
        <v>22.22</v>
      </c>
      <c r="K635" s="112">
        <f ca="1">IFERROR(__xludf.DUMMYFUNCTION("""COMPUTED_VALUE"""),41648.7055555555)</f>
        <v>41648.705555555498</v>
      </c>
      <c r="L635" s="111">
        <f ca="1">IFERROR(__xludf.DUMMYFUNCTION("""COMPUTED_VALUE"""),0.26)</f>
        <v>0.26</v>
      </c>
      <c r="M635" s="112">
        <f ca="1">IFERROR(__xludf.DUMMYFUNCTION("""COMPUTED_VALUE"""),41109.7055555555)</f>
        <v>41109.705555555498</v>
      </c>
      <c r="N635" s="111">
        <f ca="1">IFERROR(__xludf.DUMMYFUNCTION("""COMPUTED_VALUE"""),12.02)</f>
        <v>12.02</v>
      </c>
      <c r="O635" s="112">
        <f ca="1">IFERROR(__xludf.DUMMYFUNCTION("""COMPUTED_VALUE"""),41185.7055555555)</f>
        <v>41185.705555555498</v>
      </c>
      <c r="P635" s="111">
        <f ca="1">IFERROR(__xludf.DUMMYFUNCTION("""COMPUTED_VALUE"""),35.7)</f>
        <v>35.700000000000003</v>
      </c>
      <c r="Q635" s="112">
        <f ca="1">IFERROR(__xludf.DUMMYFUNCTION("""COMPUTED_VALUE"""),41183.7055555555)</f>
        <v>41183.705555555498</v>
      </c>
      <c r="R635" s="111">
        <f ca="1">IFERROR(__xludf.DUMMYFUNCTION("""COMPUTED_VALUE"""),25)</f>
        <v>25</v>
      </c>
      <c r="S635" s="112">
        <f ca="1">IFERROR(__xludf.DUMMYFUNCTION("""COMPUTED_VALUE"""),41193.7055555555)</f>
        <v>41193.705555555498</v>
      </c>
      <c r="T635" s="111">
        <f ca="1">IFERROR(__xludf.DUMMYFUNCTION("""COMPUTED_VALUE"""),11.48)</f>
        <v>11.48</v>
      </c>
    </row>
    <row r="636" spans="1:20" x14ac:dyDescent="0.3">
      <c r="A636" s="112">
        <f ca="1">IFERROR(__xludf.DUMMYFUNCTION("""COMPUTED_VALUE"""),41192.7055555555)</f>
        <v>41192.705555555498</v>
      </c>
      <c r="B636" s="111">
        <f ca="1">IFERROR(__xludf.DUMMYFUNCTION("""COMPUTED_VALUE"""),11.59)</f>
        <v>11.59</v>
      </c>
      <c r="C636" s="112">
        <f ca="1">IFERROR(__xludf.DUMMYFUNCTION("""COMPUTED_VALUE"""),41199.7055555555)</f>
        <v>41199.705555555498</v>
      </c>
      <c r="D636" s="111">
        <f ca="1">IFERROR(__xludf.DUMMYFUNCTION("""COMPUTED_VALUE"""),14.94)</f>
        <v>14.94</v>
      </c>
      <c r="E636" s="112">
        <f ca="1">IFERROR(__xludf.DUMMYFUNCTION("""COMPUTED_VALUE"""),41200.7055555555)</f>
        <v>41200.705555555498</v>
      </c>
      <c r="F636" s="111">
        <f ca="1">IFERROR(__xludf.DUMMYFUNCTION("""COMPUTED_VALUE"""),5.79)</f>
        <v>5.79</v>
      </c>
      <c r="G636" s="112">
        <f ca="1">IFERROR(__xludf.DUMMYFUNCTION("""COMPUTED_VALUE"""),41192.7055555555)</f>
        <v>41192.705555555498</v>
      </c>
      <c r="H636" s="111">
        <f ca="1">IFERROR(__xludf.DUMMYFUNCTION("""COMPUTED_VALUE"""),22.12)</f>
        <v>22.12</v>
      </c>
      <c r="K636" s="112">
        <f ca="1">IFERROR(__xludf.DUMMYFUNCTION("""COMPUTED_VALUE"""),41649.7055555555)</f>
        <v>41649.705555555498</v>
      </c>
      <c r="L636" s="111">
        <f ca="1">IFERROR(__xludf.DUMMYFUNCTION("""COMPUTED_VALUE"""),0.25)</f>
        <v>0.25</v>
      </c>
      <c r="M636" s="112">
        <f ca="1">IFERROR(__xludf.DUMMYFUNCTION("""COMPUTED_VALUE"""),41110.7055555555)</f>
        <v>41110.705555555498</v>
      </c>
      <c r="N636" s="111">
        <f ca="1">IFERROR(__xludf.DUMMYFUNCTION("""COMPUTED_VALUE"""),11.96)</f>
        <v>11.96</v>
      </c>
      <c r="O636" s="112">
        <f ca="1">IFERROR(__xludf.DUMMYFUNCTION("""COMPUTED_VALUE"""),41186.7055555555)</f>
        <v>41186.705555555498</v>
      </c>
      <c r="P636" s="111">
        <f ca="1">IFERROR(__xludf.DUMMYFUNCTION("""COMPUTED_VALUE"""),36.1)</f>
        <v>36.1</v>
      </c>
      <c r="Q636" s="112">
        <f ca="1">IFERROR(__xludf.DUMMYFUNCTION("""COMPUTED_VALUE"""),41184.7055555555)</f>
        <v>41184.705555555498</v>
      </c>
      <c r="R636" s="111">
        <f ca="1">IFERROR(__xludf.DUMMYFUNCTION("""COMPUTED_VALUE"""),25.1)</f>
        <v>25.1</v>
      </c>
      <c r="S636" s="112">
        <f ca="1">IFERROR(__xludf.DUMMYFUNCTION("""COMPUTED_VALUE"""),41197.7055555555)</f>
        <v>41197.705555555498</v>
      </c>
      <c r="T636" s="111">
        <f ca="1">IFERROR(__xludf.DUMMYFUNCTION("""COMPUTED_VALUE"""),11.65)</f>
        <v>11.65</v>
      </c>
    </row>
    <row r="637" spans="1:20" x14ac:dyDescent="0.3">
      <c r="A637" s="112">
        <f ca="1">IFERROR(__xludf.DUMMYFUNCTION("""COMPUTED_VALUE"""),41193.7055555555)</f>
        <v>41193.705555555498</v>
      </c>
      <c r="B637" s="111">
        <f ca="1">IFERROR(__xludf.DUMMYFUNCTION("""COMPUTED_VALUE"""),11.63)</f>
        <v>11.63</v>
      </c>
      <c r="C637" s="112">
        <f ca="1">IFERROR(__xludf.DUMMYFUNCTION("""COMPUTED_VALUE"""),41200.7055555555)</f>
        <v>41200.705555555498</v>
      </c>
      <c r="D637" s="111">
        <f ca="1">IFERROR(__xludf.DUMMYFUNCTION("""COMPUTED_VALUE"""),14.94)</f>
        <v>14.94</v>
      </c>
      <c r="E637" s="112">
        <f ca="1">IFERROR(__xludf.DUMMYFUNCTION("""COMPUTED_VALUE"""),41201.7055555555)</f>
        <v>41201.705555555498</v>
      </c>
      <c r="F637" s="111">
        <f ca="1">IFERROR(__xludf.DUMMYFUNCTION("""COMPUTED_VALUE"""),5.76)</f>
        <v>5.76</v>
      </c>
      <c r="G637" s="112">
        <f ca="1">IFERROR(__xludf.DUMMYFUNCTION("""COMPUTED_VALUE"""),41193.7055555555)</f>
        <v>41193.705555555498</v>
      </c>
      <c r="H637" s="111">
        <f ca="1">IFERROR(__xludf.DUMMYFUNCTION("""COMPUTED_VALUE"""),22.5)</f>
        <v>22.5</v>
      </c>
      <c r="K637" s="112">
        <f ca="1">IFERROR(__xludf.DUMMYFUNCTION("""COMPUTED_VALUE"""),41652.7055555555)</f>
        <v>41652.705555555498</v>
      </c>
      <c r="L637" s="111">
        <f ca="1">IFERROR(__xludf.DUMMYFUNCTION("""COMPUTED_VALUE"""),0.26)</f>
        <v>0.26</v>
      </c>
      <c r="M637" s="112">
        <f ca="1">IFERROR(__xludf.DUMMYFUNCTION("""COMPUTED_VALUE"""),41113.7055555555)</f>
        <v>41113.705555555498</v>
      </c>
      <c r="N637" s="111">
        <f ca="1">IFERROR(__xludf.DUMMYFUNCTION("""COMPUTED_VALUE"""),11.39)</f>
        <v>11.39</v>
      </c>
      <c r="O637" s="112">
        <f ca="1">IFERROR(__xludf.DUMMYFUNCTION("""COMPUTED_VALUE"""),41187.7055555555)</f>
        <v>41187.705555555498</v>
      </c>
      <c r="P637" s="111">
        <f ca="1">IFERROR(__xludf.DUMMYFUNCTION("""COMPUTED_VALUE"""),35.91)</f>
        <v>35.909999999999997</v>
      </c>
      <c r="Q637" s="112">
        <f ca="1">IFERROR(__xludf.DUMMYFUNCTION("""COMPUTED_VALUE"""),41185.7055555555)</f>
        <v>41185.705555555498</v>
      </c>
      <c r="R637" s="111">
        <f ca="1">IFERROR(__xludf.DUMMYFUNCTION("""COMPUTED_VALUE"""),24.83)</f>
        <v>24.83</v>
      </c>
      <c r="S637" s="112">
        <f ca="1">IFERROR(__xludf.DUMMYFUNCTION("""COMPUTED_VALUE"""),41198.7055555555)</f>
        <v>41198.705555555498</v>
      </c>
      <c r="T637" s="111">
        <f ca="1">IFERROR(__xludf.DUMMYFUNCTION("""COMPUTED_VALUE"""),11.64)</f>
        <v>11.64</v>
      </c>
    </row>
    <row r="638" spans="1:20" x14ac:dyDescent="0.3">
      <c r="A638" s="112">
        <f ca="1">IFERROR(__xludf.DUMMYFUNCTION("""COMPUTED_VALUE"""),41197.7055555555)</f>
        <v>41197.705555555498</v>
      </c>
      <c r="B638" s="111">
        <f ca="1">IFERROR(__xludf.DUMMYFUNCTION("""COMPUTED_VALUE"""),11.8)</f>
        <v>11.8</v>
      </c>
      <c r="C638" s="112">
        <f ca="1">IFERROR(__xludf.DUMMYFUNCTION("""COMPUTED_VALUE"""),41201.7055555555)</f>
        <v>41201.705555555498</v>
      </c>
      <c r="D638" s="111">
        <f ca="1">IFERROR(__xludf.DUMMYFUNCTION("""COMPUTED_VALUE"""),14.78)</f>
        <v>14.78</v>
      </c>
      <c r="E638" s="112">
        <f ca="1">IFERROR(__xludf.DUMMYFUNCTION("""COMPUTED_VALUE"""),41204.7055555555)</f>
        <v>41204.705555555498</v>
      </c>
      <c r="F638" s="111">
        <f ca="1">IFERROR(__xludf.DUMMYFUNCTION("""COMPUTED_VALUE"""),5.69)</f>
        <v>5.69</v>
      </c>
      <c r="G638" s="112">
        <f ca="1">IFERROR(__xludf.DUMMYFUNCTION("""COMPUTED_VALUE"""),41197.7055555555)</f>
        <v>41197.705555555498</v>
      </c>
      <c r="H638" s="111">
        <f ca="1">IFERROR(__xludf.DUMMYFUNCTION("""COMPUTED_VALUE"""),22.8)</f>
        <v>22.8</v>
      </c>
      <c r="K638" s="112">
        <f ca="1">IFERROR(__xludf.DUMMYFUNCTION("""COMPUTED_VALUE"""),41653.7055555555)</f>
        <v>41653.705555555498</v>
      </c>
      <c r="L638" s="111">
        <f ca="1">IFERROR(__xludf.DUMMYFUNCTION("""COMPUTED_VALUE"""),0.26)</f>
        <v>0.26</v>
      </c>
      <c r="M638" s="112">
        <f ca="1">IFERROR(__xludf.DUMMYFUNCTION("""COMPUTED_VALUE"""),41114.7055555555)</f>
        <v>41114.705555555498</v>
      </c>
      <c r="N638" s="111">
        <f ca="1">IFERROR(__xludf.DUMMYFUNCTION("""COMPUTED_VALUE"""),11.5)</f>
        <v>11.5</v>
      </c>
      <c r="O638" s="112">
        <f ca="1">IFERROR(__xludf.DUMMYFUNCTION("""COMPUTED_VALUE"""),41190.7055555555)</f>
        <v>41190.705555555498</v>
      </c>
      <c r="P638" s="111">
        <f ca="1">IFERROR(__xludf.DUMMYFUNCTION("""COMPUTED_VALUE"""),37.19)</f>
        <v>37.19</v>
      </c>
      <c r="Q638" s="112">
        <f ca="1">IFERROR(__xludf.DUMMYFUNCTION("""COMPUTED_VALUE"""),41186.7055555555)</f>
        <v>41186.705555555498</v>
      </c>
      <c r="R638" s="111">
        <f ca="1">IFERROR(__xludf.DUMMYFUNCTION("""COMPUTED_VALUE"""),24.52)</f>
        <v>24.52</v>
      </c>
      <c r="S638" s="112">
        <f ca="1">IFERROR(__xludf.DUMMYFUNCTION("""COMPUTED_VALUE"""),41199.7055555555)</f>
        <v>41199.705555555498</v>
      </c>
      <c r="T638" s="111">
        <f ca="1">IFERROR(__xludf.DUMMYFUNCTION("""COMPUTED_VALUE"""),11.57)</f>
        <v>11.57</v>
      </c>
    </row>
    <row r="639" spans="1:20" x14ac:dyDescent="0.3">
      <c r="A639" s="112">
        <f ca="1">IFERROR(__xludf.DUMMYFUNCTION("""COMPUTED_VALUE"""),41198.7055555555)</f>
        <v>41198.705555555498</v>
      </c>
      <c r="B639" s="111">
        <f ca="1">IFERROR(__xludf.DUMMYFUNCTION("""COMPUTED_VALUE"""),11.76)</f>
        <v>11.76</v>
      </c>
      <c r="C639" s="112">
        <f ca="1">IFERROR(__xludf.DUMMYFUNCTION("""COMPUTED_VALUE"""),41204.7055555555)</f>
        <v>41204.705555555498</v>
      </c>
      <c r="D639" s="111">
        <f ca="1">IFERROR(__xludf.DUMMYFUNCTION("""COMPUTED_VALUE"""),14.79)</f>
        <v>14.79</v>
      </c>
      <c r="E639" s="112">
        <f ca="1">IFERROR(__xludf.DUMMYFUNCTION("""COMPUTED_VALUE"""),41205.7055555555)</f>
        <v>41205.705555555498</v>
      </c>
      <c r="F639" s="111">
        <f ca="1">IFERROR(__xludf.DUMMYFUNCTION("""COMPUTED_VALUE"""),5.51)</f>
        <v>5.51</v>
      </c>
      <c r="G639" s="112">
        <f ca="1">IFERROR(__xludf.DUMMYFUNCTION("""COMPUTED_VALUE"""),41198.7055555555)</f>
        <v>41198.705555555498</v>
      </c>
      <c r="H639" s="111">
        <f ca="1">IFERROR(__xludf.DUMMYFUNCTION("""COMPUTED_VALUE"""),22.8)</f>
        <v>22.8</v>
      </c>
      <c r="K639" s="112">
        <f ca="1">IFERROR(__xludf.DUMMYFUNCTION("""COMPUTED_VALUE"""),41654.7055555555)</f>
        <v>41654.705555555498</v>
      </c>
      <c r="L639" s="111">
        <f ca="1">IFERROR(__xludf.DUMMYFUNCTION("""COMPUTED_VALUE"""),0.26)</f>
        <v>0.26</v>
      </c>
      <c r="M639" s="112">
        <f ca="1">IFERROR(__xludf.DUMMYFUNCTION("""COMPUTED_VALUE"""),41115.7055555555)</f>
        <v>41115.705555555498</v>
      </c>
      <c r="N639" s="111">
        <f ca="1">IFERROR(__xludf.DUMMYFUNCTION("""COMPUTED_VALUE"""),11.55)</f>
        <v>11.55</v>
      </c>
      <c r="O639" s="112">
        <f ca="1">IFERROR(__xludf.DUMMYFUNCTION("""COMPUTED_VALUE"""),41191.7055555555)</f>
        <v>41191.705555555498</v>
      </c>
      <c r="P639" s="111">
        <f ca="1">IFERROR(__xludf.DUMMYFUNCTION("""COMPUTED_VALUE"""),37.3)</f>
        <v>37.299999999999997</v>
      </c>
      <c r="Q639" s="112">
        <f ca="1">IFERROR(__xludf.DUMMYFUNCTION("""COMPUTED_VALUE"""),41187.7055555555)</f>
        <v>41187.705555555498</v>
      </c>
      <c r="R639" s="111">
        <f ca="1">IFERROR(__xludf.DUMMYFUNCTION("""COMPUTED_VALUE"""),23.5)</f>
        <v>23.5</v>
      </c>
      <c r="S639" s="112">
        <f ca="1">IFERROR(__xludf.DUMMYFUNCTION("""COMPUTED_VALUE"""),41200.7055555555)</f>
        <v>41200.705555555498</v>
      </c>
      <c r="T639" s="111">
        <f ca="1">IFERROR(__xludf.DUMMYFUNCTION("""COMPUTED_VALUE"""),11.49)</f>
        <v>11.49</v>
      </c>
    </row>
    <row r="640" spans="1:20" x14ac:dyDescent="0.3">
      <c r="A640" s="112">
        <f ca="1">IFERROR(__xludf.DUMMYFUNCTION("""COMPUTED_VALUE"""),41199.7055555555)</f>
        <v>41199.705555555498</v>
      </c>
      <c r="B640" s="111">
        <f ca="1">IFERROR(__xludf.DUMMYFUNCTION("""COMPUTED_VALUE"""),11.53)</f>
        <v>11.53</v>
      </c>
      <c r="C640" s="112">
        <f ca="1">IFERROR(__xludf.DUMMYFUNCTION("""COMPUTED_VALUE"""),41205.7055555555)</f>
        <v>41205.705555555498</v>
      </c>
      <c r="D640" s="111">
        <f ca="1">IFERROR(__xludf.DUMMYFUNCTION("""COMPUTED_VALUE"""),14.23)</f>
        <v>14.23</v>
      </c>
      <c r="E640" s="112">
        <f ca="1">IFERROR(__xludf.DUMMYFUNCTION("""COMPUTED_VALUE"""),41206.7055555555)</f>
        <v>41206.705555555498</v>
      </c>
      <c r="F640" s="111">
        <f ca="1">IFERROR(__xludf.DUMMYFUNCTION("""COMPUTED_VALUE"""),5.76)</f>
        <v>5.76</v>
      </c>
      <c r="G640" s="112">
        <f ca="1">IFERROR(__xludf.DUMMYFUNCTION("""COMPUTED_VALUE"""),41199.7055555555)</f>
        <v>41199.705555555498</v>
      </c>
      <c r="H640" s="111">
        <f ca="1">IFERROR(__xludf.DUMMYFUNCTION("""COMPUTED_VALUE"""),22.65)</f>
        <v>22.65</v>
      </c>
      <c r="K640" s="112">
        <f ca="1">IFERROR(__xludf.DUMMYFUNCTION("""COMPUTED_VALUE"""),41655.7055555555)</f>
        <v>41655.705555555498</v>
      </c>
      <c r="L640" s="111">
        <f ca="1">IFERROR(__xludf.DUMMYFUNCTION("""COMPUTED_VALUE"""),0.26)</f>
        <v>0.26</v>
      </c>
      <c r="M640" s="112">
        <f ca="1">IFERROR(__xludf.DUMMYFUNCTION("""COMPUTED_VALUE"""),41116.7055555555)</f>
        <v>41116.705555555498</v>
      </c>
      <c r="N640" s="111">
        <f ca="1">IFERROR(__xludf.DUMMYFUNCTION("""COMPUTED_VALUE"""),11.62)</f>
        <v>11.62</v>
      </c>
      <c r="O640" s="112">
        <f ca="1">IFERROR(__xludf.DUMMYFUNCTION("""COMPUTED_VALUE"""),41192.7055555555)</f>
        <v>41192.705555555498</v>
      </c>
      <c r="P640" s="111">
        <f ca="1">IFERROR(__xludf.DUMMYFUNCTION("""COMPUTED_VALUE"""),36.9)</f>
        <v>36.9</v>
      </c>
      <c r="Q640" s="112">
        <f ca="1">IFERROR(__xludf.DUMMYFUNCTION("""COMPUTED_VALUE"""),41190.7055555555)</f>
        <v>41190.705555555498</v>
      </c>
      <c r="R640" s="111">
        <f ca="1">IFERROR(__xludf.DUMMYFUNCTION("""COMPUTED_VALUE"""),22.75)</f>
        <v>22.75</v>
      </c>
      <c r="S640" s="112">
        <f ca="1">IFERROR(__xludf.DUMMYFUNCTION("""COMPUTED_VALUE"""),41201.7055555555)</f>
        <v>41201.705555555498</v>
      </c>
      <c r="T640" s="111">
        <f ca="1">IFERROR(__xludf.DUMMYFUNCTION("""COMPUTED_VALUE"""),11.23)</f>
        <v>11.23</v>
      </c>
    </row>
    <row r="641" spans="1:20" x14ac:dyDescent="0.3">
      <c r="A641" s="112">
        <f ca="1">IFERROR(__xludf.DUMMYFUNCTION("""COMPUTED_VALUE"""),41200.7055555555)</f>
        <v>41200.705555555498</v>
      </c>
      <c r="B641" s="111">
        <f ca="1">IFERROR(__xludf.DUMMYFUNCTION("""COMPUTED_VALUE"""),11.8)</f>
        <v>11.8</v>
      </c>
      <c r="C641" s="112">
        <f ca="1">IFERROR(__xludf.DUMMYFUNCTION("""COMPUTED_VALUE"""),41206.7055555555)</f>
        <v>41206.705555555498</v>
      </c>
      <c r="D641" s="111">
        <f ca="1">IFERROR(__xludf.DUMMYFUNCTION("""COMPUTED_VALUE"""),14.82)</f>
        <v>14.82</v>
      </c>
      <c r="E641" s="112">
        <f ca="1">IFERROR(__xludf.DUMMYFUNCTION("""COMPUTED_VALUE"""),41207.7055555555)</f>
        <v>41207.705555555498</v>
      </c>
      <c r="F641" s="111">
        <f ca="1">IFERROR(__xludf.DUMMYFUNCTION("""COMPUTED_VALUE"""),5.84)</f>
        <v>5.84</v>
      </c>
      <c r="G641" s="112">
        <f ca="1">IFERROR(__xludf.DUMMYFUNCTION("""COMPUTED_VALUE"""),41200.7055555555)</f>
        <v>41200.705555555498</v>
      </c>
      <c r="H641" s="111">
        <f ca="1">IFERROR(__xludf.DUMMYFUNCTION("""COMPUTED_VALUE"""),22.5)</f>
        <v>22.5</v>
      </c>
      <c r="K641" s="112">
        <f ca="1">IFERROR(__xludf.DUMMYFUNCTION("""COMPUTED_VALUE"""),41656.7055555555)</f>
        <v>41656.705555555498</v>
      </c>
      <c r="L641" s="111">
        <f ca="1">IFERROR(__xludf.DUMMYFUNCTION("""COMPUTED_VALUE"""),0.26)</f>
        <v>0.26</v>
      </c>
      <c r="M641" s="112">
        <f ca="1">IFERROR(__xludf.DUMMYFUNCTION("""COMPUTED_VALUE"""),41117.7055555555)</f>
        <v>41117.705555555498</v>
      </c>
      <c r="N641" s="111">
        <f ca="1">IFERROR(__xludf.DUMMYFUNCTION("""COMPUTED_VALUE"""),12.27)</f>
        <v>12.27</v>
      </c>
      <c r="O641" s="112">
        <f ca="1">IFERROR(__xludf.DUMMYFUNCTION("""COMPUTED_VALUE"""),41193.7055555555)</f>
        <v>41193.705555555498</v>
      </c>
      <c r="P641" s="111">
        <f ca="1">IFERROR(__xludf.DUMMYFUNCTION("""COMPUTED_VALUE"""),37.4)</f>
        <v>37.4</v>
      </c>
      <c r="Q641" s="112">
        <f ca="1">IFERROR(__xludf.DUMMYFUNCTION("""COMPUTED_VALUE"""),41191.7055555555)</f>
        <v>41191.705555555498</v>
      </c>
      <c r="R641" s="111">
        <f ca="1">IFERROR(__xludf.DUMMYFUNCTION("""COMPUTED_VALUE"""),22.77)</f>
        <v>22.77</v>
      </c>
      <c r="S641" s="112">
        <f ca="1">IFERROR(__xludf.DUMMYFUNCTION("""COMPUTED_VALUE"""),41204.7055555555)</f>
        <v>41204.705555555498</v>
      </c>
      <c r="T641" s="111">
        <f ca="1">IFERROR(__xludf.DUMMYFUNCTION("""COMPUTED_VALUE"""),11.19)</f>
        <v>11.19</v>
      </c>
    </row>
    <row r="642" spans="1:20" x14ac:dyDescent="0.3">
      <c r="A642" s="112">
        <f ca="1">IFERROR(__xludf.DUMMYFUNCTION("""COMPUTED_VALUE"""),41201.7055555555)</f>
        <v>41201.705555555498</v>
      </c>
      <c r="B642" s="111">
        <f ca="1">IFERROR(__xludf.DUMMYFUNCTION("""COMPUTED_VALUE"""),11.78)</f>
        <v>11.78</v>
      </c>
      <c r="C642" s="112">
        <f ca="1">IFERROR(__xludf.DUMMYFUNCTION("""COMPUTED_VALUE"""),41207.7055555555)</f>
        <v>41207.705555555498</v>
      </c>
      <c r="D642" s="111">
        <f ca="1">IFERROR(__xludf.DUMMYFUNCTION("""COMPUTED_VALUE"""),15.03)</f>
        <v>15.03</v>
      </c>
      <c r="E642" s="112">
        <f ca="1">IFERROR(__xludf.DUMMYFUNCTION("""COMPUTED_VALUE"""),41208.7055555555)</f>
        <v>41208.705555555498</v>
      </c>
      <c r="F642" s="111">
        <f ca="1">IFERROR(__xludf.DUMMYFUNCTION("""COMPUTED_VALUE"""),5.73)</f>
        <v>5.73</v>
      </c>
      <c r="G642" s="112">
        <f ca="1">IFERROR(__xludf.DUMMYFUNCTION("""COMPUTED_VALUE"""),41201.7055555555)</f>
        <v>41201.705555555498</v>
      </c>
      <c r="H642" s="111">
        <f ca="1">IFERROR(__xludf.DUMMYFUNCTION("""COMPUTED_VALUE"""),22.25)</f>
        <v>22.25</v>
      </c>
      <c r="K642" s="112">
        <f ca="1">IFERROR(__xludf.DUMMYFUNCTION("""COMPUTED_VALUE"""),41659.7055555555)</f>
        <v>41659.705555555498</v>
      </c>
      <c r="L642" s="111">
        <f ca="1">IFERROR(__xludf.DUMMYFUNCTION("""COMPUTED_VALUE"""),0.26)</f>
        <v>0.26</v>
      </c>
      <c r="M642" s="112">
        <f ca="1">IFERROR(__xludf.DUMMYFUNCTION("""COMPUTED_VALUE"""),41120.7055555555)</f>
        <v>41120.705555555498</v>
      </c>
      <c r="N642" s="111">
        <f ca="1">IFERROR(__xludf.DUMMYFUNCTION("""COMPUTED_VALUE"""),12.42)</f>
        <v>12.42</v>
      </c>
      <c r="O642" s="112">
        <f ca="1">IFERROR(__xludf.DUMMYFUNCTION("""COMPUTED_VALUE"""),41197.7055555555)</f>
        <v>41197.705555555498</v>
      </c>
      <c r="P642" s="111">
        <f ca="1">IFERROR(__xludf.DUMMYFUNCTION("""COMPUTED_VALUE"""),37.4)</f>
        <v>37.4</v>
      </c>
      <c r="Q642" s="112">
        <f ca="1">IFERROR(__xludf.DUMMYFUNCTION("""COMPUTED_VALUE"""),41192.7055555555)</f>
        <v>41192.705555555498</v>
      </c>
      <c r="R642" s="111">
        <f ca="1">IFERROR(__xludf.DUMMYFUNCTION("""COMPUTED_VALUE"""),22.44)</f>
        <v>22.44</v>
      </c>
      <c r="S642" s="112">
        <f ca="1">IFERROR(__xludf.DUMMYFUNCTION("""COMPUTED_VALUE"""),41205.7055555555)</f>
        <v>41205.705555555498</v>
      </c>
      <c r="T642" s="111">
        <f ca="1">IFERROR(__xludf.DUMMYFUNCTION("""COMPUTED_VALUE"""),11.1)</f>
        <v>11.1</v>
      </c>
    </row>
    <row r="643" spans="1:20" x14ac:dyDescent="0.3">
      <c r="A643" s="112">
        <f ca="1">IFERROR(__xludf.DUMMYFUNCTION("""COMPUTED_VALUE"""),41204.7055555555)</f>
        <v>41204.705555555498</v>
      </c>
      <c r="B643" s="111">
        <f ca="1">IFERROR(__xludf.DUMMYFUNCTION("""COMPUTED_VALUE"""),11.91)</f>
        <v>11.91</v>
      </c>
      <c r="C643" s="112">
        <f ca="1">IFERROR(__xludf.DUMMYFUNCTION("""COMPUTED_VALUE"""),41208.7055555555)</f>
        <v>41208.705555555498</v>
      </c>
      <c r="D643" s="111">
        <f ca="1">IFERROR(__xludf.DUMMYFUNCTION("""COMPUTED_VALUE"""),14.88)</f>
        <v>14.88</v>
      </c>
      <c r="E643" s="112">
        <f ca="1">IFERROR(__xludf.DUMMYFUNCTION("""COMPUTED_VALUE"""),41211.7055555555)</f>
        <v>41211.705555555498</v>
      </c>
      <c r="F643" s="111">
        <f ca="1">IFERROR(__xludf.DUMMYFUNCTION("""COMPUTED_VALUE"""),5.78)</f>
        <v>5.78</v>
      </c>
      <c r="G643" s="112">
        <f ca="1">IFERROR(__xludf.DUMMYFUNCTION("""COMPUTED_VALUE"""),41204.7055555555)</f>
        <v>41204.705555555498</v>
      </c>
      <c r="H643" s="111">
        <f ca="1">IFERROR(__xludf.DUMMYFUNCTION("""COMPUTED_VALUE"""),22.25)</f>
        <v>22.25</v>
      </c>
      <c r="K643" s="112">
        <f ca="1">IFERROR(__xludf.DUMMYFUNCTION("""COMPUTED_VALUE"""),41660.7055555555)</f>
        <v>41660.705555555498</v>
      </c>
      <c r="L643" s="111">
        <f ca="1">IFERROR(__xludf.DUMMYFUNCTION("""COMPUTED_VALUE"""),0.25)</f>
        <v>0.25</v>
      </c>
      <c r="M643" s="112">
        <f ca="1">IFERROR(__xludf.DUMMYFUNCTION("""COMPUTED_VALUE"""),41121.7055555555)</f>
        <v>41121.705555555498</v>
      </c>
      <c r="N643" s="111">
        <f ca="1">IFERROR(__xludf.DUMMYFUNCTION("""COMPUTED_VALUE"""),12.39)</f>
        <v>12.39</v>
      </c>
      <c r="O643" s="112">
        <f ca="1">IFERROR(__xludf.DUMMYFUNCTION("""COMPUTED_VALUE"""),41198.7055555555)</f>
        <v>41198.705555555498</v>
      </c>
      <c r="P643" s="111">
        <f ca="1">IFERROR(__xludf.DUMMYFUNCTION("""COMPUTED_VALUE"""),36.92)</f>
        <v>36.92</v>
      </c>
      <c r="Q643" s="112">
        <f ca="1">IFERROR(__xludf.DUMMYFUNCTION("""COMPUTED_VALUE"""),41193.7055555555)</f>
        <v>41193.705555555498</v>
      </c>
      <c r="R643" s="111">
        <f ca="1">IFERROR(__xludf.DUMMYFUNCTION("""COMPUTED_VALUE"""),23.11)</f>
        <v>23.11</v>
      </c>
      <c r="S643" s="112">
        <f ca="1">IFERROR(__xludf.DUMMYFUNCTION("""COMPUTED_VALUE"""),41206.7055555555)</f>
        <v>41206.705555555498</v>
      </c>
      <c r="T643" s="111">
        <f ca="1">IFERROR(__xludf.DUMMYFUNCTION("""COMPUTED_VALUE"""),10.99)</f>
        <v>10.99</v>
      </c>
    </row>
    <row r="644" spans="1:20" x14ac:dyDescent="0.3">
      <c r="A644" s="112">
        <f ca="1">IFERROR(__xludf.DUMMYFUNCTION("""COMPUTED_VALUE"""),41205.7055555555)</f>
        <v>41205.705555555498</v>
      </c>
      <c r="B644" s="111">
        <f ca="1">IFERROR(__xludf.DUMMYFUNCTION("""COMPUTED_VALUE"""),11.77)</f>
        <v>11.77</v>
      </c>
      <c r="C644" s="112">
        <f ca="1">IFERROR(__xludf.DUMMYFUNCTION("""COMPUTED_VALUE"""),41211.7055555555)</f>
        <v>41211.705555555498</v>
      </c>
      <c r="D644" s="111">
        <f ca="1">IFERROR(__xludf.DUMMYFUNCTION("""COMPUTED_VALUE"""),14.83)</f>
        <v>14.83</v>
      </c>
      <c r="E644" s="112">
        <f ca="1">IFERROR(__xludf.DUMMYFUNCTION("""COMPUTED_VALUE"""),41212.7055555555)</f>
        <v>41212.705555555498</v>
      </c>
      <c r="F644" s="111">
        <f ca="1">IFERROR(__xludf.DUMMYFUNCTION("""COMPUTED_VALUE"""),5.83)</f>
        <v>5.83</v>
      </c>
      <c r="G644" s="112">
        <f ca="1">IFERROR(__xludf.DUMMYFUNCTION("""COMPUTED_VALUE"""),41205.7055555555)</f>
        <v>41205.705555555498</v>
      </c>
      <c r="H644" s="111">
        <f ca="1">IFERROR(__xludf.DUMMYFUNCTION("""COMPUTED_VALUE"""),21.67)</f>
        <v>21.67</v>
      </c>
      <c r="K644" s="112">
        <f ca="1">IFERROR(__xludf.DUMMYFUNCTION("""COMPUTED_VALUE"""),41661.7055555555)</f>
        <v>41661.705555555498</v>
      </c>
      <c r="L644" s="111">
        <f ca="1">IFERROR(__xludf.DUMMYFUNCTION("""COMPUTED_VALUE"""),0.27)</f>
        <v>0.27</v>
      </c>
      <c r="M644" s="112">
        <f ca="1">IFERROR(__xludf.DUMMYFUNCTION("""COMPUTED_VALUE"""),41122.7055555555)</f>
        <v>41122.705555555498</v>
      </c>
      <c r="N644" s="111">
        <f ca="1">IFERROR(__xludf.DUMMYFUNCTION("""COMPUTED_VALUE"""),12.45)</f>
        <v>12.45</v>
      </c>
      <c r="O644" s="112">
        <f ca="1">IFERROR(__xludf.DUMMYFUNCTION("""COMPUTED_VALUE"""),41199.7055555555)</f>
        <v>41199.705555555498</v>
      </c>
      <c r="P644" s="111">
        <f ca="1">IFERROR(__xludf.DUMMYFUNCTION("""COMPUTED_VALUE"""),37.76)</f>
        <v>37.76</v>
      </c>
      <c r="Q644" s="112">
        <f ca="1">IFERROR(__xludf.DUMMYFUNCTION("""COMPUTED_VALUE"""),41197.7055555555)</f>
        <v>41197.705555555498</v>
      </c>
      <c r="R644" s="111">
        <f ca="1">IFERROR(__xludf.DUMMYFUNCTION("""COMPUTED_VALUE"""),23.1)</f>
        <v>23.1</v>
      </c>
      <c r="S644" s="112">
        <f ca="1">IFERROR(__xludf.DUMMYFUNCTION("""COMPUTED_VALUE"""),41207.7055555555)</f>
        <v>41207.705555555498</v>
      </c>
      <c r="T644" s="111">
        <f ca="1">IFERROR(__xludf.DUMMYFUNCTION("""COMPUTED_VALUE"""),10.82)</f>
        <v>10.82</v>
      </c>
    </row>
    <row r="645" spans="1:20" x14ac:dyDescent="0.3">
      <c r="A645" s="112">
        <f ca="1">IFERROR(__xludf.DUMMYFUNCTION("""COMPUTED_VALUE"""),41206.7055555555)</f>
        <v>41206.705555555498</v>
      </c>
      <c r="B645" s="111">
        <f ca="1">IFERROR(__xludf.DUMMYFUNCTION("""COMPUTED_VALUE"""),11.49)</f>
        <v>11.49</v>
      </c>
      <c r="C645" s="112">
        <f ca="1">IFERROR(__xludf.DUMMYFUNCTION("""COMPUTED_VALUE"""),41212.7055555555)</f>
        <v>41212.705555555498</v>
      </c>
      <c r="D645" s="111">
        <f ca="1">IFERROR(__xludf.DUMMYFUNCTION("""COMPUTED_VALUE"""),15.01)</f>
        <v>15.01</v>
      </c>
      <c r="E645" s="112">
        <f ca="1">IFERROR(__xludf.DUMMYFUNCTION("""COMPUTED_VALUE"""),41213.7055555555)</f>
        <v>41213.705555555498</v>
      </c>
      <c r="F645" s="111">
        <f ca="1">IFERROR(__xludf.DUMMYFUNCTION("""COMPUTED_VALUE"""),5.79)</f>
        <v>5.79</v>
      </c>
      <c r="G645" s="112">
        <f ca="1">IFERROR(__xludf.DUMMYFUNCTION("""COMPUTED_VALUE"""),41206.7055555555)</f>
        <v>41206.705555555498</v>
      </c>
      <c r="H645" s="111">
        <f ca="1">IFERROR(__xludf.DUMMYFUNCTION("""COMPUTED_VALUE"""),21.54)</f>
        <v>21.54</v>
      </c>
      <c r="K645" s="112">
        <f ca="1">IFERROR(__xludf.DUMMYFUNCTION("""COMPUTED_VALUE"""),41662.7055555555)</f>
        <v>41662.705555555498</v>
      </c>
      <c r="L645" s="111">
        <f ca="1">IFERROR(__xludf.DUMMYFUNCTION("""COMPUTED_VALUE"""),0.27)</f>
        <v>0.27</v>
      </c>
      <c r="M645" s="112">
        <f ca="1">IFERROR(__xludf.DUMMYFUNCTION("""COMPUTED_VALUE"""),41123.7055555555)</f>
        <v>41123.705555555498</v>
      </c>
      <c r="N645" s="111">
        <f ca="1">IFERROR(__xludf.DUMMYFUNCTION("""COMPUTED_VALUE"""),12.3)</f>
        <v>12.3</v>
      </c>
      <c r="O645" s="112">
        <f ca="1">IFERROR(__xludf.DUMMYFUNCTION("""COMPUTED_VALUE"""),41200.7055555555)</f>
        <v>41200.705555555498</v>
      </c>
      <c r="P645" s="111">
        <f ca="1">IFERROR(__xludf.DUMMYFUNCTION("""COMPUTED_VALUE"""),37.4)</f>
        <v>37.4</v>
      </c>
      <c r="Q645" s="112">
        <f ca="1">IFERROR(__xludf.DUMMYFUNCTION("""COMPUTED_VALUE"""),41198.7055555555)</f>
        <v>41198.705555555498</v>
      </c>
      <c r="R645" s="111">
        <f ca="1">IFERROR(__xludf.DUMMYFUNCTION("""COMPUTED_VALUE"""),22.8)</f>
        <v>22.8</v>
      </c>
      <c r="S645" s="112">
        <f ca="1">IFERROR(__xludf.DUMMYFUNCTION("""COMPUTED_VALUE"""),41208.7055555555)</f>
        <v>41208.705555555498</v>
      </c>
      <c r="T645" s="111">
        <f ca="1">IFERROR(__xludf.DUMMYFUNCTION("""COMPUTED_VALUE"""),10.88)</f>
        <v>10.88</v>
      </c>
    </row>
    <row r="646" spans="1:20" x14ac:dyDescent="0.3">
      <c r="A646" s="112">
        <f ca="1">IFERROR(__xludf.DUMMYFUNCTION("""COMPUTED_VALUE"""),41207.7055555555)</f>
        <v>41207.705555555498</v>
      </c>
      <c r="B646" s="111">
        <f ca="1">IFERROR(__xludf.DUMMYFUNCTION("""COMPUTED_VALUE"""),11.51)</f>
        <v>11.51</v>
      </c>
      <c r="C646" s="112">
        <f ca="1">IFERROR(__xludf.DUMMYFUNCTION("""COMPUTED_VALUE"""),41213.7055555555)</f>
        <v>41213.705555555498</v>
      </c>
      <c r="D646" s="111">
        <f ca="1">IFERROR(__xludf.DUMMYFUNCTION("""COMPUTED_VALUE"""),14.87)</f>
        <v>14.87</v>
      </c>
      <c r="E646" s="112">
        <f ca="1">IFERROR(__xludf.DUMMYFUNCTION("""COMPUTED_VALUE"""),41214.7055555555)</f>
        <v>41214.705555555498</v>
      </c>
      <c r="F646" s="111">
        <f ca="1">IFERROR(__xludf.DUMMYFUNCTION("""COMPUTED_VALUE"""),6.05)</f>
        <v>6.05</v>
      </c>
      <c r="G646" s="112">
        <f ca="1">IFERROR(__xludf.DUMMYFUNCTION("""COMPUTED_VALUE"""),41207.7055555555)</f>
        <v>41207.705555555498</v>
      </c>
      <c r="H646" s="111">
        <f ca="1">IFERROR(__xludf.DUMMYFUNCTION("""COMPUTED_VALUE"""),21.75)</f>
        <v>21.75</v>
      </c>
      <c r="K646" s="112">
        <f ca="1">IFERROR(__xludf.DUMMYFUNCTION("""COMPUTED_VALUE"""),41663.7055555555)</f>
        <v>41663.705555555498</v>
      </c>
      <c r="L646" s="111">
        <f ca="1">IFERROR(__xludf.DUMMYFUNCTION("""COMPUTED_VALUE"""),0.26)</f>
        <v>0.26</v>
      </c>
      <c r="M646" s="112">
        <f ca="1">IFERROR(__xludf.DUMMYFUNCTION("""COMPUTED_VALUE"""),41124.7055555555)</f>
        <v>41124.705555555498</v>
      </c>
      <c r="N646" s="111">
        <f ca="1">IFERROR(__xludf.DUMMYFUNCTION("""COMPUTED_VALUE"""),12.65)</f>
        <v>12.65</v>
      </c>
      <c r="O646" s="112">
        <f ca="1">IFERROR(__xludf.DUMMYFUNCTION("""COMPUTED_VALUE"""),41201.7055555555)</f>
        <v>41201.705555555498</v>
      </c>
      <c r="P646" s="111">
        <f ca="1">IFERROR(__xludf.DUMMYFUNCTION("""COMPUTED_VALUE"""),36.6)</f>
        <v>36.6</v>
      </c>
      <c r="Q646" s="112">
        <f ca="1">IFERROR(__xludf.DUMMYFUNCTION("""COMPUTED_VALUE"""),41199.7055555555)</f>
        <v>41199.705555555498</v>
      </c>
      <c r="R646" s="111">
        <f ca="1">IFERROR(__xludf.DUMMYFUNCTION("""COMPUTED_VALUE"""),23.02)</f>
        <v>23.02</v>
      </c>
      <c r="S646" s="112">
        <f ca="1">IFERROR(__xludf.DUMMYFUNCTION("""COMPUTED_VALUE"""),41211.7055555555)</f>
        <v>41211.705555555498</v>
      </c>
      <c r="T646" s="111">
        <f ca="1">IFERROR(__xludf.DUMMYFUNCTION("""COMPUTED_VALUE"""),10.91)</f>
        <v>10.91</v>
      </c>
    </row>
    <row r="647" spans="1:20" x14ac:dyDescent="0.3">
      <c r="A647" s="112">
        <f ca="1">IFERROR(__xludf.DUMMYFUNCTION("""COMPUTED_VALUE"""),41208.7055555555)</f>
        <v>41208.705555555498</v>
      </c>
      <c r="B647" s="111">
        <f ca="1">IFERROR(__xludf.DUMMYFUNCTION("""COMPUTED_VALUE"""),11.41)</f>
        <v>11.41</v>
      </c>
      <c r="C647" s="112">
        <f ca="1">IFERROR(__xludf.DUMMYFUNCTION("""COMPUTED_VALUE"""),41214.7055555555)</f>
        <v>41214.705555555498</v>
      </c>
      <c r="D647" s="111">
        <f ca="1">IFERROR(__xludf.DUMMYFUNCTION("""COMPUTED_VALUE"""),15.53)</f>
        <v>15.53</v>
      </c>
      <c r="E647" s="112">
        <f ca="1">IFERROR(__xludf.DUMMYFUNCTION("""COMPUTED_VALUE"""),41218.7055555555)</f>
        <v>41218.705555555498</v>
      </c>
      <c r="F647" s="111">
        <f ca="1">IFERROR(__xludf.DUMMYFUNCTION("""COMPUTED_VALUE"""),6.02)</f>
        <v>6.02</v>
      </c>
      <c r="G647" s="112">
        <f ca="1">IFERROR(__xludf.DUMMYFUNCTION("""COMPUTED_VALUE"""),41208.7055555555)</f>
        <v>41208.705555555498</v>
      </c>
      <c r="H647" s="111">
        <f ca="1">IFERROR(__xludf.DUMMYFUNCTION("""COMPUTED_VALUE"""),22.25)</f>
        <v>22.25</v>
      </c>
      <c r="K647" s="112">
        <f ca="1">IFERROR(__xludf.DUMMYFUNCTION("""COMPUTED_VALUE"""),41666.7055555555)</f>
        <v>41666.705555555498</v>
      </c>
      <c r="L647" s="111">
        <f ca="1">IFERROR(__xludf.DUMMYFUNCTION("""COMPUTED_VALUE"""),0.26)</f>
        <v>0.26</v>
      </c>
      <c r="M647" s="112">
        <f ca="1">IFERROR(__xludf.DUMMYFUNCTION("""COMPUTED_VALUE"""),41127.7055555555)</f>
        <v>41127.705555555498</v>
      </c>
      <c r="N647" s="111">
        <f ca="1">IFERROR(__xludf.DUMMYFUNCTION("""COMPUTED_VALUE"""),12.95)</f>
        <v>12.95</v>
      </c>
      <c r="O647" s="112">
        <f ca="1">IFERROR(__xludf.DUMMYFUNCTION("""COMPUTED_VALUE"""),41204.7055555555)</f>
        <v>41204.705555555498</v>
      </c>
      <c r="P647" s="111">
        <f ca="1">IFERROR(__xludf.DUMMYFUNCTION("""COMPUTED_VALUE"""),36.86)</f>
        <v>36.86</v>
      </c>
      <c r="Q647" s="112">
        <f ca="1">IFERROR(__xludf.DUMMYFUNCTION("""COMPUTED_VALUE"""),41200.7055555555)</f>
        <v>41200.705555555498</v>
      </c>
      <c r="R647" s="111">
        <f ca="1">IFERROR(__xludf.DUMMYFUNCTION("""COMPUTED_VALUE"""),22.9)</f>
        <v>22.9</v>
      </c>
      <c r="S647" s="112">
        <f ca="1">IFERROR(__xludf.DUMMYFUNCTION("""COMPUTED_VALUE"""),41212.7055555555)</f>
        <v>41212.705555555498</v>
      </c>
      <c r="T647" s="111">
        <f ca="1">IFERROR(__xludf.DUMMYFUNCTION("""COMPUTED_VALUE"""),10.94)</f>
        <v>10.94</v>
      </c>
    </row>
    <row r="648" spans="1:20" x14ac:dyDescent="0.3">
      <c r="A648" s="112">
        <f ca="1">IFERROR(__xludf.DUMMYFUNCTION("""COMPUTED_VALUE"""),41211.7055555555)</f>
        <v>41211.705555555498</v>
      </c>
      <c r="B648" s="111">
        <f ca="1">IFERROR(__xludf.DUMMYFUNCTION("""COMPUTED_VALUE"""),10.98)</f>
        <v>10.98</v>
      </c>
      <c r="C648" s="112">
        <f ca="1">IFERROR(__xludf.DUMMYFUNCTION("""COMPUTED_VALUE"""),41218.7055555555)</f>
        <v>41218.705555555498</v>
      </c>
      <c r="D648" s="111">
        <f ca="1">IFERROR(__xludf.DUMMYFUNCTION("""COMPUTED_VALUE"""),15.51)</f>
        <v>15.51</v>
      </c>
      <c r="E648" s="112">
        <f ca="1">IFERROR(__xludf.DUMMYFUNCTION("""COMPUTED_VALUE"""),41219.7055555555)</f>
        <v>41219.705555555498</v>
      </c>
      <c r="F648" s="111">
        <f ca="1">IFERROR(__xludf.DUMMYFUNCTION("""COMPUTED_VALUE"""),6.08)</f>
        <v>6.08</v>
      </c>
      <c r="G648" s="112">
        <f ca="1">IFERROR(__xludf.DUMMYFUNCTION("""COMPUTED_VALUE"""),41211.7055555555)</f>
        <v>41211.705555555498</v>
      </c>
      <c r="H648" s="111">
        <f ca="1">IFERROR(__xludf.DUMMYFUNCTION("""COMPUTED_VALUE"""),21.35)</f>
        <v>21.35</v>
      </c>
      <c r="K648" s="112">
        <f ca="1">IFERROR(__xludf.DUMMYFUNCTION("""COMPUTED_VALUE"""),41667.7055555555)</f>
        <v>41667.705555555498</v>
      </c>
      <c r="L648" s="111">
        <f ca="1">IFERROR(__xludf.DUMMYFUNCTION("""COMPUTED_VALUE"""),0.25)</f>
        <v>0.25</v>
      </c>
      <c r="M648" s="112">
        <f ca="1">IFERROR(__xludf.DUMMYFUNCTION("""COMPUTED_VALUE"""),41128.7055555555)</f>
        <v>41128.705555555498</v>
      </c>
      <c r="N648" s="111">
        <f ca="1">IFERROR(__xludf.DUMMYFUNCTION("""COMPUTED_VALUE"""),13.07)</f>
        <v>13.07</v>
      </c>
      <c r="O648" s="112">
        <f ca="1">IFERROR(__xludf.DUMMYFUNCTION("""COMPUTED_VALUE"""),41205.7055555555)</f>
        <v>41205.705555555498</v>
      </c>
      <c r="P648" s="111">
        <f ca="1">IFERROR(__xludf.DUMMYFUNCTION("""COMPUTED_VALUE"""),35.57)</f>
        <v>35.57</v>
      </c>
      <c r="Q648" s="112">
        <f ca="1">IFERROR(__xludf.DUMMYFUNCTION("""COMPUTED_VALUE"""),41201.7055555555)</f>
        <v>41201.705555555498</v>
      </c>
      <c r="R648" s="111">
        <f ca="1">IFERROR(__xludf.DUMMYFUNCTION("""COMPUTED_VALUE"""),22.7)</f>
        <v>22.7</v>
      </c>
      <c r="S648" s="112">
        <f ca="1">IFERROR(__xludf.DUMMYFUNCTION("""COMPUTED_VALUE"""),41213.7055555555)</f>
        <v>41213.705555555498</v>
      </c>
      <c r="T648" s="111">
        <f ca="1">IFERROR(__xludf.DUMMYFUNCTION("""COMPUTED_VALUE"""),11.3)</f>
        <v>11.3</v>
      </c>
    </row>
    <row r="649" spans="1:20" x14ac:dyDescent="0.3">
      <c r="A649" s="112">
        <f ca="1">IFERROR(__xludf.DUMMYFUNCTION("""COMPUTED_VALUE"""),41212.7055555555)</f>
        <v>41212.705555555498</v>
      </c>
      <c r="B649" s="111">
        <f ca="1">IFERROR(__xludf.DUMMYFUNCTION("""COMPUTED_VALUE"""),11.03)</f>
        <v>11.03</v>
      </c>
      <c r="C649" s="112">
        <f ca="1">IFERROR(__xludf.DUMMYFUNCTION("""COMPUTED_VALUE"""),41219.7055555555)</f>
        <v>41219.705555555498</v>
      </c>
      <c r="D649" s="111">
        <f ca="1">IFERROR(__xludf.DUMMYFUNCTION("""COMPUTED_VALUE"""),15.66)</f>
        <v>15.66</v>
      </c>
      <c r="E649" s="112">
        <f ca="1">IFERROR(__xludf.DUMMYFUNCTION("""COMPUTED_VALUE"""),41220.7055555555)</f>
        <v>41220.705555555498</v>
      </c>
      <c r="F649" s="111">
        <f ca="1">IFERROR(__xludf.DUMMYFUNCTION("""COMPUTED_VALUE"""),5.93)</f>
        <v>5.93</v>
      </c>
      <c r="G649" s="112">
        <f ca="1">IFERROR(__xludf.DUMMYFUNCTION("""COMPUTED_VALUE"""),41212.7055555555)</f>
        <v>41212.705555555498</v>
      </c>
      <c r="H649" s="111">
        <f ca="1">IFERROR(__xludf.DUMMYFUNCTION("""COMPUTED_VALUE"""),21.53)</f>
        <v>21.53</v>
      </c>
      <c r="K649" s="112">
        <f ca="1">IFERROR(__xludf.DUMMYFUNCTION("""COMPUTED_VALUE"""),41668.7055555555)</f>
        <v>41668.705555555498</v>
      </c>
      <c r="L649" s="111">
        <f ca="1">IFERROR(__xludf.DUMMYFUNCTION("""COMPUTED_VALUE"""),0.24)</f>
        <v>0.24</v>
      </c>
      <c r="M649" s="112">
        <f ca="1">IFERROR(__xludf.DUMMYFUNCTION("""COMPUTED_VALUE"""),41129.7055555555)</f>
        <v>41129.705555555498</v>
      </c>
      <c r="N649" s="111">
        <f ca="1">IFERROR(__xludf.DUMMYFUNCTION("""COMPUTED_VALUE"""),13.25)</f>
        <v>13.25</v>
      </c>
      <c r="O649" s="112">
        <f ca="1">IFERROR(__xludf.DUMMYFUNCTION("""COMPUTED_VALUE"""),41206.7055555555)</f>
        <v>41206.705555555498</v>
      </c>
      <c r="P649" s="111">
        <f ca="1">IFERROR(__xludf.DUMMYFUNCTION("""COMPUTED_VALUE"""),35.32)</f>
        <v>35.32</v>
      </c>
      <c r="Q649" s="112">
        <f ca="1">IFERROR(__xludf.DUMMYFUNCTION("""COMPUTED_VALUE"""),41204.7055555555)</f>
        <v>41204.705555555498</v>
      </c>
      <c r="R649" s="111">
        <f ca="1">IFERROR(__xludf.DUMMYFUNCTION("""COMPUTED_VALUE"""),22.73)</f>
        <v>22.73</v>
      </c>
      <c r="S649" s="112">
        <f ca="1">IFERROR(__xludf.DUMMYFUNCTION("""COMPUTED_VALUE"""),41214.7055555555)</f>
        <v>41214.705555555498</v>
      </c>
      <c r="T649" s="111">
        <f ca="1">IFERROR(__xludf.DUMMYFUNCTION("""COMPUTED_VALUE"""),11.57)</f>
        <v>11.57</v>
      </c>
    </row>
    <row r="650" spans="1:20" x14ac:dyDescent="0.3">
      <c r="A650" s="112">
        <f ca="1">IFERROR(__xludf.DUMMYFUNCTION("""COMPUTED_VALUE"""),41213.7055555555)</f>
        <v>41213.705555555498</v>
      </c>
      <c r="B650" s="111">
        <f ca="1">IFERROR(__xludf.DUMMYFUNCTION("""COMPUTED_VALUE"""),11.03)</f>
        <v>11.03</v>
      </c>
      <c r="C650" s="112">
        <f ca="1">IFERROR(__xludf.DUMMYFUNCTION("""COMPUTED_VALUE"""),41220.7055555555)</f>
        <v>41220.705555555498</v>
      </c>
      <c r="D650" s="111">
        <f ca="1">IFERROR(__xludf.DUMMYFUNCTION("""COMPUTED_VALUE"""),15.27)</f>
        <v>15.27</v>
      </c>
      <c r="E650" s="112">
        <f ca="1">IFERROR(__xludf.DUMMYFUNCTION("""COMPUTED_VALUE"""),41221.7055555555)</f>
        <v>41221.705555555498</v>
      </c>
      <c r="F650" s="111">
        <f ca="1">IFERROR(__xludf.DUMMYFUNCTION("""COMPUTED_VALUE"""),5.81)</f>
        <v>5.81</v>
      </c>
      <c r="G650" s="112">
        <f ca="1">IFERROR(__xludf.DUMMYFUNCTION("""COMPUTED_VALUE"""),41213.7055555555)</f>
        <v>41213.705555555498</v>
      </c>
      <c r="H650" s="111">
        <f ca="1">IFERROR(__xludf.DUMMYFUNCTION("""COMPUTED_VALUE"""),20.8)</f>
        <v>20.8</v>
      </c>
      <c r="K650" s="112">
        <f ca="1">IFERROR(__xludf.DUMMYFUNCTION("""COMPUTED_VALUE"""),41669.7055555555)</f>
        <v>41669.705555555498</v>
      </c>
      <c r="L650" s="111">
        <f ca="1">IFERROR(__xludf.DUMMYFUNCTION("""COMPUTED_VALUE"""),0.25)</f>
        <v>0.25</v>
      </c>
      <c r="M650" s="112">
        <f ca="1">IFERROR(__xludf.DUMMYFUNCTION("""COMPUTED_VALUE"""),41130.7055555555)</f>
        <v>41130.705555555498</v>
      </c>
      <c r="N650" s="111">
        <f ca="1">IFERROR(__xludf.DUMMYFUNCTION("""COMPUTED_VALUE"""),13.17)</f>
        <v>13.17</v>
      </c>
      <c r="O650" s="112">
        <f ca="1">IFERROR(__xludf.DUMMYFUNCTION("""COMPUTED_VALUE"""),41207.7055555555)</f>
        <v>41207.705555555498</v>
      </c>
      <c r="P650" s="111">
        <f ca="1">IFERROR(__xludf.DUMMYFUNCTION("""COMPUTED_VALUE"""),37.31)</f>
        <v>37.31</v>
      </c>
      <c r="Q650" s="112">
        <f ca="1">IFERROR(__xludf.DUMMYFUNCTION("""COMPUTED_VALUE"""),41205.7055555555)</f>
        <v>41205.705555555498</v>
      </c>
      <c r="R650" s="111">
        <f ca="1">IFERROR(__xludf.DUMMYFUNCTION("""COMPUTED_VALUE"""),22)</f>
        <v>22</v>
      </c>
      <c r="S650" s="112">
        <f ca="1">IFERROR(__xludf.DUMMYFUNCTION("""COMPUTED_VALUE"""),41218.7055555555)</f>
        <v>41218.705555555498</v>
      </c>
      <c r="T650" s="111">
        <f ca="1">IFERROR(__xludf.DUMMYFUNCTION("""COMPUTED_VALUE"""),11.5)</f>
        <v>11.5</v>
      </c>
    </row>
    <row r="651" spans="1:20" x14ac:dyDescent="0.3">
      <c r="A651" s="112">
        <f ca="1">IFERROR(__xludf.DUMMYFUNCTION("""COMPUTED_VALUE"""),41214.7055555555)</f>
        <v>41214.705555555498</v>
      </c>
      <c r="B651" s="111">
        <f ca="1">IFERROR(__xludf.DUMMYFUNCTION("""COMPUTED_VALUE"""),11.45)</f>
        <v>11.45</v>
      </c>
      <c r="C651" s="112">
        <f ca="1">IFERROR(__xludf.DUMMYFUNCTION("""COMPUTED_VALUE"""),41221.7055555555)</f>
        <v>41221.705555555498</v>
      </c>
      <c r="D651" s="111">
        <f ca="1">IFERROR(__xludf.DUMMYFUNCTION("""COMPUTED_VALUE"""),14.93)</f>
        <v>14.93</v>
      </c>
      <c r="E651" s="112">
        <f ca="1">IFERROR(__xludf.DUMMYFUNCTION("""COMPUTED_VALUE"""),41222.7055555555)</f>
        <v>41222.705555555498</v>
      </c>
      <c r="F651" s="111">
        <f ca="1">IFERROR(__xludf.DUMMYFUNCTION("""COMPUTED_VALUE"""),5.79)</f>
        <v>5.79</v>
      </c>
      <c r="G651" s="112">
        <f ca="1">IFERROR(__xludf.DUMMYFUNCTION("""COMPUTED_VALUE"""),41214.7055555555)</f>
        <v>41214.705555555498</v>
      </c>
      <c r="H651" s="111">
        <f ca="1">IFERROR(__xludf.DUMMYFUNCTION("""COMPUTED_VALUE"""),20.85)</f>
        <v>20.85</v>
      </c>
      <c r="K651" s="112">
        <f ca="1">IFERROR(__xludf.DUMMYFUNCTION("""COMPUTED_VALUE"""),41670.7055555555)</f>
        <v>41670.705555555498</v>
      </c>
      <c r="L651" s="111">
        <f ca="1">IFERROR(__xludf.DUMMYFUNCTION("""COMPUTED_VALUE"""),0.25)</f>
        <v>0.25</v>
      </c>
      <c r="M651" s="112">
        <f ca="1">IFERROR(__xludf.DUMMYFUNCTION("""COMPUTED_VALUE"""),41131.7055555555)</f>
        <v>41131.705555555498</v>
      </c>
      <c r="N651" s="111">
        <f ca="1">IFERROR(__xludf.DUMMYFUNCTION("""COMPUTED_VALUE"""),13.39)</f>
        <v>13.39</v>
      </c>
      <c r="O651" s="112">
        <f ca="1">IFERROR(__xludf.DUMMYFUNCTION("""COMPUTED_VALUE"""),41208.7055555555)</f>
        <v>41208.705555555498</v>
      </c>
      <c r="P651" s="111">
        <f ca="1">IFERROR(__xludf.DUMMYFUNCTION("""COMPUTED_VALUE"""),37.09)</f>
        <v>37.090000000000003</v>
      </c>
      <c r="Q651" s="112">
        <f ca="1">IFERROR(__xludf.DUMMYFUNCTION("""COMPUTED_VALUE"""),41206.7055555555)</f>
        <v>41206.705555555498</v>
      </c>
      <c r="R651" s="111">
        <f ca="1">IFERROR(__xludf.DUMMYFUNCTION("""COMPUTED_VALUE"""),21.78)</f>
        <v>21.78</v>
      </c>
      <c r="S651" s="112">
        <f ca="1">IFERROR(__xludf.DUMMYFUNCTION("""COMPUTED_VALUE"""),41219.7055555555)</f>
        <v>41219.705555555498</v>
      </c>
      <c r="T651" s="111">
        <f ca="1">IFERROR(__xludf.DUMMYFUNCTION("""COMPUTED_VALUE"""),11.63)</f>
        <v>11.63</v>
      </c>
    </row>
    <row r="652" spans="1:20" x14ac:dyDescent="0.3">
      <c r="A652" s="112">
        <f ca="1">IFERROR(__xludf.DUMMYFUNCTION("""COMPUTED_VALUE"""),41218.7055555555)</f>
        <v>41218.705555555498</v>
      </c>
      <c r="B652" s="111">
        <f ca="1">IFERROR(__xludf.DUMMYFUNCTION("""COMPUTED_VALUE"""),10.92)</f>
        <v>10.92</v>
      </c>
      <c r="C652" s="112">
        <f ca="1">IFERROR(__xludf.DUMMYFUNCTION("""COMPUTED_VALUE"""),41222.7055555555)</f>
        <v>41222.705555555498</v>
      </c>
      <c r="D652" s="111">
        <f ca="1">IFERROR(__xludf.DUMMYFUNCTION("""COMPUTED_VALUE"""),14.94)</f>
        <v>14.94</v>
      </c>
      <c r="E652" s="112">
        <f ca="1">IFERROR(__xludf.DUMMYFUNCTION("""COMPUTED_VALUE"""),41225.7055555555)</f>
        <v>41225.705555555498</v>
      </c>
      <c r="F652" s="111">
        <f ca="1">IFERROR(__xludf.DUMMYFUNCTION("""COMPUTED_VALUE"""),5.81)</f>
        <v>5.81</v>
      </c>
      <c r="G652" s="112">
        <f ca="1">IFERROR(__xludf.DUMMYFUNCTION("""COMPUTED_VALUE"""),41218.7055555555)</f>
        <v>41218.705555555498</v>
      </c>
      <c r="H652" s="111">
        <f ca="1">IFERROR(__xludf.DUMMYFUNCTION("""COMPUTED_VALUE"""),21.24)</f>
        <v>21.24</v>
      </c>
      <c r="K652" s="112">
        <f ca="1">IFERROR(__xludf.DUMMYFUNCTION("""COMPUTED_VALUE"""),41673.7055555555)</f>
        <v>41673.705555555498</v>
      </c>
      <c r="L652" s="111">
        <f ca="1">IFERROR(__xludf.DUMMYFUNCTION("""COMPUTED_VALUE"""),0.24)</f>
        <v>0.24</v>
      </c>
      <c r="M652" s="112">
        <f ca="1">IFERROR(__xludf.DUMMYFUNCTION("""COMPUTED_VALUE"""),41134.7055555555)</f>
        <v>41134.705555555498</v>
      </c>
      <c r="N652" s="111">
        <f ca="1">IFERROR(__xludf.DUMMYFUNCTION("""COMPUTED_VALUE"""),13.39)</f>
        <v>13.39</v>
      </c>
      <c r="O652" s="112">
        <f ca="1">IFERROR(__xludf.DUMMYFUNCTION("""COMPUTED_VALUE"""),41211.7055555555)</f>
        <v>41211.705555555498</v>
      </c>
      <c r="P652" s="111">
        <f ca="1">IFERROR(__xludf.DUMMYFUNCTION("""COMPUTED_VALUE"""),37.27)</f>
        <v>37.270000000000003</v>
      </c>
      <c r="Q652" s="112">
        <f ca="1">IFERROR(__xludf.DUMMYFUNCTION("""COMPUTED_VALUE"""),41207.7055555555)</f>
        <v>41207.705555555498</v>
      </c>
      <c r="R652" s="111">
        <f ca="1">IFERROR(__xludf.DUMMYFUNCTION("""COMPUTED_VALUE"""),22.2)</f>
        <v>22.2</v>
      </c>
      <c r="S652" s="112">
        <f ca="1">IFERROR(__xludf.DUMMYFUNCTION("""COMPUTED_VALUE"""),41220.7055555555)</f>
        <v>41220.705555555498</v>
      </c>
      <c r="T652" s="111">
        <f ca="1">IFERROR(__xludf.DUMMYFUNCTION("""COMPUTED_VALUE"""),11.59)</f>
        <v>11.59</v>
      </c>
    </row>
    <row r="653" spans="1:20" x14ac:dyDescent="0.3">
      <c r="A653" s="112">
        <f ca="1">IFERROR(__xludf.DUMMYFUNCTION("""COMPUTED_VALUE"""),41219.7055555555)</f>
        <v>41219.705555555498</v>
      </c>
      <c r="B653" s="111">
        <f ca="1">IFERROR(__xludf.DUMMYFUNCTION("""COMPUTED_VALUE"""),10.78)</f>
        <v>10.78</v>
      </c>
      <c r="C653" s="112">
        <f ca="1">IFERROR(__xludf.DUMMYFUNCTION("""COMPUTED_VALUE"""),41225.7055555555)</f>
        <v>41225.705555555498</v>
      </c>
      <c r="D653" s="111">
        <f ca="1">IFERROR(__xludf.DUMMYFUNCTION("""COMPUTED_VALUE"""),14.93)</f>
        <v>14.93</v>
      </c>
      <c r="E653" s="112">
        <f ca="1">IFERROR(__xludf.DUMMYFUNCTION("""COMPUTED_VALUE"""),41226.7055555555)</f>
        <v>41226.705555555498</v>
      </c>
      <c r="F653" s="111">
        <f ca="1">IFERROR(__xludf.DUMMYFUNCTION("""COMPUTED_VALUE"""),5.93)</f>
        <v>5.93</v>
      </c>
      <c r="G653" s="112">
        <f ca="1">IFERROR(__xludf.DUMMYFUNCTION("""COMPUTED_VALUE"""),41219.7055555555)</f>
        <v>41219.705555555498</v>
      </c>
      <c r="H653" s="111">
        <f ca="1">IFERROR(__xludf.DUMMYFUNCTION("""COMPUTED_VALUE"""),21.68)</f>
        <v>21.68</v>
      </c>
      <c r="K653" s="112">
        <f ca="1">IFERROR(__xludf.DUMMYFUNCTION("""COMPUTED_VALUE"""),41674.7055555555)</f>
        <v>41674.705555555498</v>
      </c>
      <c r="L653" s="111">
        <f ca="1">IFERROR(__xludf.DUMMYFUNCTION("""COMPUTED_VALUE"""),0.24)</f>
        <v>0.24</v>
      </c>
      <c r="M653" s="112">
        <f ca="1">IFERROR(__xludf.DUMMYFUNCTION("""COMPUTED_VALUE"""),41135.7055555555)</f>
        <v>41135.705555555498</v>
      </c>
      <c r="N653" s="111">
        <f ca="1">IFERROR(__xludf.DUMMYFUNCTION("""COMPUTED_VALUE"""),13.32)</f>
        <v>13.32</v>
      </c>
      <c r="O653" s="112">
        <f ca="1">IFERROR(__xludf.DUMMYFUNCTION("""COMPUTED_VALUE"""),41212.7055555555)</f>
        <v>41212.705555555498</v>
      </c>
      <c r="P653" s="111">
        <f ca="1">IFERROR(__xludf.DUMMYFUNCTION("""COMPUTED_VALUE"""),37.45)</f>
        <v>37.450000000000003</v>
      </c>
      <c r="Q653" s="112">
        <f ca="1">IFERROR(__xludf.DUMMYFUNCTION("""COMPUTED_VALUE"""),41208.7055555555)</f>
        <v>41208.705555555498</v>
      </c>
      <c r="R653" s="111">
        <f ca="1">IFERROR(__xludf.DUMMYFUNCTION("""COMPUTED_VALUE"""),21.87)</f>
        <v>21.87</v>
      </c>
      <c r="S653" s="112">
        <f ca="1">IFERROR(__xludf.DUMMYFUNCTION("""COMPUTED_VALUE"""),41221.7055555555)</f>
        <v>41221.705555555498</v>
      </c>
      <c r="T653" s="111">
        <f ca="1">IFERROR(__xludf.DUMMYFUNCTION("""COMPUTED_VALUE"""),11.57)</f>
        <v>11.57</v>
      </c>
    </row>
    <row r="654" spans="1:20" x14ac:dyDescent="0.3">
      <c r="A654" s="112">
        <f ca="1">IFERROR(__xludf.DUMMYFUNCTION("""COMPUTED_VALUE"""),41220.7055555555)</f>
        <v>41220.705555555498</v>
      </c>
      <c r="B654" s="111">
        <f ca="1">IFERROR(__xludf.DUMMYFUNCTION("""COMPUTED_VALUE"""),10.4)</f>
        <v>10.4</v>
      </c>
      <c r="C654" s="112">
        <f ca="1">IFERROR(__xludf.DUMMYFUNCTION("""COMPUTED_VALUE"""),41226.7055555555)</f>
        <v>41226.705555555498</v>
      </c>
      <c r="D654" s="111">
        <f ca="1">IFERROR(__xludf.DUMMYFUNCTION("""COMPUTED_VALUE"""),15.2)</f>
        <v>15.2</v>
      </c>
      <c r="E654" s="112">
        <f ca="1">IFERROR(__xludf.DUMMYFUNCTION("""COMPUTED_VALUE"""),41227.7055555555)</f>
        <v>41227.705555555498</v>
      </c>
      <c r="F654" s="111">
        <f ca="1">IFERROR(__xludf.DUMMYFUNCTION("""COMPUTED_VALUE"""),5.82)</f>
        <v>5.82</v>
      </c>
      <c r="G654" s="112">
        <f ca="1">IFERROR(__xludf.DUMMYFUNCTION("""COMPUTED_VALUE"""),41220.7055555555)</f>
        <v>41220.705555555498</v>
      </c>
      <c r="H654" s="111">
        <f ca="1">IFERROR(__xludf.DUMMYFUNCTION("""COMPUTED_VALUE"""),21.18)</f>
        <v>21.18</v>
      </c>
      <c r="K654" s="112">
        <f ca="1">IFERROR(__xludf.DUMMYFUNCTION("""COMPUTED_VALUE"""),41675.7055555555)</f>
        <v>41675.705555555498</v>
      </c>
      <c r="L654" s="111">
        <f ca="1">IFERROR(__xludf.DUMMYFUNCTION("""COMPUTED_VALUE"""),0.24)</f>
        <v>0.24</v>
      </c>
      <c r="M654" s="112">
        <f ca="1">IFERROR(__xludf.DUMMYFUNCTION("""COMPUTED_VALUE"""),41136.7055555555)</f>
        <v>41136.705555555498</v>
      </c>
      <c r="N654" s="111">
        <f ca="1">IFERROR(__xludf.DUMMYFUNCTION("""COMPUTED_VALUE"""),13.45)</f>
        <v>13.45</v>
      </c>
      <c r="O654" s="112">
        <f ca="1">IFERROR(__xludf.DUMMYFUNCTION("""COMPUTED_VALUE"""),41213.7055555555)</f>
        <v>41213.705555555498</v>
      </c>
      <c r="P654" s="111">
        <f ca="1">IFERROR(__xludf.DUMMYFUNCTION("""COMPUTED_VALUE"""),37.45)</f>
        <v>37.450000000000003</v>
      </c>
      <c r="Q654" s="112">
        <f ca="1">IFERROR(__xludf.DUMMYFUNCTION("""COMPUTED_VALUE"""),41211.7055555555)</f>
        <v>41211.705555555498</v>
      </c>
      <c r="R654" s="111">
        <f ca="1">IFERROR(__xludf.DUMMYFUNCTION("""COMPUTED_VALUE"""),21.89)</f>
        <v>21.89</v>
      </c>
      <c r="S654" s="112">
        <f ca="1">IFERROR(__xludf.DUMMYFUNCTION("""COMPUTED_VALUE"""),41222.7055555555)</f>
        <v>41222.705555555498</v>
      </c>
      <c r="T654" s="111">
        <f ca="1">IFERROR(__xludf.DUMMYFUNCTION("""COMPUTED_VALUE"""),11.57)</f>
        <v>11.57</v>
      </c>
    </row>
    <row r="655" spans="1:20" x14ac:dyDescent="0.3">
      <c r="A655" s="112">
        <f ca="1">IFERROR(__xludf.DUMMYFUNCTION("""COMPUTED_VALUE"""),41221.7055555555)</f>
        <v>41221.705555555498</v>
      </c>
      <c r="B655" s="111">
        <f ca="1">IFERROR(__xludf.DUMMYFUNCTION("""COMPUTED_VALUE"""),10.19)</f>
        <v>10.19</v>
      </c>
      <c r="C655" s="112">
        <f ca="1">IFERROR(__xludf.DUMMYFUNCTION("""COMPUTED_VALUE"""),41227.7055555555)</f>
        <v>41227.705555555498</v>
      </c>
      <c r="D655" s="111">
        <f ca="1">IFERROR(__xludf.DUMMYFUNCTION("""COMPUTED_VALUE"""),14.99)</f>
        <v>14.99</v>
      </c>
      <c r="E655" s="112">
        <f ca="1">IFERROR(__xludf.DUMMYFUNCTION("""COMPUTED_VALUE"""),41229.7055555555)</f>
        <v>41229.705555555498</v>
      </c>
      <c r="F655" s="111">
        <f ca="1">IFERROR(__xludf.DUMMYFUNCTION("""COMPUTED_VALUE"""),5.83)</f>
        <v>5.83</v>
      </c>
      <c r="G655" s="112">
        <f ca="1">IFERROR(__xludf.DUMMYFUNCTION("""COMPUTED_VALUE"""),41221.7055555555)</f>
        <v>41221.705555555498</v>
      </c>
      <c r="H655" s="111">
        <f ca="1">IFERROR(__xludf.DUMMYFUNCTION("""COMPUTED_VALUE"""),20.61)</f>
        <v>20.61</v>
      </c>
      <c r="K655" s="112">
        <f ca="1">IFERROR(__xludf.DUMMYFUNCTION("""COMPUTED_VALUE"""),41676.7055555555)</f>
        <v>41676.705555555498</v>
      </c>
      <c r="L655" s="111">
        <f ca="1">IFERROR(__xludf.DUMMYFUNCTION("""COMPUTED_VALUE"""),0.25)</f>
        <v>0.25</v>
      </c>
      <c r="M655" s="112">
        <f ca="1">IFERROR(__xludf.DUMMYFUNCTION("""COMPUTED_VALUE"""),41137.7055555555)</f>
        <v>41137.705555555498</v>
      </c>
      <c r="N655" s="111">
        <f ca="1">IFERROR(__xludf.DUMMYFUNCTION("""COMPUTED_VALUE"""),13.53)</f>
        <v>13.53</v>
      </c>
      <c r="O655" s="112">
        <f ca="1">IFERROR(__xludf.DUMMYFUNCTION("""COMPUTED_VALUE"""),41214.7055555555)</f>
        <v>41214.705555555498</v>
      </c>
      <c r="P655" s="111">
        <f ca="1">IFERROR(__xludf.DUMMYFUNCTION("""COMPUTED_VALUE"""),38.39)</f>
        <v>38.39</v>
      </c>
      <c r="Q655" s="112">
        <f ca="1">IFERROR(__xludf.DUMMYFUNCTION("""COMPUTED_VALUE"""),41212.7055555555)</f>
        <v>41212.705555555498</v>
      </c>
      <c r="R655" s="111">
        <f ca="1">IFERROR(__xludf.DUMMYFUNCTION("""COMPUTED_VALUE"""),21.91)</f>
        <v>21.91</v>
      </c>
      <c r="S655" s="112">
        <f ca="1">IFERROR(__xludf.DUMMYFUNCTION("""COMPUTED_VALUE"""),41225.7055555555)</f>
        <v>41225.705555555498</v>
      </c>
      <c r="T655" s="111">
        <f ca="1">IFERROR(__xludf.DUMMYFUNCTION("""COMPUTED_VALUE"""),11.54)</f>
        <v>11.54</v>
      </c>
    </row>
    <row r="656" spans="1:20" x14ac:dyDescent="0.3">
      <c r="A656" s="112">
        <f ca="1">IFERROR(__xludf.DUMMYFUNCTION("""COMPUTED_VALUE"""),41222.7055555555)</f>
        <v>41222.705555555498</v>
      </c>
      <c r="B656" s="111">
        <f ca="1">IFERROR(__xludf.DUMMYFUNCTION("""COMPUTED_VALUE"""),9.95)</f>
        <v>9.9499999999999993</v>
      </c>
      <c r="C656" s="112">
        <f ca="1">IFERROR(__xludf.DUMMYFUNCTION("""COMPUTED_VALUE"""),41229.7055555555)</f>
        <v>41229.705555555498</v>
      </c>
      <c r="D656" s="111">
        <f ca="1">IFERROR(__xludf.DUMMYFUNCTION("""COMPUTED_VALUE"""),15.05)</f>
        <v>15.05</v>
      </c>
      <c r="E656" s="112">
        <f ca="1">IFERROR(__xludf.DUMMYFUNCTION("""COMPUTED_VALUE"""),41232.7055555555)</f>
        <v>41232.705555555498</v>
      </c>
      <c r="F656" s="111">
        <f ca="1">IFERROR(__xludf.DUMMYFUNCTION("""COMPUTED_VALUE"""),6.04)</f>
        <v>6.04</v>
      </c>
      <c r="G656" s="112">
        <f ca="1">IFERROR(__xludf.DUMMYFUNCTION("""COMPUTED_VALUE"""),41222.7055555555)</f>
        <v>41222.705555555498</v>
      </c>
      <c r="H656" s="111">
        <f ca="1">IFERROR(__xludf.DUMMYFUNCTION("""COMPUTED_VALUE"""),20.78)</f>
        <v>20.78</v>
      </c>
      <c r="K656" s="112">
        <f ca="1">IFERROR(__xludf.DUMMYFUNCTION("""COMPUTED_VALUE"""),41677.7055555555)</f>
        <v>41677.705555555498</v>
      </c>
      <c r="L656" s="111">
        <f ca="1">IFERROR(__xludf.DUMMYFUNCTION("""COMPUTED_VALUE"""),0.26)</f>
        <v>0.26</v>
      </c>
      <c r="M656" s="112">
        <f ca="1">IFERROR(__xludf.DUMMYFUNCTION("""COMPUTED_VALUE"""),41138.7055555555)</f>
        <v>41138.705555555498</v>
      </c>
      <c r="N656" s="111">
        <f ca="1">IFERROR(__xludf.DUMMYFUNCTION("""COMPUTED_VALUE"""),13.64)</f>
        <v>13.64</v>
      </c>
      <c r="O656" s="112">
        <f ca="1">IFERROR(__xludf.DUMMYFUNCTION("""COMPUTED_VALUE"""),41218.7055555555)</f>
        <v>41218.705555555498</v>
      </c>
      <c r="P656" s="111">
        <f ca="1">IFERROR(__xludf.DUMMYFUNCTION("""COMPUTED_VALUE"""),38.05)</f>
        <v>38.049999999999997</v>
      </c>
      <c r="Q656" s="112">
        <f ca="1">IFERROR(__xludf.DUMMYFUNCTION("""COMPUTED_VALUE"""),41213.7055555555)</f>
        <v>41213.705555555498</v>
      </c>
      <c r="R656" s="111">
        <f ca="1">IFERROR(__xludf.DUMMYFUNCTION("""COMPUTED_VALUE"""),21.67)</f>
        <v>21.67</v>
      </c>
      <c r="S656" s="112">
        <f ca="1">IFERROR(__xludf.DUMMYFUNCTION("""COMPUTED_VALUE"""),41226.7055555555)</f>
        <v>41226.705555555498</v>
      </c>
      <c r="T656" s="111">
        <f ca="1">IFERROR(__xludf.DUMMYFUNCTION("""COMPUTED_VALUE"""),11.42)</f>
        <v>11.42</v>
      </c>
    </row>
    <row r="657" spans="1:20" x14ac:dyDescent="0.3">
      <c r="A657" s="112">
        <f ca="1">IFERROR(__xludf.DUMMYFUNCTION("""COMPUTED_VALUE"""),41225.7055555555)</f>
        <v>41225.705555555498</v>
      </c>
      <c r="B657" s="111">
        <f ca="1">IFERROR(__xludf.DUMMYFUNCTION("""COMPUTED_VALUE"""),9.66)</f>
        <v>9.66</v>
      </c>
      <c r="C657" s="112">
        <f ca="1">IFERROR(__xludf.DUMMYFUNCTION("""COMPUTED_VALUE"""),41232.7055555555)</f>
        <v>41232.705555555498</v>
      </c>
      <c r="D657" s="111">
        <f ca="1">IFERROR(__xludf.DUMMYFUNCTION("""COMPUTED_VALUE"""),15.51)</f>
        <v>15.51</v>
      </c>
      <c r="E657" s="112">
        <f ca="1">IFERROR(__xludf.DUMMYFUNCTION("""COMPUTED_VALUE"""),41234.7055555555)</f>
        <v>41234.705555555498</v>
      </c>
      <c r="F657" s="111">
        <f ca="1">IFERROR(__xludf.DUMMYFUNCTION("""COMPUTED_VALUE"""),6.11)</f>
        <v>6.11</v>
      </c>
      <c r="G657" s="112">
        <f ca="1">IFERROR(__xludf.DUMMYFUNCTION("""COMPUTED_VALUE"""),41225.7055555555)</f>
        <v>41225.705555555498</v>
      </c>
      <c r="H657" s="111">
        <f ca="1">IFERROR(__xludf.DUMMYFUNCTION("""COMPUTED_VALUE"""),20.44)</f>
        <v>20.440000000000001</v>
      </c>
      <c r="K657" s="112">
        <f ca="1">IFERROR(__xludf.DUMMYFUNCTION("""COMPUTED_VALUE"""),41680.7055555555)</f>
        <v>41680.705555555498</v>
      </c>
      <c r="L657" s="111">
        <f ca="1">IFERROR(__xludf.DUMMYFUNCTION("""COMPUTED_VALUE"""),0.25)</f>
        <v>0.25</v>
      </c>
      <c r="M657" s="112">
        <f ca="1">IFERROR(__xludf.DUMMYFUNCTION("""COMPUTED_VALUE"""),41141.7055555555)</f>
        <v>41141.705555555498</v>
      </c>
      <c r="N657" s="111">
        <f ca="1">IFERROR(__xludf.DUMMYFUNCTION("""COMPUTED_VALUE"""),13.59)</f>
        <v>13.59</v>
      </c>
      <c r="O657" s="112">
        <f ca="1">IFERROR(__xludf.DUMMYFUNCTION("""COMPUTED_VALUE"""),41219.7055555555)</f>
        <v>41219.705555555498</v>
      </c>
      <c r="P657" s="111">
        <f ca="1">IFERROR(__xludf.DUMMYFUNCTION("""COMPUTED_VALUE"""),38.23)</f>
        <v>38.229999999999997</v>
      </c>
      <c r="Q657" s="112">
        <f ca="1">IFERROR(__xludf.DUMMYFUNCTION("""COMPUTED_VALUE"""),41214.7055555555)</f>
        <v>41214.705555555498</v>
      </c>
      <c r="R657" s="111">
        <f ca="1">IFERROR(__xludf.DUMMYFUNCTION("""COMPUTED_VALUE"""),23.09)</f>
        <v>23.09</v>
      </c>
      <c r="S657" s="112">
        <f ca="1">IFERROR(__xludf.DUMMYFUNCTION("""COMPUTED_VALUE"""),41227.7055555555)</f>
        <v>41227.705555555498</v>
      </c>
      <c r="T657" s="111">
        <f ca="1">IFERROR(__xludf.DUMMYFUNCTION("""COMPUTED_VALUE"""),11.28)</f>
        <v>11.28</v>
      </c>
    </row>
    <row r="658" spans="1:20" x14ac:dyDescent="0.3">
      <c r="A658" s="112">
        <f ca="1">IFERROR(__xludf.DUMMYFUNCTION("""COMPUTED_VALUE"""),41226.7055555555)</f>
        <v>41226.705555555498</v>
      </c>
      <c r="B658" s="111">
        <f ca="1">IFERROR(__xludf.DUMMYFUNCTION("""COMPUTED_VALUE"""),9.78)</f>
        <v>9.7799999999999994</v>
      </c>
      <c r="C658" s="112">
        <f ca="1">IFERROR(__xludf.DUMMYFUNCTION("""COMPUTED_VALUE"""),41234.7055555555)</f>
        <v>41234.705555555498</v>
      </c>
      <c r="D658" s="111">
        <f ca="1">IFERROR(__xludf.DUMMYFUNCTION("""COMPUTED_VALUE"""),15.7)</f>
        <v>15.7</v>
      </c>
      <c r="E658" s="112">
        <f ca="1">IFERROR(__xludf.DUMMYFUNCTION("""COMPUTED_VALUE"""),41235.7055555555)</f>
        <v>41235.705555555498</v>
      </c>
      <c r="F658" s="111">
        <f ca="1">IFERROR(__xludf.DUMMYFUNCTION("""COMPUTED_VALUE"""),6.18)</f>
        <v>6.18</v>
      </c>
      <c r="G658" s="112">
        <f ca="1">IFERROR(__xludf.DUMMYFUNCTION("""COMPUTED_VALUE"""),41226.7055555555)</f>
        <v>41226.705555555498</v>
      </c>
      <c r="H658" s="111">
        <f ca="1">IFERROR(__xludf.DUMMYFUNCTION("""COMPUTED_VALUE"""),20.47)</f>
        <v>20.47</v>
      </c>
      <c r="K658" s="112">
        <f ca="1">IFERROR(__xludf.DUMMYFUNCTION("""COMPUTED_VALUE"""),41681.7055555555)</f>
        <v>41681.705555555498</v>
      </c>
      <c r="L658" s="111">
        <f ca="1">IFERROR(__xludf.DUMMYFUNCTION("""COMPUTED_VALUE"""),0.25)</f>
        <v>0.25</v>
      </c>
      <c r="M658" s="112">
        <f ca="1">IFERROR(__xludf.DUMMYFUNCTION("""COMPUTED_VALUE"""),41142.7055555555)</f>
        <v>41142.705555555498</v>
      </c>
      <c r="N658" s="111">
        <f ca="1">IFERROR(__xludf.DUMMYFUNCTION("""COMPUTED_VALUE"""),13.55)</f>
        <v>13.55</v>
      </c>
      <c r="O658" s="112">
        <f ca="1">IFERROR(__xludf.DUMMYFUNCTION("""COMPUTED_VALUE"""),41220.7055555555)</f>
        <v>41220.705555555498</v>
      </c>
      <c r="P658" s="111">
        <f ca="1">IFERROR(__xludf.DUMMYFUNCTION("""COMPUTED_VALUE"""),37.83)</f>
        <v>37.83</v>
      </c>
      <c r="Q658" s="112">
        <f ca="1">IFERROR(__xludf.DUMMYFUNCTION("""COMPUTED_VALUE"""),41218.7055555555)</f>
        <v>41218.705555555498</v>
      </c>
      <c r="R658" s="111">
        <f ca="1">IFERROR(__xludf.DUMMYFUNCTION("""COMPUTED_VALUE"""),22.44)</f>
        <v>22.44</v>
      </c>
      <c r="S658" s="112">
        <f ca="1">IFERROR(__xludf.DUMMYFUNCTION("""COMPUTED_VALUE"""),41229.7055555555)</f>
        <v>41229.705555555498</v>
      </c>
      <c r="T658" s="111">
        <f ca="1">IFERROR(__xludf.DUMMYFUNCTION("""COMPUTED_VALUE"""),11.25)</f>
        <v>11.25</v>
      </c>
    </row>
    <row r="659" spans="1:20" x14ac:dyDescent="0.3">
      <c r="A659" s="112">
        <f ca="1">IFERROR(__xludf.DUMMYFUNCTION("""COMPUTED_VALUE"""),41227.7055555555)</f>
        <v>41227.705555555498</v>
      </c>
      <c r="B659" s="111">
        <f ca="1">IFERROR(__xludf.DUMMYFUNCTION("""COMPUTED_VALUE"""),9.38)</f>
        <v>9.3800000000000008</v>
      </c>
      <c r="C659" s="112">
        <f ca="1">IFERROR(__xludf.DUMMYFUNCTION("""COMPUTED_VALUE"""),41235.7055555555)</f>
        <v>41235.705555555498</v>
      </c>
      <c r="D659" s="111">
        <f ca="1">IFERROR(__xludf.DUMMYFUNCTION("""COMPUTED_VALUE"""),15.89)</f>
        <v>15.89</v>
      </c>
      <c r="E659" s="112">
        <f ca="1">IFERROR(__xludf.DUMMYFUNCTION("""COMPUTED_VALUE"""),41236.7055555555)</f>
        <v>41236.705555555498</v>
      </c>
      <c r="F659" s="111">
        <f ca="1">IFERROR(__xludf.DUMMYFUNCTION("""COMPUTED_VALUE"""),6.25)</f>
        <v>6.25</v>
      </c>
      <c r="G659" s="112">
        <f ca="1">IFERROR(__xludf.DUMMYFUNCTION("""COMPUTED_VALUE"""),41227.7055555555)</f>
        <v>41227.705555555498</v>
      </c>
      <c r="H659" s="111">
        <f ca="1">IFERROR(__xludf.DUMMYFUNCTION("""COMPUTED_VALUE"""),19.8)</f>
        <v>19.8</v>
      </c>
      <c r="K659" s="112">
        <f ca="1">IFERROR(__xludf.DUMMYFUNCTION("""COMPUTED_VALUE"""),41682.7055555555)</f>
        <v>41682.705555555498</v>
      </c>
      <c r="L659" s="111">
        <f ca="1">IFERROR(__xludf.DUMMYFUNCTION("""COMPUTED_VALUE"""),0.25)</f>
        <v>0.25</v>
      </c>
      <c r="M659" s="112">
        <f ca="1">IFERROR(__xludf.DUMMYFUNCTION("""COMPUTED_VALUE"""),41143.7055555555)</f>
        <v>41143.705555555498</v>
      </c>
      <c r="N659" s="111">
        <f ca="1">IFERROR(__xludf.DUMMYFUNCTION("""COMPUTED_VALUE"""),13.56)</f>
        <v>13.56</v>
      </c>
      <c r="O659" s="112">
        <f ca="1">IFERROR(__xludf.DUMMYFUNCTION("""COMPUTED_VALUE"""),41221.7055555555)</f>
        <v>41221.705555555498</v>
      </c>
      <c r="P659" s="111">
        <f ca="1">IFERROR(__xludf.DUMMYFUNCTION("""COMPUTED_VALUE"""),36.98)</f>
        <v>36.979999999999997</v>
      </c>
      <c r="Q659" s="112">
        <f ca="1">IFERROR(__xludf.DUMMYFUNCTION("""COMPUTED_VALUE"""),41219.7055555555)</f>
        <v>41219.705555555498</v>
      </c>
      <c r="R659" s="111">
        <f ca="1">IFERROR(__xludf.DUMMYFUNCTION("""COMPUTED_VALUE"""),23)</f>
        <v>23</v>
      </c>
      <c r="S659" s="112">
        <f ca="1">IFERROR(__xludf.DUMMYFUNCTION("""COMPUTED_VALUE"""),41232.7055555555)</f>
        <v>41232.705555555498</v>
      </c>
      <c r="T659" s="111">
        <f ca="1">IFERROR(__xludf.DUMMYFUNCTION("""COMPUTED_VALUE"""),11.27)</f>
        <v>11.27</v>
      </c>
    </row>
    <row r="660" spans="1:20" x14ac:dyDescent="0.3">
      <c r="A660" s="112">
        <f ca="1">IFERROR(__xludf.DUMMYFUNCTION("""COMPUTED_VALUE"""),41228.7055555555)</f>
        <v>41228.705555555498</v>
      </c>
      <c r="B660" s="111">
        <f ca="1">IFERROR(__xludf.DUMMYFUNCTION("""COMPUTED_VALUE"""),9.38)</f>
        <v>9.3800000000000008</v>
      </c>
      <c r="C660" s="112">
        <f ca="1">IFERROR(__xludf.DUMMYFUNCTION("""COMPUTED_VALUE"""),41236.7055555555)</f>
        <v>41236.705555555498</v>
      </c>
      <c r="D660" s="111">
        <f ca="1">IFERROR(__xludf.DUMMYFUNCTION("""COMPUTED_VALUE"""),16.07)</f>
        <v>16.07</v>
      </c>
      <c r="E660" s="112">
        <f ca="1">IFERROR(__xludf.DUMMYFUNCTION("""COMPUTED_VALUE"""),41239.7055555555)</f>
        <v>41239.705555555498</v>
      </c>
      <c r="F660" s="111">
        <f ca="1">IFERROR(__xludf.DUMMYFUNCTION("""COMPUTED_VALUE"""),6.09)</f>
        <v>6.09</v>
      </c>
      <c r="G660" s="112">
        <f ca="1">IFERROR(__xludf.DUMMYFUNCTION("""COMPUTED_VALUE"""),41229.7055555555)</f>
        <v>41229.705555555498</v>
      </c>
      <c r="H660" s="111">
        <f ca="1">IFERROR(__xludf.DUMMYFUNCTION("""COMPUTED_VALUE"""),19.03)</f>
        <v>19.03</v>
      </c>
      <c r="K660" s="112">
        <f ca="1">IFERROR(__xludf.DUMMYFUNCTION("""COMPUTED_VALUE"""),41683.7055555555)</f>
        <v>41683.705555555498</v>
      </c>
      <c r="L660" s="111">
        <f ca="1">IFERROR(__xludf.DUMMYFUNCTION("""COMPUTED_VALUE"""),0.24)</f>
        <v>0.24</v>
      </c>
      <c r="M660" s="112">
        <f ca="1">IFERROR(__xludf.DUMMYFUNCTION("""COMPUTED_VALUE"""),41144.7055555555)</f>
        <v>41144.705555555498</v>
      </c>
      <c r="N660" s="111">
        <f ca="1">IFERROR(__xludf.DUMMYFUNCTION("""COMPUTED_VALUE"""),13.45)</f>
        <v>13.45</v>
      </c>
      <c r="O660" s="112">
        <f ca="1">IFERROR(__xludf.DUMMYFUNCTION("""COMPUTED_VALUE"""),41222.7055555555)</f>
        <v>41222.705555555498</v>
      </c>
      <c r="P660" s="111">
        <f ca="1">IFERROR(__xludf.DUMMYFUNCTION("""COMPUTED_VALUE"""),37.3)</f>
        <v>37.299999999999997</v>
      </c>
      <c r="Q660" s="112">
        <f ca="1">IFERROR(__xludf.DUMMYFUNCTION("""COMPUTED_VALUE"""),41220.7055555555)</f>
        <v>41220.705555555498</v>
      </c>
      <c r="R660" s="111">
        <f ca="1">IFERROR(__xludf.DUMMYFUNCTION("""COMPUTED_VALUE"""),22.45)</f>
        <v>22.45</v>
      </c>
      <c r="S660" s="112">
        <f ca="1">IFERROR(__xludf.DUMMYFUNCTION("""COMPUTED_VALUE"""),41234.7055555555)</f>
        <v>41234.705555555498</v>
      </c>
      <c r="T660" s="111">
        <f ca="1">IFERROR(__xludf.DUMMYFUNCTION("""COMPUTED_VALUE"""),11.27)</f>
        <v>11.27</v>
      </c>
    </row>
    <row r="661" spans="1:20" x14ac:dyDescent="0.3">
      <c r="A661" s="112">
        <f ca="1">IFERROR(__xludf.DUMMYFUNCTION("""COMPUTED_VALUE"""),41229.7055555555)</f>
        <v>41229.705555555498</v>
      </c>
      <c r="B661" s="111">
        <f ca="1">IFERROR(__xludf.DUMMYFUNCTION("""COMPUTED_VALUE"""),9.15)</f>
        <v>9.15</v>
      </c>
      <c r="C661" s="112">
        <f ca="1">IFERROR(__xludf.DUMMYFUNCTION("""COMPUTED_VALUE"""),41239.7055555555)</f>
        <v>41239.705555555498</v>
      </c>
      <c r="D661" s="111">
        <f ca="1">IFERROR(__xludf.DUMMYFUNCTION("""COMPUTED_VALUE"""),15.78)</f>
        <v>15.78</v>
      </c>
      <c r="E661" s="112">
        <f ca="1">IFERROR(__xludf.DUMMYFUNCTION("""COMPUTED_VALUE"""),41240.7055555555)</f>
        <v>41240.705555555498</v>
      </c>
      <c r="F661" s="111">
        <f ca="1">IFERROR(__xludf.DUMMYFUNCTION("""COMPUTED_VALUE"""),6.02)</f>
        <v>6.02</v>
      </c>
      <c r="G661" s="112">
        <f ca="1">IFERROR(__xludf.DUMMYFUNCTION("""COMPUTED_VALUE"""),41232.7055555555)</f>
        <v>41232.705555555498</v>
      </c>
      <c r="H661" s="111">
        <f ca="1">IFERROR(__xludf.DUMMYFUNCTION("""COMPUTED_VALUE"""),19.13)</f>
        <v>19.13</v>
      </c>
      <c r="K661" s="112">
        <f ca="1">IFERROR(__xludf.DUMMYFUNCTION("""COMPUTED_VALUE"""),41684.7055555555)</f>
        <v>41684.705555555498</v>
      </c>
      <c r="L661" s="111">
        <f ca="1">IFERROR(__xludf.DUMMYFUNCTION("""COMPUTED_VALUE"""),0.24)</f>
        <v>0.24</v>
      </c>
      <c r="M661" s="112">
        <f ca="1">IFERROR(__xludf.DUMMYFUNCTION("""COMPUTED_VALUE"""),41145.7055555555)</f>
        <v>41145.705555555498</v>
      </c>
      <c r="N661" s="111">
        <f ca="1">IFERROR(__xludf.DUMMYFUNCTION("""COMPUTED_VALUE"""),13.35)</f>
        <v>13.35</v>
      </c>
      <c r="O661" s="112">
        <f ca="1">IFERROR(__xludf.DUMMYFUNCTION("""COMPUTED_VALUE"""),41225.7055555555)</f>
        <v>41225.705555555498</v>
      </c>
      <c r="P661" s="111">
        <f ca="1">IFERROR(__xludf.DUMMYFUNCTION("""COMPUTED_VALUE"""),37)</f>
        <v>37</v>
      </c>
      <c r="Q661" s="112">
        <f ca="1">IFERROR(__xludf.DUMMYFUNCTION("""COMPUTED_VALUE"""),41221.7055555555)</f>
        <v>41221.705555555498</v>
      </c>
      <c r="R661" s="111">
        <f ca="1">IFERROR(__xludf.DUMMYFUNCTION("""COMPUTED_VALUE"""),21.45)</f>
        <v>21.45</v>
      </c>
      <c r="S661" s="112">
        <f ca="1">IFERROR(__xludf.DUMMYFUNCTION("""COMPUTED_VALUE"""),41235.7055555555)</f>
        <v>41235.705555555498</v>
      </c>
      <c r="T661" s="111">
        <f ca="1">IFERROR(__xludf.DUMMYFUNCTION("""COMPUTED_VALUE"""),11.27)</f>
        <v>11.27</v>
      </c>
    </row>
    <row r="662" spans="1:20" x14ac:dyDescent="0.3">
      <c r="A662" s="112">
        <f ca="1">IFERROR(__xludf.DUMMYFUNCTION("""COMPUTED_VALUE"""),41232.7055555555)</f>
        <v>41232.705555555498</v>
      </c>
      <c r="B662" s="111">
        <f ca="1">IFERROR(__xludf.DUMMYFUNCTION("""COMPUTED_VALUE"""),7.92)</f>
        <v>7.92</v>
      </c>
      <c r="C662" s="112">
        <f ca="1">IFERROR(__xludf.DUMMYFUNCTION("""COMPUTED_VALUE"""),41240.7055555555)</f>
        <v>41240.705555555498</v>
      </c>
      <c r="D662" s="111">
        <f ca="1">IFERROR(__xludf.DUMMYFUNCTION("""COMPUTED_VALUE"""),15.53)</f>
        <v>15.53</v>
      </c>
      <c r="E662" s="112">
        <f ca="1">IFERROR(__xludf.DUMMYFUNCTION("""COMPUTED_VALUE"""),41241.7055555555)</f>
        <v>41241.705555555498</v>
      </c>
      <c r="F662" s="111">
        <f ca="1">IFERROR(__xludf.DUMMYFUNCTION("""COMPUTED_VALUE"""),6.07)</f>
        <v>6.07</v>
      </c>
      <c r="G662" s="112">
        <f ca="1">IFERROR(__xludf.DUMMYFUNCTION("""COMPUTED_VALUE"""),41234.7055555555)</f>
        <v>41234.705555555498</v>
      </c>
      <c r="H662" s="111">
        <f ca="1">IFERROR(__xludf.DUMMYFUNCTION("""COMPUTED_VALUE"""),18.62)</f>
        <v>18.62</v>
      </c>
      <c r="K662" s="112">
        <f ca="1">IFERROR(__xludf.DUMMYFUNCTION("""COMPUTED_VALUE"""),41687.7055555555)</f>
        <v>41687.705555555498</v>
      </c>
      <c r="L662" s="111">
        <f ca="1">IFERROR(__xludf.DUMMYFUNCTION("""COMPUTED_VALUE"""),0.24)</f>
        <v>0.24</v>
      </c>
      <c r="M662" s="112">
        <f ca="1">IFERROR(__xludf.DUMMYFUNCTION("""COMPUTED_VALUE"""),41148.7055555555)</f>
        <v>41148.705555555498</v>
      </c>
      <c r="N662" s="111">
        <f ca="1">IFERROR(__xludf.DUMMYFUNCTION("""COMPUTED_VALUE"""),13.25)</f>
        <v>13.25</v>
      </c>
      <c r="O662" s="112">
        <f ca="1">IFERROR(__xludf.DUMMYFUNCTION("""COMPUTED_VALUE"""),41226.7055555555)</f>
        <v>41226.705555555498</v>
      </c>
      <c r="P662" s="111">
        <f ca="1">IFERROR(__xludf.DUMMYFUNCTION("""COMPUTED_VALUE"""),37.26)</f>
        <v>37.26</v>
      </c>
      <c r="Q662" s="112">
        <f ca="1">IFERROR(__xludf.DUMMYFUNCTION("""COMPUTED_VALUE"""),41222.7055555555)</f>
        <v>41222.705555555498</v>
      </c>
      <c r="R662" s="111">
        <f ca="1">IFERROR(__xludf.DUMMYFUNCTION("""COMPUTED_VALUE"""),20.95)</f>
        <v>20.95</v>
      </c>
      <c r="S662" s="112">
        <f ca="1">IFERROR(__xludf.DUMMYFUNCTION("""COMPUTED_VALUE"""),41236.7055555555)</f>
        <v>41236.705555555498</v>
      </c>
      <c r="T662" s="111">
        <f ca="1">IFERROR(__xludf.DUMMYFUNCTION("""COMPUTED_VALUE"""),11.36)</f>
        <v>11.36</v>
      </c>
    </row>
    <row r="663" spans="1:20" x14ac:dyDescent="0.3">
      <c r="A663" s="112">
        <f ca="1">IFERROR(__xludf.DUMMYFUNCTION("""COMPUTED_VALUE"""),41234.7055555555)</f>
        <v>41234.705555555498</v>
      </c>
      <c r="B663" s="111">
        <f ca="1">IFERROR(__xludf.DUMMYFUNCTION("""COMPUTED_VALUE"""),6.68)</f>
        <v>6.68</v>
      </c>
      <c r="C663" s="112">
        <f ca="1">IFERROR(__xludf.DUMMYFUNCTION("""COMPUTED_VALUE"""),41241.7055555555)</f>
        <v>41241.705555555498</v>
      </c>
      <c r="D663" s="111">
        <f ca="1">IFERROR(__xludf.DUMMYFUNCTION("""COMPUTED_VALUE"""),15.6)</f>
        <v>15.6</v>
      </c>
      <c r="E663" s="112">
        <f ca="1">IFERROR(__xludf.DUMMYFUNCTION("""COMPUTED_VALUE"""),41242.7055555555)</f>
        <v>41242.705555555498</v>
      </c>
      <c r="F663" s="111">
        <f ca="1">IFERROR(__xludf.DUMMYFUNCTION("""COMPUTED_VALUE"""),6.19)</f>
        <v>6.19</v>
      </c>
      <c r="G663" s="112">
        <f ca="1">IFERROR(__xludf.DUMMYFUNCTION("""COMPUTED_VALUE"""),41235.7055555555)</f>
        <v>41235.705555555498</v>
      </c>
      <c r="H663" s="111">
        <f ca="1">IFERROR(__xludf.DUMMYFUNCTION("""COMPUTED_VALUE"""),18.65)</f>
        <v>18.649999999999999</v>
      </c>
      <c r="K663" s="112">
        <f ca="1">IFERROR(__xludf.DUMMYFUNCTION("""COMPUTED_VALUE"""),41688.7055555555)</f>
        <v>41688.705555555498</v>
      </c>
      <c r="L663" s="111">
        <f ca="1">IFERROR(__xludf.DUMMYFUNCTION("""COMPUTED_VALUE"""),0.25)</f>
        <v>0.25</v>
      </c>
      <c r="M663" s="112">
        <f ca="1">IFERROR(__xludf.DUMMYFUNCTION("""COMPUTED_VALUE"""),41149.7055555555)</f>
        <v>41149.705555555498</v>
      </c>
      <c r="N663" s="111">
        <f ca="1">IFERROR(__xludf.DUMMYFUNCTION("""COMPUTED_VALUE"""),13.4)</f>
        <v>13.4</v>
      </c>
      <c r="O663" s="112">
        <f ca="1">IFERROR(__xludf.DUMMYFUNCTION("""COMPUTED_VALUE"""),41227.7055555555)</f>
        <v>41227.705555555498</v>
      </c>
      <c r="P663" s="111">
        <f ca="1">IFERROR(__xludf.DUMMYFUNCTION("""COMPUTED_VALUE"""),36.59)</f>
        <v>36.590000000000003</v>
      </c>
      <c r="Q663" s="112">
        <f ca="1">IFERROR(__xludf.DUMMYFUNCTION("""COMPUTED_VALUE"""),41225.7055555555)</f>
        <v>41225.705555555498</v>
      </c>
      <c r="R663" s="111">
        <f ca="1">IFERROR(__xludf.DUMMYFUNCTION("""COMPUTED_VALUE"""),20.77)</f>
        <v>20.77</v>
      </c>
      <c r="S663" s="112">
        <f ca="1">IFERROR(__xludf.DUMMYFUNCTION("""COMPUTED_VALUE"""),41239.7055555555)</f>
        <v>41239.705555555498</v>
      </c>
      <c r="T663" s="111">
        <f ca="1">IFERROR(__xludf.DUMMYFUNCTION("""COMPUTED_VALUE"""),11.27)</f>
        <v>11.27</v>
      </c>
    </row>
    <row r="664" spans="1:20" x14ac:dyDescent="0.3">
      <c r="A664" s="112">
        <f ca="1">IFERROR(__xludf.DUMMYFUNCTION("""COMPUTED_VALUE"""),41235.7055555555)</f>
        <v>41235.705555555498</v>
      </c>
      <c r="B664" s="111">
        <f ca="1">IFERROR(__xludf.DUMMYFUNCTION("""COMPUTED_VALUE"""),6.09)</f>
        <v>6.09</v>
      </c>
      <c r="C664" s="112">
        <f ca="1">IFERROR(__xludf.DUMMYFUNCTION("""COMPUTED_VALUE"""),41242.7055555555)</f>
        <v>41242.705555555498</v>
      </c>
      <c r="D664" s="111">
        <f ca="1">IFERROR(__xludf.DUMMYFUNCTION("""COMPUTED_VALUE"""),16)</f>
        <v>16</v>
      </c>
      <c r="E664" s="112">
        <f ca="1">IFERROR(__xludf.DUMMYFUNCTION("""COMPUTED_VALUE"""),41243.7055555555)</f>
        <v>41243.705555555498</v>
      </c>
      <c r="F664" s="111">
        <f ca="1">IFERROR(__xludf.DUMMYFUNCTION("""COMPUTED_VALUE"""),6.25)</f>
        <v>6.25</v>
      </c>
      <c r="G664" s="112">
        <f ca="1">IFERROR(__xludf.DUMMYFUNCTION("""COMPUTED_VALUE"""),41236.7055555555)</f>
        <v>41236.705555555498</v>
      </c>
      <c r="H664" s="111">
        <f ca="1">IFERROR(__xludf.DUMMYFUNCTION("""COMPUTED_VALUE"""),19.17)</f>
        <v>19.170000000000002</v>
      </c>
      <c r="K664" s="112">
        <f ca="1">IFERROR(__xludf.DUMMYFUNCTION("""COMPUTED_VALUE"""),41689.7055555555)</f>
        <v>41689.705555555498</v>
      </c>
      <c r="L664" s="111">
        <f ca="1">IFERROR(__xludf.DUMMYFUNCTION("""COMPUTED_VALUE"""),0.23)</f>
        <v>0.23</v>
      </c>
      <c r="M664" s="112">
        <f ca="1">IFERROR(__xludf.DUMMYFUNCTION("""COMPUTED_VALUE"""),41150.7055555555)</f>
        <v>41150.705555555498</v>
      </c>
      <c r="N664" s="111">
        <f ca="1">IFERROR(__xludf.DUMMYFUNCTION("""COMPUTED_VALUE"""),13.2)</f>
        <v>13.2</v>
      </c>
      <c r="O664" s="112">
        <f ca="1">IFERROR(__xludf.DUMMYFUNCTION("""COMPUTED_VALUE"""),41228.7055555555)</f>
        <v>41228.705555555498</v>
      </c>
      <c r="P664" s="111">
        <f ca="1">IFERROR(__xludf.DUMMYFUNCTION("""COMPUTED_VALUE"""),36.59)</f>
        <v>36.590000000000003</v>
      </c>
      <c r="Q664" s="112">
        <f ca="1">IFERROR(__xludf.DUMMYFUNCTION("""COMPUTED_VALUE"""),41226.7055555555)</f>
        <v>41226.705555555498</v>
      </c>
      <c r="R664" s="111">
        <f ca="1">IFERROR(__xludf.DUMMYFUNCTION("""COMPUTED_VALUE"""),21.19)</f>
        <v>21.19</v>
      </c>
      <c r="S664" s="112">
        <f ca="1">IFERROR(__xludf.DUMMYFUNCTION("""COMPUTED_VALUE"""),41240.7055555555)</f>
        <v>41240.705555555498</v>
      </c>
      <c r="T664" s="111">
        <f ca="1">IFERROR(__xludf.DUMMYFUNCTION("""COMPUTED_VALUE"""),11.54)</f>
        <v>11.54</v>
      </c>
    </row>
    <row r="665" spans="1:20" x14ac:dyDescent="0.3">
      <c r="A665" s="112">
        <f ca="1">IFERROR(__xludf.DUMMYFUNCTION("""COMPUTED_VALUE"""),41236.7055555555)</f>
        <v>41236.705555555498</v>
      </c>
      <c r="B665" s="111">
        <f ca="1">IFERROR(__xludf.DUMMYFUNCTION("""COMPUTED_VALUE"""),6.56)</f>
        <v>6.56</v>
      </c>
      <c r="C665" s="112">
        <f ca="1">IFERROR(__xludf.DUMMYFUNCTION("""COMPUTED_VALUE"""),41243.7055555555)</f>
        <v>41243.705555555498</v>
      </c>
      <c r="D665" s="111">
        <f ca="1">IFERROR(__xludf.DUMMYFUNCTION("""COMPUTED_VALUE"""),16.09)</f>
        <v>16.09</v>
      </c>
      <c r="E665" s="112">
        <f ca="1">IFERROR(__xludf.DUMMYFUNCTION("""COMPUTED_VALUE"""),41246.7055555555)</f>
        <v>41246.705555555498</v>
      </c>
      <c r="F665" s="111">
        <f ca="1">IFERROR(__xludf.DUMMYFUNCTION("""COMPUTED_VALUE"""),6.39)</f>
        <v>6.39</v>
      </c>
      <c r="G665" s="112">
        <f ca="1">IFERROR(__xludf.DUMMYFUNCTION("""COMPUTED_VALUE"""),41239.7055555555)</f>
        <v>41239.705555555498</v>
      </c>
      <c r="H665" s="111">
        <f ca="1">IFERROR(__xludf.DUMMYFUNCTION("""COMPUTED_VALUE"""),18.82)</f>
        <v>18.82</v>
      </c>
      <c r="K665" s="112">
        <f ca="1">IFERROR(__xludf.DUMMYFUNCTION("""COMPUTED_VALUE"""),41690.7055555555)</f>
        <v>41690.705555555498</v>
      </c>
      <c r="L665" s="111">
        <f ca="1">IFERROR(__xludf.DUMMYFUNCTION("""COMPUTED_VALUE"""),0.22)</f>
        <v>0.22</v>
      </c>
      <c r="M665" s="112">
        <f ca="1">IFERROR(__xludf.DUMMYFUNCTION("""COMPUTED_VALUE"""),41151.7055555555)</f>
        <v>41151.705555555498</v>
      </c>
      <c r="N665" s="111">
        <f ca="1">IFERROR(__xludf.DUMMYFUNCTION("""COMPUTED_VALUE"""),13.21)</f>
        <v>13.21</v>
      </c>
      <c r="O665" s="112">
        <f ca="1">IFERROR(__xludf.DUMMYFUNCTION("""COMPUTED_VALUE"""),41229.7055555555)</f>
        <v>41229.705555555498</v>
      </c>
      <c r="P665" s="111">
        <f ca="1">IFERROR(__xludf.DUMMYFUNCTION("""COMPUTED_VALUE"""),35.48)</f>
        <v>35.479999999999997</v>
      </c>
      <c r="Q665" s="112">
        <f ca="1">IFERROR(__xludf.DUMMYFUNCTION("""COMPUTED_VALUE"""),41227.7055555555)</f>
        <v>41227.705555555498</v>
      </c>
      <c r="R665" s="111">
        <f ca="1">IFERROR(__xludf.DUMMYFUNCTION("""COMPUTED_VALUE"""),21.16)</f>
        <v>21.16</v>
      </c>
      <c r="S665" s="112">
        <f ca="1">IFERROR(__xludf.DUMMYFUNCTION("""COMPUTED_VALUE"""),41241.7055555555)</f>
        <v>41241.705555555498</v>
      </c>
      <c r="T665" s="111">
        <f ca="1">IFERROR(__xludf.DUMMYFUNCTION("""COMPUTED_VALUE"""),11.46)</f>
        <v>11.46</v>
      </c>
    </row>
    <row r="666" spans="1:20" x14ac:dyDescent="0.3">
      <c r="A666" s="112">
        <f ca="1">IFERROR(__xludf.DUMMYFUNCTION("""COMPUTED_VALUE"""),41239.7055555555)</f>
        <v>41239.705555555498</v>
      </c>
      <c r="B666" s="111">
        <f ca="1">IFERROR(__xludf.DUMMYFUNCTION("""COMPUTED_VALUE"""),6.75)</f>
        <v>6.75</v>
      </c>
      <c r="C666" s="112">
        <f ca="1">IFERROR(__xludf.DUMMYFUNCTION("""COMPUTED_VALUE"""),41246.7055555555)</f>
        <v>41246.705555555498</v>
      </c>
      <c r="D666" s="111">
        <f ca="1">IFERROR(__xludf.DUMMYFUNCTION("""COMPUTED_VALUE"""),16.53)</f>
        <v>16.53</v>
      </c>
      <c r="E666" s="112">
        <f ca="1">IFERROR(__xludf.DUMMYFUNCTION("""COMPUTED_VALUE"""),41247.7055555555)</f>
        <v>41247.705555555498</v>
      </c>
      <c r="F666" s="111">
        <f ca="1">IFERROR(__xludf.DUMMYFUNCTION("""COMPUTED_VALUE"""),6.31)</f>
        <v>6.31</v>
      </c>
      <c r="G666" s="112">
        <f ca="1">IFERROR(__xludf.DUMMYFUNCTION("""COMPUTED_VALUE"""),41240.7055555555)</f>
        <v>41240.705555555498</v>
      </c>
      <c r="H666" s="111">
        <f ca="1">IFERROR(__xludf.DUMMYFUNCTION("""COMPUTED_VALUE"""),18.51)</f>
        <v>18.510000000000002</v>
      </c>
      <c r="K666" s="112">
        <f ca="1">IFERROR(__xludf.DUMMYFUNCTION("""COMPUTED_VALUE"""),41691.7055555555)</f>
        <v>41691.705555555498</v>
      </c>
      <c r="L666" s="111">
        <f ca="1">IFERROR(__xludf.DUMMYFUNCTION("""COMPUTED_VALUE"""),0.23)</f>
        <v>0.23</v>
      </c>
      <c r="M666" s="112">
        <f ca="1">IFERROR(__xludf.DUMMYFUNCTION("""COMPUTED_VALUE"""),41152.7055555555)</f>
        <v>41152.705555555498</v>
      </c>
      <c r="N666" s="111">
        <f ca="1">IFERROR(__xludf.DUMMYFUNCTION("""COMPUTED_VALUE"""),12.94)</f>
        <v>12.94</v>
      </c>
      <c r="O666" s="112">
        <f ca="1">IFERROR(__xludf.DUMMYFUNCTION("""COMPUTED_VALUE"""),41232.7055555555)</f>
        <v>41232.705555555498</v>
      </c>
      <c r="P666" s="111">
        <f ca="1">IFERROR(__xludf.DUMMYFUNCTION("""COMPUTED_VALUE"""),35.95)</f>
        <v>35.950000000000003</v>
      </c>
      <c r="Q666" s="112">
        <f ca="1">IFERROR(__xludf.DUMMYFUNCTION("""COMPUTED_VALUE"""),41228.7055555555)</f>
        <v>41228.705555555498</v>
      </c>
      <c r="R666" s="111">
        <f ca="1">IFERROR(__xludf.DUMMYFUNCTION("""COMPUTED_VALUE"""),21.16)</f>
        <v>21.16</v>
      </c>
      <c r="S666" s="112">
        <f ca="1">IFERROR(__xludf.DUMMYFUNCTION("""COMPUTED_VALUE"""),41242.7055555555)</f>
        <v>41242.705555555498</v>
      </c>
      <c r="T666" s="111">
        <f ca="1">IFERROR(__xludf.DUMMYFUNCTION("""COMPUTED_VALUE"""),11.97)</f>
        <v>11.97</v>
      </c>
    </row>
    <row r="667" spans="1:20" x14ac:dyDescent="0.3">
      <c r="A667" s="112">
        <f ca="1">IFERROR(__xludf.DUMMYFUNCTION("""COMPUTED_VALUE"""),41240.7055555555)</f>
        <v>41240.705555555498</v>
      </c>
      <c r="B667" s="111">
        <f ca="1">IFERROR(__xludf.DUMMYFUNCTION("""COMPUTED_VALUE"""),6.72)</f>
        <v>6.72</v>
      </c>
      <c r="C667" s="112">
        <f ca="1">IFERROR(__xludf.DUMMYFUNCTION("""COMPUTED_VALUE"""),41247.7055555555)</f>
        <v>41247.705555555498</v>
      </c>
      <c r="D667" s="111">
        <f ca="1">IFERROR(__xludf.DUMMYFUNCTION("""COMPUTED_VALUE"""),16.35)</f>
        <v>16.350000000000001</v>
      </c>
      <c r="E667" s="112">
        <f ca="1">IFERROR(__xludf.DUMMYFUNCTION("""COMPUTED_VALUE"""),41248.7055555555)</f>
        <v>41248.705555555498</v>
      </c>
      <c r="F667" s="111">
        <f ca="1">IFERROR(__xludf.DUMMYFUNCTION("""COMPUTED_VALUE"""),6.35)</f>
        <v>6.35</v>
      </c>
      <c r="G667" s="112">
        <f ca="1">IFERROR(__xludf.DUMMYFUNCTION("""COMPUTED_VALUE"""),41241.7055555555)</f>
        <v>41241.705555555498</v>
      </c>
      <c r="H667" s="111">
        <f ca="1">IFERROR(__xludf.DUMMYFUNCTION("""COMPUTED_VALUE"""),18.65)</f>
        <v>18.649999999999999</v>
      </c>
      <c r="K667" s="112">
        <f ca="1">IFERROR(__xludf.DUMMYFUNCTION("""COMPUTED_VALUE"""),41694.7055555555)</f>
        <v>41694.705555555498</v>
      </c>
      <c r="L667" s="111">
        <f ca="1">IFERROR(__xludf.DUMMYFUNCTION("""COMPUTED_VALUE"""),0.23)</f>
        <v>0.23</v>
      </c>
      <c r="M667" s="112">
        <f ca="1">IFERROR(__xludf.DUMMYFUNCTION("""COMPUTED_VALUE"""),41155.7055555555)</f>
        <v>41155.705555555498</v>
      </c>
      <c r="N667" s="111">
        <f ca="1">IFERROR(__xludf.DUMMYFUNCTION("""COMPUTED_VALUE"""),13.16)</f>
        <v>13.16</v>
      </c>
      <c r="O667" s="112">
        <f ca="1">IFERROR(__xludf.DUMMYFUNCTION("""COMPUTED_VALUE"""),41234.7055555555)</f>
        <v>41234.705555555498</v>
      </c>
      <c r="P667" s="111">
        <f ca="1">IFERROR(__xludf.DUMMYFUNCTION("""COMPUTED_VALUE"""),36.45)</f>
        <v>36.450000000000003</v>
      </c>
      <c r="Q667" s="112">
        <f ca="1">IFERROR(__xludf.DUMMYFUNCTION("""COMPUTED_VALUE"""),41229.7055555555)</f>
        <v>41229.705555555498</v>
      </c>
      <c r="R667" s="111">
        <f ca="1">IFERROR(__xludf.DUMMYFUNCTION("""COMPUTED_VALUE"""),20.91)</f>
        <v>20.91</v>
      </c>
      <c r="S667" s="112">
        <f ca="1">IFERROR(__xludf.DUMMYFUNCTION("""COMPUTED_VALUE"""),41243.7055555555)</f>
        <v>41243.705555555498</v>
      </c>
      <c r="T667" s="111">
        <f ca="1">IFERROR(__xludf.DUMMYFUNCTION("""COMPUTED_VALUE"""),11.74)</f>
        <v>11.74</v>
      </c>
    </row>
    <row r="668" spans="1:20" x14ac:dyDescent="0.3">
      <c r="A668" s="112">
        <f ca="1">IFERROR(__xludf.DUMMYFUNCTION("""COMPUTED_VALUE"""),41241.7055555555)</f>
        <v>41241.705555555498</v>
      </c>
      <c r="B668" s="111">
        <f ca="1">IFERROR(__xludf.DUMMYFUNCTION("""COMPUTED_VALUE"""),6.74)</f>
        <v>6.74</v>
      </c>
      <c r="C668" s="112">
        <f ca="1">IFERROR(__xludf.DUMMYFUNCTION("""COMPUTED_VALUE"""),41248.7055555555)</f>
        <v>41248.705555555498</v>
      </c>
      <c r="D668" s="111">
        <f ca="1">IFERROR(__xludf.DUMMYFUNCTION("""COMPUTED_VALUE"""),16.43)</f>
        <v>16.43</v>
      </c>
      <c r="E668" s="112">
        <f ca="1">IFERROR(__xludf.DUMMYFUNCTION("""COMPUTED_VALUE"""),41249.7055555555)</f>
        <v>41249.705555555498</v>
      </c>
      <c r="F668" s="111">
        <f ca="1">IFERROR(__xludf.DUMMYFUNCTION("""COMPUTED_VALUE"""),6.26)</f>
        <v>6.26</v>
      </c>
      <c r="G668" s="112">
        <f ca="1">IFERROR(__xludf.DUMMYFUNCTION("""COMPUTED_VALUE"""),41242.7055555555)</f>
        <v>41242.705555555498</v>
      </c>
      <c r="H668" s="111">
        <f ca="1">IFERROR(__xludf.DUMMYFUNCTION("""COMPUTED_VALUE"""),19.15)</f>
        <v>19.149999999999999</v>
      </c>
      <c r="K668" s="112">
        <f ca="1">IFERROR(__xludf.DUMMYFUNCTION("""COMPUTED_VALUE"""),41695.7055555555)</f>
        <v>41695.705555555498</v>
      </c>
      <c r="L668" s="111">
        <f ca="1">IFERROR(__xludf.DUMMYFUNCTION("""COMPUTED_VALUE"""),0.22)</f>
        <v>0.22</v>
      </c>
      <c r="M668" s="112">
        <f ca="1">IFERROR(__xludf.DUMMYFUNCTION("""COMPUTED_VALUE"""),41156.7055555555)</f>
        <v>41156.705555555498</v>
      </c>
      <c r="N668" s="111">
        <f ca="1">IFERROR(__xludf.DUMMYFUNCTION("""COMPUTED_VALUE"""),13.02)</f>
        <v>13.02</v>
      </c>
      <c r="O668" s="112">
        <f ca="1">IFERROR(__xludf.DUMMYFUNCTION("""COMPUTED_VALUE"""),41235.7055555555)</f>
        <v>41235.705555555498</v>
      </c>
      <c r="P668" s="111">
        <f ca="1">IFERROR(__xludf.DUMMYFUNCTION("""COMPUTED_VALUE"""),36.29)</f>
        <v>36.29</v>
      </c>
      <c r="Q668" s="112">
        <f ca="1">IFERROR(__xludf.DUMMYFUNCTION("""COMPUTED_VALUE"""),41232.7055555555)</f>
        <v>41232.705555555498</v>
      </c>
      <c r="R668" s="111">
        <f ca="1">IFERROR(__xludf.DUMMYFUNCTION("""COMPUTED_VALUE"""),20.94)</f>
        <v>20.94</v>
      </c>
      <c r="S668" s="112">
        <f ca="1">IFERROR(__xludf.DUMMYFUNCTION("""COMPUTED_VALUE"""),41246.7055555555)</f>
        <v>41246.705555555498</v>
      </c>
      <c r="T668" s="111">
        <f ca="1">IFERROR(__xludf.DUMMYFUNCTION("""COMPUTED_VALUE"""),11.81)</f>
        <v>11.81</v>
      </c>
    </row>
    <row r="669" spans="1:20" x14ac:dyDescent="0.3">
      <c r="A669" s="112">
        <f ca="1">IFERROR(__xludf.DUMMYFUNCTION("""COMPUTED_VALUE"""),41242.7055555555)</f>
        <v>41242.705555555498</v>
      </c>
      <c r="B669" s="111">
        <f ca="1">IFERROR(__xludf.DUMMYFUNCTION("""COMPUTED_VALUE"""),6.48)</f>
        <v>6.48</v>
      </c>
      <c r="C669" s="112">
        <f ca="1">IFERROR(__xludf.DUMMYFUNCTION("""COMPUTED_VALUE"""),41249.7055555555)</f>
        <v>41249.705555555498</v>
      </c>
      <c r="D669" s="111">
        <f ca="1">IFERROR(__xludf.DUMMYFUNCTION("""COMPUTED_VALUE"""),16.38)</f>
        <v>16.38</v>
      </c>
      <c r="E669" s="112">
        <f ca="1">IFERROR(__xludf.DUMMYFUNCTION("""COMPUTED_VALUE"""),41250.7055555555)</f>
        <v>41250.705555555498</v>
      </c>
      <c r="F669" s="111">
        <f ca="1">IFERROR(__xludf.DUMMYFUNCTION("""COMPUTED_VALUE"""),6.31)</f>
        <v>6.31</v>
      </c>
      <c r="G669" s="112">
        <f ca="1">IFERROR(__xludf.DUMMYFUNCTION("""COMPUTED_VALUE"""),41243.7055555555)</f>
        <v>41243.705555555498</v>
      </c>
      <c r="H669" s="111">
        <f ca="1">IFERROR(__xludf.DUMMYFUNCTION("""COMPUTED_VALUE"""),18.66)</f>
        <v>18.66</v>
      </c>
      <c r="K669" s="112">
        <f ca="1">IFERROR(__xludf.DUMMYFUNCTION("""COMPUTED_VALUE"""),41696.7055555555)</f>
        <v>41696.705555555498</v>
      </c>
      <c r="L669" s="111">
        <f ca="1">IFERROR(__xludf.DUMMYFUNCTION("""COMPUTED_VALUE"""),0.22)</f>
        <v>0.22</v>
      </c>
      <c r="M669" s="112">
        <f ca="1">IFERROR(__xludf.DUMMYFUNCTION("""COMPUTED_VALUE"""),41157.7055555555)</f>
        <v>41157.705555555498</v>
      </c>
      <c r="N669" s="111">
        <f ca="1">IFERROR(__xludf.DUMMYFUNCTION("""COMPUTED_VALUE"""),13.05)</f>
        <v>13.05</v>
      </c>
      <c r="O669" s="112">
        <f ca="1">IFERROR(__xludf.DUMMYFUNCTION("""COMPUTED_VALUE"""),41236.7055555555)</f>
        <v>41236.705555555498</v>
      </c>
      <c r="P669" s="111">
        <f ca="1">IFERROR(__xludf.DUMMYFUNCTION("""COMPUTED_VALUE"""),36.92)</f>
        <v>36.92</v>
      </c>
      <c r="Q669" s="112">
        <f ca="1">IFERROR(__xludf.DUMMYFUNCTION("""COMPUTED_VALUE"""),41234.7055555555)</f>
        <v>41234.705555555498</v>
      </c>
      <c r="R669" s="111">
        <f ca="1">IFERROR(__xludf.DUMMYFUNCTION("""COMPUTED_VALUE"""),21)</f>
        <v>21</v>
      </c>
      <c r="S669" s="112">
        <f ca="1">IFERROR(__xludf.DUMMYFUNCTION("""COMPUTED_VALUE"""),41247.7055555555)</f>
        <v>41247.705555555498</v>
      </c>
      <c r="T669" s="111">
        <f ca="1">IFERROR(__xludf.DUMMYFUNCTION("""COMPUTED_VALUE"""),11.72)</f>
        <v>11.72</v>
      </c>
    </row>
    <row r="670" spans="1:20" x14ac:dyDescent="0.3">
      <c r="A670" s="112">
        <f ca="1">IFERROR(__xludf.DUMMYFUNCTION("""COMPUTED_VALUE"""),41243.7055555555)</f>
        <v>41243.705555555498</v>
      </c>
      <c r="B670" s="111">
        <f ca="1">IFERROR(__xludf.DUMMYFUNCTION("""COMPUTED_VALUE"""),7.57)</f>
        <v>7.57</v>
      </c>
      <c r="C670" s="112">
        <f ca="1">IFERROR(__xludf.DUMMYFUNCTION("""COMPUTED_VALUE"""),41250.7055555555)</f>
        <v>41250.705555555498</v>
      </c>
      <c r="D670" s="111">
        <f ca="1">IFERROR(__xludf.DUMMYFUNCTION("""COMPUTED_VALUE"""),16.41)</f>
        <v>16.41</v>
      </c>
      <c r="E670" s="112">
        <f ca="1">IFERROR(__xludf.DUMMYFUNCTION("""COMPUTED_VALUE"""),41253.7055555555)</f>
        <v>41253.705555555498</v>
      </c>
      <c r="F670" s="111">
        <f ca="1">IFERROR(__xludf.DUMMYFUNCTION("""COMPUTED_VALUE"""),6.31)</f>
        <v>6.31</v>
      </c>
      <c r="G670" s="112">
        <f ca="1">IFERROR(__xludf.DUMMYFUNCTION("""COMPUTED_VALUE"""),41246.7055555555)</f>
        <v>41246.705555555498</v>
      </c>
      <c r="H670" s="111">
        <f ca="1">IFERROR(__xludf.DUMMYFUNCTION("""COMPUTED_VALUE"""),19)</f>
        <v>19</v>
      </c>
      <c r="K670" s="112">
        <f ca="1">IFERROR(__xludf.DUMMYFUNCTION("""COMPUTED_VALUE"""),41697.7055555555)</f>
        <v>41697.705555555498</v>
      </c>
      <c r="L670" s="111">
        <f ca="1">IFERROR(__xludf.DUMMYFUNCTION("""COMPUTED_VALUE"""),0.22)</f>
        <v>0.22</v>
      </c>
      <c r="M670" s="112">
        <f ca="1">IFERROR(__xludf.DUMMYFUNCTION("""COMPUTED_VALUE"""),41158.7055555555)</f>
        <v>41158.705555555498</v>
      </c>
      <c r="N670" s="111">
        <f ca="1">IFERROR(__xludf.DUMMYFUNCTION("""COMPUTED_VALUE"""),13.18)</f>
        <v>13.18</v>
      </c>
      <c r="O670" s="112">
        <f ca="1">IFERROR(__xludf.DUMMYFUNCTION("""COMPUTED_VALUE"""),41239.7055555555)</f>
        <v>41239.705555555498</v>
      </c>
      <c r="P670" s="111">
        <f ca="1">IFERROR(__xludf.DUMMYFUNCTION("""COMPUTED_VALUE"""),36.61)</f>
        <v>36.61</v>
      </c>
      <c r="Q670" s="112">
        <f ca="1">IFERROR(__xludf.DUMMYFUNCTION("""COMPUTED_VALUE"""),41235.7055555555)</f>
        <v>41235.705555555498</v>
      </c>
      <c r="R670" s="111">
        <f ca="1">IFERROR(__xludf.DUMMYFUNCTION("""COMPUTED_VALUE"""),20.91)</f>
        <v>20.91</v>
      </c>
      <c r="S670" s="112">
        <f ca="1">IFERROR(__xludf.DUMMYFUNCTION("""COMPUTED_VALUE"""),41248.7055555555)</f>
        <v>41248.705555555498</v>
      </c>
      <c r="T670" s="111">
        <f ca="1">IFERROR(__xludf.DUMMYFUNCTION("""COMPUTED_VALUE"""),11.66)</f>
        <v>11.66</v>
      </c>
    </row>
    <row r="671" spans="1:20" x14ac:dyDescent="0.3">
      <c r="A671" s="112">
        <f ca="1">IFERROR(__xludf.DUMMYFUNCTION("""COMPUTED_VALUE"""),41246.7055555555)</f>
        <v>41246.705555555498</v>
      </c>
      <c r="B671" s="111">
        <f ca="1">IFERROR(__xludf.DUMMYFUNCTION("""COMPUTED_VALUE"""),7.37)</f>
        <v>7.37</v>
      </c>
      <c r="C671" s="112">
        <f ca="1">IFERROR(__xludf.DUMMYFUNCTION("""COMPUTED_VALUE"""),41253.7055555555)</f>
        <v>41253.705555555498</v>
      </c>
      <c r="D671" s="111">
        <f ca="1">IFERROR(__xludf.DUMMYFUNCTION("""COMPUTED_VALUE"""),16.42)</f>
        <v>16.420000000000002</v>
      </c>
      <c r="E671" s="112">
        <f ca="1">IFERROR(__xludf.DUMMYFUNCTION("""COMPUTED_VALUE"""),41254.7055555555)</f>
        <v>41254.705555555498</v>
      </c>
      <c r="F671" s="111">
        <f ca="1">IFERROR(__xludf.DUMMYFUNCTION("""COMPUTED_VALUE"""),6.35)</f>
        <v>6.35</v>
      </c>
      <c r="G671" s="112">
        <f ca="1">IFERROR(__xludf.DUMMYFUNCTION("""COMPUTED_VALUE"""),41247.7055555555)</f>
        <v>41247.705555555498</v>
      </c>
      <c r="H671" s="111">
        <f ca="1">IFERROR(__xludf.DUMMYFUNCTION("""COMPUTED_VALUE"""),18.82)</f>
        <v>18.82</v>
      </c>
      <c r="K671" s="112">
        <f ca="1">IFERROR(__xludf.DUMMYFUNCTION("""COMPUTED_VALUE"""),41698.7055555555)</f>
        <v>41698.705555555498</v>
      </c>
      <c r="L671" s="111">
        <f ca="1">IFERROR(__xludf.DUMMYFUNCTION("""COMPUTED_VALUE"""),0.22)</f>
        <v>0.22</v>
      </c>
      <c r="M671" s="112">
        <f ca="1">IFERROR(__xludf.DUMMYFUNCTION("""COMPUTED_VALUE"""),41162.7055555555)</f>
        <v>41162.705555555498</v>
      </c>
      <c r="N671" s="111">
        <f ca="1">IFERROR(__xludf.DUMMYFUNCTION("""COMPUTED_VALUE"""),13.19)</f>
        <v>13.19</v>
      </c>
      <c r="O671" s="112">
        <f ca="1">IFERROR(__xludf.DUMMYFUNCTION("""COMPUTED_VALUE"""),41240.7055555555)</f>
        <v>41240.705555555498</v>
      </c>
      <c r="P671" s="111">
        <f ca="1">IFERROR(__xludf.DUMMYFUNCTION("""COMPUTED_VALUE"""),36.48)</f>
        <v>36.479999999999997</v>
      </c>
      <c r="Q671" s="112">
        <f ca="1">IFERROR(__xludf.DUMMYFUNCTION("""COMPUTED_VALUE"""),41236.7055555555)</f>
        <v>41236.705555555498</v>
      </c>
      <c r="R671" s="111">
        <f ca="1">IFERROR(__xludf.DUMMYFUNCTION("""COMPUTED_VALUE"""),21.5)</f>
        <v>21.5</v>
      </c>
      <c r="S671" s="112">
        <f ca="1">IFERROR(__xludf.DUMMYFUNCTION("""COMPUTED_VALUE"""),41249.7055555555)</f>
        <v>41249.705555555498</v>
      </c>
      <c r="T671" s="111">
        <f ca="1">IFERROR(__xludf.DUMMYFUNCTION("""COMPUTED_VALUE"""),11.94)</f>
        <v>11.94</v>
      </c>
    </row>
    <row r="672" spans="1:20" x14ac:dyDescent="0.3">
      <c r="A672" s="112">
        <f ca="1">IFERROR(__xludf.DUMMYFUNCTION("""COMPUTED_VALUE"""),41247.7055555555)</f>
        <v>41247.705555555498</v>
      </c>
      <c r="B672" s="111">
        <f ca="1">IFERROR(__xludf.DUMMYFUNCTION("""COMPUTED_VALUE"""),7.22)</f>
        <v>7.22</v>
      </c>
      <c r="C672" s="112">
        <f ca="1">IFERROR(__xludf.DUMMYFUNCTION("""COMPUTED_VALUE"""),41254.7055555555)</f>
        <v>41254.705555555498</v>
      </c>
      <c r="D672" s="111">
        <f ca="1">IFERROR(__xludf.DUMMYFUNCTION("""COMPUTED_VALUE"""),16.52)</f>
        <v>16.52</v>
      </c>
      <c r="E672" s="112">
        <f ca="1">IFERROR(__xludf.DUMMYFUNCTION("""COMPUTED_VALUE"""),41255.7055555555)</f>
        <v>41255.705555555498</v>
      </c>
      <c r="F672" s="111">
        <f ca="1">IFERROR(__xludf.DUMMYFUNCTION("""COMPUTED_VALUE"""),6.31)</f>
        <v>6.31</v>
      </c>
      <c r="G672" s="112">
        <f ca="1">IFERROR(__xludf.DUMMYFUNCTION("""COMPUTED_VALUE"""),41248.7055555555)</f>
        <v>41248.705555555498</v>
      </c>
      <c r="H672" s="111">
        <f ca="1">IFERROR(__xludf.DUMMYFUNCTION("""COMPUTED_VALUE"""),18.94)</f>
        <v>18.940000000000001</v>
      </c>
      <c r="K672" s="112">
        <f ca="1">IFERROR(__xludf.DUMMYFUNCTION("""COMPUTED_VALUE"""),41703.7055555555)</f>
        <v>41703.705555555498</v>
      </c>
      <c r="L672" s="111">
        <f ca="1">IFERROR(__xludf.DUMMYFUNCTION("""COMPUTED_VALUE"""),0.21)</f>
        <v>0.21</v>
      </c>
      <c r="M672" s="112">
        <f ca="1">IFERROR(__xludf.DUMMYFUNCTION("""COMPUTED_VALUE"""),41163.7055555555)</f>
        <v>41163.705555555498</v>
      </c>
      <c r="N672" s="111">
        <f ca="1">IFERROR(__xludf.DUMMYFUNCTION("""COMPUTED_VALUE"""),13.26)</f>
        <v>13.26</v>
      </c>
      <c r="O672" s="112">
        <f ca="1">IFERROR(__xludf.DUMMYFUNCTION("""COMPUTED_VALUE"""),41241.7055555555)</f>
        <v>41241.705555555498</v>
      </c>
      <c r="P672" s="111">
        <f ca="1">IFERROR(__xludf.DUMMYFUNCTION("""COMPUTED_VALUE"""),35.87)</f>
        <v>35.869999999999997</v>
      </c>
      <c r="Q672" s="112">
        <f ca="1">IFERROR(__xludf.DUMMYFUNCTION("""COMPUTED_VALUE"""),41239.7055555555)</f>
        <v>41239.705555555498</v>
      </c>
      <c r="R672" s="111">
        <f ca="1">IFERROR(__xludf.DUMMYFUNCTION("""COMPUTED_VALUE"""),21.88)</f>
        <v>21.88</v>
      </c>
      <c r="S672" s="112">
        <f ca="1">IFERROR(__xludf.DUMMYFUNCTION("""COMPUTED_VALUE"""),41250.7055555555)</f>
        <v>41250.705555555498</v>
      </c>
      <c r="T672" s="111">
        <f ca="1">IFERROR(__xludf.DUMMYFUNCTION("""COMPUTED_VALUE"""),11.98)</f>
        <v>11.98</v>
      </c>
    </row>
    <row r="673" spans="1:20" x14ac:dyDescent="0.3">
      <c r="A673" s="112">
        <f ca="1">IFERROR(__xludf.DUMMYFUNCTION("""COMPUTED_VALUE"""),41248.7055555555)</f>
        <v>41248.705555555498</v>
      </c>
      <c r="B673" s="111">
        <f ca="1">IFERROR(__xludf.DUMMYFUNCTION("""COMPUTED_VALUE"""),6.82)</f>
        <v>6.82</v>
      </c>
      <c r="C673" s="112">
        <f ca="1">IFERROR(__xludf.DUMMYFUNCTION("""COMPUTED_VALUE"""),41255.7055555555)</f>
        <v>41255.705555555498</v>
      </c>
      <c r="D673" s="111">
        <f ca="1">IFERROR(__xludf.DUMMYFUNCTION("""COMPUTED_VALUE"""),16.46)</f>
        <v>16.46</v>
      </c>
      <c r="E673" s="112">
        <f ca="1">IFERROR(__xludf.DUMMYFUNCTION("""COMPUTED_VALUE"""),41256.7055555555)</f>
        <v>41256.705555555498</v>
      </c>
      <c r="F673" s="111">
        <f ca="1">IFERROR(__xludf.DUMMYFUNCTION("""COMPUTED_VALUE"""),6.3)</f>
        <v>6.3</v>
      </c>
      <c r="G673" s="112">
        <f ca="1">IFERROR(__xludf.DUMMYFUNCTION("""COMPUTED_VALUE"""),41249.7055555555)</f>
        <v>41249.705555555498</v>
      </c>
      <c r="H673" s="111">
        <f ca="1">IFERROR(__xludf.DUMMYFUNCTION("""COMPUTED_VALUE"""),18.7)</f>
        <v>18.7</v>
      </c>
      <c r="K673" s="112">
        <f ca="1">IFERROR(__xludf.DUMMYFUNCTION("""COMPUTED_VALUE"""),41704.7055555555)</f>
        <v>41704.705555555498</v>
      </c>
      <c r="L673" s="111">
        <f ca="1">IFERROR(__xludf.DUMMYFUNCTION("""COMPUTED_VALUE"""),0.22)</f>
        <v>0.22</v>
      </c>
      <c r="M673" s="112">
        <f ca="1">IFERROR(__xludf.DUMMYFUNCTION("""COMPUTED_VALUE"""),41164.7055555555)</f>
        <v>41164.705555555498</v>
      </c>
      <c r="N673" s="111">
        <f ca="1">IFERROR(__xludf.DUMMYFUNCTION("""COMPUTED_VALUE"""),13.46)</f>
        <v>13.46</v>
      </c>
      <c r="O673" s="112">
        <f ca="1">IFERROR(__xludf.DUMMYFUNCTION("""COMPUTED_VALUE"""),41242.7055555555)</f>
        <v>41242.705555555498</v>
      </c>
      <c r="P673" s="111">
        <f ca="1">IFERROR(__xludf.DUMMYFUNCTION("""COMPUTED_VALUE"""),37.46)</f>
        <v>37.46</v>
      </c>
      <c r="Q673" s="112">
        <f ca="1">IFERROR(__xludf.DUMMYFUNCTION("""COMPUTED_VALUE"""),41240.7055555555)</f>
        <v>41240.705555555498</v>
      </c>
      <c r="R673" s="111">
        <f ca="1">IFERROR(__xludf.DUMMYFUNCTION("""COMPUTED_VALUE"""),21.9)</f>
        <v>21.9</v>
      </c>
      <c r="S673" s="112">
        <f ca="1">IFERROR(__xludf.DUMMYFUNCTION("""COMPUTED_VALUE"""),41253.7055555555)</f>
        <v>41253.705555555498</v>
      </c>
      <c r="T673" s="111">
        <f ca="1">IFERROR(__xludf.DUMMYFUNCTION("""COMPUTED_VALUE"""),11.88)</f>
        <v>11.88</v>
      </c>
    </row>
    <row r="674" spans="1:20" x14ac:dyDescent="0.3">
      <c r="A674" s="112">
        <f ca="1">IFERROR(__xludf.DUMMYFUNCTION("""COMPUTED_VALUE"""),41249.7055555555)</f>
        <v>41249.705555555498</v>
      </c>
      <c r="B674" s="111">
        <f ca="1">IFERROR(__xludf.DUMMYFUNCTION("""COMPUTED_VALUE"""),6.65)</f>
        <v>6.65</v>
      </c>
      <c r="C674" s="112">
        <f ca="1">IFERROR(__xludf.DUMMYFUNCTION("""COMPUTED_VALUE"""),41256.7055555555)</f>
        <v>41256.705555555498</v>
      </c>
      <c r="D674" s="111">
        <f ca="1">IFERROR(__xludf.DUMMYFUNCTION("""COMPUTED_VALUE"""),16.47)</f>
        <v>16.47</v>
      </c>
      <c r="E674" s="112">
        <f ca="1">IFERROR(__xludf.DUMMYFUNCTION("""COMPUTED_VALUE"""),41257.7055555555)</f>
        <v>41257.705555555498</v>
      </c>
      <c r="F674" s="111">
        <f ca="1">IFERROR(__xludf.DUMMYFUNCTION("""COMPUTED_VALUE"""),6.28)</f>
        <v>6.28</v>
      </c>
      <c r="G674" s="112">
        <f ca="1">IFERROR(__xludf.DUMMYFUNCTION("""COMPUTED_VALUE"""),41250.7055555555)</f>
        <v>41250.705555555498</v>
      </c>
      <c r="H674" s="111">
        <f ca="1">IFERROR(__xludf.DUMMYFUNCTION("""COMPUTED_VALUE"""),19.08)</f>
        <v>19.079999999999998</v>
      </c>
      <c r="K674" s="112">
        <f ca="1">IFERROR(__xludf.DUMMYFUNCTION("""COMPUTED_VALUE"""),41705.7055555555)</f>
        <v>41705.705555555498</v>
      </c>
      <c r="L674" s="111">
        <f ca="1">IFERROR(__xludf.DUMMYFUNCTION("""COMPUTED_VALUE"""),0.22)</f>
        <v>0.22</v>
      </c>
      <c r="M674" s="112">
        <f ca="1">IFERROR(__xludf.DUMMYFUNCTION("""COMPUTED_VALUE"""),41165.7055555555)</f>
        <v>41165.705555555498</v>
      </c>
      <c r="N674" s="111">
        <f ca="1">IFERROR(__xludf.DUMMYFUNCTION("""COMPUTED_VALUE"""),13.82)</f>
        <v>13.82</v>
      </c>
      <c r="O674" s="112">
        <f ca="1">IFERROR(__xludf.DUMMYFUNCTION("""COMPUTED_VALUE"""),41243.7055555555)</f>
        <v>41243.705555555498</v>
      </c>
      <c r="P674" s="111">
        <f ca="1">IFERROR(__xludf.DUMMYFUNCTION("""COMPUTED_VALUE"""),37.6)</f>
        <v>37.6</v>
      </c>
      <c r="Q674" s="112">
        <f ca="1">IFERROR(__xludf.DUMMYFUNCTION("""COMPUTED_VALUE"""),41241.7055555555)</f>
        <v>41241.705555555498</v>
      </c>
      <c r="R674" s="111">
        <f ca="1">IFERROR(__xludf.DUMMYFUNCTION("""COMPUTED_VALUE"""),21.9)</f>
        <v>21.9</v>
      </c>
      <c r="S674" s="112">
        <f ca="1">IFERROR(__xludf.DUMMYFUNCTION("""COMPUTED_VALUE"""),41254.7055555555)</f>
        <v>41254.705555555498</v>
      </c>
      <c r="T674" s="111">
        <f ca="1">IFERROR(__xludf.DUMMYFUNCTION("""COMPUTED_VALUE"""),11.96)</f>
        <v>11.96</v>
      </c>
    </row>
    <row r="675" spans="1:20" x14ac:dyDescent="0.3">
      <c r="A675" s="112">
        <f ca="1">IFERROR(__xludf.DUMMYFUNCTION("""COMPUTED_VALUE"""),41250.7055555555)</f>
        <v>41250.705555555498</v>
      </c>
      <c r="B675" s="111">
        <f ca="1">IFERROR(__xludf.DUMMYFUNCTION("""COMPUTED_VALUE"""),6.6)</f>
        <v>6.6</v>
      </c>
      <c r="C675" s="112">
        <f ca="1">IFERROR(__xludf.DUMMYFUNCTION("""COMPUTED_VALUE"""),41257.7055555555)</f>
        <v>41257.705555555498</v>
      </c>
      <c r="D675" s="111">
        <f ca="1">IFERROR(__xludf.DUMMYFUNCTION("""COMPUTED_VALUE"""),16.33)</f>
        <v>16.329999999999998</v>
      </c>
      <c r="E675" s="112">
        <f ca="1">IFERROR(__xludf.DUMMYFUNCTION("""COMPUTED_VALUE"""),41260.7055555555)</f>
        <v>41260.705555555498</v>
      </c>
      <c r="F675" s="111">
        <f ca="1">IFERROR(__xludf.DUMMYFUNCTION("""COMPUTED_VALUE"""),6.24)</f>
        <v>6.24</v>
      </c>
      <c r="G675" s="112">
        <f ca="1">IFERROR(__xludf.DUMMYFUNCTION("""COMPUTED_VALUE"""),41253.7055555555)</f>
        <v>41253.705555555498</v>
      </c>
      <c r="H675" s="111">
        <f ca="1">IFERROR(__xludf.DUMMYFUNCTION("""COMPUTED_VALUE"""),19.57)</f>
        <v>19.57</v>
      </c>
      <c r="K675" s="112">
        <f ca="1">IFERROR(__xludf.DUMMYFUNCTION("""COMPUTED_VALUE"""),41708.7055555555)</f>
        <v>41708.705555555498</v>
      </c>
      <c r="L675" s="111">
        <f ca="1">IFERROR(__xludf.DUMMYFUNCTION("""COMPUTED_VALUE"""),0.21)</f>
        <v>0.21</v>
      </c>
      <c r="M675" s="112">
        <f ca="1">IFERROR(__xludf.DUMMYFUNCTION("""COMPUTED_VALUE"""),41166.7055555555)</f>
        <v>41166.705555555498</v>
      </c>
      <c r="N675" s="111">
        <f ca="1">IFERROR(__xludf.DUMMYFUNCTION("""COMPUTED_VALUE"""),14)</f>
        <v>14</v>
      </c>
      <c r="O675" s="112">
        <f ca="1">IFERROR(__xludf.DUMMYFUNCTION("""COMPUTED_VALUE"""),41246.7055555555)</f>
        <v>41246.705555555498</v>
      </c>
      <c r="P675" s="111">
        <f ca="1">IFERROR(__xludf.DUMMYFUNCTION("""COMPUTED_VALUE"""),37.38)</f>
        <v>37.380000000000003</v>
      </c>
      <c r="Q675" s="112">
        <f ca="1">IFERROR(__xludf.DUMMYFUNCTION("""COMPUTED_VALUE"""),41242.7055555555)</f>
        <v>41242.705555555498</v>
      </c>
      <c r="R675" s="111">
        <f ca="1">IFERROR(__xludf.DUMMYFUNCTION("""COMPUTED_VALUE"""),22.29)</f>
        <v>22.29</v>
      </c>
      <c r="S675" s="112">
        <f ca="1">IFERROR(__xludf.DUMMYFUNCTION("""COMPUTED_VALUE"""),41255.7055555555)</f>
        <v>41255.705555555498</v>
      </c>
      <c r="T675" s="111">
        <f ca="1">IFERROR(__xludf.DUMMYFUNCTION("""COMPUTED_VALUE"""),11.98)</f>
        <v>11.98</v>
      </c>
    </row>
    <row r="676" spans="1:20" x14ac:dyDescent="0.3">
      <c r="A676" s="112">
        <f ca="1">IFERROR(__xludf.DUMMYFUNCTION("""COMPUTED_VALUE"""),41253.7055555555)</f>
        <v>41253.705555555498</v>
      </c>
      <c r="B676" s="111">
        <f ca="1">IFERROR(__xludf.DUMMYFUNCTION("""COMPUTED_VALUE"""),6.4)</f>
        <v>6.4</v>
      </c>
      <c r="C676" s="112">
        <f ca="1">IFERROR(__xludf.DUMMYFUNCTION("""COMPUTED_VALUE"""),41260.7055555555)</f>
        <v>41260.705555555498</v>
      </c>
      <c r="D676" s="111">
        <f ca="1">IFERROR(__xludf.DUMMYFUNCTION("""COMPUTED_VALUE"""),16.38)</f>
        <v>16.38</v>
      </c>
      <c r="E676" s="112">
        <f ca="1">IFERROR(__xludf.DUMMYFUNCTION("""COMPUTED_VALUE"""),41261.7055555555)</f>
        <v>41261.705555555498</v>
      </c>
      <c r="F676" s="111">
        <f ca="1">IFERROR(__xludf.DUMMYFUNCTION("""COMPUTED_VALUE"""),6.28)</f>
        <v>6.28</v>
      </c>
      <c r="G676" s="112">
        <f ca="1">IFERROR(__xludf.DUMMYFUNCTION("""COMPUTED_VALUE"""),41254.7055555555)</f>
        <v>41254.705555555498</v>
      </c>
      <c r="H676" s="111">
        <f ca="1">IFERROR(__xludf.DUMMYFUNCTION("""COMPUTED_VALUE"""),19.99)</f>
        <v>19.989999999999998</v>
      </c>
      <c r="K676" s="112">
        <f ca="1">IFERROR(__xludf.DUMMYFUNCTION("""COMPUTED_VALUE"""),41709.7055555555)</f>
        <v>41709.705555555498</v>
      </c>
      <c r="L676" s="111">
        <f ca="1">IFERROR(__xludf.DUMMYFUNCTION("""COMPUTED_VALUE"""),0.2)</f>
        <v>0.2</v>
      </c>
      <c r="M676" s="112">
        <f ca="1">IFERROR(__xludf.DUMMYFUNCTION("""COMPUTED_VALUE"""),41169.7055555555)</f>
        <v>41169.705555555498</v>
      </c>
      <c r="N676" s="111">
        <f ca="1">IFERROR(__xludf.DUMMYFUNCTION("""COMPUTED_VALUE"""),14.05)</f>
        <v>14.05</v>
      </c>
      <c r="O676" s="112">
        <f ca="1">IFERROR(__xludf.DUMMYFUNCTION("""COMPUTED_VALUE"""),41247.7055555555)</f>
        <v>41247.705555555498</v>
      </c>
      <c r="P676" s="111">
        <f ca="1">IFERROR(__xludf.DUMMYFUNCTION("""COMPUTED_VALUE"""),36.7)</f>
        <v>36.700000000000003</v>
      </c>
      <c r="Q676" s="112">
        <f ca="1">IFERROR(__xludf.DUMMYFUNCTION("""COMPUTED_VALUE"""),41243.7055555555)</f>
        <v>41243.705555555498</v>
      </c>
      <c r="R676" s="111">
        <f ca="1">IFERROR(__xludf.DUMMYFUNCTION("""COMPUTED_VALUE"""),21.91)</f>
        <v>21.91</v>
      </c>
      <c r="S676" s="112">
        <f ca="1">IFERROR(__xludf.DUMMYFUNCTION("""COMPUTED_VALUE"""),41256.7055555555)</f>
        <v>41256.705555555498</v>
      </c>
      <c r="T676" s="111">
        <f ca="1">IFERROR(__xludf.DUMMYFUNCTION("""COMPUTED_VALUE"""),11.73)</f>
        <v>11.73</v>
      </c>
    </row>
    <row r="677" spans="1:20" x14ac:dyDescent="0.3">
      <c r="A677" s="112">
        <f ca="1">IFERROR(__xludf.DUMMYFUNCTION("""COMPUTED_VALUE"""),41254.7055555555)</f>
        <v>41254.705555555498</v>
      </c>
      <c r="B677" s="111">
        <f ca="1">IFERROR(__xludf.DUMMYFUNCTION("""COMPUTED_VALUE"""),6.73)</f>
        <v>6.73</v>
      </c>
      <c r="C677" s="112">
        <f ca="1">IFERROR(__xludf.DUMMYFUNCTION("""COMPUTED_VALUE"""),41261.7055555555)</f>
        <v>41261.705555555498</v>
      </c>
      <c r="D677" s="111">
        <f ca="1">IFERROR(__xludf.DUMMYFUNCTION("""COMPUTED_VALUE"""),16.47)</f>
        <v>16.47</v>
      </c>
      <c r="E677" s="112">
        <f ca="1">IFERROR(__xludf.DUMMYFUNCTION("""COMPUTED_VALUE"""),41262.7055555555)</f>
        <v>41262.705555555498</v>
      </c>
      <c r="F677" s="111">
        <f ca="1">IFERROR(__xludf.DUMMYFUNCTION("""COMPUTED_VALUE"""),6.49)</f>
        <v>6.49</v>
      </c>
      <c r="G677" s="112">
        <f ca="1">IFERROR(__xludf.DUMMYFUNCTION("""COMPUTED_VALUE"""),41255.7055555555)</f>
        <v>41255.705555555498</v>
      </c>
      <c r="H677" s="111">
        <f ca="1">IFERROR(__xludf.DUMMYFUNCTION("""COMPUTED_VALUE"""),19.85)</f>
        <v>19.850000000000001</v>
      </c>
      <c r="K677" s="112">
        <f ca="1">IFERROR(__xludf.DUMMYFUNCTION("""COMPUTED_VALUE"""),41710.7055555555)</f>
        <v>41710.705555555498</v>
      </c>
      <c r="L677" s="111">
        <f ca="1">IFERROR(__xludf.DUMMYFUNCTION("""COMPUTED_VALUE"""),0.2)</f>
        <v>0.2</v>
      </c>
      <c r="M677" s="112">
        <f ca="1">IFERROR(__xludf.DUMMYFUNCTION("""COMPUTED_VALUE"""),41170.7055555555)</f>
        <v>41170.705555555498</v>
      </c>
      <c r="N677" s="111">
        <f ca="1">IFERROR(__xludf.DUMMYFUNCTION("""COMPUTED_VALUE"""),13.88)</f>
        <v>13.88</v>
      </c>
      <c r="O677" s="112">
        <f ca="1">IFERROR(__xludf.DUMMYFUNCTION("""COMPUTED_VALUE"""),41248.7055555555)</f>
        <v>41248.705555555498</v>
      </c>
      <c r="P677" s="111">
        <f ca="1">IFERROR(__xludf.DUMMYFUNCTION("""COMPUTED_VALUE"""),37.3)</f>
        <v>37.299999999999997</v>
      </c>
      <c r="Q677" s="112">
        <f ca="1">IFERROR(__xludf.DUMMYFUNCTION("""COMPUTED_VALUE"""),41246.7055555555)</f>
        <v>41246.705555555498</v>
      </c>
      <c r="R677" s="111">
        <f ca="1">IFERROR(__xludf.DUMMYFUNCTION("""COMPUTED_VALUE"""),22.06)</f>
        <v>22.06</v>
      </c>
      <c r="S677" s="112">
        <f ca="1">IFERROR(__xludf.DUMMYFUNCTION("""COMPUTED_VALUE"""),41257.7055555555)</f>
        <v>41257.705555555498</v>
      </c>
      <c r="T677" s="111">
        <f ca="1">IFERROR(__xludf.DUMMYFUNCTION("""COMPUTED_VALUE"""),11.88)</f>
        <v>11.88</v>
      </c>
    </row>
    <row r="678" spans="1:20" x14ac:dyDescent="0.3">
      <c r="A678" s="112">
        <f ca="1">IFERROR(__xludf.DUMMYFUNCTION("""COMPUTED_VALUE"""),41255.7055555555)</f>
        <v>41255.705555555498</v>
      </c>
      <c r="B678" s="111">
        <f ca="1">IFERROR(__xludf.DUMMYFUNCTION("""COMPUTED_VALUE"""),6.59)</f>
        <v>6.59</v>
      </c>
      <c r="C678" s="112">
        <f ca="1">IFERROR(__xludf.DUMMYFUNCTION("""COMPUTED_VALUE"""),41262.7055555555)</f>
        <v>41262.705555555498</v>
      </c>
      <c r="D678" s="111">
        <f ca="1">IFERROR(__xludf.DUMMYFUNCTION("""COMPUTED_VALUE"""),17.05)</f>
        <v>17.05</v>
      </c>
      <c r="E678" s="112">
        <f ca="1">IFERROR(__xludf.DUMMYFUNCTION("""COMPUTED_VALUE"""),41263.7055555555)</f>
        <v>41263.705555555498</v>
      </c>
      <c r="F678" s="111">
        <f ca="1">IFERROR(__xludf.DUMMYFUNCTION("""COMPUTED_VALUE"""),6.47)</f>
        <v>6.47</v>
      </c>
      <c r="G678" s="112">
        <f ca="1">IFERROR(__xludf.DUMMYFUNCTION("""COMPUTED_VALUE"""),41256.7055555555)</f>
        <v>41256.705555555498</v>
      </c>
      <c r="H678" s="111">
        <f ca="1">IFERROR(__xludf.DUMMYFUNCTION("""COMPUTED_VALUE"""),19.57)</f>
        <v>19.57</v>
      </c>
      <c r="K678" s="112">
        <f ca="1">IFERROR(__xludf.DUMMYFUNCTION("""COMPUTED_VALUE"""),41711.7055555555)</f>
        <v>41711.705555555498</v>
      </c>
      <c r="L678" s="111">
        <f ca="1">IFERROR(__xludf.DUMMYFUNCTION("""COMPUTED_VALUE"""),0.19)</f>
        <v>0.19</v>
      </c>
      <c r="M678" s="112">
        <f ca="1">IFERROR(__xludf.DUMMYFUNCTION("""COMPUTED_VALUE"""),41171.7055555555)</f>
        <v>41171.705555555498</v>
      </c>
      <c r="N678" s="111">
        <f ca="1">IFERROR(__xludf.DUMMYFUNCTION("""COMPUTED_VALUE"""),13.87)</f>
        <v>13.87</v>
      </c>
      <c r="O678" s="112">
        <f ca="1">IFERROR(__xludf.DUMMYFUNCTION("""COMPUTED_VALUE"""),41249.7055555555)</f>
        <v>41249.705555555498</v>
      </c>
      <c r="P678" s="111">
        <f ca="1">IFERROR(__xludf.DUMMYFUNCTION("""COMPUTED_VALUE"""),37.05)</f>
        <v>37.049999999999997</v>
      </c>
      <c r="Q678" s="112">
        <f ca="1">IFERROR(__xludf.DUMMYFUNCTION("""COMPUTED_VALUE"""),41247.7055555555)</f>
        <v>41247.705555555498</v>
      </c>
      <c r="R678" s="111">
        <f ca="1">IFERROR(__xludf.DUMMYFUNCTION("""COMPUTED_VALUE"""),22.05)</f>
        <v>22.05</v>
      </c>
      <c r="S678" s="112">
        <f ca="1">IFERROR(__xludf.DUMMYFUNCTION("""COMPUTED_VALUE"""),41260.7055555555)</f>
        <v>41260.705555555498</v>
      </c>
      <c r="T678" s="111">
        <f ca="1">IFERROR(__xludf.DUMMYFUNCTION("""COMPUTED_VALUE"""),11.92)</f>
        <v>11.92</v>
      </c>
    </row>
    <row r="679" spans="1:20" x14ac:dyDescent="0.3">
      <c r="A679" s="112">
        <f ca="1">IFERROR(__xludf.DUMMYFUNCTION("""COMPUTED_VALUE"""),41256.7055555555)</f>
        <v>41256.705555555498</v>
      </c>
      <c r="B679" s="111">
        <f ca="1">IFERROR(__xludf.DUMMYFUNCTION("""COMPUTED_VALUE"""),6.53)</f>
        <v>6.53</v>
      </c>
      <c r="C679" s="112">
        <f ca="1">IFERROR(__xludf.DUMMYFUNCTION("""COMPUTED_VALUE"""),41263.7055555555)</f>
        <v>41263.705555555498</v>
      </c>
      <c r="D679" s="111">
        <f ca="1">IFERROR(__xludf.DUMMYFUNCTION("""COMPUTED_VALUE"""),16.98)</f>
        <v>16.98</v>
      </c>
      <c r="E679" s="112">
        <f ca="1">IFERROR(__xludf.DUMMYFUNCTION("""COMPUTED_VALUE"""),41264.7055555555)</f>
        <v>41264.705555555498</v>
      </c>
      <c r="F679" s="111">
        <f ca="1">IFERROR(__xludf.DUMMYFUNCTION("""COMPUTED_VALUE"""),6.43)</f>
        <v>6.43</v>
      </c>
      <c r="G679" s="112">
        <f ca="1">IFERROR(__xludf.DUMMYFUNCTION("""COMPUTED_VALUE"""),41257.7055555555)</f>
        <v>41257.705555555498</v>
      </c>
      <c r="H679" s="111">
        <f ca="1">IFERROR(__xludf.DUMMYFUNCTION("""COMPUTED_VALUE"""),20.21)</f>
        <v>20.21</v>
      </c>
      <c r="K679" s="112">
        <f ca="1">IFERROR(__xludf.DUMMYFUNCTION("""COMPUTED_VALUE"""),41712.7055555555)</f>
        <v>41712.705555555498</v>
      </c>
      <c r="L679" s="111">
        <f ca="1">IFERROR(__xludf.DUMMYFUNCTION("""COMPUTED_VALUE"""),0.19)</f>
        <v>0.19</v>
      </c>
      <c r="M679" s="112">
        <f ca="1">IFERROR(__xludf.DUMMYFUNCTION("""COMPUTED_VALUE"""),41172.7055555555)</f>
        <v>41172.705555555498</v>
      </c>
      <c r="N679" s="111">
        <f ca="1">IFERROR(__xludf.DUMMYFUNCTION("""COMPUTED_VALUE"""),13.83)</f>
        <v>13.83</v>
      </c>
      <c r="O679" s="112">
        <f ca="1">IFERROR(__xludf.DUMMYFUNCTION("""COMPUTED_VALUE"""),41250.7055555555)</f>
        <v>41250.705555555498</v>
      </c>
      <c r="P679" s="111">
        <f ca="1">IFERROR(__xludf.DUMMYFUNCTION("""COMPUTED_VALUE"""),37.48)</f>
        <v>37.479999999999997</v>
      </c>
      <c r="Q679" s="112">
        <f ca="1">IFERROR(__xludf.DUMMYFUNCTION("""COMPUTED_VALUE"""),41248.7055555555)</f>
        <v>41248.705555555498</v>
      </c>
      <c r="R679" s="111">
        <f ca="1">IFERROR(__xludf.DUMMYFUNCTION("""COMPUTED_VALUE"""),22.45)</f>
        <v>22.45</v>
      </c>
      <c r="S679" s="112">
        <f ca="1">IFERROR(__xludf.DUMMYFUNCTION("""COMPUTED_VALUE"""),41261.7055555555)</f>
        <v>41261.705555555498</v>
      </c>
      <c r="T679" s="111">
        <f ca="1">IFERROR(__xludf.DUMMYFUNCTION("""COMPUTED_VALUE"""),12.01)</f>
        <v>12.01</v>
      </c>
    </row>
    <row r="680" spans="1:20" x14ac:dyDescent="0.3">
      <c r="A680" s="112">
        <f ca="1">IFERROR(__xludf.DUMMYFUNCTION("""COMPUTED_VALUE"""),41257.7055555555)</f>
        <v>41257.705555555498</v>
      </c>
      <c r="B680" s="111">
        <f ca="1">IFERROR(__xludf.DUMMYFUNCTION("""COMPUTED_VALUE"""),6.57)</f>
        <v>6.57</v>
      </c>
      <c r="C680" s="112">
        <f ca="1">IFERROR(__xludf.DUMMYFUNCTION("""COMPUTED_VALUE"""),41264.7055555555)</f>
        <v>41264.705555555498</v>
      </c>
      <c r="D680" s="111">
        <f ca="1">IFERROR(__xludf.DUMMYFUNCTION("""COMPUTED_VALUE"""),17.07)</f>
        <v>17.07</v>
      </c>
      <c r="E680" s="112">
        <f ca="1">IFERROR(__xludf.DUMMYFUNCTION("""COMPUTED_VALUE"""),41269.7055555555)</f>
        <v>41269.705555555498</v>
      </c>
      <c r="F680" s="111">
        <f ca="1">IFERROR(__xludf.DUMMYFUNCTION("""COMPUTED_VALUE"""),6.37)</f>
        <v>6.37</v>
      </c>
      <c r="G680" s="112">
        <f ca="1">IFERROR(__xludf.DUMMYFUNCTION("""COMPUTED_VALUE"""),41260.7055555555)</f>
        <v>41260.705555555498</v>
      </c>
      <c r="H680" s="111">
        <f ca="1">IFERROR(__xludf.DUMMYFUNCTION("""COMPUTED_VALUE"""),19.92)</f>
        <v>19.920000000000002</v>
      </c>
      <c r="K680" s="112">
        <f ca="1">IFERROR(__xludf.DUMMYFUNCTION("""COMPUTED_VALUE"""),41715.7055555555)</f>
        <v>41715.705555555498</v>
      </c>
      <c r="L680" s="111">
        <f ca="1">IFERROR(__xludf.DUMMYFUNCTION("""COMPUTED_VALUE"""),0.19)</f>
        <v>0.19</v>
      </c>
      <c r="M680" s="112">
        <f ca="1">IFERROR(__xludf.DUMMYFUNCTION("""COMPUTED_VALUE"""),41173.7055555555)</f>
        <v>41173.705555555498</v>
      </c>
      <c r="N680" s="111">
        <f ca="1">IFERROR(__xludf.DUMMYFUNCTION("""COMPUTED_VALUE"""),13.95)</f>
        <v>13.95</v>
      </c>
      <c r="O680" s="112">
        <f ca="1">IFERROR(__xludf.DUMMYFUNCTION("""COMPUTED_VALUE"""),41253.7055555555)</f>
        <v>41253.705555555498</v>
      </c>
      <c r="P680" s="111">
        <f ca="1">IFERROR(__xludf.DUMMYFUNCTION("""COMPUTED_VALUE"""),38.15)</f>
        <v>38.15</v>
      </c>
      <c r="Q680" s="112">
        <f ca="1">IFERROR(__xludf.DUMMYFUNCTION("""COMPUTED_VALUE"""),41249.7055555555)</f>
        <v>41249.705555555498</v>
      </c>
      <c r="R680" s="111">
        <f ca="1">IFERROR(__xludf.DUMMYFUNCTION("""COMPUTED_VALUE"""),22.36)</f>
        <v>22.36</v>
      </c>
      <c r="S680" s="112">
        <f ca="1">IFERROR(__xludf.DUMMYFUNCTION("""COMPUTED_VALUE"""),41262.7055555555)</f>
        <v>41262.705555555498</v>
      </c>
      <c r="T680" s="111">
        <f ca="1">IFERROR(__xludf.DUMMYFUNCTION("""COMPUTED_VALUE"""),12)</f>
        <v>12</v>
      </c>
    </row>
    <row r="681" spans="1:20" x14ac:dyDescent="0.3">
      <c r="A681" s="112">
        <f ca="1">IFERROR(__xludf.DUMMYFUNCTION("""COMPUTED_VALUE"""),41260.7055555555)</f>
        <v>41260.705555555498</v>
      </c>
      <c r="B681" s="111">
        <f ca="1">IFERROR(__xludf.DUMMYFUNCTION("""COMPUTED_VALUE"""),6.58)</f>
        <v>6.58</v>
      </c>
      <c r="C681" s="112">
        <f ca="1">IFERROR(__xludf.DUMMYFUNCTION("""COMPUTED_VALUE"""),41269.7055555555)</f>
        <v>41269.705555555498</v>
      </c>
      <c r="D681" s="111">
        <f ca="1">IFERROR(__xludf.DUMMYFUNCTION("""COMPUTED_VALUE"""),16.9)</f>
        <v>16.899999999999999</v>
      </c>
      <c r="E681" s="112">
        <f ca="1">IFERROR(__xludf.DUMMYFUNCTION("""COMPUTED_VALUE"""),41270.7055555555)</f>
        <v>41270.705555555498</v>
      </c>
      <c r="F681" s="111">
        <f ca="1">IFERROR(__xludf.DUMMYFUNCTION("""COMPUTED_VALUE"""),6.28)</f>
        <v>6.28</v>
      </c>
      <c r="G681" s="112">
        <f ca="1">IFERROR(__xludf.DUMMYFUNCTION("""COMPUTED_VALUE"""),41261.7055555555)</f>
        <v>41261.705555555498</v>
      </c>
      <c r="H681" s="111">
        <f ca="1">IFERROR(__xludf.DUMMYFUNCTION("""COMPUTED_VALUE"""),20.17)</f>
        <v>20.170000000000002</v>
      </c>
      <c r="K681" s="112">
        <f ca="1">IFERROR(__xludf.DUMMYFUNCTION("""COMPUTED_VALUE"""),41716.7055555555)</f>
        <v>41716.705555555498</v>
      </c>
      <c r="L681" s="111">
        <f ca="1">IFERROR(__xludf.DUMMYFUNCTION("""COMPUTED_VALUE"""),0.19)</f>
        <v>0.19</v>
      </c>
      <c r="M681" s="112">
        <f ca="1">IFERROR(__xludf.DUMMYFUNCTION("""COMPUTED_VALUE"""),41176.7055555555)</f>
        <v>41176.705555555498</v>
      </c>
      <c r="N681" s="111">
        <f ca="1">IFERROR(__xludf.DUMMYFUNCTION("""COMPUTED_VALUE"""),13.87)</f>
        <v>13.87</v>
      </c>
      <c r="O681" s="112">
        <f ca="1">IFERROR(__xludf.DUMMYFUNCTION("""COMPUTED_VALUE"""),41254.7055555555)</f>
        <v>41254.705555555498</v>
      </c>
      <c r="P681" s="111">
        <f ca="1">IFERROR(__xludf.DUMMYFUNCTION("""COMPUTED_VALUE"""),39)</f>
        <v>39</v>
      </c>
      <c r="Q681" s="112">
        <f ca="1">IFERROR(__xludf.DUMMYFUNCTION("""COMPUTED_VALUE"""),41250.7055555555)</f>
        <v>41250.705555555498</v>
      </c>
      <c r="R681" s="111">
        <f ca="1">IFERROR(__xludf.DUMMYFUNCTION("""COMPUTED_VALUE"""),22.84)</f>
        <v>22.84</v>
      </c>
      <c r="S681" s="112">
        <f ca="1">IFERROR(__xludf.DUMMYFUNCTION("""COMPUTED_VALUE"""),41263.7055555555)</f>
        <v>41263.705555555498</v>
      </c>
      <c r="T681" s="111">
        <f ca="1">IFERROR(__xludf.DUMMYFUNCTION("""COMPUTED_VALUE"""),11.95)</f>
        <v>11.95</v>
      </c>
    </row>
    <row r="682" spans="1:20" x14ac:dyDescent="0.3">
      <c r="A682" s="112">
        <f ca="1">IFERROR(__xludf.DUMMYFUNCTION("""COMPUTED_VALUE"""),41261.7055555555)</f>
        <v>41261.705555555498</v>
      </c>
      <c r="B682" s="111">
        <f ca="1">IFERROR(__xludf.DUMMYFUNCTION("""COMPUTED_VALUE"""),6.58)</f>
        <v>6.58</v>
      </c>
      <c r="C682" s="112">
        <f ca="1">IFERROR(__xludf.DUMMYFUNCTION("""COMPUTED_VALUE"""),41270.7055555555)</f>
        <v>41270.705555555498</v>
      </c>
      <c r="D682" s="111">
        <f ca="1">IFERROR(__xludf.DUMMYFUNCTION("""COMPUTED_VALUE"""),16.62)</f>
        <v>16.62</v>
      </c>
      <c r="E682" s="112">
        <f ca="1">IFERROR(__xludf.DUMMYFUNCTION("""COMPUTED_VALUE"""),41271.7055555555)</f>
        <v>41271.705555555498</v>
      </c>
      <c r="F682" s="111">
        <f ca="1">IFERROR(__xludf.DUMMYFUNCTION("""COMPUTED_VALUE"""),6.3)</f>
        <v>6.3</v>
      </c>
      <c r="G682" s="112">
        <f ca="1">IFERROR(__xludf.DUMMYFUNCTION("""COMPUTED_VALUE"""),41262.7055555555)</f>
        <v>41262.705555555498</v>
      </c>
      <c r="H682" s="111">
        <f ca="1">IFERROR(__xludf.DUMMYFUNCTION("""COMPUTED_VALUE"""),20.93)</f>
        <v>20.93</v>
      </c>
      <c r="K682" s="112">
        <f ca="1">IFERROR(__xludf.DUMMYFUNCTION("""COMPUTED_VALUE"""),41717.7055555555)</f>
        <v>41717.705555555498</v>
      </c>
      <c r="L682" s="111">
        <f ca="1">IFERROR(__xludf.DUMMYFUNCTION("""COMPUTED_VALUE"""),0.19)</f>
        <v>0.19</v>
      </c>
      <c r="M682" s="112">
        <f ca="1">IFERROR(__xludf.DUMMYFUNCTION("""COMPUTED_VALUE"""),41177.7055555555)</f>
        <v>41177.705555555498</v>
      </c>
      <c r="N682" s="111">
        <f ca="1">IFERROR(__xludf.DUMMYFUNCTION("""COMPUTED_VALUE"""),12.95)</f>
        <v>12.95</v>
      </c>
      <c r="O682" s="112">
        <f ca="1">IFERROR(__xludf.DUMMYFUNCTION("""COMPUTED_VALUE"""),41255.7055555555)</f>
        <v>41255.705555555498</v>
      </c>
      <c r="P682" s="111">
        <f ca="1">IFERROR(__xludf.DUMMYFUNCTION("""COMPUTED_VALUE"""),39.4)</f>
        <v>39.4</v>
      </c>
      <c r="Q682" s="112">
        <f ca="1">IFERROR(__xludf.DUMMYFUNCTION("""COMPUTED_VALUE"""),41253.7055555555)</f>
        <v>41253.705555555498</v>
      </c>
      <c r="R682" s="111">
        <f ca="1">IFERROR(__xludf.DUMMYFUNCTION("""COMPUTED_VALUE"""),23)</f>
        <v>23</v>
      </c>
      <c r="S682" s="112">
        <f ca="1">IFERROR(__xludf.DUMMYFUNCTION("""COMPUTED_VALUE"""),41264.7055555555)</f>
        <v>41264.705555555498</v>
      </c>
      <c r="T682" s="111">
        <f ca="1">IFERROR(__xludf.DUMMYFUNCTION("""COMPUTED_VALUE"""),11.77)</f>
        <v>11.77</v>
      </c>
    </row>
    <row r="683" spans="1:20" x14ac:dyDescent="0.3">
      <c r="A683" s="112">
        <f ca="1">IFERROR(__xludf.DUMMYFUNCTION("""COMPUTED_VALUE"""),41262.7055555555)</f>
        <v>41262.705555555498</v>
      </c>
      <c r="B683" s="111">
        <f ca="1">IFERROR(__xludf.DUMMYFUNCTION("""COMPUTED_VALUE"""),6.38)</f>
        <v>6.38</v>
      </c>
      <c r="C683" s="112">
        <f ca="1">IFERROR(__xludf.DUMMYFUNCTION("""COMPUTED_VALUE"""),41271.7055555555)</f>
        <v>41271.705555555498</v>
      </c>
      <c r="D683" s="111">
        <f ca="1">IFERROR(__xludf.DUMMYFUNCTION("""COMPUTED_VALUE"""),16.71)</f>
        <v>16.71</v>
      </c>
      <c r="E683" s="112">
        <f ca="1">IFERROR(__xludf.DUMMYFUNCTION("""COMPUTED_VALUE"""),41276.7055555555)</f>
        <v>41276.705555555498</v>
      </c>
      <c r="F683" s="111">
        <f ca="1">IFERROR(__xludf.DUMMYFUNCTION("""COMPUTED_VALUE"""),6.52)</f>
        <v>6.52</v>
      </c>
      <c r="G683" s="112">
        <f ca="1">IFERROR(__xludf.DUMMYFUNCTION("""COMPUTED_VALUE"""),41263.7055555555)</f>
        <v>41263.705555555498</v>
      </c>
      <c r="H683" s="111">
        <f ca="1">IFERROR(__xludf.DUMMYFUNCTION("""COMPUTED_VALUE"""),21.05)</f>
        <v>21.05</v>
      </c>
      <c r="K683" s="112">
        <f ca="1">IFERROR(__xludf.DUMMYFUNCTION("""COMPUTED_VALUE"""),41718.7055555555)</f>
        <v>41718.705555555498</v>
      </c>
      <c r="L683" s="111">
        <f ca="1">IFERROR(__xludf.DUMMYFUNCTION("""COMPUTED_VALUE"""),0.19)</f>
        <v>0.19</v>
      </c>
      <c r="M683" s="112">
        <f ca="1">IFERROR(__xludf.DUMMYFUNCTION("""COMPUTED_VALUE"""),41178.7055555555)</f>
        <v>41178.705555555498</v>
      </c>
      <c r="N683" s="111">
        <f ca="1">IFERROR(__xludf.DUMMYFUNCTION("""COMPUTED_VALUE"""),12.83)</f>
        <v>12.83</v>
      </c>
      <c r="O683" s="112">
        <f ca="1">IFERROR(__xludf.DUMMYFUNCTION("""COMPUTED_VALUE"""),41256.7055555555)</f>
        <v>41256.705555555498</v>
      </c>
      <c r="P683" s="111">
        <f ca="1">IFERROR(__xludf.DUMMYFUNCTION("""COMPUTED_VALUE"""),39.62)</f>
        <v>39.619999999999997</v>
      </c>
      <c r="Q683" s="112">
        <f ca="1">IFERROR(__xludf.DUMMYFUNCTION("""COMPUTED_VALUE"""),41254.7055555555)</f>
        <v>41254.705555555498</v>
      </c>
      <c r="R683" s="111">
        <f ca="1">IFERROR(__xludf.DUMMYFUNCTION("""COMPUTED_VALUE"""),23)</f>
        <v>23</v>
      </c>
      <c r="S683" s="112">
        <f ca="1">IFERROR(__xludf.DUMMYFUNCTION("""COMPUTED_VALUE"""),41269.7055555555)</f>
        <v>41269.705555555498</v>
      </c>
      <c r="T683" s="111">
        <f ca="1">IFERROR(__xludf.DUMMYFUNCTION("""COMPUTED_VALUE"""),11.95)</f>
        <v>11.95</v>
      </c>
    </row>
    <row r="684" spans="1:20" x14ac:dyDescent="0.3">
      <c r="A684" s="112">
        <f ca="1">IFERROR(__xludf.DUMMYFUNCTION("""COMPUTED_VALUE"""),41263.7055555555)</f>
        <v>41263.705555555498</v>
      </c>
      <c r="B684" s="111">
        <f ca="1">IFERROR(__xludf.DUMMYFUNCTION("""COMPUTED_VALUE"""),6.28)</f>
        <v>6.28</v>
      </c>
      <c r="C684" s="112">
        <f ca="1">IFERROR(__xludf.DUMMYFUNCTION("""COMPUTED_VALUE"""),41276.7055555555)</f>
        <v>41276.705555555498</v>
      </c>
      <c r="D684" s="111">
        <f ca="1">IFERROR(__xludf.DUMMYFUNCTION("""COMPUTED_VALUE"""),17.27)</f>
        <v>17.27</v>
      </c>
      <c r="E684" s="112">
        <f ca="1">IFERROR(__xludf.DUMMYFUNCTION("""COMPUTED_VALUE"""),41277.7055555555)</f>
        <v>41277.705555555498</v>
      </c>
      <c r="F684" s="111">
        <f ca="1">IFERROR(__xludf.DUMMYFUNCTION("""COMPUTED_VALUE"""),6.73)</f>
        <v>6.73</v>
      </c>
      <c r="G684" s="112">
        <f ca="1">IFERROR(__xludf.DUMMYFUNCTION("""COMPUTED_VALUE"""),41264.7055555555)</f>
        <v>41264.705555555498</v>
      </c>
      <c r="H684" s="111">
        <f ca="1">IFERROR(__xludf.DUMMYFUNCTION("""COMPUTED_VALUE"""),20.69)</f>
        <v>20.69</v>
      </c>
      <c r="K684" s="112">
        <f ca="1">IFERROR(__xludf.DUMMYFUNCTION("""COMPUTED_VALUE"""),41719.7055555555)</f>
        <v>41719.705555555498</v>
      </c>
      <c r="L684" s="111">
        <f ca="1">IFERROR(__xludf.DUMMYFUNCTION("""COMPUTED_VALUE"""),0.2)</f>
        <v>0.2</v>
      </c>
      <c r="M684" s="112">
        <f ca="1">IFERROR(__xludf.DUMMYFUNCTION("""COMPUTED_VALUE"""),41179.7055555555)</f>
        <v>41179.705555555498</v>
      </c>
      <c r="N684" s="111">
        <f ca="1">IFERROR(__xludf.DUMMYFUNCTION("""COMPUTED_VALUE"""),12.99)</f>
        <v>12.99</v>
      </c>
      <c r="O684" s="112">
        <f ca="1">IFERROR(__xludf.DUMMYFUNCTION("""COMPUTED_VALUE"""),41257.7055555555)</f>
        <v>41257.705555555498</v>
      </c>
      <c r="P684" s="111">
        <f ca="1">IFERROR(__xludf.DUMMYFUNCTION("""COMPUTED_VALUE"""),41.2)</f>
        <v>41.2</v>
      </c>
      <c r="Q684" s="112">
        <f ca="1">IFERROR(__xludf.DUMMYFUNCTION("""COMPUTED_VALUE"""),41255.7055555555)</f>
        <v>41255.705555555498</v>
      </c>
      <c r="R684" s="111">
        <f ca="1">IFERROR(__xludf.DUMMYFUNCTION("""COMPUTED_VALUE"""),22.9)</f>
        <v>22.9</v>
      </c>
      <c r="S684" s="112">
        <f ca="1">IFERROR(__xludf.DUMMYFUNCTION("""COMPUTED_VALUE"""),41270.7055555555)</f>
        <v>41270.705555555498</v>
      </c>
      <c r="T684" s="111">
        <f ca="1">IFERROR(__xludf.DUMMYFUNCTION("""COMPUTED_VALUE"""),11.87)</f>
        <v>11.87</v>
      </c>
    </row>
    <row r="685" spans="1:20" x14ac:dyDescent="0.3">
      <c r="A685" s="112">
        <f ca="1">IFERROR(__xludf.DUMMYFUNCTION("""COMPUTED_VALUE"""),41264.7055555555)</f>
        <v>41264.705555555498</v>
      </c>
      <c r="B685" s="111">
        <f ca="1">IFERROR(__xludf.DUMMYFUNCTION("""COMPUTED_VALUE"""),6.53)</f>
        <v>6.53</v>
      </c>
      <c r="C685" s="112">
        <f ca="1">IFERROR(__xludf.DUMMYFUNCTION("""COMPUTED_VALUE"""),41277.7055555555)</f>
        <v>41277.705555555498</v>
      </c>
      <c r="D685" s="111">
        <f ca="1">IFERROR(__xludf.DUMMYFUNCTION("""COMPUTED_VALUE"""),17.79)</f>
        <v>17.79</v>
      </c>
      <c r="E685" s="112">
        <f ca="1">IFERROR(__xludf.DUMMYFUNCTION("""COMPUTED_VALUE"""),41278.7055555555)</f>
        <v>41278.705555555498</v>
      </c>
      <c r="F685" s="111">
        <f ca="1">IFERROR(__xludf.DUMMYFUNCTION("""COMPUTED_VALUE"""),6.7)</f>
        <v>6.7</v>
      </c>
      <c r="G685" s="112">
        <f ca="1">IFERROR(__xludf.DUMMYFUNCTION("""COMPUTED_VALUE"""),41269.7055555555)</f>
        <v>41269.705555555498</v>
      </c>
      <c r="H685" s="111">
        <f ca="1">IFERROR(__xludf.DUMMYFUNCTION("""COMPUTED_VALUE"""),20.06)</f>
        <v>20.059999999999999</v>
      </c>
      <c r="K685" s="112">
        <f ca="1">IFERROR(__xludf.DUMMYFUNCTION("""COMPUTED_VALUE"""),41722.7055555555)</f>
        <v>41722.705555555498</v>
      </c>
      <c r="L685" s="111">
        <f ca="1">IFERROR(__xludf.DUMMYFUNCTION("""COMPUTED_VALUE"""),0.2)</f>
        <v>0.2</v>
      </c>
      <c r="M685" s="112">
        <f ca="1">IFERROR(__xludf.DUMMYFUNCTION("""COMPUTED_VALUE"""),41180.7055555555)</f>
        <v>41180.705555555498</v>
      </c>
      <c r="N685" s="111">
        <f ca="1">IFERROR(__xludf.DUMMYFUNCTION("""COMPUTED_VALUE"""),12.76)</f>
        <v>12.76</v>
      </c>
      <c r="O685" s="112">
        <f ca="1">IFERROR(__xludf.DUMMYFUNCTION("""COMPUTED_VALUE"""),41260.7055555555)</f>
        <v>41260.705555555498</v>
      </c>
      <c r="P685" s="111">
        <f ca="1">IFERROR(__xludf.DUMMYFUNCTION("""COMPUTED_VALUE"""),42)</f>
        <v>42</v>
      </c>
      <c r="Q685" s="112">
        <f ca="1">IFERROR(__xludf.DUMMYFUNCTION("""COMPUTED_VALUE"""),41256.7055555555)</f>
        <v>41256.705555555498</v>
      </c>
      <c r="R685" s="111">
        <f ca="1">IFERROR(__xludf.DUMMYFUNCTION("""COMPUTED_VALUE"""),22.56)</f>
        <v>22.56</v>
      </c>
      <c r="S685" s="112">
        <f ca="1">IFERROR(__xludf.DUMMYFUNCTION("""COMPUTED_VALUE"""),41271.7055555555)</f>
        <v>41271.705555555498</v>
      </c>
      <c r="T685" s="111">
        <f ca="1">IFERROR(__xludf.DUMMYFUNCTION("""COMPUTED_VALUE"""),11.98)</f>
        <v>11.98</v>
      </c>
    </row>
    <row r="686" spans="1:20" x14ac:dyDescent="0.3">
      <c r="A686" s="112">
        <f ca="1">IFERROR(__xludf.DUMMYFUNCTION("""COMPUTED_VALUE"""),41269.7055555555)</f>
        <v>41269.705555555498</v>
      </c>
      <c r="B686" s="111">
        <f ca="1">IFERROR(__xludf.DUMMYFUNCTION("""COMPUTED_VALUE"""),6.43)</f>
        <v>6.43</v>
      </c>
      <c r="C686" s="112">
        <f ca="1">IFERROR(__xludf.DUMMYFUNCTION("""COMPUTED_VALUE"""),41278.7055555555)</f>
        <v>41278.705555555498</v>
      </c>
      <c r="D686" s="111">
        <f ca="1">IFERROR(__xludf.DUMMYFUNCTION("""COMPUTED_VALUE"""),17.68)</f>
        <v>17.68</v>
      </c>
      <c r="E686" s="112">
        <f ca="1">IFERROR(__xludf.DUMMYFUNCTION("""COMPUTED_VALUE"""),41281.7055555555)</f>
        <v>41281.705555555498</v>
      </c>
      <c r="F686" s="111">
        <f ca="1">IFERROR(__xludf.DUMMYFUNCTION("""COMPUTED_VALUE"""),6.62)</f>
        <v>6.62</v>
      </c>
      <c r="G686" s="112">
        <f ca="1">IFERROR(__xludf.DUMMYFUNCTION("""COMPUTED_VALUE"""),41270.7055555555)</f>
        <v>41270.705555555498</v>
      </c>
      <c r="H686" s="111">
        <f ca="1">IFERROR(__xludf.DUMMYFUNCTION("""COMPUTED_VALUE"""),19.41)</f>
        <v>19.41</v>
      </c>
      <c r="K686" s="112">
        <f ca="1">IFERROR(__xludf.DUMMYFUNCTION("""COMPUTED_VALUE"""),41723.7055555555)</f>
        <v>41723.705555555498</v>
      </c>
      <c r="L686" s="111">
        <f ca="1">IFERROR(__xludf.DUMMYFUNCTION("""COMPUTED_VALUE"""),0.2)</f>
        <v>0.2</v>
      </c>
      <c r="M686" s="112">
        <f ca="1">IFERROR(__xludf.DUMMYFUNCTION("""COMPUTED_VALUE"""),41183.7055555555)</f>
        <v>41183.705555555498</v>
      </c>
      <c r="N686" s="111">
        <f ca="1">IFERROR(__xludf.DUMMYFUNCTION("""COMPUTED_VALUE"""),13)</f>
        <v>13</v>
      </c>
      <c r="O686" s="112">
        <f ca="1">IFERROR(__xludf.DUMMYFUNCTION("""COMPUTED_VALUE"""),41261.7055555555)</f>
        <v>41261.705555555498</v>
      </c>
      <c r="P686" s="111">
        <f ca="1">IFERROR(__xludf.DUMMYFUNCTION("""COMPUTED_VALUE"""),42.82)</f>
        <v>42.82</v>
      </c>
      <c r="Q686" s="112">
        <f ca="1">IFERROR(__xludf.DUMMYFUNCTION("""COMPUTED_VALUE"""),41257.7055555555)</f>
        <v>41257.705555555498</v>
      </c>
      <c r="R686" s="111">
        <f ca="1">IFERROR(__xludf.DUMMYFUNCTION("""COMPUTED_VALUE"""),22.38)</f>
        <v>22.38</v>
      </c>
      <c r="S686" s="112">
        <f ca="1">IFERROR(__xludf.DUMMYFUNCTION("""COMPUTED_VALUE"""),41276.7055555555)</f>
        <v>41276.705555555498</v>
      </c>
      <c r="T686" s="111">
        <f ca="1">IFERROR(__xludf.DUMMYFUNCTION("""COMPUTED_VALUE"""),12.07)</f>
        <v>12.07</v>
      </c>
    </row>
    <row r="687" spans="1:20" x14ac:dyDescent="0.3">
      <c r="A687" s="112">
        <f ca="1">IFERROR(__xludf.DUMMYFUNCTION("""COMPUTED_VALUE"""),41270.7055555555)</f>
        <v>41270.705555555498</v>
      </c>
      <c r="B687" s="111">
        <f ca="1">IFERROR(__xludf.DUMMYFUNCTION("""COMPUTED_VALUE"""),6.25)</f>
        <v>6.25</v>
      </c>
      <c r="C687" s="112">
        <f ca="1">IFERROR(__xludf.DUMMYFUNCTION("""COMPUTED_VALUE"""),41281.7055555555)</f>
        <v>41281.705555555498</v>
      </c>
      <c r="D687" s="111">
        <f ca="1">IFERROR(__xludf.DUMMYFUNCTION("""COMPUTED_VALUE"""),17.38)</f>
        <v>17.38</v>
      </c>
      <c r="E687" s="112">
        <f ca="1">IFERROR(__xludf.DUMMYFUNCTION("""COMPUTED_VALUE"""),41282.7055555555)</f>
        <v>41282.705555555498</v>
      </c>
      <c r="F687" s="111">
        <f ca="1">IFERROR(__xludf.DUMMYFUNCTION("""COMPUTED_VALUE"""),6.66)</f>
        <v>6.66</v>
      </c>
      <c r="G687" s="112">
        <f ca="1">IFERROR(__xludf.DUMMYFUNCTION("""COMPUTED_VALUE"""),41271.7055555555)</f>
        <v>41271.705555555498</v>
      </c>
      <c r="H687" s="111">
        <f ca="1">IFERROR(__xludf.DUMMYFUNCTION("""COMPUTED_VALUE"""),19.52)</f>
        <v>19.52</v>
      </c>
      <c r="K687" s="112">
        <f ca="1">IFERROR(__xludf.DUMMYFUNCTION("""COMPUTED_VALUE"""),41724.7055555555)</f>
        <v>41724.705555555498</v>
      </c>
      <c r="L687" s="111">
        <f ca="1">IFERROR(__xludf.DUMMYFUNCTION("""COMPUTED_VALUE"""),0.2)</f>
        <v>0.2</v>
      </c>
      <c r="M687" s="112">
        <f ca="1">IFERROR(__xludf.DUMMYFUNCTION("""COMPUTED_VALUE"""),41184.7055555555)</f>
        <v>41184.705555555498</v>
      </c>
      <c r="N687" s="111">
        <f ca="1">IFERROR(__xludf.DUMMYFUNCTION("""COMPUTED_VALUE"""),13.01)</f>
        <v>13.01</v>
      </c>
      <c r="O687" s="112">
        <f ca="1">IFERROR(__xludf.DUMMYFUNCTION("""COMPUTED_VALUE"""),41262.7055555555)</f>
        <v>41262.705555555498</v>
      </c>
      <c r="P687" s="111">
        <f ca="1">IFERROR(__xludf.DUMMYFUNCTION("""COMPUTED_VALUE"""),42.05)</f>
        <v>42.05</v>
      </c>
      <c r="Q687" s="112">
        <f ca="1">IFERROR(__xludf.DUMMYFUNCTION("""COMPUTED_VALUE"""),41260.7055555555)</f>
        <v>41260.705555555498</v>
      </c>
      <c r="R687" s="111">
        <f ca="1">IFERROR(__xludf.DUMMYFUNCTION("""COMPUTED_VALUE"""),22.28)</f>
        <v>22.28</v>
      </c>
      <c r="S687" s="112">
        <f ca="1">IFERROR(__xludf.DUMMYFUNCTION("""COMPUTED_VALUE"""),41277.7055555555)</f>
        <v>41277.705555555498</v>
      </c>
      <c r="T687" s="111">
        <f ca="1">IFERROR(__xludf.DUMMYFUNCTION("""COMPUTED_VALUE"""),12.1)</f>
        <v>12.1</v>
      </c>
    </row>
    <row r="688" spans="1:20" x14ac:dyDescent="0.3">
      <c r="A688" s="112">
        <f ca="1">IFERROR(__xludf.DUMMYFUNCTION("""COMPUTED_VALUE"""),41271.7055555555)</f>
        <v>41271.705555555498</v>
      </c>
      <c r="B688" s="111">
        <f ca="1">IFERROR(__xludf.DUMMYFUNCTION("""COMPUTED_VALUE"""),6.26)</f>
        <v>6.26</v>
      </c>
      <c r="C688" s="112">
        <f ca="1">IFERROR(__xludf.DUMMYFUNCTION("""COMPUTED_VALUE"""),41282.7055555555)</f>
        <v>41282.705555555498</v>
      </c>
      <c r="D688" s="111">
        <f ca="1">IFERROR(__xludf.DUMMYFUNCTION("""COMPUTED_VALUE"""),17.45)</f>
        <v>17.45</v>
      </c>
      <c r="E688" s="112">
        <f ca="1">IFERROR(__xludf.DUMMYFUNCTION("""COMPUTED_VALUE"""),41283.7055555555)</f>
        <v>41283.705555555498</v>
      </c>
      <c r="F688" s="111">
        <f ca="1">IFERROR(__xludf.DUMMYFUNCTION("""COMPUTED_VALUE"""),6.73)</f>
        <v>6.73</v>
      </c>
      <c r="G688" s="112">
        <f ca="1">IFERROR(__xludf.DUMMYFUNCTION("""COMPUTED_VALUE"""),41276.7055555555)</f>
        <v>41276.705555555498</v>
      </c>
      <c r="H688" s="111">
        <f ca="1">IFERROR(__xludf.DUMMYFUNCTION("""COMPUTED_VALUE"""),19.69)</f>
        <v>19.690000000000001</v>
      </c>
      <c r="K688" s="112">
        <f ca="1">IFERROR(__xludf.DUMMYFUNCTION("""COMPUTED_VALUE"""),41725.7055555555)</f>
        <v>41725.705555555498</v>
      </c>
      <c r="L688" s="111">
        <f ca="1">IFERROR(__xludf.DUMMYFUNCTION("""COMPUTED_VALUE"""),0.2)</f>
        <v>0.2</v>
      </c>
      <c r="M688" s="112">
        <f ca="1">IFERROR(__xludf.DUMMYFUNCTION("""COMPUTED_VALUE"""),41185.7055555555)</f>
        <v>41185.705555555498</v>
      </c>
      <c r="N688" s="111">
        <f ca="1">IFERROR(__xludf.DUMMYFUNCTION("""COMPUTED_VALUE"""),12.68)</f>
        <v>12.68</v>
      </c>
      <c r="O688" s="112">
        <f ca="1">IFERROR(__xludf.DUMMYFUNCTION("""COMPUTED_VALUE"""),41263.7055555555)</f>
        <v>41263.705555555498</v>
      </c>
      <c r="P688" s="111">
        <f ca="1">IFERROR(__xludf.DUMMYFUNCTION("""COMPUTED_VALUE"""),42.25)</f>
        <v>42.25</v>
      </c>
      <c r="Q688" s="112">
        <f ca="1">IFERROR(__xludf.DUMMYFUNCTION("""COMPUTED_VALUE"""),41261.7055555555)</f>
        <v>41261.705555555498</v>
      </c>
      <c r="R688" s="111">
        <f ca="1">IFERROR(__xludf.DUMMYFUNCTION("""COMPUTED_VALUE"""),22.98)</f>
        <v>22.98</v>
      </c>
      <c r="S688" s="112">
        <f ca="1">IFERROR(__xludf.DUMMYFUNCTION("""COMPUTED_VALUE"""),41278.7055555555)</f>
        <v>41278.705555555498</v>
      </c>
      <c r="T688" s="111">
        <f ca="1">IFERROR(__xludf.DUMMYFUNCTION("""COMPUTED_VALUE"""),12.08)</f>
        <v>12.08</v>
      </c>
    </row>
    <row r="689" spans="1:20" x14ac:dyDescent="0.3">
      <c r="A689" s="112">
        <f ca="1">IFERROR(__xludf.DUMMYFUNCTION("""COMPUTED_VALUE"""),41276.7055555555)</f>
        <v>41276.705555555498</v>
      </c>
      <c r="B689" s="111">
        <f ca="1">IFERROR(__xludf.DUMMYFUNCTION("""COMPUTED_VALUE"""),6.66)</f>
        <v>6.66</v>
      </c>
      <c r="C689" s="112">
        <f ca="1">IFERROR(__xludf.DUMMYFUNCTION("""COMPUTED_VALUE"""),41283.7055555555)</f>
        <v>41283.705555555498</v>
      </c>
      <c r="D689" s="111">
        <f ca="1">IFERROR(__xludf.DUMMYFUNCTION("""COMPUTED_VALUE"""),17.73)</f>
        <v>17.73</v>
      </c>
      <c r="E689" s="112">
        <f ca="1">IFERROR(__xludf.DUMMYFUNCTION("""COMPUTED_VALUE"""),41284.7055555555)</f>
        <v>41284.705555555498</v>
      </c>
      <c r="F689" s="111">
        <f ca="1">IFERROR(__xludf.DUMMYFUNCTION("""COMPUTED_VALUE"""),6.67)</f>
        <v>6.67</v>
      </c>
      <c r="G689" s="112">
        <f ca="1">IFERROR(__xludf.DUMMYFUNCTION("""COMPUTED_VALUE"""),41277.7055555555)</f>
        <v>41277.705555555498</v>
      </c>
      <c r="H689" s="111">
        <f ca="1">IFERROR(__xludf.DUMMYFUNCTION("""COMPUTED_VALUE"""),20.4)</f>
        <v>20.399999999999999</v>
      </c>
      <c r="K689" s="112">
        <f ca="1">IFERROR(__xludf.DUMMYFUNCTION("""COMPUTED_VALUE"""),41726.7055555555)</f>
        <v>41726.705555555498</v>
      </c>
      <c r="L689" s="111">
        <f ca="1">IFERROR(__xludf.DUMMYFUNCTION("""COMPUTED_VALUE"""),0.2)</f>
        <v>0.2</v>
      </c>
      <c r="M689" s="112">
        <f ca="1">IFERROR(__xludf.DUMMYFUNCTION("""COMPUTED_VALUE"""),41186.7055555555)</f>
        <v>41186.705555555498</v>
      </c>
      <c r="N689" s="111">
        <f ca="1">IFERROR(__xludf.DUMMYFUNCTION("""COMPUTED_VALUE"""),12.74)</f>
        <v>12.74</v>
      </c>
      <c r="O689" s="112">
        <f ca="1">IFERROR(__xludf.DUMMYFUNCTION("""COMPUTED_VALUE"""),41264.7055555555)</f>
        <v>41264.705555555498</v>
      </c>
      <c r="P689" s="111">
        <f ca="1">IFERROR(__xludf.DUMMYFUNCTION("""COMPUTED_VALUE"""),41.89)</f>
        <v>41.89</v>
      </c>
      <c r="Q689" s="112">
        <f ca="1">IFERROR(__xludf.DUMMYFUNCTION("""COMPUTED_VALUE"""),41262.7055555555)</f>
        <v>41262.705555555498</v>
      </c>
      <c r="R689" s="111">
        <f ca="1">IFERROR(__xludf.DUMMYFUNCTION("""COMPUTED_VALUE"""),24.2)</f>
        <v>24.2</v>
      </c>
      <c r="S689" s="112">
        <f ca="1">IFERROR(__xludf.DUMMYFUNCTION("""COMPUTED_VALUE"""),41281.7055555555)</f>
        <v>41281.705555555498</v>
      </c>
      <c r="T689" s="111">
        <f ca="1">IFERROR(__xludf.DUMMYFUNCTION("""COMPUTED_VALUE"""),11.88)</f>
        <v>11.88</v>
      </c>
    </row>
    <row r="690" spans="1:20" x14ac:dyDescent="0.3">
      <c r="A690" s="112">
        <f ca="1">IFERROR(__xludf.DUMMYFUNCTION("""COMPUTED_VALUE"""),41277.7055555555)</f>
        <v>41277.705555555498</v>
      </c>
      <c r="B690" s="111">
        <f ca="1">IFERROR(__xludf.DUMMYFUNCTION("""COMPUTED_VALUE"""),6.9)</f>
        <v>6.9</v>
      </c>
      <c r="C690" s="112">
        <f ca="1">IFERROR(__xludf.DUMMYFUNCTION("""COMPUTED_VALUE"""),41284.7055555555)</f>
        <v>41284.705555555498</v>
      </c>
      <c r="D690" s="111">
        <f ca="1">IFERROR(__xludf.DUMMYFUNCTION("""COMPUTED_VALUE"""),17.51)</f>
        <v>17.510000000000002</v>
      </c>
      <c r="E690" s="112">
        <f ca="1">IFERROR(__xludf.DUMMYFUNCTION("""COMPUTED_VALUE"""),41285.7055555555)</f>
        <v>41285.705555555498</v>
      </c>
      <c r="F690" s="111">
        <f ca="1">IFERROR(__xludf.DUMMYFUNCTION("""COMPUTED_VALUE"""),6.69)</f>
        <v>6.69</v>
      </c>
      <c r="G690" s="112">
        <f ca="1">IFERROR(__xludf.DUMMYFUNCTION("""COMPUTED_VALUE"""),41278.7055555555)</f>
        <v>41278.705555555498</v>
      </c>
      <c r="H690" s="111">
        <f ca="1">IFERROR(__xludf.DUMMYFUNCTION("""COMPUTED_VALUE"""),20.43)</f>
        <v>20.43</v>
      </c>
      <c r="K690" s="112">
        <f ca="1">IFERROR(__xludf.DUMMYFUNCTION("""COMPUTED_VALUE"""),41729.7055555555)</f>
        <v>41729.705555555498</v>
      </c>
      <c r="L690" s="111">
        <f ca="1">IFERROR(__xludf.DUMMYFUNCTION("""COMPUTED_VALUE"""),0.2)</f>
        <v>0.2</v>
      </c>
      <c r="M690" s="112">
        <f ca="1">IFERROR(__xludf.DUMMYFUNCTION("""COMPUTED_VALUE"""),41187.7055555555)</f>
        <v>41187.705555555498</v>
      </c>
      <c r="N690" s="111">
        <f ca="1">IFERROR(__xludf.DUMMYFUNCTION("""COMPUTED_VALUE"""),12.68)</f>
        <v>12.68</v>
      </c>
      <c r="O690" s="112">
        <f ca="1">IFERROR(__xludf.DUMMYFUNCTION("""COMPUTED_VALUE"""),41269.7055555555)</f>
        <v>41269.705555555498</v>
      </c>
      <c r="P690" s="111">
        <f ca="1">IFERROR(__xludf.DUMMYFUNCTION("""COMPUTED_VALUE"""),42.17)</f>
        <v>42.17</v>
      </c>
      <c r="Q690" s="112">
        <f ca="1">IFERROR(__xludf.DUMMYFUNCTION("""COMPUTED_VALUE"""),41263.7055555555)</f>
        <v>41263.705555555498</v>
      </c>
      <c r="R690" s="111">
        <f ca="1">IFERROR(__xludf.DUMMYFUNCTION("""COMPUTED_VALUE"""),25)</f>
        <v>25</v>
      </c>
      <c r="S690" s="112">
        <f ca="1">IFERROR(__xludf.DUMMYFUNCTION("""COMPUTED_VALUE"""),41282.7055555555)</f>
        <v>41282.705555555498</v>
      </c>
      <c r="T690" s="111">
        <f ca="1">IFERROR(__xludf.DUMMYFUNCTION("""COMPUTED_VALUE"""),11.81)</f>
        <v>11.81</v>
      </c>
    </row>
    <row r="691" spans="1:20" x14ac:dyDescent="0.3">
      <c r="A691" s="112">
        <f ca="1">IFERROR(__xludf.DUMMYFUNCTION("""COMPUTED_VALUE"""),41278.7055555555)</f>
        <v>41278.705555555498</v>
      </c>
      <c r="B691" s="111">
        <f ca="1">IFERROR(__xludf.DUMMYFUNCTION("""COMPUTED_VALUE"""),6.98)</f>
        <v>6.98</v>
      </c>
      <c r="C691" s="112">
        <f ca="1">IFERROR(__xludf.DUMMYFUNCTION("""COMPUTED_VALUE"""),41285.7055555555)</f>
        <v>41285.705555555498</v>
      </c>
      <c r="D691" s="111">
        <f ca="1">IFERROR(__xludf.DUMMYFUNCTION("""COMPUTED_VALUE"""),17.55)</f>
        <v>17.55</v>
      </c>
      <c r="E691" s="112">
        <f ca="1">IFERROR(__xludf.DUMMYFUNCTION("""COMPUTED_VALUE"""),41288.7055555555)</f>
        <v>41288.705555555498</v>
      </c>
      <c r="F691" s="111">
        <f ca="1">IFERROR(__xludf.DUMMYFUNCTION("""COMPUTED_VALUE"""),6.75)</f>
        <v>6.75</v>
      </c>
      <c r="G691" s="112">
        <f ca="1">IFERROR(__xludf.DUMMYFUNCTION("""COMPUTED_VALUE"""),41281.7055555555)</f>
        <v>41281.705555555498</v>
      </c>
      <c r="H691" s="111">
        <f ca="1">IFERROR(__xludf.DUMMYFUNCTION("""COMPUTED_VALUE"""),20.08)</f>
        <v>20.079999999999998</v>
      </c>
      <c r="K691" s="112">
        <f ca="1">IFERROR(__xludf.DUMMYFUNCTION("""COMPUTED_VALUE"""),41730.7055555555)</f>
        <v>41730.705555555498</v>
      </c>
      <c r="L691" s="111">
        <f ca="1">IFERROR(__xludf.DUMMYFUNCTION("""COMPUTED_VALUE"""),0.21)</f>
        <v>0.21</v>
      </c>
      <c r="M691" s="112">
        <f ca="1">IFERROR(__xludf.DUMMYFUNCTION("""COMPUTED_VALUE"""),41190.7055555555)</f>
        <v>41190.705555555498</v>
      </c>
      <c r="N691" s="111">
        <f ca="1">IFERROR(__xludf.DUMMYFUNCTION("""COMPUTED_VALUE"""),12.65)</f>
        <v>12.65</v>
      </c>
      <c r="O691" s="112">
        <f ca="1">IFERROR(__xludf.DUMMYFUNCTION("""COMPUTED_VALUE"""),41270.7055555555)</f>
        <v>41270.705555555498</v>
      </c>
      <c r="P691" s="111">
        <f ca="1">IFERROR(__xludf.DUMMYFUNCTION("""COMPUTED_VALUE"""),42.16)</f>
        <v>42.16</v>
      </c>
      <c r="Q691" s="112">
        <f ca="1">IFERROR(__xludf.DUMMYFUNCTION("""COMPUTED_VALUE"""),41264.7055555555)</f>
        <v>41264.705555555498</v>
      </c>
      <c r="R691" s="111">
        <f ca="1">IFERROR(__xludf.DUMMYFUNCTION("""COMPUTED_VALUE"""),25.2)</f>
        <v>25.2</v>
      </c>
      <c r="S691" s="112">
        <f ca="1">IFERROR(__xludf.DUMMYFUNCTION("""COMPUTED_VALUE"""),41283.7055555555)</f>
        <v>41283.705555555498</v>
      </c>
      <c r="T691" s="111">
        <f ca="1">IFERROR(__xludf.DUMMYFUNCTION("""COMPUTED_VALUE"""),12.06)</f>
        <v>12.06</v>
      </c>
    </row>
    <row r="692" spans="1:20" x14ac:dyDescent="0.3">
      <c r="A692" s="112">
        <f ca="1">IFERROR(__xludf.DUMMYFUNCTION("""COMPUTED_VALUE"""),41281.7055555555)</f>
        <v>41281.705555555498</v>
      </c>
      <c r="B692" s="111">
        <f ca="1">IFERROR(__xludf.DUMMYFUNCTION("""COMPUTED_VALUE"""),6.91)</f>
        <v>6.91</v>
      </c>
      <c r="C692" s="112">
        <f ca="1">IFERROR(__xludf.DUMMYFUNCTION("""COMPUTED_VALUE"""),41288.7055555555)</f>
        <v>41288.705555555498</v>
      </c>
      <c r="D692" s="111">
        <f ca="1">IFERROR(__xludf.DUMMYFUNCTION("""COMPUTED_VALUE"""),17.78)</f>
        <v>17.78</v>
      </c>
      <c r="E692" s="112">
        <f ca="1">IFERROR(__xludf.DUMMYFUNCTION("""COMPUTED_VALUE"""),41289.7055555555)</f>
        <v>41289.705555555498</v>
      </c>
      <c r="F692" s="111">
        <f ca="1">IFERROR(__xludf.DUMMYFUNCTION("""COMPUTED_VALUE"""),6.69)</f>
        <v>6.69</v>
      </c>
      <c r="G692" s="112">
        <f ca="1">IFERROR(__xludf.DUMMYFUNCTION("""COMPUTED_VALUE"""),41282.7055555555)</f>
        <v>41282.705555555498</v>
      </c>
      <c r="H692" s="111">
        <f ca="1">IFERROR(__xludf.DUMMYFUNCTION("""COMPUTED_VALUE"""),19.5)</f>
        <v>19.5</v>
      </c>
      <c r="K692" s="112">
        <f ca="1">IFERROR(__xludf.DUMMYFUNCTION("""COMPUTED_VALUE"""),41731.7055555555)</f>
        <v>41731.705555555498</v>
      </c>
      <c r="L692" s="111">
        <f ca="1">IFERROR(__xludf.DUMMYFUNCTION("""COMPUTED_VALUE"""),0.22)</f>
        <v>0.22</v>
      </c>
      <c r="M692" s="112">
        <f ca="1">IFERROR(__xludf.DUMMYFUNCTION("""COMPUTED_VALUE"""),41191.7055555555)</f>
        <v>41191.705555555498</v>
      </c>
      <c r="N692" s="111">
        <f ca="1">IFERROR(__xludf.DUMMYFUNCTION("""COMPUTED_VALUE"""),12.25)</f>
        <v>12.25</v>
      </c>
      <c r="O692" s="112">
        <f ca="1">IFERROR(__xludf.DUMMYFUNCTION("""COMPUTED_VALUE"""),41271.7055555555)</f>
        <v>41271.705555555498</v>
      </c>
      <c r="P692" s="111">
        <f ca="1">IFERROR(__xludf.DUMMYFUNCTION("""COMPUTED_VALUE"""),42.28)</f>
        <v>42.28</v>
      </c>
      <c r="Q692" s="112">
        <f ca="1">IFERROR(__xludf.DUMMYFUNCTION("""COMPUTED_VALUE"""),41269.7055555555)</f>
        <v>41269.705555555498</v>
      </c>
      <c r="R692" s="111">
        <f ca="1">IFERROR(__xludf.DUMMYFUNCTION("""COMPUTED_VALUE"""),25)</f>
        <v>25</v>
      </c>
      <c r="S692" s="112">
        <f ca="1">IFERROR(__xludf.DUMMYFUNCTION("""COMPUTED_VALUE"""),41284.7055555555)</f>
        <v>41284.705555555498</v>
      </c>
      <c r="T692" s="111">
        <f ca="1">IFERROR(__xludf.DUMMYFUNCTION("""COMPUTED_VALUE"""),12.03)</f>
        <v>12.03</v>
      </c>
    </row>
    <row r="693" spans="1:20" x14ac:dyDescent="0.3">
      <c r="A693" s="112">
        <f ca="1">IFERROR(__xludf.DUMMYFUNCTION("""COMPUTED_VALUE"""),41282.7055555555)</f>
        <v>41282.705555555498</v>
      </c>
      <c r="B693" s="111">
        <f ca="1">IFERROR(__xludf.DUMMYFUNCTION("""COMPUTED_VALUE"""),6.33)</f>
        <v>6.33</v>
      </c>
      <c r="C693" s="112">
        <f ca="1">IFERROR(__xludf.DUMMYFUNCTION("""COMPUTED_VALUE"""),41289.7055555555)</f>
        <v>41289.705555555498</v>
      </c>
      <c r="D693" s="111">
        <f ca="1">IFERROR(__xludf.DUMMYFUNCTION("""COMPUTED_VALUE"""),17.55)</f>
        <v>17.55</v>
      </c>
      <c r="E693" s="112">
        <f ca="1">IFERROR(__xludf.DUMMYFUNCTION("""COMPUTED_VALUE"""),41290.7055555555)</f>
        <v>41290.705555555498</v>
      </c>
      <c r="F693" s="111">
        <f ca="1">IFERROR(__xludf.DUMMYFUNCTION("""COMPUTED_VALUE"""),6.73)</f>
        <v>6.73</v>
      </c>
      <c r="G693" s="112">
        <f ca="1">IFERROR(__xludf.DUMMYFUNCTION("""COMPUTED_VALUE"""),41283.7055555555)</f>
        <v>41283.705555555498</v>
      </c>
      <c r="H693" s="111">
        <f ca="1">IFERROR(__xludf.DUMMYFUNCTION("""COMPUTED_VALUE"""),19.68)</f>
        <v>19.68</v>
      </c>
      <c r="K693" s="112">
        <f ca="1">IFERROR(__xludf.DUMMYFUNCTION("""COMPUTED_VALUE"""),41732.7055555555)</f>
        <v>41732.705555555498</v>
      </c>
      <c r="L693" s="111">
        <f ca="1">IFERROR(__xludf.DUMMYFUNCTION("""COMPUTED_VALUE"""),0.22)</f>
        <v>0.22</v>
      </c>
      <c r="M693" s="112">
        <f ca="1">IFERROR(__xludf.DUMMYFUNCTION("""COMPUTED_VALUE"""),41192.7055555555)</f>
        <v>41192.705555555498</v>
      </c>
      <c r="N693" s="111">
        <f ca="1">IFERROR(__xludf.DUMMYFUNCTION("""COMPUTED_VALUE"""),12.16)</f>
        <v>12.16</v>
      </c>
      <c r="O693" s="112">
        <f ca="1">IFERROR(__xludf.DUMMYFUNCTION("""COMPUTED_VALUE"""),41276.7055555555)</f>
        <v>41276.705555555498</v>
      </c>
      <c r="P693" s="111">
        <f ca="1">IFERROR(__xludf.DUMMYFUNCTION("""COMPUTED_VALUE"""),44.1)</f>
        <v>44.1</v>
      </c>
      <c r="Q693" s="112">
        <f ca="1">IFERROR(__xludf.DUMMYFUNCTION("""COMPUTED_VALUE"""),41270.7055555555)</f>
        <v>41270.705555555498</v>
      </c>
      <c r="R693" s="111">
        <f ca="1">IFERROR(__xludf.DUMMYFUNCTION("""COMPUTED_VALUE"""),25.06)</f>
        <v>25.06</v>
      </c>
      <c r="S693" s="112">
        <f ca="1">IFERROR(__xludf.DUMMYFUNCTION("""COMPUTED_VALUE"""),41285.7055555555)</f>
        <v>41285.705555555498</v>
      </c>
      <c r="T693" s="111">
        <f ca="1">IFERROR(__xludf.DUMMYFUNCTION("""COMPUTED_VALUE"""),11.99)</f>
        <v>11.99</v>
      </c>
    </row>
    <row r="694" spans="1:20" x14ac:dyDescent="0.3">
      <c r="A694" s="112">
        <f ca="1">IFERROR(__xludf.DUMMYFUNCTION("""COMPUTED_VALUE"""),41283.7055555555)</f>
        <v>41283.705555555498</v>
      </c>
      <c r="B694" s="111">
        <f ca="1">IFERROR(__xludf.DUMMYFUNCTION("""COMPUTED_VALUE"""),6.51)</f>
        <v>6.51</v>
      </c>
      <c r="C694" s="112">
        <f ca="1">IFERROR(__xludf.DUMMYFUNCTION("""COMPUTED_VALUE"""),41290.7055555555)</f>
        <v>41290.705555555498</v>
      </c>
      <c r="D694" s="111">
        <f ca="1">IFERROR(__xludf.DUMMYFUNCTION("""COMPUTED_VALUE"""),17.7)</f>
        <v>17.7</v>
      </c>
      <c r="E694" s="112">
        <f ca="1">IFERROR(__xludf.DUMMYFUNCTION("""COMPUTED_VALUE"""),41291.7055555555)</f>
        <v>41291.705555555498</v>
      </c>
      <c r="F694" s="111">
        <f ca="1">IFERROR(__xludf.DUMMYFUNCTION("""COMPUTED_VALUE"""),6.84)</f>
        <v>6.84</v>
      </c>
      <c r="G694" s="112">
        <f ca="1">IFERROR(__xludf.DUMMYFUNCTION("""COMPUTED_VALUE"""),41284.7055555555)</f>
        <v>41284.705555555498</v>
      </c>
      <c r="H694" s="111">
        <f ca="1">IFERROR(__xludf.DUMMYFUNCTION("""COMPUTED_VALUE"""),19.83)</f>
        <v>19.829999999999998</v>
      </c>
      <c r="K694" s="112">
        <f ca="1">IFERROR(__xludf.DUMMYFUNCTION("""COMPUTED_VALUE"""),41733.7055555555)</f>
        <v>41733.705555555498</v>
      </c>
      <c r="L694" s="111">
        <f ca="1">IFERROR(__xludf.DUMMYFUNCTION("""COMPUTED_VALUE"""),0.22)</f>
        <v>0.22</v>
      </c>
      <c r="M694" s="112">
        <f ca="1">IFERROR(__xludf.DUMMYFUNCTION("""COMPUTED_VALUE"""),41193.7055555555)</f>
        <v>41193.705555555498</v>
      </c>
      <c r="N694" s="111">
        <f ca="1">IFERROR(__xludf.DUMMYFUNCTION("""COMPUTED_VALUE"""),12.37)</f>
        <v>12.37</v>
      </c>
      <c r="O694" s="112">
        <f ca="1">IFERROR(__xludf.DUMMYFUNCTION("""COMPUTED_VALUE"""),41277.7055555555)</f>
        <v>41277.705555555498</v>
      </c>
      <c r="P694" s="111">
        <f ca="1">IFERROR(__xludf.DUMMYFUNCTION("""COMPUTED_VALUE"""),43.35)</f>
        <v>43.35</v>
      </c>
      <c r="Q694" s="112">
        <f ca="1">IFERROR(__xludf.DUMMYFUNCTION("""COMPUTED_VALUE"""),41271.7055555555)</f>
        <v>41271.705555555498</v>
      </c>
      <c r="R694" s="111">
        <f ca="1">IFERROR(__xludf.DUMMYFUNCTION("""COMPUTED_VALUE"""),25.6)</f>
        <v>25.6</v>
      </c>
      <c r="S694" s="112">
        <f ca="1">IFERROR(__xludf.DUMMYFUNCTION("""COMPUTED_VALUE"""),41288.7055555555)</f>
        <v>41288.705555555498</v>
      </c>
      <c r="T694" s="111">
        <f ca="1">IFERROR(__xludf.DUMMYFUNCTION("""COMPUTED_VALUE"""),12.01)</f>
        <v>12.01</v>
      </c>
    </row>
    <row r="695" spans="1:20" x14ac:dyDescent="0.3">
      <c r="A695" s="112">
        <f ca="1">IFERROR(__xludf.DUMMYFUNCTION("""COMPUTED_VALUE"""),41284.7055555555)</f>
        <v>41284.705555555498</v>
      </c>
      <c r="B695" s="111">
        <f ca="1">IFERROR(__xludf.DUMMYFUNCTION("""COMPUTED_VALUE"""),6.53)</f>
        <v>6.53</v>
      </c>
      <c r="C695" s="112">
        <f ca="1">IFERROR(__xludf.DUMMYFUNCTION("""COMPUTED_VALUE"""),41291.7055555555)</f>
        <v>41291.705555555498</v>
      </c>
      <c r="D695" s="111">
        <f ca="1">IFERROR(__xludf.DUMMYFUNCTION("""COMPUTED_VALUE"""),18)</f>
        <v>18</v>
      </c>
      <c r="E695" s="112">
        <f ca="1">IFERROR(__xludf.DUMMYFUNCTION("""COMPUTED_VALUE"""),41292.7055555555)</f>
        <v>41292.705555555498</v>
      </c>
      <c r="F695" s="111">
        <f ca="1">IFERROR(__xludf.DUMMYFUNCTION("""COMPUTED_VALUE"""),6.86)</f>
        <v>6.86</v>
      </c>
      <c r="G695" s="112">
        <f ca="1">IFERROR(__xludf.DUMMYFUNCTION("""COMPUTED_VALUE"""),41285.7055555555)</f>
        <v>41285.705555555498</v>
      </c>
      <c r="H695" s="111">
        <f ca="1">IFERROR(__xludf.DUMMYFUNCTION("""COMPUTED_VALUE"""),19.88)</f>
        <v>19.88</v>
      </c>
      <c r="K695" s="112">
        <f ca="1">IFERROR(__xludf.DUMMYFUNCTION("""COMPUTED_VALUE"""),41736.7055555555)</f>
        <v>41736.705555555498</v>
      </c>
      <c r="L695" s="111">
        <f ca="1">IFERROR(__xludf.DUMMYFUNCTION("""COMPUTED_VALUE"""),0.22)</f>
        <v>0.22</v>
      </c>
      <c r="M695" s="112">
        <f ca="1">IFERROR(__xludf.DUMMYFUNCTION("""COMPUTED_VALUE"""),41197.7055555555)</f>
        <v>41197.705555555498</v>
      </c>
      <c r="N695" s="111">
        <f ca="1">IFERROR(__xludf.DUMMYFUNCTION("""COMPUTED_VALUE"""),12.36)</f>
        <v>12.36</v>
      </c>
      <c r="O695" s="112">
        <f ca="1">IFERROR(__xludf.DUMMYFUNCTION("""COMPUTED_VALUE"""),41278.7055555555)</f>
        <v>41278.705555555498</v>
      </c>
      <c r="P695" s="111">
        <f ca="1">IFERROR(__xludf.DUMMYFUNCTION("""COMPUTED_VALUE"""),42.68)</f>
        <v>42.68</v>
      </c>
      <c r="Q695" s="112">
        <f ca="1">IFERROR(__xludf.DUMMYFUNCTION("""COMPUTED_VALUE"""),41276.7055555555)</f>
        <v>41276.705555555498</v>
      </c>
      <c r="R695" s="111">
        <f ca="1">IFERROR(__xludf.DUMMYFUNCTION("""COMPUTED_VALUE"""),25.8)</f>
        <v>25.8</v>
      </c>
      <c r="S695" s="112">
        <f ca="1">IFERROR(__xludf.DUMMYFUNCTION("""COMPUTED_VALUE"""),41289.7055555555)</f>
        <v>41289.705555555498</v>
      </c>
      <c r="T695" s="111">
        <f ca="1">IFERROR(__xludf.DUMMYFUNCTION("""COMPUTED_VALUE"""),11.56)</f>
        <v>11.56</v>
      </c>
    </row>
    <row r="696" spans="1:20" x14ac:dyDescent="0.3">
      <c r="A696" s="112">
        <f ca="1">IFERROR(__xludf.DUMMYFUNCTION("""COMPUTED_VALUE"""),41285.7055555555)</f>
        <v>41285.705555555498</v>
      </c>
      <c r="B696" s="111">
        <f ca="1">IFERROR(__xludf.DUMMYFUNCTION("""COMPUTED_VALUE"""),6.44)</f>
        <v>6.44</v>
      </c>
      <c r="C696" s="112">
        <f ca="1">IFERROR(__xludf.DUMMYFUNCTION("""COMPUTED_VALUE"""),41292.7055555555)</f>
        <v>41292.705555555498</v>
      </c>
      <c r="D696" s="111">
        <f ca="1">IFERROR(__xludf.DUMMYFUNCTION("""COMPUTED_VALUE"""),18.06)</f>
        <v>18.059999999999999</v>
      </c>
      <c r="E696" s="112">
        <f ca="1">IFERROR(__xludf.DUMMYFUNCTION("""COMPUTED_VALUE"""),41295.7055555555)</f>
        <v>41295.705555555498</v>
      </c>
      <c r="F696" s="111">
        <f ca="1">IFERROR(__xludf.DUMMYFUNCTION("""COMPUTED_VALUE"""),6.85)</f>
        <v>6.85</v>
      </c>
      <c r="G696" s="112">
        <f ca="1">IFERROR(__xludf.DUMMYFUNCTION("""COMPUTED_VALUE"""),41288.7055555555)</f>
        <v>41288.705555555498</v>
      </c>
      <c r="H696" s="111">
        <f ca="1">IFERROR(__xludf.DUMMYFUNCTION("""COMPUTED_VALUE"""),19.72)</f>
        <v>19.72</v>
      </c>
      <c r="K696" s="112">
        <f ca="1">IFERROR(__xludf.DUMMYFUNCTION("""COMPUTED_VALUE"""),41737.7055555555)</f>
        <v>41737.705555555498</v>
      </c>
      <c r="L696" s="111">
        <f ca="1">IFERROR(__xludf.DUMMYFUNCTION("""COMPUTED_VALUE"""),0.22)</f>
        <v>0.22</v>
      </c>
      <c r="M696" s="112">
        <f ca="1">IFERROR(__xludf.DUMMYFUNCTION("""COMPUTED_VALUE"""),41198.7055555555)</f>
        <v>41198.705555555498</v>
      </c>
      <c r="N696" s="111">
        <f ca="1">IFERROR(__xludf.DUMMYFUNCTION("""COMPUTED_VALUE"""),12.57)</f>
        <v>12.57</v>
      </c>
      <c r="O696" s="112">
        <f ca="1">IFERROR(__xludf.DUMMYFUNCTION("""COMPUTED_VALUE"""),41281.7055555555)</f>
        <v>41281.705555555498</v>
      </c>
      <c r="P696" s="111">
        <f ca="1">IFERROR(__xludf.DUMMYFUNCTION("""COMPUTED_VALUE"""),41.84)</f>
        <v>41.84</v>
      </c>
      <c r="Q696" s="112">
        <f ca="1">IFERROR(__xludf.DUMMYFUNCTION("""COMPUTED_VALUE"""),41277.7055555555)</f>
        <v>41277.705555555498</v>
      </c>
      <c r="R696" s="111">
        <f ca="1">IFERROR(__xludf.DUMMYFUNCTION("""COMPUTED_VALUE"""),26.31)</f>
        <v>26.31</v>
      </c>
      <c r="S696" s="112">
        <f ca="1">IFERROR(__xludf.DUMMYFUNCTION("""COMPUTED_VALUE"""),41290.7055555555)</f>
        <v>41290.705555555498</v>
      </c>
      <c r="T696" s="111">
        <f ca="1">IFERROR(__xludf.DUMMYFUNCTION("""COMPUTED_VALUE"""),11.72)</f>
        <v>11.72</v>
      </c>
    </row>
    <row r="697" spans="1:20" x14ac:dyDescent="0.3">
      <c r="A697" s="112">
        <f ca="1">IFERROR(__xludf.DUMMYFUNCTION("""COMPUTED_VALUE"""),41288.7055555555)</f>
        <v>41288.705555555498</v>
      </c>
      <c r="B697" s="111">
        <f ca="1">IFERROR(__xludf.DUMMYFUNCTION("""COMPUTED_VALUE"""),6.48)</f>
        <v>6.48</v>
      </c>
      <c r="C697" s="112">
        <f ca="1">IFERROR(__xludf.DUMMYFUNCTION("""COMPUTED_VALUE"""),41295.7055555555)</f>
        <v>41295.705555555498</v>
      </c>
      <c r="D697" s="111">
        <f ca="1">IFERROR(__xludf.DUMMYFUNCTION("""COMPUTED_VALUE"""),17.93)</f>
        <v>17.93</v>
      </c>
      <c r="E697" s="112">
        <f ca="1">IFERROR(__xludf.DUMMYFUNCTION("""COMPUTED_VALUE"""),41296.7055555555)</f>
        <v>41296.705555555498</v>
      </c>
      <c r="F697" s="111">
        <f ca="1">IFERROR(__xludf.DUMMYFUNCTION("""COMPUTED_VALUE"""),6.85)</f>
        <v>6.85</v>
      </c>
      <c r="G697" s="112">
        <f ca="1">IFERROR(__xludf.DUMMYFUNCTION("""COMPUTED_VALUE"""),41289.7055555555)</f>
        <v>41289.705555555498</v>
      </c>
      <c r="H697" s="111">
        <f ca="1">IFERROR(__xludf.DUMMYFUNCTION("""COMPUTED_VALUE"""),19.82)</f>
        <v>19.82</v>
      </c>
      <c r="K697" s="112">
        <f ca="1">IFERROR(__xludf.DUMMYFUNCTION("""COMPUTED_VALUE"""),41738.7055555555)</f>
        <v>41738.705555555498</v>
      </c>
      <c r="L697" s="111">
        <f ca="1">IFERROR(__xludf.DUMMYFUNCTION("""COMPUTED_VALUE"""),0.22)</f>
        <v>0.22</v>
      </c>
      <c r="M697" s="112">
        <f ca="1">IFERROR(__xludf.DUMMYFUNCTION("""COMPUTED_VALUE"""),41199.7055555555)</f>
        <v>41199.705555555498</v>
      </c>
      <c r="N697" s="111">
        <f ca="1">IFERROR(__xludf.DUMMYFUNCTION("""COMPUTED_VALUE"""),12.62)</f>
        <v>12.62</v>
      </c>
      <c r="O697" s="112">
        <f ca="1">IFERROR(__xludf.DUMMYFUNCTION("""COMPUTED_VALUE"""),41282.7055555555)</f>
        <v>41282.705555555498</v>
      </c>
      <c r="P697" s="111">
        <f ca="1">IFERROR(__xludf.DUMMYFUNCTION("""COMPUTED_VALUE"""),41.51)</f>
        <v>41.51</v>
      </c>
      <c r="Q697" s="112">
        <f ca="1">IFERROR(__xludf.DUMMYFUNCTION("""COMPUTED_VALUE"""),41278.7055555555)</f>
        <v>41278.705555555498</v>
      </c>
      <c r="R697" s="111">
        <f ca="1">IFERROR(__xludf.DUMMYFUNCTION("""COMPUTED_VALUE"""),25.99)</f>
        <v>25.99</v>
      </c>
      <c r="S697" s="112">
        <f ca="1">IFERROR(__xludf.DUMMYFUNCTION("""COMPUTED_VALUE"""),41291.7055555555)</f>
        <v>41291.705555555498</v>
      </c>
      <c r="T697" s="111">
        <f ca="1">IFERROR(__xludf.DUMMYFUNCTION("""COMPUTED_VALUE"""),11.83)</f>
        <v>11.83</v>
      </c>
    </row>
    <row r="698" spans="1:20" x14ac:dyDescent="0.3">
      <c r="A698" s="112">
        <f ca="1">IFERROR(__xludf.DUMMYFUNCTION("""COMPUTED_VALUE"""),41289.7055555555)</f>
        <v>41289.705555555498</v>
      </c>
      <c r="B698" s="111">
        <f ca="1">IFERROR(__xludf.DUMMYFUNCTION("""COMPUTED_VALUE"""),6.54)</f>
        <v>6.54</v>
      </c>
      <c r="C698" s="112">
        <f ca="1">IFERROR(__xludf.DUMMYFUNCTION("""COMPUTED_VALUE"""),41296.7055555555)</f>
        <v>41296.705555555498</v>
      </c>
      <c r="D698" s="111">
        <f ca="1">IFERROR(__xludf.DUMMYFUNCTION("""COMPUTED_VALUE"""),17.93)</f>
        <v>17.93</v>
      </c>
      <c r="E698" s="112">
        <f ca="1">IFERROR(__xludf.DUMMYFUNCTION("""COMPUTED_VALUE"""),41297.7055555555)</f>
        <v>41297.705555555498</v>
      </c>
      <c r="F698" s="111">
        <f ca="1">IFERROR(__xludf.DUMMYFUNCTION("""COMPUTED_VALUE"""),6.86)</f>
        <v>6.86</v>
      </c>
      <c r="G698" s="112">
        <f ca="1">IFERROR(__xludf.DUMMYFUNCTION("""COMPUTED_VALUE"""),41290.7055555555)</f>
        <v>41290.705555555498</v>
      </c>
      <c r="H698" s="111">
        <f ca="1">IFERROR(__xludf.DUMMYFUNCTION("""COMPUTED_VALUE"""),19.84)</f>
        <v>19.84</v>
      </c>
      <c r="K698" s="112">
        <f ca="1">IFERROR(__xludf.DUMMYFUNCTION("""COMPUTED_VALUE"""),41739.7055555555)</f>
        <v>41739.705555555498</v>
      </c>
      <c r="L698" s="111">
        <f ca="1">IFERROR(__xludf.DUMMYFUNCTION("""COMPUTED_VALUE"""),0.22)</f>
        <v>0.22</v>
      </c>
      <c r="M698" s="112">
        <f ca="1">IFERROR(__xludf.DUMMYFUNCTION("""COMPUTED_VALUE"""),41200.7055555555)</f>
        <v>41200.705555555498</v>
      </c>
      <c r="N698" s="111">
        <f ca="1">IFERROR(__xludf.DUMMYFUNCTION("""COMPUTED_VALUE"""),12.72)</f>
        <v>12.72</v>
      </c>
      <c r="O698" s="112">
        <f ca="1">IFERROR(__xludf.DUMMYFUNCTION("""COMPUTED_VALUE"""),41283.7055555555)</f>
        <v>41283.705555555498</v>
      </c>
      <c r="P698" s="111">
        <f ca="1">IFERROR(__xludf.DUMMYFUNCTION("""COMPUTED_VALUE"""),41.7)</f>
        <v>41.7</v>
      </c>
      <c r="Q698" s="112">
        <f ca="1">IFERROR(__xludf.DUMMYFUNCTION("""COMPUTED_VALUE"""),41281.7055555555)</f>
        <v>41281.705555555498</v>
      </c>
      <c r="R698" s="111">
        <f ca="1">IFERROR(__xludf.DUMMYFUNCTION("""COMPUTED_VALUE"""),26.15)</f>
        <v>26.15</v>
      </c>
      <c r="S698" s="112">
        <f ca="1">IFERROR(__xludf.DUMMYFUNCTION("""COMPUTED_VALUE"""),41292.7055555555)</f>
        <v>41292.705555555498</v>
      </c>
      <c r="T698" s="111">
        <f ca="1">IFERROR(__xludf.DUMMYFUNCTION("""COMPUTED_VALUE"""),11.8)</f>
        <v>11.8</v>
      </c>
    </row>
    <row r="699" spans="1:20" x14ac:dyDescent="0.3">
      <c r="A699" s="112">
        <f ca="1">IFERROR(__xludf.DUMMYFUNCTION("""COMPUTED_VALUE"""),41290.7055555555)</f>
        <v>41290.705555555498</v>
      </c>
      <c r="B699" s="111">
        <f ca="1">IFERROR(__xludf.DUMMYFUNCTION("""COMPUTED_VALUE"""),6.69)</f>
        <v>6.69</v>
      </c>
      <c r="C699" s="112">
        <f ca="1">IFERROR(__xludf.DUMMYFUNCTION("""COMPUTED_VALUE"""),41297.7055555555)</f>
        <v>41297.705555555498</v>
      </c>
      <c r="D699" s="111">
        <f ca="1">IFERROR(__xludf.DUMMYFUNCTION("""COMPUTED_VALUE"""),17.88)</f>
        <v>17.88</v>
      </c>
      <c r="E699" s="112">
        <f ca="1">IFERROR(__xludf.DUMMYFUNCTION("""COMPUTED_VALUE"""),41298.7055555555)</f>
        <v>41298.705555555498</v>
      </c>
      <c r="F699" s="111">
        <f ca="1">IFERROR(__xludf.DUMMYFUNCTION("""COMPUTED_VALUE"""),6.82)</f>
        <v>6.82</v>
      </c>
      <c r="G699" s="112">
        <f ca="1">IFERROR(__xludf.DUMMYFUNCTION("""COMPUTED_VALUE"""),41291.7055555555)</f>
        <v>41291.705555555498</v>
      </c>
      <c r="H699" s="111">
        <f ca="1">IFERROR(__xludf.DUMMYFUNCTION("""COMPUTED_VALUE"""),19.71)</f>
        <v>19.71</v>
      </c>
      <c r="K699" s="112">
        <f ca="1">IFERROR(__xludf.DUMMYFUNCTION("""COMPUTED_VALUE"""),41740.7055555555)</f>
        <v>41740.705555555498</v>
      </c>
      <c r="L699" s="111">
        <f ca="1">IFERROR(__xludf.DUMMYFUNCTION("""COMPUTED_VALUE"""),0.22)</f>
        <v>0.22</v>
      </c>
      <c r="M699" s="112">
        <f ca="1">IFERROR(__xludf.DUMMYFUNCTION("""COMPUTED_VALUE"""),41201.7055555555)</f>
        <v>41201.705555555498</v>
      </c>
      <c r="N699" s="111">
        <f ca="1">IFERROR(__xludf.DUMMYFUNCTION("""COMPUTED_VALUE"""),12.68)</f>
        <v>12.68</v>
      </c>
      <c r="O699" s="112">
        <f ca="1">IFERROR(__xludf.DUMMYFUNCTION("""COMPUTED_VALUE"""),41284.7055555555)</f>
        <v>41284.705555555498</v>
      </c>
      <c r="P699" s="111">
        <f ca="1">IFERROR(__xludf.DUMMYFUNCTION("""COMPUTED_VALUE"""),42.14)</f>
        <v>42.14</v>
      </c>
      <c r="Q699" s="112">
        <f ca="1">IFERROR(__xludf.DUMMYFUNCTION("""COMPUTED_VALUE"""),41282.7055555555)</f>
        <v>41282.705555555498</v>
      </c>
      <c r="R699" s="111">
        <f ca="1">IFERROR(__xludf.DUMMYFUNCTION("""COMPUTED_VALUE"""),26.45)</f>
        <v>26.45</v>
      </c>
      <c r="S699" s="112">
        <f ca="1">IFERROR(__xludf.DUMMYFUNCTION("""COMPUTED_VALUE"""),41295.7055555555)</f>
        <v>41295.705555555498</v>
      </c>
      <c r="T699" s="111">
        <f ca="1">IFERROR(__xludf.DUMMYFUNCTION("""COMPUTED_VALUE"""),11.89)</f>
        <v>11.89</v>
      </c>
    </row>
    <row r="700" spans="1:20" x14ac:dyDescent="0.3">
      <c r="A700" s="112">
        <f ca="1">IFERROR(__xludf.DUMMYFUNCTION("""COMPUTED_VALUE"""),41291.7055555555)</f>
        <v>41291.705555555498</v>
      </c>
      <c r="B700" s="111">
        <f ca="1">IFERROR(__xludf.DUMMYFUNCTION("""COMPUTED_VALUE"""),6.91)</f>
        <v>6.91</v>
      </c>
      <c r="C700" s="112">
        <f ca="1">IFERROR(__xludf.DUMMYFUNCTION("""COMPUTED_VALUE"""),41298.7055555555)</f>
        <v>41298.705555555498</v>
      </c>
      <c r="D700" s="111">
        <f ca="1">IFERROR(__xludf.DUMMYFUNCTION("""COMPUTED_VALUE"""),17.9)</f>
        <v>17.899999999999999</v>
      </c>
      <c r="E700" s="112">
        <f ca="1">IFERROR(__xludf.DUMMYFUNCTION("""COMPUTED_VALUE"""),41302.7055555555)</f>
        <v>41302.705555555498</v>
      </c>
      <c r="F700" s="111">
        <f ca="1">IFERROR(__xludf.DUMMYFUNCTION("""COMPUTED_VALUE"""),6.63)</f>
        <v>6.63</v>
      </c>
      <c r="G700" s="112">
        <f ca="1">IFERROR(__xludf.DUMMYFUNCTION("""COMPUTED_VALUE"""),41292.7055555555)</f>
        <v>41292.705555555498</v>
      </c>
      <c r="H700" s="111">
        <f ca="1">IFERROR(__xludf.DUMMYFUNCTION("""COMPUTED_VALUE"""),19.58)</f>
        <v>19.579999999999998</v>
      </c>
      <c r="K700" s="112">
        <f ca="1">IFERROR(__xludf.DUMMYFUNCTION("""COMPUTED_VALUE"""),41743.7055555555)</f>
        <v>41743.705555555498</v>
      </c>
      <c r="L700" s="111">
        <f ca="1">IFERROR(__xludf.DUMMYFUNCTION("""COMPUTED_VALUE"""),0.22)</f>
        <v>0.22</v>
      </c>
      <c r="M700" s="112">
        <f ca="1">IFERROR(__xludf.DUMMYFUNCTION("""COMPUTED_VALUE"""),41204.7055555555)</f>
        <v>41204.705555555498</v>
      </c>
      <c r="N700" s="111">
        <f ca="1">IFERROR(__xludf.DUMMYFUNCTION("""COMPUTED_VALUE"""),12.45)</f>
        <v>12.45</v>
      </c>
      <c r="O700" s="112">
        <f ca="1">IFERROR(__xludf.DUMMYFUNCTION("""COMPUTED_VALUE"""),41285.7055555555)</f>
        <v>41285.705555555498</v>
      </c>
      <c r="P700" s="111">
        <f ca="1">IFERROR(__xludf.DUMMYFUNCTION("""COMPUTED_VALUE"""),41.27)</f>
        <v>41.27</v>
      </c>
      <c r="Q700" s="112">
        <f ca="1">IFERROR(__xludf.DUMMYFUNCTION("""COMPUTED_VALUE"""),41283.7055555555)</f>
        <v>41283.705555555498</v>
      </c>
      <c r="R700" s="111">
        <f ca="1">IFERROR(__xludf.DUMMYFUNCTION("""COMPUTED_VALUE"""),26.7)</f>
        <v>26.7</v>
      </c>
      <c r="S700" s="112">
        <f ca="1">IFERROR(__xludf.DUMMYFUNCTION("""COMPUTED_VALUE"""),41296.7055555555)</f>
        <v>41296.705555555498</v>
      </c>
      <c r="T700" s="111">
        <f ca="1">IFERROR(__xludf.DUMMYFUNCTION("""COMPUTED_VALUE"""),11.78)</f>
        <v>11.78</v>
      </c>
    </row>
    <row r="701" spans="1:20" x14ac:dyDescent="0.3">
      <c r="A701" s="112">
        <f ca="1">IFERROR(__xludf.DUMMYFUNCTION("""COMPUTED_VALUE"""),41292.7055555555)</f>
        <v>41292.705555555498</v>
      </c>
      <c r="B701" s="111">
        <f ca="1">IFERROR(__xludf.DUMMYFUNCTION("""COMPUTED_VALUE"""),7.24)</f>
        <v>7.24</v>
      </c>
      <c r="C701" s="112">
        <f ca="1">IFERROR(__xludf.DUMMYFUNCTION("""COMPUTED_VALUE"""),41302.7055555555)</f>
        <v>41302.705555555498</v>
      </c>
      <c r="D701" s="111">
        <f ca="1">IFERROR(__xludf.DUMMYFUNCTION("""COMPUTED_VALUE"""),17.43)</f>
        <v>17.43</v>
      </c>
      <c r="E701" s="112">
        <f ca="1">IFERROR(__xludf.DUMMYFUNCTION("""COMPUTED_VALUE"""),41303.7055555555)</f>
        <v>41303.705555555498</v>
      </c>
      <c r="F701" s="111">
        <f ca="1">IFERROR(__xludf.DUMMYFUNCTION("""COMPUTED_VALUE"""),6.63)</f>
        <v>6.63</v>
      </c>
      <c r="G701" s="112">
        <f ca="1">IFERROR(__xludf.DUMMYFUNCTION("""COMPUTED_VALUE"""),41295.7055555555)</f>
        <v>41295.705555555498</v>
      </c>
      <c r="H701" s="111">
        <f ca="1">IFERROR(__xludf.DUMMYFUNCTION("""COMPUTED_VALUE"""),19.39)</f>
        <v>19.39</v>
      </c>
      <c r="K701" s="112">
        <f ca="1">IFERROR(__xludf.DUMMYFUNCTION("""COMPUTED_VALUE"""),41744.7055555555)</f>
        <v>41744.705555555498</v>
      </c>
      <c r="L701" s="111">
        <f ca="1">IFERROR(__xludf.DUMMYFUNCTION("""COMPUTED_VALUE"""),0.21)</f>
        <v>0.21</v>
      </c>
      <c r="M701" s="112">
        <f ca="1">IFERROR(__xludf.DUMMYFUNCTION("""COMPUTED_VALUE"""),41205.7055555555)</f>
        <v>41205.705555555498</v>
      </c>
      <c r="N701" s="111">
        <f ca="1">IFERROR(__xludf.DUMMYFUNCTION("""COMPUTED_VALUE"""),12.31)</f>
        <v>12.31</v>
      </c>
      <c r="O701" s="112">
        <f ca="1">IFERROR(__xludf.DUMMYFUNCTION("""COMPUTED_VALUE"""),41288.7055555555)</f>
        <v>41288.705555555498</v>
      </c>
      <c r="P701" s="111">
        <f ca="1">IFERROR(__xludf.DUMMYFUNCTION("""COMPUTED_VALUE"""),41.26)</f>
        <v>41.26</v>
      </c>
      <c r="Q701" s="112">
        <f ca="1">IFERROR(__xludf.DUMMYFUNCTION("""COMPUTED_VALUE"""),41284.7055555555)</f>
        <v>41284.705555555498</v>
      </c>
      <c r="R701" s="111">
        <f ca="1">IFERROR(__xludf.DUMMYFUNCTION("""COMPUTED_VALUE"""),26.3)</f>
        <v>26.3</v>
      </c>
      <c r="S701" s="112">
        <f ca="1">IFERROR(__xludf.DUMMYFUNCTION("""COMPUTED_VALUE"""),41297.7055555555)</f>
        <v>41297.705555555498</v>
      </c>
      <c r="T701" s="111">
        <f ca="1">IFERROR(__xludf.DUMMYFUNCTION("""COMPUTED_VALUE"""),11.99)</f>
        <v>11.99</v>
      </c>
    </row>
    <row r="702" spans="1:20" x14ac:dyDescent="0.3">
      <c r="A702" s="112">
        <f ca="1">IFERROR(__xludf.DUMMYFUNCTION("""COMPUTED_VALUE"""),41295.7055555555)</f>
        <v>41295.705555555498</v>
      </c>
      <c r="B702" s="111">
        <f ca="1">IFERROR(__xludf.DUMMYFUNCTION("""COMPUTED_VALUE"""),7.61)</f>
        <v>7.61</v>
      </c>
      <c r="C702" s="112">
        <f ca="1">IFERROR(__xludf.DUMMYFUNCTION("""COMPUTED_VALUE"""),41303.7055555555)</f>
        <v>41303.705555555498</v>
      </c>
      <c r="D702" s="111">
        <f ca="1">IFERROR(__xludf.DUMMYFUNCTION("""COMPUTED_VALUE"""),17.41)</f>
        <v>17.41</v>
      </c>
      <c r="E702" s="112">
        <f ca="1">IFERROR(__xludf.DUMMYFUNCTION("""COMPUTED_VALUE"""),41304.7055555555)</f>
        <v>41304.705555555498</v>
      </c>
      <c r="F702" s="111">
        <f ca="1">IFERROR(__xludf.DUMMYFUNCTION("""COMPUTED_VALUE"""),6.53)</f>
        <v>6.53</v>
      </c>
      <c r="G702" s="112">
        <f ca="1">IFERROR(__xludf.DUMMYFUNCTION("""COMPUTED_VALUE"""),41296.7055555555)</f>
        <v>41296.705555555498</v>
      </c>
      <c r="H702" s="111">
        <f ca="1">IFERROR(__xludf.DUMMYFUNCTION("""COMPUTED_VALUE"""),19.58)</f>
        <v>19.579999999999998</v>
      </c>
      <c r="K702" s="112">
        <f ca="1">IFERROR(__xludf.DUMMYFUNCTION("""COMPUTED_VALUE"""),41745.7055555555)</f>
        <v>41745.705555555498</v>
      </c>
      <c r="L702" s="111">
        <f ca="1">IFERROR(__xludf.DUMMYFUNCTION("""COMPUTED_VALUE"""),0.22)</f>
        <v>0.22</v>
      </c>
      <c r="M702" s="112">
        <f ca="1">IFERROR(__xludf.DUMMYFUNCTION("""COMPUTED_VALUE"""),41206.7055555555)</f>
        <v>41206.705555555498</v>
      </c>
      <c r="N702" s="111">
        <f ca="1">IFERROR(__xludf.DUMMYFUNCTION("""COMPUTED_VALUE"""),12.41)</f>
        <v>12.41</v>
      </c>
      <c r="O702" s="112">
        <f ca="1">IFERROR(__xludf.DUMMYFUNCTION("""COMPUTED_VALUE"""),41289.7055555555)</f>
        <v>41289.705555555498</v>
      </c>
      <c r="P702" s="111">
        <f ca="1">IFERROR(__xludf.DUMMYFUNCTION("""COMPUTED_VALUE"""),41.16)</f>
        <v>41.16</v>
      </c>
      <c r="Q702" s="112">
        <f ca="1">IFERROR(__xludf.DUMMYFUNCTION("""COMPUTED_VALUE"""),41285.7055555555)</f>
        <v>41285.705555555498</v>
      </c>
      <c r="R702" s="111">
        <f ca="1">IFERROR(__xludf.DUMMYFUNCTION("""COMPUTED_VALUE"""),25.98)</f>
        <v>25.98</v>
      </c>
      <c r="S702" s="112">
        <f ca="1">IFERROR(__xludf.DUMMYFUNCTION("""COMPUTED_VALUE"""),41298.7055555555)</f>
        <v>41298.705555555498</v>
      </c>
      <c r="T702" s="111">
        <f ca="1">IFERROR(__xludf.DUMMYFUNCTION("""COMPUTED_VALUE"""),11.76)</f>
        <v>11.76</v>
      </c>
    </row>
    <row r="703" spans="1:20" x14ac:dyDescent="0.3">
      <c r="A703" s="112">
        <f ca="1">IFERROR(__xludf.DUMMYFUNCTION("""COMPUTED_VALUE"""),41296.7055555555)</f>
        <v>41296.705555555498</v>
      </c>
      <c r="B703" s="111">
        <f ca="1">IFERROR(__xludf.DUMMYFUNCTION("""COMPUTED_VALUE"""),7.61)</f>
        <v>7.61</v>
      </c>
      <c r="C703" s="112">
        <f ca="1">IFERROR(__xludf.DUMMYFUNCTION("""COMPUTED_VALUE"""),41304.7055555555)</f>
        <v>41304.705555555498</v>
      </c>
      <c r="D703" s="111">
        <f ca="1">IFERROR(__xludf.DUMMYFUNCTION("""COMPUTED_VALUE"""),17.07)</f>
        <v>17.07</v>
      </c>
      <c r="E703" s="112">
        <f ca="1">IFERROR(__xludf.DUMMYFUNCTION("""COMPUTED_VALUE"""),41305.7055555555)</f>
        <v>41305.705555555498</v>
      </c>
      <c r="F703" s="111">
        <f ca="1">IFERROR(__xludf.DUMMYFUNCTION("""COMPUTED_VALUE"""),6.56)</f>
        <v>6.56</v>
      </c>
      <c r="G703" s="112">
        <f ca="1">IFERROR(__xludf.DUMMYFUNCTION("""COMPUTED_VALUE"""),41297.7055555555)</f>
        <v>41297.705555555498</v>
      </c>
      <c r="H703" s="111">
        <f ca="1">IFERROR(__xludf.DUMMYFUNCTION("""COMPUTED_VALUE"""),19.55)</f>
        <v>19.55</v>
      </c>
      <c r="K703" s="112">
        <f ca="1">IFERROR(__xludf.DUMMYFUNCTION("""COMPUTED_VALUE"""),41746.7055555555)</f>
        <v>41746.705555555498</v>
      </c>
      <c r="L703" s="111">
        <f ca="1">IFERROR(__xludf.DUMMYFUNCTION("""COMPUTED_VALUE"""),0.22)</f>
        <v>0.22</v>
      </c>
      <c r="M703" s="112">
        <f ca="1">IFERROR(__xludf.DUMMYFUNCTION("""COMPUTED_VALUE"""),41207.7055555555)</f>
        <v>41207.705555555498</v>
      </c>
      <c r="N703" s="111">
        <f ca="1">IFERROR(__xludf.DUMMYFUNCTION("""COMPUTED_VALUE"""),12.71)</f>
        <v>12.71</v>
      </c>
      <c r="O703" s="112">
        <f ca="1">IFERROR(__xludf.DUMMYFUNCTION("""COMPUTED_VALUE"""),41290.7055555555)</f>
        <v>41290.705555555498</v>
      </c>
      <c r="P703" s="111">
        <f ca="1">IFERROR(__xludf.DUMMYFUNCTION("""COMPUTED_VALUE"""),40.9)</f>
        <v>40.9</v>
      </c>
      <c r="Q703" s="112">
        <f ca="1">IFERROR(__xludf.DUMMYFUNCTION("""COMPUTED_VALUE"""),41288.7055555555)</f>
        <v>41288.705555555498</v>
      </c>
      <c r="R703" s="111">
        <f ca="1">IFERROR(__xludf.DUMMYFUNCTION("""COMPUTED_VALUE"""),26.9)</f>
        <v>26.9</v>
      </c>
      <c r="S703" s="112">
        <f ca="1">IFERROR(__xludf.DUMMYFUNCTION("""COMPUTED_VALUE"""),41302.7055555555)</f>
        <v>41302.705555555498</v>
      </c>
      <c r="T703" s="111">
        <f ca="1">IFERROR(__xludf.DUMMYFUNCTION("""COMPUTED_VALUE"""),11.92)</f>
        <v>11.92</v>
      </c>
    </row>
    <row r="704" spans="1:20" x14ac:dyDescent="0.3">
      <c r="A704" s="112">
        <f ca="1">IFERROR(__xludf.DUMMYFUNCTION("""COMPUTED_VALUE"""),41297.7055555555)</f>
        <v>41297.705555555498</v>
      </c>
      <c r="B704" s="111">
        <f ca="1">IFERROR(__xludf.DUMMYFUNCTION("""COMPUTED_VALUE"""),7.75)</f>
        <v>7.75</v>
      </c>
      <c r="C704" s="112">
        <f ca="1">IFERROR(__xludf.DUMMYFUNCTION("""COMPUTED_VALUE"""),41305.7055555555)</f>
        <v>41305.705555555498</v>
      </c>
      <c r="D704" s="111">
        <f ca="1">IFERROR(__xludf.DUMMYFUNCTION("""COMPUTED_VALUE"""),17.2)</f>
        <v>17.2</v>
      </c>
      <c r="E704" s="112">
        <f ca="1">IFERROR(__xludf.DUMMYFUNCTION("""COMPUTED_VALUE"""),41306.7055555555)</f>
        <v>41306.705555555498</v>
      </c>
      <c r="F704" s="111">
        <f ca="1">IFERROR(__xludf.DUMMYFUNCTION("""COMPUTED_VALUE"""),6.54)</f>
        <v>6.54</v>
      </c>
      <c r="G704" s="112">
        <f ca="1">IFERROR(__xludf.DUMMYFUNCTION("""COMPUTED_VALUE"""),41298.7055555555)</f>
        <v>41298.705555555498</v>
      </c>
      <c r="H704" s="111">
        <f ca="1">IFERROR(__xludf.DUMMYFUNCTION("""COMPUTED_VALUE"""),19.61)</f>
        <v>19.61</v>
      </c>
      <c r="K704" s="112">
        <f ca="1">IFERROR(__xludf.DUMMYFUNCTION("""COMPUTED_VALUE"""),41751.7055555555)</f>
        <v>41751.705555555498</v>
      </c>
      <c r="L704" s="111">
        <f ca="1">IFERROR(__xludf.DUMMYFUNCTION("""COMPUTED_VALUE"""),0.22)</f>
        <v>0.22</v>
      </c>
      <c r="M704" s="112">
        <f ca="1">IFERROR(__xludf.DUMMYFUNCTION("""COMPUTED_VALUE"""),41208.7055555555)</f>
        <v>41208.705555555498</v>
      </c>
      <c r="N704" s="111">
        <f ca="1">IFERROR(__xludf.DUMMYFUNCTION("""COMPUTED_VALUE"""),12.55)</f>
        <v>12.55</v>
      </c>
      <c r="O704" s="112">
        <f ca="1">IFERROR(__xludf.DUMMYFUNCTION("""COMPUTED_VALUE"""),41291.7055555555)</f>
        <v>41291.705555555498</v>
      </c>
      <c r="P704" s="111">
        <f ca="1">IFERROR(__xludf.DUMMYFUNCTION("""COMPUTED_VALUE"""),40.98)</f>
        <v>40.98</v>
      </c>
      <c r="Q704" s="112">
        <f ca="1">IFERROR(__xludf.DUMMYFUNCTION("""COMPUTED_VALUE"""),41289.7055555555)</f>
        <v>41289.705555555498</v>
      </c>
      <c r="R704" s="111">
        <f ca="1">IFERROR(__xludf.DUMMYFUNCTION("""COMPUTED_VALUE"""),26.7)</f>
        <v>26.7</v>
      </c>
      <c r="S704" s="112">
        <f ca="1">IFERROR(__xludf.DUMMYFUNCTION("""COMPUTED_VALUE"""),41303.7055555555)</f>
        <v>41303.705555555498</v>
      </c>
      <c r="T704" s="111">
        <f ca="1">IFERROR(__xludf.DUMMYFUNCTION("""COMPUTED_VALUE"""),12.06)</f>
        <v>12.06</v>
      </c>
    </row>
    <row r="705" spans="1:20" x14ac:dyDescent="0.3">
      <c r="A705" s="112">
        <f ca="1">IFERROR(__xludf.DUMMYFUNCTION("""COMPUTED_VALUE"""),41298.7055555555)</f>
        <v>41298.705555555498</v>
      </c>
      <c r="B705" s="111">
        <f ca="1">IFERROR(__xludf.DUMMYFUNCTION("""COMPUTED_VALUE"""),7.17)</f>
        <v>7.17</v>
      </c>
      <c r="C705" s="112">
        <f ca="1">IFERROR(__xludf.DUMMYFUNCTION("""COMPUTED_VALUE"""),41306.7055555555)</f>
        <v>41306.705555555498</v>
      </c>
      <c r="D705" s="111">
        <f ca="1">IFERROR(__xludf.DUMMYFUNCTION("""COMPUTED_VALUE"""),17.1)</f>
        <v>17.100000000000001</v>
      </c>
      <c r="E705" s="112">
        <f ca="1">IFERROR(__xludf.DUMMYFUNCTION("""COMPUTED_VALUE"""),41309.7055555555)</f>
        <v>41309.705555555498</v>
      </c>
      <c r="F705" s="111">
        <f ca="1">IFERROR(__xludf.DUMMYFUNCTION("""COMPUTED_VALUE"""),6.37)</f>
        <v>6.37</v>
      </c>
      <c r="G705" s="112">
        <f ca="1">IFERROR(__xludf.DUMMYFUNCTION("""COMPUTED_VALUE"""),41302.7055555555)</f>
        <v>41302.705555555498</v>
      </c>
      <c r="H705" s="111">
        <f ca="1">IFERROR(__xludf.DUMMYFUNCTION("""COMPUTED_VALUE"""),19.37)</f>
        <v>19.37</v>
      </c>
      <c r="K705" s="112">
        <f ca="1">IFERROR(__xludf.DUMMYFUNCTION("""COMPUTED_VALUE"""),41752.7055555555)</f>
        <v>41752.705555555498</v>
      </c>
      <c r="L705" s="111">
        <f ca="1">IFERROR(__xludf.DUMMYFUNCTION("""COMPUTED_VALUE"""),0.22)</f>
        <v>0.22</v>
      </c>
      <c r="M705" s="112">
        <f ca="1">IFERROR(__xludf.DUMMYFUNCTION("""COMPUTED_VALUE"""),41211.7055555555)</f>
        <v>41211.705555555498</v>
      </c>
      <c r="N705" s="111">
        <f ca="1">IFERROR(__xludf.DUMMYFUNCTION("""COMPUTED_VALUE"""),12.55)</f>
        <v>12.55</v>
      </c>
      <c r="O705" s="112">
        <f ca="1">IFERROR(__xludf.DUMMYFUNCTION("""COMPUTED_VALUE"""),41292.7055555555)</f>
        <v>41292.705555555498</v>
      </c>
      <c r="P705" s="111">
        <f ca="1">IFERROR(__xludf.DUMMYFUNCTION("""COMPUTED_VALUE"""),40.61)</f>
        <v>40.61</v>
      </c>
      <c r="Q705" s="112">
        <f ca="1">IFERROR(__xludf.DUMMYFUNCTION("""COMPUTED_VALUE"""),41290.7055555555)</f>
        <v>41290.705555555498</v>
      </c>
      <c r="R705" s="111">
        <f ca="1">IFERROR(__xludf.DUMMYFUNCTION("""COMPUTED_VALUE"""),26.86)</f>
        <v>26.86</v>
      </c>
      <c r="S705" s="112">
        <f ca="1">IFERROR(__xludf.DUMMYFUNCTION("""COMPUTED_VALUE"""),41304.7055555555)</f>
        <v>41304.705555555498</v>
      </c>
      <c r="T705" s="111">
        <f ca="1">IFERROR(__xludf.DUMMYFUNCTION("""COMPUTED_VALUE"""),12.1)</f>
        <v>12.1</v>
      </c>
    </row>
    <row r="706" spans="1:20" x14ac:dyDescent="0.3">
      <c r="A706" s="112">
        <f ca="1">IFERROR(__xludf.DUMMYFUNCTION("""COMPUTED_VALUE"""),41302.7055555555)</f>
        <v>41302.705555555498</v>
      </c>
      <c r="B706" s="111">
        <f ca="1">IFERROR(__xludf.DUMMYFUNCTION("""COMPUTED_VALUE"""),6.92)</f>
        <v>6.92</v>
      </c>
      <c r="C706" s="112">
        <f ca="1">IFERROR(__xludf.DUMMYFUNCTION("""COMPUTED_VALUE"""),41309.7055555555)</f>
        <v>41309.705555555498</v>
      </c>
      <c r="D706" s="111">
        <f ca="1">IFERROR(__xludf.DUMMYFUNCTION("""COMPUTED_VALUE"""),16.7)</f>
        <v>16.7</v>
      </c>
      <c r="E706" s="112">
        <f ca="1">IFERROR(__xludf.DUMMYFUNCTION("""COMPUTED_VALUE"""),41310.7055555555)</f>
        <v>41310.705555555498</v>
      </c>
      <c r="F706" s="111">
        <f ca="1">IFERROR(__xludf.DUMMYFUNCTION("""COMPUTED_VALUE"""),6.52)</f>
        <v>6.52</v>
      </c>
      <c r="G706" s="112">
        <f ca="1">IFERROR(__xludf.DUMMYFUNCTION("""COMPUTED_VALUE"""),41303.7055555555)</f>
        <v>41303.705555555498</v>
      </c>
      <c r="H706" s="111">
        <f ca="1">IFERROR(__xludf.DUMMYFUNCTION("""COMPUTED_VALUE"""),19.11)</f>
        <v>19.11</v>
      </c>
      <c r="K706" s="112">
        <f ca="1">IFERROR(__xludf.DUMMYFUNCTION("""COMPUTED_VALUE"""),41753.7055555555)</f>
        <v>41753.705555555498</v>
      </c>
      <c r="L706" s="111">
        <f ca="1">IFERROR(__xludf.DUMMYFUNCTION("""COMPUTED_VALUE"""),0.22)</f>
        <v>0.22</v>
      </c>
      <c r="M706" s="112">
        <f ca="1">IFERROR(__xludf.DUMMYFUNCTION("""COMPUTED_VALUE"""),41212.7055555555)</f>
        <v>41212.705555555498</v>
      </c>
      <c r="N706" s="111">
        <f ca="1">IFERROR(__xludf.DUMMYFUNCTION("""COMPUTED_VALUE"""),12.65)</f>
        <v>12.65</v>
      </c>
      <c r="O706" s="112">
        <f ca="1">IFERROR(__xludf.DUMMYFUNCTION("""COMPUTED_VALUE"""),41295.7055555555)</f>
        <v>41295.705555555498</v>
      </c>
      <c r="P706" s="111">
        <f ca="1">IFERROR(__xludf.DUMMYFUNCTION("""COMPUTED_VALUE"""),40.58)</f>
        <v>40.58</v>
      </c>
      <c r="Q706" s="112">
        <f ca="1">IFERROR(__xludf.DUMMYFUNCTION("""COMPUTED_VALUE"""),41291.7055555555)</f>
        <v>41291.705555555498</v>
      </c>
      <c r="R706" s="111">
        <f ca="1">IFERROR(__xludf.DUMMYFUNCTION("""COMPUTED_VALUE"""),26.81)</f>
        <v>26.81</v>
      </c>
      <c r="S706" s="112">
        <f ca="1">IFERROR(__xludf.DUMMYFUNCTION("""COMPUTED_VALUE"""),41305.7055555555)</f>
        <v>41305.705555555498</v>
      </c>
      <c r="T706" s="111">
        <f ca="1">IFERROR(__xludf.DUMMYFUNCTION("""COMPUTED_VALUE"""),11.98)</f>
        <v>11.98</v>
      </c>
    </row>
    <row r="707" spans="1:20" x14ac:dyDescent="0.3">
      <c r="A707" s="112">
        <f ca="1">IFERROR(__xludf.DUMMYFUNCTION("""COMPUTED_VALUE"""),41303.7055555555)</f>
        <v>41303.705555555498</v>
      </c>
      <c r="B707" s="111">
        <f ca="1">IFERROR(__xludf.DUMMYFUNCTION("""COMPUTED_VALUE"""),6.97)</f>
        <v>6.97</v>
      </c>
      <c r="C707" s="112">
        <f ca="1">IFERROR(__xludf.DUMMYFUNCTION("""COMPUTED_VALUE"""),41310.7055555555)</f>
        <v>41310.705555555498</v>
      </c>
      <c r="D707" s="111">
        <f ca="1">IFERROR(__xludf.DUMMYFUNCTION("""COMPUTED_VALUE"""),17.12)</f>
        <v>17.12</v>
      </c>
      <c r="E707" s="112">
        <f ca="1">IFERROR(__xludf.DUMMYFUNCTION("""COMPUTED_VALUE"""),41311.7055555555)</f>
        <v>41311.705555555498</v>
      </c>
      <c r="F707" s="111">
        <f ca="1">IFERROR(__xludf.DUMMYFUNCTION("""COMPUTED_VALUE"""),6.4)</f>
        <v>6.4</v>
      </c>
      <c r="G707" s="112">
        <f ca="1">IFERROR(__xludf.DUMMYFUNCTION("""COMPUTED_VALUE"""),41304.7055555555)</f>
        <v>41304.705555555498</v>
      </c>
      <c r="H707" s="111">
        <f ca="1">IFERROR(__xludf.DUMMYFUNCTION("""COMPUTED_VALUE"""),18.2)</f>
        <v>18.2</v>
      </c>
      <c r="K707" s="112">
        <f ca="1">IFERROR(__xludf.DUMMYFUNCTION("""COMPUTED_VALUE"""),41754.7055555555)</f>
        <v>41754.705555555498</v>
      </c>
      <c r="L707" s="111">
        <f ca="1">IFERROR(__xludf.DUMMYFUNCTION("""COMPUTED_VALUE"""),0.22)</f>
        <v>0.22</v>
      </c>
      <c r="M707" s="112">
        <f ca="1">IFERROR(__xludf.DUMMYFUNCTION("""COMPUTED_VALUE"""),41213.7055555555)</f>
        <v>41213.705555555498</v>
      </c>
      <c r="N707" s="111">
        <f ca="1">IFERROR(__xludf.DUMMYFUNCTION("""COMPUTED_VALUE"""),12.55)</f>
        <v>12.55</v>
      </c>
      <c r="O707" s="112">
        <f ca="1">IFERROR(__xludf.DUMMYFUNCTION("""COMPUTED_VALUE"""),41296.7055555555)</f>
        <v>41296.705555555498</v>
      </c>
      <c r="P707" s="111">
        <f ca="1">IFERROR(__xludf.DUMMYFUNCTION("""COMPUTED_VALUE"""),41.07)</f>
        <v>41.07</v>
      </c>
      <c r="Q707" s="112">
        <f ca="1">IFERROR(__xludf.DUMMYFUNCTION("""COMPUTED_VALUE"""),41292.7055555555)</f>
        <v>41292.705555555498</v>
      </c>
      <c r="R707" s="111">
        <f ca="1">IFERROR(__xludf.DUMMYFUNCTION("""COMPUTED_VALUE"""),26.2)</f>
        <v>26.2</v>
      </c>
      <c r="S707" s="112">
        <f ca="1">IFERROR(__xludf.DUMMYFUNCTION("""COMPUTED_VALUE"""),41306.7055555555)</f>
        <v>41306.705555555498</v>
      </c>
      <c r="T707" s="111">
        <f ca="1">IFERROR(__xludf.DUMMYFUNCTION("""COMPUTED_VALUE"""),11.79)</f>
        <v>11.79</v>
      </c>
    </row>
    <row r="708" spans="1:20" x14ac:dyDescent="0.3">
      <c r="A708" s="112">
        <f ca="1">IFERROR(__xludf.DUMMYFUNCTION("""COMPUTED_VALUE"""),41304.7055555555)</f>
        <v>41304.705555555498</v>
      </c>
      <c r="B708" s="111">
        <f ca="1">IFERROR(__xludf.DUMMYFUNCTION("""COMPUTED_VALUE"""),6.92)</f>
        <v>6.92</v>
      </c>
      <c r="C708" s="112">
        <f ca="1">IFERROR(__xludf.DUMMYFUNCTION("""COMPUTED_VALUE"""),41311.7055555555)</f>
        <v>41311.705555555498</v>
      </c>
      <c r="D708" s="111">
        <f ca="1">IFERROR(__xludf.DUMMYFUNCTION("""COMPUTED_VALUE"""),16.77)</f>
        <v>16.77</v>
      </c>
      <c r="E708" s="112">
        <f ca="1">IFERROR(__xludf.DUMMYFUNCTION("""COMPUTED_VALUE"""),41312.7055555555)</f>
        <v>41312.705555555498</v>
      </c>
      <c r="F708" s="111">
        <f ca="1">IFERROR(__xludf.DUMMYFUNCTION("""COMPUTED_VALUE"""),6.36)</f>
        <v>6.36</v>
      </c>
      <c r="G708" s="112">
        <f ca="1">IFERROR(__xludf.DUMMYFUNCTION("""COMPUTED_VALUE"""),41305.7055555555)</f>
        <v>41305.705555555498</v>
      </c>
      <c r="H708" s="111">
        <f ca="1">IFERROR(__xludf.DUMMYFUNCTION("""COMPUTED_VALUE"""),18.08)</f>
        <v>18.079999999999998</v>
      </c>
      <c r="K708" s="112">
        <f ca="1">IFERROR(__xludf.DUMMYFUNCTION("""COMPUTED_VALUE"""),41757.7055555555)</f>
        <v>41757.705555555498</v>
      </c>
      <c r="L708" s="111">
        <f ca="1">IFERROR(__xludf.DUMMYFUNCTION("""COMPUTED_VALUE"""),0.23)</f>
        <v>0.23</v>
      </c>
      <c r="M708" s="112">
        <f ca="1">IFERROR(__xludf.DUMMYFUNCTION("""COMPUTED_VALUE"""),41214.7055555555)</f>
        <v>41214.705555555498</v>
      </c>
      <c r="N708" s="111">
        <f ca="1">IFERROR(__xludf.DUMMYFUNCTION("""COMPUTED_VALUE"""),13.01)</f>
        <v>13.01</v>
      </c>
      <c r="O708" s="112">
        <f ca="1">IFERROR(__xludf.DUMMYFUNCTION("""COMPUTED_VALUE"""),41297.7055555555)</f>
        <v>41297.705555555498</v>
      </c>
      <c r="P708" s="111">
        <f ca="1">IFERROR(__xludf.DUMMYFUNCTION("""COMPUTED_VALUE"""),40.85)</f>
        <v>40.85</v>
      </c>
      <c r="Q708" s="112">
        <f ca="1">IFERROR(__xludf.DUMMYFUNCTION("""COMPUTED_VALUE"""),41295.7055555555)</f>
        <v>41295.705555555498</v>
      </c>
      <c r="R708" s="111">
        <f ca="1">IFERROR(__xludf.DUMMYFUNCTION("""COMPUTED_VALUE"""),25.93)</f>
        <v>25.93</v>
      </c>
      <c r="S708" s="112">
        <f ca="1">IFERROR(__xludf.DUMMYFUNCTION("""COMPUTED_VALUE"""),41309.7055555555)</f>
        <v>41309.705555555498</v>
      </c>
      <c r="T708" s="111">
        <f ca="1">IFERROR(__xludf.DUMMYFUNCTION("""COMPUTED_VALUE"""),11.71)</f>
        <v>11.71</v>
      </c>
    </row>
    <row r="709" spans="1:20" x14ac:dyDescent="0.3">
      <c r="A709" s="112">
        <f ca="1">IFERROR(__xludf.DUMMYFUNCTION("""COMPUTED_VALUE"""),41305.7055555555)</f>
        <v>41305.705555555498</v>
      </c>
      <c r="B709" s="111">
        <f ca="1">IFERROR(__xludf.DUMMYFUNCTION("""COMPUTED_VALUE"""),7.04)</f>
        <v>7.04</v>
      </c>
      <c r="C709" s="112">
        <f ca="1">IFERROR(__xludf.DUMMYFUNCTION("""COMPUTED_VALUE"""),41312.7055555555)</f>
        <v>41312.705555555498</v>
      </c>
      <c r="D709" s="111">
        <f ca="1">IFERROR(__xludf.DUMMYFUNCTION("""COMPUTED_VALUE"""),16.66)</f>
        <v>16.66</v>
      </c>
      <c r="E709" s="112">
        <f ca="1">IFERROR(__xludf.DUMMYFUNCTION("""COMPUTED_VALUE"""),41313.7055555555)</f>
        <v>41313.705555555498</v>
      </c>
      <c r="F709" s="111">
        <f ca="1">IFERROR(__xludf.DUMMYFUNCTION("""COMPUTED_VALUE"""),6.47)</f>
        <v>6.47</v>
      </c>
      <c r="G709" s="112">
        <f ca="1">IFERROR(__xludf.DUMMYFUNCTION("""COMPUTED_VALUE"""),41306.7055555555)</f>
        <v>41306.705555555498</v>
      </c>
      <c r="H709" s="111">
        <f ca="1">IFERROR(__xludf.DUMMYFUNCTION("""COMPUTED_VALUE"""),18.46)</f>
        <v>18.46</v>
      </c>
      <c r="K709" s="112">
        <f ca="1">IFERROR(__xludf.DUMMYFUNCTION("""COMPUTED_VALUE"""),41758.7055555555)</f>
        <v>41758.705555555498</v>
      </c>
      <c r="L709" s="111">
        <f ca="1">IFERROR(__xludf.DUMMYFUNCTION("""COMPUTED_VALUE"""),0.23)</f>
        <v>0.23</v>
      </c>
      <c r="M709" s="112">
        <f ca="1">IFERROR(__xludf.DUMMYFUNCTION("""COMPUTED_VALUE"""),41218.7055555555)</f>
        <v>41218.705555555498</v>
      </c>
      <c r="N709" s="111">
        <f ca="1">IFERROR(__xludf.DUMMYFUNCTION("""COMPUTED_VALUE"""),12.99)</f>
        <v>12.99</v>
      </c>
      <c r="O709" s="112">
        <f ca="1">IFERROR(__xludf.DUMMYFUNCTION("""COMPUTED_VALUE"""),41298.7055555555)</f>
        <v>41298.705555555498</v>
      </c>
      <c r="P709" s="111">
        <f ca="1">IFERROR(__xludf.DUMMYFUNCTION("""COMPUTED_VALUE"""),40)</f>
        <v>40</v>
      </c>
      <c r="Q709" s="112">
        <f ca="1">IFERROR(__xludf.DUMMYFUNCTION("""COMPUTED_VALUE"""),41296.7055555555)</f>
        <v>41296.705555555498</v>
      </c>
      <c r="R709" s="111">
        <f ca="1">IFERROR(__xludf.DUMMYFUNCTION("""COMPUTED_VALUE"""),25.93)</f>
        <v>25.93</v>
      </c>
      <c r="S709" s="112">
        <f ca="1">IFERROR(__xludf.DUMMYFUNCTION("""COMPUTED_VALUE"""),41310.7055555555)</f>
        <v>41310.705555555498</v>
      </c>
      <c r="T709" s="111">
        <f ca="1">IFERROR(__xludf.DUMMYFUNCTION("""COMPUTED_VALUE"""),11.68)</f>
        <v>11.68</v>
      </c>
    </row>
    <row r="710" spans="1:20" x14ac:dyDescent="0.3">
      <c r="A710" s="112">
        <f ca="1">IFERROR(__xludf.DUMMYFUNCTION("""COMPUTED_VALUE"""),41306.7055555555)</f>
        <v>41306.705555555498</v>
      </c>
      <c r="B710" s="111">
        <f ca="1">IFERROR(__xludf.DUMMYFUNCTION("""COMPUTED_VALUE"""),7.04)</f>
        <v>7.04</v>
      </c>
      <c r="C710" s="112">
        <f ca="1">IFERROR(__xludf.DUMMYFUNCTION("""COMPUTED_VALUE"""),41313.7055555555)</f>
        <v>41313.705555555498</v>
      </c>
      <c r="D710" s="111">
        <f ca="1">IFERROR(__xludf.DUMMYFUNCTION("""COMPUTED_VALUE"""),16.96)</f>
        <v>16.96</v>
      </c>
      <c r="E710" s="112">
        <f ca="1">IFERROR(__xludf.DUMMYFUNCTION("""COMPUTED_VALUE"""),41318.7055555555)</f>
        <v>41318.705555555498</v>
      </c>
      <c r="F710" s="111">
        <f ca="1">IFERROR(__xludf.DUMMYFUNCTION("""COMPUTED_VALUE"""),6.44)</f>
        <v>6.44</v>
      </c>
      <c r="G710" s="112">
        <f ca="1">IFERROR(__xludf.DUMMYFUNCTION("""COMPUTED_VALUE"""),41309.7055555555)</f>
        <v>41309.705555555498</v>
      </c>
      <c r="H710" s="111">
        <f ca="1">IFERROR(__xludf.DUMMYFUNCTION("""COMPUTED_VALUE"""),18)</f>
        <v>18</v>
      </c>
      <c r="K710" s="112">
        <f ca="1">IFERROR(__xludf.DUMMYFUNCTION("""COMPUTED_VALUE"""),41759.7055555555)</f>
        <v>41759.705555555498</v>
      </c>
      <c r="L710" s="111">
        <f ca="1">IFERROR(__xludf.DUMMYFUNCTION("""COMPUTED_VALUE"""),0.24)</f>
        <v>0.24</v>
      </c>
      <c r="M710" s="112">
        <f ca="1">IFERROR(__xludf.DUMMYFUNCTION("""COMPUTED_VALUE"""),41219.7055555555)</f>
        <v>41219.705555555498</v>
      </c>
      <c r="N710" s="111">
        <f ca="1">IFERROR(__xludf.DUMMYFUNCTION("""COMPUTED_VALUE"""),13.17)</f>
        <v>13.17</v>
      </c>
      <c r="O710" s="112">
        <f ca="1">IFERROR(__xludf.DUMMYFUNCTION("""COMPUTED_VALUE"""),41302.7055555555)</f>
        <v>41302.705555555498</v>
      </c>
      <c r="P710" s="111">
        <f ca="1">IFERROR(__xludf.DUMMYFUNCTION("""COMPUTED_VALUE"""),38.79)</f>
        <v>38.79</v>
      </c>
      <c r="Q710" s="112">
        <f ca="1">IFERROR(__xludf.DUMMYFUNCTION("""COMPUTED_VALUE"""),41297.7055555555)</f>
        <v>41297.705555555498</v>
      </c>
      <c r="R710" s="111">
        <f ca="1">IFERROR(__xludf.DUMMYFUNCTION("""COMPUTED_VALUE"""),25.5)</f>
        <v>25.5</v>
      </c>
      <c r="S710" s="112">
        <f ca="1">IFERROR(__xludf.DUMMYFUNCTION("""COMPUTED_VALUE"""),41311.7055555555)</f>
        <v>41311.705555555498</v>
      </c>
      <c r="T710" s="111">
        <f ca="1">IFERROR(__xludf.DUMMYFUNCTION("""COMPUTED_VALUE"""),11.71)</f>
        <v>11.71</v>
      </c>
    </row>
    <row r="711" spans="1:20" x14ac:dyDescent="0.3">
      <c r="A711" s="112">
        <f ca="1">IFERROR(__xludf.DUMMYFUNCTION("""COMPUTED_VALUE"""),41309.7055555555)</f>
        <v>41309.705555555498</v>
      </c>
      <c r="B711" s="111">
        <f ca="1">IFERROR(__xludf.DUMMYFUNCTION("""COMPUTED_VALUE"""),6.9)</f>
        <v>6.9</v>
      </c>
      <c r="C711" s="112">
        <f ca="1">IFERROR(__xludf.DUMMYFUNCTION("""COMPUTED_VALUE"""),41318.7055555555)</f>
        <v>41318.705555555498</v>
      </c>
      <c r="D711" s="111">
        <f ca="1">IFERROR(__xludf.DUMMYFUNCTION("""COMPUTED_VALUE"""),16.92)</f>
        <v>16.920000000000002</v>
      </c>
      <c r="E711" s="112">
        <f ca="1">IFERROR(__xludf.DUMMYFUNCTION("""COMPUTED_VALUE"""),41319.7055555555)</f>
        <v>41319.705555555498</v>
      </c>
      <c r="F711" s="111">
        <f ca="1">IFERROR(__xludf.DUMMYFUNCTION("""COMPUTED_VALUE"""),6.41)</f>
        <v>6.41</v>
      </c>
      <c r="G711" s="112">
        <f ca="1">IFERROR(__xludf.DUMMYFUNCTION("""COMPUTED_VALUE"""),41310.7055555555)</f>
        <v>41310.705555555498</v>
      </c>
      <c r="H711" s="111">
        <f ca="1">IFERROR(__xludf.DUMMYFUNCTION("""COMPUTED_VALUE"""),18.08)</f>
        <v>18.079999999999998</v>
      </c>
      <c r="K711" s="112">
        <f ca="1">IFERROR(__xludf.DUMMYFUNCTION("""COMPUTED_VALUE"""),41761.7055555555)</f>
        <v>41761.705555555498</v>
      </c>
      <c r="L711" s="111">
        <f ca="1">IFERROR(__xludf.DUMMYFUNCTION("""COMPUTED_VALUE"""),0.25)</f>
        <v>0.25</v>
      </c>
      <c r="M711" s="112">
        <f ca="1">IFERROR(__xludf.DUMMYFUNCTION("""COMPUTED_VALUE"""),41220.7055555555)</f>
        <v>41220.705555555498</v>
      </c>
      <c r="N711" s="111">
        <f ca="1">IFERROR(__xludf.DUMMYFUNCTION("""COMPUTED_VALUE"""),12.85)</f>
        <v>12.85</v>
      </c>
      <c r="O711" s="112">
        <f ca="1">IFERROR(__xludf.DUMMYFUNCTION("""COMPUTED_VALUE"""),41303.7055555555)</f>
        <v>41303.705555555498</v>
      </c>
      <c r="P711" s="111">
        <f ca="1">IFERROR(__xludf.DUMMYFUNCTION("""COMPUTED_VALUE"""),39.24)</f>
        <v>39.24</v>
      </c>
      <c r="Q711" s="112">
        <f ca="1">IFERROR(__xludf.DUMMYFUNCTION("""COMPUTED_VALUE"""),41298.7055555555)</f>
        <v>41298.705555555498</v>
      </c>
      <c r="R711" s="111">
        <f ca="1">IFERROR(__xludf.DUMMYFUNCTION("""COMPUTED_VALUE"""),25.4)</f>
        <v>25.4</v>
      </c>
      <c r="S711" s="112">
        <f ca="1">IFERROR(__xludf.DUMMYFUNCTION("""COMPUTED_VALUE"""),41312.7055555555)</f>
        <v>41312.705555555498</v>
      </c>
      <c r="T711" s="111">
        <f ca="1">IFERROR(__xludf.DUMMYFUNCTION("""COMPUTED_VALUE"""),11.82)</f>
        <v>11.82</v>
      </c>
    </row>
    <row r="712" spans="1:20" x14ac:dyDescent="0.3">
      <c r="A712" s="112">
        <f ca="1">IFERROR(__xludf.DUMMYFUNCTION("""COMPUTED_VALUE"""),41310.7055555555)</f>
        <v>41310.705555555498</v>
      </c>
      <c r="B712" s="111">
        <f ca="1">IFERROR(__xludf.DUMMYFUNCTION("""COMPUTED_VALUE"""),6.96)</f>
        <v>6.96</v>
      </c>
      <c r="C712" s="112">
        <f ca="1">IFERROR(__xludf.DUMMYFUNCTION("""COMPUTED_VALUE"""),41319.7055555555)</f>
        <v>41319.705555555498</v>
      </c>
      <c r="D712" s="111">
        <f ca="1">IFERROR(__xludf.DUMMYFUNCTION("""COMPUTED_VALUE"""),16.84)</f>
        <v>16.84</v>
      </c>
      <c r="E712" s="112">
        <f ca="1">IFERROR(__xludf.DUMMYFUNCTION("""COMPUTED_VALUE"""),41320.7055555555)</f>
        <v>41320.705555555498</v>
      </c>
      <c r="F712" s="111">
        <f ca="1">IFERROR(__xludf.DUMMYFUNCTION("""COMPUTED_VALUE"""),6.71)</f>
        <v>6.71</v>
      </c>
      <c r="G712" s="112">
        <f ca="1">IFERROR(__xludf.DUMMYFUNCTION("""COMPUTED_VALUE"""),41311.7055555555)</f>
        <v>41311.705555555498</v>
      </c>
      <c r="H712" s="111">
        <f ca="1">IFERROR(__xludf.DUMMYFUNCTION("""COMPUTED_VALUE"""),17.6)</f>
        <v>17.600000000000001</v>
      </c>
      <c r="K712" s="112">
        <f ca="1">IFERROR(__xludf.DUMMYFUNCTION("""COMPUTED_VALUE"""),41764.7055555555)</f>
        <v>41764.705555555498</v>
      </c>
      <c r="L712" s="111">
        <f ca="1">IFERROR(__xludf.DUMMYFUNCTION("""COMPUTED_VALUE"""),0.25)</f>
        <v>0.25</v>
      </c>
      <c r="M712" s="112">
        <f ca="1">IFERROR(__xludf.DUMMYFUNCTION("""COMPUTED_VALUE"""),41221.7055555555)</f>
        <v>41221.705555555498</v>
      </c>
      <c r="N712" s="111">
        <f ca="1">IFERROR(__xludf.DUMMYFUNCTION("""COMPUTED_VALUE"""),12.65)</f>
        <v>12.65</v>
      </c>
      <c r="O712" s="112">
        <f ca="1">IFERROR(__xludf.DUMMYFUNCTION("""COMPUTED_VALUE"""),41304.7055555555)</f>
        <v>41304.705555555498</v>
      </c>
      <c r="P712" s="111">
        <f ca="1">IFERROR(__xludf.DUMMYFUNCTION("""COMPUTED_VALUE"""),38.75)</f>
        <v>38.75</v>
      </c>
      <c r="Q712" s="112">
        <f ca="1">IFERROR(__xludf.DUMMYFUNCTION("""COMPUTED_VALUE"""),41302.7055555555)</f>
        <v>41302.705555555498</v>
      </c>
      <c r="R712" s="111">
        <f ca="1">IFERROR(__xludf.DUMMYFUNCTION("""COMPUTED_VALUE"""),24.71)</f>
        <v>24.71</v>
      </c>
      <c r="S712" s="112">
        <f ca="1">IFERROR(__xludf.DUMMYFUNCTION("""COMPUTED_VALUE"""),41313.7055555555)</f>
        <v>41313.705555555498</v>
      </c>
      <c r="T712" s="111">
        <f ca="1">IFERROR(__xludf.DUMMYFUNCTION("""COMPUTED_VALUE"""),11.8)</f>
        <v>11.8</v>
      </c>
    </row>
    <row r="713" spans="1:20" x14ac:dyDescent="0.3">
      <c r="A713" s="112">
        <f ca="1">IFERROR(__xludf.DUMMYFUNCTION("""COMPUTED_VALUE"""),41311.7055555555)</f>
        <v>41311.705555555498</v>
      </c>
      <c r="B713" s="111">
        <f ca="1">IFERROR(__xludf.DUMMYFUNCTION("""COMPUTED_VALUE"""),6.9)</f>
        <v>6.9</v>
      </c>
      <c r="C713" s="112">
        <f ca="1">IFERROR(__xludf.DUMMYFUNCTION("""COMPUTED_VALUE"""),41320.7055555555)</f>
        <v>41320.705555555498</v>
      </c>
      <c r="D713" s="111">
        <f ca="1">IFERROR(__xludf.DUMMYFUNCTION("""COMPUTED_VALUE"""),17.62)</f>
        <v>17.62</v>
      </c>
      <c r="E713" s="112">
        <f ca="1">IFERROR(__xludf.DUMMYFUNCTION("""COMPUTED_VALUE"""),41323.7055555555)</f>
        <v>41323.705555555498</v>
      </c>
      <c r="F713" s="111">
        <f ca="1">IFERROR(__xludf.DUMMYFUNCTION("""COMPUTED_VALUE"""),6.78)</f>
        <v>6.78</v>
      </c>
      <c r="G713" s="112">
        <f ca="1">IFERROR(__xludf.DUMMYFUNCTION("""COMPUTED_VALUE"""),41312.7055555555)</f>
        <v>41312.705555555498</v>
      </c>
      <c r="H713" s="111">
        <f ca="1">IFERROR(__xludf.DUMMYFUNCTION("""COMPUTED_VALUE"""),17.5)</f>
        <v>17.5</v>
      </c>
      <c r="K713" s="112">
        <f ca="1">IFERROR(__xludf.DUMMYFUNCTION("""COMPUTED_VALUE"""),41765.7055555555)</f>
        <v>41765.705555555498</v>
      </c>
      <c r="L713" s="111">
        <f ca="1">IFERROR(__xludf.DUMMYFUNCTION("""COMPUTED_VALUE"""),0.24)</f>
        <v>0.24</v>
      </c>
      <c r="M713" s="112">
        <f ca="1">IFERROR(__xludf.DUMMYFUNCTION("""COMPUTED_VALUE"""),41222.7055555555)</f>
        <v>41222.705555555498</v>
      </c>
      <c r="N713" s="111">
        <f ca="1">IFERROR(__xludf.DUMMYFUNCTION("""COMPUTED_VALUE"""),12.62)</f>
        <v>12.62</v>
      </c>
      <c r="O713" s="112">
        <f ca="1">IFERROR(__xludf.DUMMYFUNCTION("""COMPUTED_VALUE"""),41305.7055555555)</f>
        <v>41305.705555555498</v>
      </c>
      <c r="P713" s="111">
        <f ca="1">IFERROR(__xludf.DUMMYFUNCTION("""COMPUTED_VALUE"""),40.26)</f>
        <v>40.26</v>
      </c>
      <c r="Q713" s="112">
        <f ca="1">IFERROR(__xludf.DUMMYFUNCTION("""COMPUTED_VALUE"""),41303.7055555555)</f>
        <v>41303.705555555498</v>
      </c>
      <c r="R713" s="111">
        <f ca="1">IFERROR(__xludf.DUMMYFUNCTION("""COMPUTED_VALUE"""),25.02)</f>
        <v>25.02</v>
      </c>
      <c r="S713" s="112">
        <f ca="1">IFERROR(__xludf.DUMMYFUNCTION("""COMPUTED_VALUE"""),41318.7055555555)</f>
        <v>41318.705555555498</v>
      </c>
      <c r="T713" s="111">
        <f ca="1">IFERROR(__xludf.DUMMYFUNCTION("""COMPUTED_VALUE"""),11.81)</f>
        <v>11.81</v>
      </c>
    </row>
    <row r="714" spans="1:20" x14ac:dyDescent="0.3">
      <c r="A714" s="112">
        <f ca="1">IFERROR(__xludf.DUMMYFUNCTION("""COMPUTED_VALUE"""),41312.7055555555)</f>
        <v>41312.705555555498</v>
      </c>
      <c r="B714" s="111">
        <f ca="1">IFERROR(__xludf.DUMMYFUNCTION("""COMPUTED_VALUE"""),6.72)</f>
        <v>6.72</v>
      </c>
      <c r="C714" s="112">
        <f ca="1">IFERROR(__xludf.DUMMYFUNCTION("""COMPUTED_VALUE"""),41323.7055555555)</f>
        <v>41323.705555555498</v>
      </c>
      <c r="D714" s="111">
        <f ca="1">IFERROR(__xludf.DUMMYFUNCTION("""COMPUTED_VALUE"""),17.81)</f>
        <v>17.809999999999999</v>
      </c>
      <c r="E714" s="112">
        <f ca="1">IFERROR(__xludf.DUMMYFUNCTION("""COMPUTED_VALUE"""),41324.7055555555)</f>
        <v>41324.705555555498</v>
      </c>
      <c r="F714" s="111">
        <f ca="1">IFERROR(__xludf.DUMMYFUNCTION("""COMPUTED_VALUE"""),6.67)</f>
        <v>6.67</v>
      </c>
      <c r="G714" s="112">
        <f ca="1">IFERROR(__xludf.DUMMYFUNCTION("""COMPUTED_VALUE"""),41313.7055555555)</f>
        <v>41313.705555555498</v>
      </c>
      <c r="H714" s="111">
        <f ca="1">IFERROR(__xludf.DUMMYFUNCTION("""COMPUTED_VALUE"""),17.74)</f>
        <v>17.739999999999998</v>
      </c>
      <c r="K714" s="112">
        <f ca="1">IFERROR(__xludf.DUMMYFUNCTION("""COMPUTED_VALUE"""),41766.7055555555)</f>
        <v>41766.705555555498</v>
      </c>
      <c r="L714" s="111">
        <f ca="1">IFERROR(__xludf.DUMMYFUNCTION("""COMPUTED_VALUE"""),0.24)</f>
        <v>0.24</v>
      </c>
      <c r="M714" s="112">
        <f ca="1">IFERROR(__xludf.DUMMYFUNCTION("""COMPUTED_VALUE"""),41225.7055555555)</f>
        <v>41225.705555555498</v>
      </c>
      <c r="N714" s="111">
        <f ca="1">IFERROR(__xludf.DUMMYFUNCTION("""COMPUTED_VALUE"""),12.54)</f>
        <v>12.54</v>
      </c>
      <c r="O714" s="112">
        <f ca="1">IFERROR(__xludf.DUMMYFUNCTION("""COMPUTED_VALUE"""),41306.7055555555)</f>
        <v>41306.705555555498</v>
      </c>
      <c r="P714" s="111">
        <f ca="1">IFERROR(__xludf.DUMMYFUNCTION("""COMPUTED_VALUE"""),40.85)</f>
        <v>40.85</v>
      </c>
      <c r="Q714" s="112">
        <f ca="1">IFERROR(__xludf.DUMMYFUNCTION("""COMPUTED_VALUE"""),41304.7055555555)</f>
        <v>41304.705555555498</v>
      </c>
      <c r="R714" s="111">
        <f ca="1">IFERROR(__xludf.DUMMYFUNCTION("""COMPUTED_VALUE"""),24.8)</f>
        <v>24.8</v>
      </c>
      <c r="S714" s="112">
        <f ca="1">IFERROR(__xludf.DUMMYFUNCTION("""COMPUTED_VALUE"""),41319.7055555555)</f>
        <v>41319.705555555498</v>
      </c>
      <c r="T714" s="111">
        <f ca="1">IFERROR(__xludf.DUMMYFUNCTION("""COMPUTED_VALUE"""),11.79)</f>
        <v>11.79</v>
      </c>
    </row>
    <row r="715" spans="1:20" x14ac:dyDescent="0.3">
      <c r="A715" s="112">
        <f ca="1">IFERROR(__xludf.DUMMYFUNCTION("""COMPUTED_VALUE"""),41313.7055555555)</f>
        <v>41313.705555555498</v>
      </c>
      <c r="B715" s="111">
        <f ca="1">IFERROR(__xludf.DUMMYFUNCTION("""COMPUTED_VALUE"""),6.77)</f>
        <v>6.77</v>
      </c>
      <c r="C715" s="112">
        <f ca="1">IFERROR(__xludf.DUMMYFUNCTION("""COMPUTED_VALUE"""),41324.7055555555)</f>
        <v>41324.705555555498</v>
      </c>
      <c r="D715" s="111">
        <f ca="1">IFERROR(__xludf.DUMMYFUNCTION("""COMPUTED_VALUE"""),17.46)</f>
        <v>17.46</v>
      </c>
      <c r="E715" s="112">
        <f ca="1">IFERROR(__xludf.DUMMYFUNCTION("""COMPUTED_VALUE"""),41325.7055555555)</f>
        <v>41325.705555555498</v>
      </c>
      <c r="F715" s="111">
        <f ca="1">IFERROR(__xludf.DUMMYFUNCTION("""COMPUTED_VALUE"""),6.56)</f>
        <v>6.56</v>
      </c>
      <c r="G715" s="112">
        <f ca="1">IFERROR(__xludf.DUMMYFUNCTION("""COMPUTED_VALUE"""),41318.7055555555)</f>
        <v>41318.705555555498</v>
      </c>
      <c r="H715" s="111">
        <f ca="1">IFERROR(__xludf.DUMMYFUNCTION("""COMPUTED_VALUE"""),17.8)</f>
        <v>17.8</v>
      </c>
      <c r="K715" s="112">
        <f ca="1">IFERROR(__xludf.DUMMYFUNCTION("""COMPUTED_VALUE"""),41767.7055555555)</f>
        <v>41767.705555555498</v>
      </c>
      <c r="L715" s="111">
        <f ca="1">IFERROR(__xludf.DUMMYFUNCTION("""COMPUTED_VALUE"""),0.27)</f>
        <v>0.27</v>
      </c>
      <c r="M715" s="112">
        <f ca="1">IFERROR(__xludf.DUMMYFUNCTION("""COMPUTED_VALUE"""),41226.7055555555)</f>
        <v>41226.705555555498</v>
      </c>
      <c r="N715" s="111">
        <f ca="1">IFERROR(__xludf.DUMMYFUNCTION("""COMPUTED_VALUE"""),12.8)</f>
        <v>12.8</v>
      </c>
      <c r="O715" s="112">
        <f ca="1">IFERROR(__xludf.DUMMYFUNCTION("""COMPUTED_VALUE"""),41309.7055555555)</f>
        <v>41309.705555555498</v>
      </c>
      <c r="P715" s="111">
        <f ca="1">IFERROR(__xludf.DUMMYFUNCTION("""COMPUTED_VALUE"""),40.45)</f>
        <v>40.450000000000003</v>
      </c>
      <c r="Q715" s="112">
        <f ca="1">IFERROR(__xludf.DUMMYFUNCTION("""COMPUTED_VALUE"""),41305.7055555555)</f>
        <v>41305.705555555498</v>
      </c>
      <c r="R715" s="111">
        <f ca="1">IFERROR(__xludf.DUMMYFUNCTION("""COMPUTED_VALUE"""),24.4)</f>
        <v>24.4</v>
      </c>
      <c r="S715" s="112">
        <f ca="1">IFERROR(__xludf.DUMMYFUNCTION("""COMPUTED_VALUE"""),41320.7055555555)</f>
        <v>41320.705555555498</v>
      </c>
      <c r="T715" s="111">
        <f ca="1">IFERROR(__xludf.DUMMYFUNCTION("""COMPUTED_VALUE"""),11.29)</f>
        <v>11.29</v>
      </c>
    </row>
    <row r="716" spans="1:20" x14ac:dyDescent="0.3">
      <c r="A716" s="112">
        <f ca="1">IFERROR(__xludf.DUMMYFUNCTION("""COMPUTED_VALUE"""),41318.7055555555)</f>
        <v>41318.705555555498</v>
      </c>
      <c r="B716" s="111">
        <f ca="1">IFERROR(__xludf.DUMMYFUNCTION("""COMPUTED_VALUE"""),6.89)</f>
        <v>6.89</v>
      </c>
      <c r="C716" s="112">
        <f ca="1">IFERROR(__xludf.DUMMYFUNCTION("""COMPUTED_VALUE"""),41325.7055555555)</f>
        <v>41325.705555555498</v>
      </c>
      <c r="D716" s="111">
        <f ca="1">IFERROR(__xludf.DUMMYFUNCTION("""COMPUTED_VALUE"""),17.16)</f>
        <v>17.16</v>
      </c>
      <c r="E716" s="112">
        <f ca="1">IFERROR(__xludf.DUMMYFUNCTION("""COMPUTED_VALUE"""),41326.7055555555)</f>
        <v>41326.705555555498</v>
      </c>
      <c r="F716" s="111">
        <f ca="1">IFERROR(__xludf.DUMMYFUNCTION("""COMPUTED_VALUE"""),6.5)</f>
        <v>6.5</v>
      </c>
      <c r="G716" s="112">
        <f ca="1">IFERROR(__xludf.DUMMYFUNCTION("""COMPUTED_VALUE"""),41319.7055555555)</f>
        <v>41319.705555555498</v>
      </c>
      <c r="H716" s="111">
        <f ca="1">IFERROR(__xludf.DUMMYFUNCTION("""COMPUTED_VALUE"""),17.67)</f>
        <v>17.670000000000002</v>
      </c>
      <c r="K716" s="112">
        <f ca="1">IFERROR(__xludf.DUMMYFUNCTION("""COMPUTED_VALUE"""),41768.7055555555)</f>
        <v>41768.705555555498</v>
      </c>
      <c r="L716" s="111">
        <f ca="1">IFERROR(__xludf.DUMMYFUNCTION("""COMPUTED_VALUE"""),0.27)</f>
        <v>0.27</v>
      </c>
      <c r="M716" s="112">
        <f ca="1">IFERROR(__xludf.DUMMYFUNCTION("""COMPUTED_VALUE"""),41227.7055555555)</f>
        <v>41227.705555555498</v>
      </c>
      <c r="N716" s="111">
        <f ca="1">IFERROR(__xludf.DUMMYFUNCTION("""COMPUTED_VALUE"""),12.7)</f>
        <v>12.7</v>
      </c>
      <c r="O716" s="112">
        <f ca="1">IFERROR(__xludf.DUMMYFUNCTION("""COMPUTED_VALUE"""),41310.7055555555)</f>
        <v>41310.705555555498</v>
      </c>
      <c r="P716" s="111">
        <f ca="1">IFERROR(__xludf.DUMMYFUNCTION("""COMPUTED_VALUE"""),39.7)</f>
        <v>39.700000000000003</v>
      </c>
      <c r="Q716" s="112">
        <f ca="1">IFERROR(__xludf.DUMMYFUNCTION("""COMPUTED_VALUE"""),41306.7055555555)</f>
        <v>41306.705555555498</v>
      </c>
      <c r="R716" s="111">
        <f ca="1">IFERROR(__xludf.DUMMYFUNCTION("""COMPUTED_VALUE"""),24.3)</f>
        <v>24.3</v>
      </c>
      <c r="S716" s="112">
        <f ca="1">IFERROR(__xludf.DUMMYFUNCTION("""COMPUTED_VALUE"""),41323.7055555555)</f>
        <v>41323.705555555498</v>
      </c>
      <c r="T716" s="111">
        <f ca="1">IFERROR(__xludf.DUMMYFUNCTION("""COMPUTED_VALUE"""),11.21)</f>
        <v>11.21</v>
      </c>
    </row>
    <row r="717" spans="1:20" x14ac:dyDescent="0.3">
      <c r="A717" s="112">
        <f ca="1">IFERROR(__xludf.DUMMYFUNCTION("""COMPUTED_VALUE"""),41319.7055555555)</f>
        <v>41319.705555555498</v>
      </c>
      <c r="B717" s="111">
        <f ca="1">IFERROR(__xludf.DUMMYFUNCTION("""COMPUTED_VALUE"""),6.8)</f>
        <v>6.8</v>
      </c>
      <c r="C717" s="112">
        <f ca="1">IFERROR(__xludf.DUMMYFUNCTION("""COMPUTED_VALUE"""),41326.7055555555)</f>
        <v>41326.705555555498</v>
      </c>
      <c r="D717" s="111">
        <f ca="1">IFERROR(__xludf.DUMMYFUNCTION("""COMPUTED_VALUE"""),17.03)</f>
        <v>17.03</v>
      </c>
      <c r="E717" s="112">
        <f ca="1">IFERROR(__xludf.DUMMYFUNCTION("""COMPUTED_VALUE"""),41327.7055555555)</f>
        <v>41327.705555555498</v>
      </c>
      <c r="F717" s="111">
        <f ca="1">IFERROR(__xludf.DUMMYFUNCTION("""COMPUTED_VALUE"""),6.71)</f>
        <v>6.71</v>
      </c>
      <c r="G717" s="112">
        <f ca="1">IFERROR(__xludf.DUMMYFUNCTION("""COMPUTED_VALUE"""),41320.7055555555)</f>
        <v>41320.705555555498</v>
      </c>
      <c r="H717" s="111">
        <f ca="1">IFERROR(__xludf.DUMMYFUNCTION("""COMPUTED_VALUE"""),17.63)</f>
        <v>17.63</v>
      </c>
      <c r="K717" s="112">
        <f ca="1">IFERROR(__xludf.DUMMYFUNCTION("""COMPUTED_VALUE"""),41771.7055555555)</f>
        <v>41771.705555555498</v>
      </c>
      <c r="L717" s="111">
        <f ca="1">IFERROR(__xludf.DUMMYFUNCTION("""COMPUTED_VALUE"""),0.27)</f>
        <v>0.27</v>
      </c>
      <c r="M717" s="112">
        <f ca="1">IFERROR(__xludf.DUMMYFUNCTION("""COMPUTED_VALUE"""),41228.7055555555)</f>
        <v>41228.705555555498</v>
      </c>
      <c r="N717" s="111">
        <f ca="1">IFERROR(__xludf.DUMMYFUNCTION("""COMPUTED_VALUE"""),12.7)</f>
        <v>12.7</v>
      </c>
      <c r="O717" s="112">
        <f ca="1">IFERROR(__xludf.DUMMYFUNCTION("""COMPUTED_VALUE"""),41311.7055555555)</f>
        <v>41311.705555555498</v>
      </c>
      <c r="P717" s="111">
        <f ca="1">IFERROR(__xludf.DUMMYFUNCTION("""COMPUTED_VALUE"""),40.15)</f>
        <v>40.15</v>
      </c>
      <c r="Q717" s="112">
        <f ca="1">IFERROR(__xludf.DUMMYFUNCTION("""COMPUTED_VALUE"""),41309.7055555555)</f>
        <v>41309.705555555498</v>
      </c>
      <c r="R717" s="111">
        <f ca="1">IFERROR(__xludf.DUMMYFUNCTION("""COMPUTED_VALUE"""),23.85)</f>
        <v>23.85</v>
      </c>
      <c r="S717" s="112">
        <f ca="1">IFERROR(__xludf.DUMMYFUNCTION("""COMPUTED_VALUE"""),41324.7055555555)</f>
        <v>41324.705555555498</v>
      </c>
      <c r="T717" s="111">
        <f ca="1">IFERROR(__xludf.DUMMYFUNCTION("""COMPUTED_VALUE"""),11.33)</f>
        <v>11.33</v>
      </c>
    </row>
    <row r="718" spans="1:20" x14ac:dyDescent="0.3">
      <c r="A718" s="112">
        <f ca="1">IFERROR(__xludf.DUMMYFUNCTION("""COMPUTED_VALUE"""),41320.7055555555)</f>
        <v>41320.705555555498</v>
      </c>
      <c r="B718" s="111">
        <f ca="1">IFERROR(__xludf.DUMMYFUNCTION("""COMPUTED_VALUE"""),6.72)</f>
        <v>6.72</v>
      </c>
      <c r="C718" s="112">
        <f ca="1">IFERROR(__xludf.DUMMYFUNCTION("""COMPUTED_VALUE"""),41327.7055555555)</f>
        <v>41327.705555555498</v>
      </c>
      <c r="D718" s="111">
        <f ca="1">IFERROR(__xludf.DUMMYFUNCTION("""COMPUTED_VALUE"""),17.58)</f>
        <v>17.579999999999998</v>
      </c>
      <c r="E718" s="112">
        <f ca="1">IFERROR(__xludf.DUMMYFUNCTION("""COMPUTED_VALUE"""),41330.7055555555)</f>
        <v>41330.705555555498</v>
      </c>
      <c r="F718" s="111">
        <f ca="1">IFERROR(__xludf.DUMMYFUNCTION("""COMPUTED_VALUE"""),6.73)</f>
        <v>6.73</v>
      </c>
      <c r="G718" s="112">
        <f ca="1">IFERROR(__xludf.DUMMYFUNCTION("""COMPUTED_VALUE"""),41323.7055555555)</f>
        <v>41323.705555555498</v>
      </c>
      <c r="H718" s="111">
        <f ca="1">IFERROR(__xludf.DUMMYFUNCTION("""COMPUTED_VALUE"""),17.9)</f>
        <v>17.899999999999999</v>
      </c>
      <c r="K718" s="112">
        <f ca="1">IFERROR(__xludf.DUMMYFUNCTION("""COMPUTED_VALUE"""),41772.7055555555)</f>
        <v>41772.705555555498</v>
      </c>
      <c r="L718" s="111">
        <f ca="1">IFERROR(__xludf.DUMMYFUNCTION("""COMPUTED_VALUE"""),0.26)</f>
        <v>0.26</v>
      </c>
      <c r="M718" s="112">
        <f ca="1">IFERROR(__xludf.DUMMYFUNCTION("""COMPUTED_VALUE"""),41229.7055555555)</f>
        <v>41229.705555555498</v>
      </c>
      <c r="N718" s="111">
        <f ca="1">IFERROR(__xludf.DUMMYFUNCTION("""COMPUTED_VALUE"""),12.85)</f>
        <v>12.85</v>
      </c>
      <c r="O718" s="112">
        <f ca="1">IFERROR(__xludf.DUMMYFUNCTION("""COMPUTED_VALUE"""),41312.7055555555)</f>
        <v>41312.705555555498</v>
      </c>
      <c r="P718" s="111">
        <f ca="1">IFERROR(__xludf.DUMMYFUNCTION("""COMPUTED_VALUE"""),39.03)</f>
        <v>39.03</v>
      </c>
      <c r="Q718" s="112">
        <f ca="1">IFERROR(__xludf.DUMMYFUNCTION("""COMPUTED_VALUE"""),41310.7055555555)</f>
        <v>41310.705555555498</v>
      </c>
      <c r="R718" s="111">
        <f ca="1">IFERROR(__xludf.DUMMYFUNCTION("""COMPUTED_VALUE"""),24.06)</f>
        <v>24.06</v>
      </c>
      <c r="S718" s="112">
        <f ca="1">IFERROR(__xludf.DUMMYFUNCTION("""COMPUTED_VALUE"""),41325.7055555555)</f>
        <v>41325.705555555498</v>
      </c>
      <c r="T718" s="111">
        <f ca="1">IFERROR(__xludf.DUMMYFUNCTION("""COMPUTED_VALUE"""),11.21)</f>
        <v>11.21</v>
      </c>
    </row>
    <row r="719" spans="1:20" x14ac:dyDescent="0.3">
      <c r="A719" s="112">
        <f ca="1">IFERROR(__xludf.DUMMYFUNCTION("""COMPUTED_VALUE"""),41323.7055555555)</f>
        <v>41323.705555555498</v>
      </c>
      <c r="B719" s="111">
        <f ca="1">IFERROR(__xludf.DUMMYFUNCTION("""COMPUTED_VALUE"""),6.57)</f>
        <v>6.57</v>
      </c>
      <c r="C719" s="112">
        <f ca="1">IFERROR(__xludf.DUMMYFUNCTION("""COMPUTED_VALUE"""),41330.7055555555)</f>
        <v>41330.705555555498</v>
      </c>
      <c r="D719" s="111">
        <f ca="1">IFERROR(__xludf.DUMMYFUNCTION("""COMPUTED_VALUE"""),17.62)</f>
        <v>17.62</v>
      </c>
      <c r="E719" s="112">
        <f ca="1">IFERROR(__xludf.DUMMYFUNCTION("""COMPUTED_VALUE"""),41331.7055555555)</f>
        <v>41331.705555555498</v>
      </c>
      <c r="F719" s="111">
        <f ca="1">IFERROR(__xludf.DUMMYFUNCTION("""COMPUTED_VALUE"""),6.6)</f>
        <v>6.6</v>
      </c>
      <c r="G719" s="112">
        <f ca="1">IFERROR(__xludf.DUMMYFUNCTION("""COMPUTED_VALUE"""),41324.7055555555)</f>
        <v>41324.705555555498</v>
      </c>
      <c r="H719" s="111">
        <f ca="1">IFERROR(__xludf.DUMMYFUNCTION("""COMPUTED_VALUE"""),18.1)</f>
        <v>18.100000000000001</v>
      </c>
      <c r="K719" s="112">
        <f ca="1">IFERROR(__xludf.DUMMYFUNCTION("""COMPUTED_VALUE"""),41773.7055555555)</f>
        <v>41773.705555555498</v>
      </c>
      <c r="L719" s="111">
        <f ca="1">IFERROR(__xludf.DUMMYFUNCTION("""COMPUTED_VALUE"""),0.26)</f>
        <v>0.26</v>
      </c>
      <c r="M719" s="112">
        <f ca="1">IFERROR(__xludf.DUMMYFUNCTION("""COMPUTED_VALUE"""),41232.7055555555)</f>
        <v>41232.705555555498</v>
      </c>
      <c r="N719" s="111">
        <f ca="1">IFERROR(__xludf.DUMMYFUNCTION("""COMPUTED_VALUE"""),13.14)</f>
        <v>13.14</v>
      </c>
      <c r="O719" s="112">
        <f ca="1">IFERROR(__xludf.DUMMYFUNCTION("""COMPUTED_VALUE"""),41313.7055555555)</f>
        <v>41313.705555555498</v>
      </c>
      <c r="P719" s="111">
        <f ca="1">IFERROR(__xludf.DUMMYFUNCTION("""COMPUTED_VALUE"""),39.34)</f>
        <v>39.340000000000003</v>
      </c>
      <c r="Q719" s="112">
        <f ca="1">IFERROR(__xludf.DUMMYFUNCTION("""COMPUTED_VALUE"""),41311.7055555555)</f>
        <v>41311.705555555498</v>
      </c>
      <c r="R719" s="111">
        <f ca="1">IFERROR(__xludf.DUMMYFUNCTION("""COMPUTED_VALUE"""),23.93)</f>
        <v>23.93</v>
      </c>
      <c r="S719" s="112">
        <f ca="1">IFERROR(__xludf.DUMMYFUNCTION("""COMPUTED_VALUE"""),41326.7055555555)</f>
        <v>41326.705555555498</v>
      </c>
      <c r="T719" s="111">
        <f ca="1">IFERROR(__xludf.DUMMYFUNCTION("""COMPUTED_VALUE"""),11.04)</f>
        <v>11.04</v>
      </c>
    </row>
    <row r="720" spans="1:20" x14ac:dyDescent="0.3">
      <c r="A720" s="112">
        <f ca="1">IFERROR(__xludf.DUMMYFUNCTION("""COMPUTED_VALUE"""),41324.7055555555)</f>
        <v>41324.705555555498</v>
      </c>
      <c r="B720" s="111">
        <f ca="1">IFERROR(__xludf.DUMMYFUNCTION("""COMPUTED_VALUE"""),6.56)</f>
        <v>6.56</v>
      </c>
      <c r="C720" s="112">
        <f ca="1">IFERROR(__xludf.DUMMYFUNCTION("""COMPUTED_VALUE"""),41331.7055555555)</f>
        <v>41331.705555555498</v>
      </c>
      <c r="D720" s="111">
        <f ca="1">IFERROR(__xludf.DUMMYFUNCTION("""COMPUTED_VALUE"""),17.3)</f>
        <v>17.3</v>
      </c>
      <c r="E720" s="112">
        <f ca="1">IFERROR(__xludf.DUMMYFUNCTION("""COMPUTED_VALUE"""),41332.7055555555)</f>
        <v>41332.705555555498</v>
      </c>
      <c r="F720" s="111">
        <f ca="1">IFERROR(__xludf.DUMMYFUNCTION("""COMPUTED_VALUE"""),6.62)</f>
        <v>6.62</v>
      </c>
      <c r="G720" s="112">
        <f ca="1">IFERROR(__xludf.DUMMYFUNCTION("""COMPUTED_VALUE"""),41325.7055555555)</f>
        <v>41325.705555555498</v>
      </c>
      <c r="H720" s="111">
        <f ca="1">IFERROR(__xludf.DUMMYFUNCTION("""COMPUTED_VALUE"""),17.62)</f>
        <v>17.62</v>
      </c>
      <c r="K720" s="112">
        <f ca="1">IFERROR(__xludf.DUMMYFUNCTION("""COMPUTED_VALUE"""),41774.7055555555)</f>
        <v>41774.705555555498</v>
      </c>
      <c r="L720" s="111">
        <f ca="1">IFERROR(__xludf.DUMMYFUNCTION("""COMPUTED_VALUE"""),0.26)</f>
        <v>0.26</v>
      </c>
      <c r="M720" s="112">
        <f ca="1">IFERROR(__xludf.DUMMYFUNCTION("""COMPUTED_VALUE"""),41234.7055555555)</f>
        <v>41234.705555555498</v>
      </c>
      <c r="N720" s="111">
        <f ca="1">IFERROR(__xludf.DUMMYFUNCTION("""COMPUTED_VALUE"""),13.4)</f>
        <v>13.4</v>
      </c>
      <c r="O720" s="112">
        <f ca="1">IFERROR(__xludf.DUMMYFUNCTION("""COMPUTED_VALUE"""),41318.7055555555)</f>
        <v>41318.705555555498</v>
      </c>
      <c r="P720" s="111">
        <f ca="1">IFERROR(__xludf.DUMMYFUNCTION("""COMPUTED_VALUE"""),39.11)</f>
        <v>39.11</v>
      </c>
      <c r="Q720" s="112">
        <f ca="1">IFERROR(__xludf.DUMMYFUNCTION("""COMPUTED_VALUE"""),41312.7055555555)</f>
        <v>41312.705555555498</v>
      </c>
      <c r="R720" s="111">
        <f ca="1">IFERROR(__xludf.DUMMYFUNCTION("""COMPUTED_VALUE"""),23.65)</f>
        <v>23.65</v>
      </c>
      <c r="S720" s="112">
        <f ca="1">IFERROR(__xludf.DUMMYFUNCTION("""COMPUTED_VALUE"""),41327.7055555555)</f>
        <v>41327.705555555498</v>
      </c>
      <c r="T720" s="111">
        <f ca="1">IFERROR(__xludf.DUMMYFUNCTION("""COMPUTED_VALUE"""),11.16)</f>
        <v>11.16</v>
      </c>
    </row>
    <row r="721" spans="1:20" x14ac:dyDescent="0.3">
      <c r="A721" s="112">
        <f ca="1">IFERROR(__xludf.DUMMYFUNCTION("""COMPUTED_VALUE"""),41325.7055555555)</f>
        <v>41325.705555555498</v>
      </c>
      <c r="B721" s="111">
        <f ca="1">IFERROR(__xludf.DUMMYFUNCTION("""COMPUTED_VALUE"""),6.29)</f>
        <v>6.29</v>
      </c>
      <c r="C721" s="112">
        <f ca="1">IFERROR(__xludf.DUMMYFUNCTION("""COMPUTED_VALUE"""),41332.7055555555)</f>
        <v>41332.705555555498</v>
      </c>
      <c r="D721" s="111">
        <f ca="1">IFERROR(__xludf.DUMMYFUNCTION("""COMPUTED_VALUE"""),17.36)</f>
        <v>17.36</v>
      </c>
      <c r="E721" s="112">
        <f ca="1">IFERROR(__xludf.DUMMYFUNCTION("""COMPUTED_VALUE"""),41333.7055555555)</f>
        <v>41333.705555555498</v>
      </c>
      <c r="F721" s="111">
        <f ca="1">IFERROR(__xludf.DUMMYFUNCTION("""COMPUTED_VALUE"""),6.72)</f>
        <v>6.72</v>
      </c>
      <c r="G721" s="112">
        <f ca="1">IFERROR(__xludf.DUMMYFUNCTION("""COMPUTED_VALUE"""),41326.7055555555)</f>
        <v>41326.705555555498</v>
      </c>
      <c r="H721" s="111">
        <f ca="1">IFERROR(__xludf.DUMMYFUNCTION("""COMPUTED_VALUE"""),17.32)</f>
        <v>17.32</v>
      </c>
      <c r="K721" s="112">
        <f ca="1">IFERROR(__xludf.DUMMYFUNCTION("""COMPUTED_VALUE"""),41775.7055555555)</f>
        <v>41775.705555555498</v>
      </c>
      <c r="L721" s="111">
        <f ca="1">IFERROR(__xludf.DUMMYFUNCTION("""COMPUTED_VALUE"""),0.26)</f>
        <v>0.26</v>
      </c>
      <c r="M721" s="112">
        <f ca="1">IFERROR(__xludf.DUMMYFUNCTION("""COMPUTED_VALUE"""),41235.7055555555)</f>
        <v>41235.705555555498</v>
      </c>
      <c r="N721" s="111">
        <f ca="1">IFERROR(__xludf.DUMMYFUNCTION("""COMPUTED_VALUE"""),13.55)</f>
        <v>13.55</v>
      </c>
      <c r="O721" s="112">
        <f ca="1">IFERROR(__xludf.DUMMYFUNCTION("""COMPUTED_VALUE"""),41319.7055555555)</f>
        <v>41319.705555555498</v>
      </c>
      <c r="P721" s="111">
        <f ca="1">IFERROR(__xludf.DUMMYFUNCTION("""COMPUTED_VALUE"""),38.58)</f>
        <v>38.58</v>
      </c>
      <c r="Q721" s="112">
        <f ca="1">IFERROR(__xludf.DUMMYFUNCTION("""COMPUTED_VALUE"""),41313.7055555555)</f>
        <v>41313.705555555498</v>
      </c>
      <c r="R721" s="111">
        <f ca="1">IFERROR(__xludf.DUMMYFUNCTION("""COMPUTED_VALUE"""),23.82)</f>
        <v>23.82</v>
      </c>
      <c r="S721" s="112">
        <f ca="1">IFERROR(__xludf.DUMMYFUNCTION("""COMPUTED_VALUE"""),41330.7055555555)</f>
        <v>41330.705555555498</v>
      </c>
      <c r="T721" s="111">
        <f ca="1">IFERROR(__xludf.DUMMYFUNCTION("""COMPUTED_VALUE"""),11.15)</f>
        <v>11.15</v>
      </c>
    </row>
    <row r="722" spans="1:20" x14ac:dyDescent="0.3">
      <c r="A722" s="112">
        <f ca="1">IFERROR(__xludf.DUMMYFUNCTION("""COMPUTED_VALUE"""),41326.7055555555)</f>
        <v>41326.705555555498</v>
      </c>
      <c r="B722" s="111">
        <f ca="1">IFERROR(__xludf.DUMMYFUNCTION("""COMPUTED_VALUE"""),6.15)</f>
        <v>6.15</v>
      </c>
      <c r="C722" s="112">
        <f ca="1">IFERROR(__xludf.DUMMYFUNCTION("""COMPUTED_VALUE"""),41333.7055555555)</f>
        <v>41333.705555555498</v>
      </c>
      <c r="D722" s="111">
        <f ca="1">IFERROR(__xludf.DUMMYFUNCTION("""COMPUTED_VALUE"""),17.56)</f>
        <v>17.559999999999999</v>
      </c>
      <c r="E722" s="112">
        <f ca="1">IFERROR(__xludf.DUMMYFUNCTION("""COMPUTED_VALUE"""),41334.7055555555)</f>
        <v>41334.705555555498</v>
      </c>
      <c r="F722" s="111">
        <f ca="1">IFERROR(__xludf.DUMMYFUNCTION("""COMPUTED_VALUE"""),6.74)</f>
        <v>6.74</v>
      </c>
      <c r="G722" s="112">
        <f ca="1">IFERROR(__xludf.DUMMYFUNCTION("""COMPUTED_VALUE"""),41327.7055555555)</f>
        <v>41327.705555555498</v>
      </c>
      <c r="H722" s="111">
        <f ca="1">IFERROR(__xludf.DUMMYFUNCTION("""COMPUTED_VALUE"""),17.15)</f>
        <v>17.149999999999999</v>
      </c>
      <c r="K722" s="112">
        <f ca="1">IFERROR(__xludf.DUMMYFUNCTION("""COMPUTED_VALUE"""),41778.7055555555)</f>
        <v>41778.705555555498</v>
      </c>
      <c r="L722" s="111">
        <f ca="1">IFERROR(__xludf.DUMMYFUNCTION("""COMPUTED_VALUE"""),0.26)</f>
        <v>0.26</v>
      </c>
      <c r="M722" s="112">
        <f ca="1">IFERROR(__xludf.DUMMYFUNCTION("""COMPUTED_VALUE"""),41236.7055555555)</f>
        <v>41236.705555555498</v>
      </c>
      <c r="N722" s="111">
        <f ca="1">IFERROR(__xludf.DUMMYFUNCTION("""COMPUTED_VALUE"""),13.7)</f>
        <v>13.7</v>
      </c>
      <c r="O722" s="112">
        <f ca="1">IFERROR(__xludf.DUMMYFUNCTION("""COMPUTED_VALUE"""),41320.7055555555)</f>
        <v>41320.705555555498</v>
      </c>
      <c r="P722" s="111">
        <f ca="1">IFERROR(__xludf.DUMMYFUNCTION("""COMPUTED_VALUE"""),38.3)</f>
        <v>38.299999999999997</v>
      </c>
      <c r="Q722" s="112">
        <f ca="1">IFERROR(__xludf.DUMMYFUNCTION("""COMPUTED_VALUE"""),41318.7055555555)</f>
        <v>41318.705555555498</v>
      </c>
      <c r="R722" s="111">
        <f ca="1">IFERROR(__xludf.DUMMYFUNCTION("""COMPUTED_VALUE"""),23.86)</f>
        <v>23.86</v>
      </c>
      <c r="S722" s="112">
        <f ca="1">IFERROR(__xludf.DUMMYFUNCTION("""COMPUTED_VALUE"""),41331.7055555555)</f>
        <v>41331.705555555498</v>
      </c>
      <c r="T722" s="111">
        <f ca="1">IFERROR(__xludf.DUMMYFUNCTION("""COMPUTED_VALUE"""),11.37)</f>
        <v>11.37</v>
      </c>
    </row>
    <row r="723" spans="1:20" x14ac:dyDescent="0.3">
      <c r="A723" s="112">
        <f ca="1">IFERROR(__xludf.DUMMYFUNCTION("""COMPUTED_VALUE"""),41327.7055555555)</f>
        <v>41327.705555555498</v>
      </c>
      <c r="B723" s="111">
        <f ca="1">IFERROR(__xludf.DUMMYFUNCTION("""COMPUTED_VALUE"""),6.06)</f>
        <v>6.06</v>
      </c>
      <c r="C723" s="112">
        <f ca="1">IFERROR(__xludf.DUMMYFUNCTION("""COMPUTED_VALUE"""),41334.7055555555)</f>
        <v>41334.705555555498</v>
      </c>
      <c r="D723" s="111">
        <f ca="1">IFERROR(__xludf.DUMMYFUNCTION("""COMPUTED_VALUE"""),17.63)</f>
        <v>17.63</v>
      </c>
      <c r="E723" s="112">
        <f ca="1">IFERROR(__xludf.DUMMYFUNCTION("""COMPUTED_VALUE"""),41337.7055555555)</f>
        <v>41337.705555555498</v>
      </c>
      <c r="F723" s="111">
        <f ca="1">IFERROR(__xludf.DUMMYFUNCTION("""COMPUTED_VALUE"""),6.71)</f>
        <v>6.71</v>
      </c>
      <c r="G723" s="112">
        <f ca="1">IFERROR(__xludf.DUMMYFUNCTION("""COMPUTED_VALUE"""),41330.7055555555)</f>
        <v>41330.705555555498</v>
      </c>
      <c r="H723" s="111">
        <f ca="1">IFERROR(__xludf.DUMMYFUNCTION("""COMPUTED_VALUE"""),16.95)</f>
        <v>16.95</v>
      </c>
      <c r="K723" s="112">
        <f ca="1">IFERROR(__xludf.DUMMYFUNCTION("""COMPUTED_VALUE"""),41779.7055555555)</f>
        <v>41779.705555555498</v>
      </c>
      <c r="L723" s="111">
        <f ca="1">IFERROR(__xludf.DUMMYFUNCTION("""COMPUTED_VALUE"""),0.26)</f>
        <v>0.26</v>
      </c>
      <c r="M723" s="112">
        <f ca="1">IFERROR(__xludf.DUMMYFUNCTION("""COMPUTED_VALUE"""),41239.7055555555)</f>
        <v>41239.705555555498</v>
      </c>
      <c r="N723" s="111">
        <f ca="1">IFERROR(__xludf.DUMMYFUNCTION("""COMPUTED_VALUE"""),13.57)</f>
        <v>13.57</v>
      </c>
      <c r="O723" s="112">
        <f ca="1">IFERROR(__xludf.DUMMYFUNCTION("""COMPUTED_VALUE"""),41323.7055555555)</f>
        <v>41323.705555555498</v>
      </c>
      <c r="P723" s="111">
        <f ca="1">IFERROR(__xludf.DUMMYFUNCTION("""COMPUTED_VALUE"""),38.04)</f>
        <v>38.04</v>
      </c>
      <c r="Q723" s="112">
        <f ca="1">IFERROR(__xludf.DUMMYFUNCTION("""COMPUTED_VALUE"""),41319.7055555555)</f>
        <v>41319.705555555498</v>
      </c>
      <c r="R723" s="111">
        <f ca="1">IFERROR(__xludf.DUMMYFUNCTION("""COMPUTED_VALUE"""),23.8)</f>
        <v>23.8</v>
      </c>
      <c r="S723" s="112">
        <f ca="1">IFERROR(__xludf.DUMMYFUNCTION("""COMPUTED_VALUE"""),41332.7055555555)</f>
        <v>41332.705555555498</v>
      </c>
      <c r="T723" s="111">
        <f ca="1">IFERROR(__xludf.DUMMYFUNCTION("""COMPUTED_VALUE"""),11.31)</f>
        <v>11.31</v>
      </c>
    </row>
    <row r="724" spans="1:20" x14ac:dyDescent="0.3">
      <c r="A724" s="112">
        <f ca="1">IFERROR(__xludf.DUMMYFUNCTION("""COMPUTED_VALUE"""),41330.7055555555)</f>
        <v>41330.705555555498</v>
      </c>
      <c r="B724" s="111">
        <f ca="1">IFERROR(__xludf.DUMMYFUNCTION("""COMPUTED_VALUE"""),6.21)</f>
        <v>6.21</v>
      </c>
      <c r="C724" s="112">
        <f ca="1">IFERROR(__xludf.DUMMYFUNCTION("""COMPUTED_VALUE"""),41337.7055555555)</f>
        <v>41337.705555555498</v>
      </c>
      <c r="D724" s="111">
        <f ca="1">IFERROR(__xludf.DUMMYFUNCTION("""COMPUTED_VALUE"""),17.56)</f>
        <v>17.559999999999999</v>
      </c>
      <c r="E724" s="112">
        <f ca="1">IFERROR(__xludf.DUMMYFUNCTION("""COMPUTED_VALUE"""),41338.7055555555)</f>
        <v>41338.705555555498</v>
      </c>
      <c r="F724" s="111">
        <f ca="1">IFERROR(__xludf.DUMMYFUNCTION("""COMPUTED_VALUE"""),6.66)</f>
        <v>6.66</v>
      </c>
      <c r="G724" s="112">
        <f ca="1">IFERROR(__xludf.DUMMYFUNCTION("""COMPUTED_VALUE"""),41331.7055555555)</f>
        <v>41331.705555555498</v>
      </c>
      <c r="H724" s="111">
        <f ca="1">IFERROR(__xludf.DUMMYFUNCTION("""COMPUTED_VALUE"""),16.74)</f>
        <v>16.739999999999998</v>
      </c>
      <c r="K724" s="112">
        <f ca="1">IFERROR(__xludf.DUMMYFUNCTION("""COMPUTED_VALUE"""),41780.7055555555)</f>
        <v>41780.705555555498</v>
      </c>
      <c r="L724" s="111">
        <f ca="1">IFERROR(__xludf.DUMMYFUNCTION("""COMPUTED_VALUE"""),0.28)</f>
        <v>0.28000000000000003</v>
      </c>
      <c r="M724" s="112">
        <f ca="1">IFERROR(__xludf.DUMMYFUNCTION("""COMPUTED_VALUE"""),41240.7055555555)</f>
        <v>41240.705555555498</v>
      </c>
      <c r="N724" s="111">
        <f ca="1">IFERROR(__xludf.DUMMYFUNCTION("""COMPUTED_VALUE"""),13.36)</f>
        <v>13.36</v>
      </c>
      <c r="O724" s="112">
        <f ca="1">IFERROR(__xludf.DUMMYFUNCTION("""COMPUTED_VALUE"""),41324.7055555555)</f>
        <v>41324.705555555498</v>
      </c>
      <c r="P724" s="111">
        <f ca="1">IFERROR(__xludf.DUMMYFUNCTION("""COMPUTED_VALUE"""),37.65)</f>
        <v>37.65</v>
      </c>
      <c r="Q724" s="112">
        <f ca="1">IFERROR(__xludf.DUMMYFUNCTION("""COMPUTED_VALUE"""),41320.7055555555)</f>
        <v>41320.705555555498</v>
      </c>
      <c r="R724" s="111">
        <f ca="1">IFERROR(__xludf.DUMMYFUNCTION("""COMPUTED_VALUE"""),24.4)</f>
        <v>24.4</v>
      </c>
      <c r="S724" s="112">
        <f ca="1">IFERROR(__xludf.DUMMYFUNCTION("""COMPUTED_VALUE"""),41333.7055555555)</f>
        <v>41333.705555555498</v>
      </c>
      <c r="T724" s="111">
        <f ca="1">IFERROR(__xludf.DUMMYFUNCTION("""COMPUTED_VALUE"""),11.32)</f>
        <v>11.32</v>
      </c>
    </row>
    <row r="725" spans="1:20" x14ac:dyDescent="0.3">
      <c r="A725" s="112">
        <f ca="1">IFERROR(__xludf.DUMMYFUNCTION("""COMPUTED_VALUE"""),41331.7055555555)</f>
        <v>41331.705555555498</v>
      </c>
      <c r="B725" s="111">
        <f ca="1">IFERROR(__xludf.DUMMYFUNCTION("""COMPUTED_VALUE"""),6.47)</f>
        <v>6.47</v>
      </c>
      <c r="C725" s="112">
        <f ca="1">IFERROR(__xludf.DUMMYFUNCTION("""COMPUTED_VALUE"""),41338.7055555555)</f>
        <v>41338.705555555498</v>
      </c>
      <c r="D725" s="111">
        <f ca="1">IFERROR(__xludf.DUMMYFUNCTION("""COMPUTED_VALUE"""),17.54)</f>
        <v>17.54</v>
      </c>
      <c r="E725" s="112">
        <f ca="1">IFERROR(__xludf.DUMMYFUNCTION("""COMPUTED_VALUE"""),41339.7055555555)</f>
        <v>41339.705555555498</v>
      </c>
      <c r="F725" s="111">
        <f ca="1">IFERROR(__xludf.DUMMYFUNCTION("""COMPUTED_VALUE"""),6.79)</f>
        <v>6.79</v>
      </c>
      <c r="G725" s="112">
        <f ca="1">IFERROR(__xludf.DUMMYFUNCTION("""COMPUTED_VALUE"""),41332.7055555555)</f>
        <v>41332.705555555498</v>
      </c>
      <c r="H725" s="111">
        <f ca="1">IFERROR(__xludf.DUMMYFUNCTION("""COMPUTED_VALUE"""),16.81)</f>
        <v>16.809999999999999</v>
      </c>
      <c r="K725" s="112">
        <f ca="1">IFERROR(__xludf.DUMMYFUNCTION("""COMPUTED_VALUE"""),41781.7055555555)</f>
        <v>41781.705555555498</v>
      </c>
      <c r="L725" s="111">
        <f ca="1">IFERROR(__xludf.DUMMYFUNCTION("""COMPUTED_VALUE"""),0.28)</f>
        <v>0.28000000000000003</v>
      </c>
      <c r="M725" s="112">
        <f ca="1">IFERROR(__xludf.DUMMYFUNCTION("""COMPUTED_VALUE"""),41241.7055555555)</f>
        <v>41241.705555555498</v>
      </c>
      <c r="N725" s="111">
        <f ca="1">IFERROR(__xludf.DUMMYFUNCTION("""COMPUTED_VALUE"""),13.27)</f>
        <v>13.27</v>
      </c>
      <c r="O725" s="112">
        <f ca="1">IFERROR(__xludf.DUMMYFUNCTION("""COMPUTED_VALUE"""),41325.7055555555)</f>
        <v>41325.705555555498</v>
      </c>
      <c r="P725" s="111">
        <f ca="1">IFERROR(__xludf.DUMMYFUNCTION("""COMPUTED_VALUE"""),36.44)</f>
        <v>36.44</v>
      </c>
      <c r="Q725" s="112">
        <f ca="1">IFERROR(__xludf.DUMMYFUNCTION("""COMPUTED_VALUE"""),41323.7055555555)</f>
        <v>41323.705555555498</v>
      </c>
      <c r="R725" s="111">
        <f ca="1">IFERROR(__xludf.DUMMYFUNCTION("""COMPUTED_VALUE"""),24.08)</f>
        <v>24.08</v>
      </c>
      <c r="S725" s="112">
        <f ca="1">IFERROR(__xludf.DUMMYFUNCTION("""COMPUTED_VALUE"""),41334.7055555555)</f>
        <v>41334.705555555498</v>
      </c>
      <c r="T725" s="111">
        <f ca="1">IFERROR(__xludf.DUMMYFUNCTION("""COMPUTED_VALUE"""),11.42)</f>
        <v>11.42</v>
      </c>
    </row>
    <row r="726" spans="1:20" x14ac:dyDescent="0.3">
      <c r="A726" s="112">
        <f ca="1">IFERROR(__xludf.DUMMYFUNCTION("""COMPUTED_VALUE"""),41332.7055555555)</f>
        <v>41332.705555555498</v>
      </c>
      <c r="B726" s="111">
        <f ca="1">IFERROR(__xludf.DUMMYFUNCTION("""COMPUTED_VALUE"""),6.78)</f>
        <v>6.78</v>
      </c>
      <c r="C726" s="112">
        <f ca="1">IFERROR(__xludf.DUMMYFUNCTION("""COMPUTED_VALUE"""),41339.7055555555)</f>
        <v>41339.705555555498</v>
      </c>
      <c r="D726" s="111">
        <f ca="1">IFERROR(__xludf.DUMMYFUNCTION("""COMPUTED_VALUE"""),17.84)</f>
        <v>17.84</v>
      </c>
      <c r="E726" s="112">
        <f ca="1">IFERROR(__xludf.DUMMYFUNCTION("""COMPUTED_VALUE"""),41340.7055555555)</f>
        <v>41340.705555555498</v>
      </c>
      <c r="F726" s="111">
        <f ca="1">IFERROR(__xludf.DUMMYFUNCTION("""COMPUTED_VALUE"""),6.84)</f>
        <v>6.84</v>
      </c>
      <c r="G726" s="112">
        <f ca="1">IFERROR(__xludf.DUMMYFUNCTION("""COMPUTED_VALUE"""),41333.7055555555)</f>
        <v>41333.705555555498</v>
      </c>
      <c r="H726" s="111">
        <f ca="1">IFERROR(__xludf.DUMMYFUNCTION("""COMPUTED_VALUE"""),16.61)</f>
        <v>16.61</v>
      </c>
      <c r="K726" s="112">
        <f ca="1">IFERROR(__xludf.DUMMYFUNCTION("""COMPUTED_VALUE"""),41782.7055555555)</f>
        <v>41782.705555555498</v>
      </c>
      <c r="L726" s="111">
        <f ca="1">IFERROR(__xludf.DUMMYFUNCTION("""COMPUTED_VALUE"""),0.27)</f>
        <v>0.27</v>
      </c>
      <c r="M726" s="112">
        <f ca="1">IFERROR(__xludf.DUMMYFUNCTION("""COMPUTED_VALUE"""),41242.7055555555)</f>
        <v>41242.705555555498</v>
      </c>
      <c r="N726" s="111">
        <f ca="1">IFERROR(__xludf.DUMMYFUNCTION("""COMPUTED_VALUE"""),13.48)</f>
        <v>13.48</v>
      </c>
      <c r="O726" s="112">
        <f ca="1">IFERROR(__xludf.DUMMYFUNCTION("""COMPUTED_VALUE"""),41326.7055555555)</f>
        <v>41326.705555555498</v>
      </c>
      <c r="P726" s="111">
        <f ca="1">IFERROR(__xludf.DUMMYFUNCTION("""COMPUTED_VALUE"""),36.7)</f>
        <v>36.700000000000003</v>
      </c>
      <c r="Q726" s="112">
        <f ca="1">IFERROR(__xludf.DUMMYFUNCTION("""COMPUTED_VALUE"""),41324.7055555555)</f>
        <v>41324.705555555498</v>
      </c>
      <c r="R726" s="111">
        <f ca="1">IFERROR(__xludf.DUMMYFUNCTION("""COMPUTED_VALUE"""),24.53)</f>
        <v>24.53</v>
      </c>
      <c r="S726" s="112">
        <f ca="1">IFERROR(__xludf.DUMMYFUNCTION("""COMPUTED_VALUE"""),41337.7055555555)</f>
        <v>41337.705555555498</v>
      </c>
      <c r="T726" s="111">
        <f ca="1">IFERROR(__xludf.DUMMYFUNCTION("""COMPUTED_VALUE"""),11.27)</f>
        <v>11.27</v>
      </c>
    </row>
    <row r="727" spans="1:20" x14ac:dyDescent="0.3">
      <c r="A727" s="112">
        <f ca="1">IFERROR(__xludf.DUMMYFUNCTION("""COMPUTED_VALUE"""),41333.7055555555)</f>
        <v>41333.705555555498</v>
      </c>
      <c r="B727" s="111">
        <f ca="1">IFERROR(__xludf.DUMMYFUNCTION("""COMPUTED_VALUE"""),6.87)</f>
        <v>6.87</v>
      </c>
      <c r="C727" s="112">
        <f ca="1">IFERROR(__xludf.DUMMYFUNCTION("""COMPUTED_VALUE"""),41340.7055555555)</f>
        <v>41340.705555555498</v>
      </c>
      <c r="D727" s="111">
        <f ca="1">IFERROR(__xludf.DUMMYFUNCTION("""COMPUTED_VALUE"""),17.95)</f>
        <v>17.95</v>
      </c>
      <c r="E727" s="112">
        <f ca="1">IFERROR(__xludf.DUMMYFUNCTION("""COMPUTED_VALUE"""),41341.7055555555)</f>
        <v>41341.705555555498</v>
      </c>
      <c r="F727" s="111">
        <f ca="1">IFERROR(__xludf.DUMMYFUNCTION("""COMPUTED_VALUE"""),7.04)</f>
        <v>7.04</v>
      </c>
      <c r="G727" s="112">
        <f ca="1">IFERROR(__xludf.DUMMYFUNCTION("""COMPUTED_VALUE"""),41334.7055555555)</f>
        <v>41334.705555555498</v>
      </c>
      <c r="H727" s="111">
        <f ca="1">IFERROR(__xludf.DUMMYFUNCTION("""COMPUTED_VALUE"""),16.9)</f>
        <v>16.899999999999999</v>
      </c>
      <c r="K727" s="112">
        <f ca="1">IFERROR(__xludf.DUMMYFUNCTION("""COMPUTED_VALUE"""),41785.7055555555)</f>
        <v>41785.705555555498</v>
      </c>
      <c r="L727" s="111">
        <f ca="1">IFERROR(__xludf.DUMMYFUNCTION("""COMPUTED_VALUE"""),0.27)</f>
        <v>0.27</v>
      </c>
      <c r="M727" s="112">
        <f ca="1">IFERROR(__xludf.DUMMYFUNCTION("""COMPUTED_VALUE"""),41243.7055555555)</f>
        <v>41243.705555555498</v>
      </c>
      <c r="N727" s="111">
        <f ca="1">IFERROR(__xludf.DUMMYFUNCTION("""COMPUTED_VALUE"""),13.91)</f>
        <v>13.91</v>
      </c>
      <c r="O727" s="112">
        <f ca="1">IFERROR(__xludf.DUMMYFUNCTION("""COMPUTED_VALUE"""),41327.7055555555)</f>
        <v>41327.705555555498</v>
      </c>
      <c r="P727" s="111">
        <f ca="1">IFERROR(__xludf.DUMMYFUNCTION("""COMPUTED_VALUE"""),35.72)</f>
        <v>35.72</v>
      </c>
      <c r="Q727" s="112">
        <f ca="1">IFERROR(__xludf.DUMMYFUNCTION("""COMPUTED_VALUE"""),41325.7055555555)</f>
        <v>41325.705555555498</v>
      </c>
      <c r="R727" s="111">
        <f ca="1">IFERROR(__xludf.DUMMYFUNCTION("""COMPUTED_VALUE"""),24.3)</f>
        <v>24.3</v>
      </c>
      <c r="S727" s="112">
        <f ca="1">IFERROR(__xludf.DUMMYFUNCTION("""COMPUTED_VALUE"""),41338.7055555555)</f>
        <v>41338.705555555498</v>
      </c>
      <c r="T727" s="111">
        <f ca="1">IFERROR(__xludf.DUMMYFUNCTION("""COMPUTED_VALUE"""),11.16)</f>
        <v>11.16</v>
      </c>
    </row>
    <row r="728" spans="1:20" x14ac:dyDescent="0.3">
      <c r="A728" s="112">
        <f ca="1">IFERROR(__xludf.DUMMYFUNCTION("""COMPUTED_VALUE"""),41334.7055555555)</f>
        <v>41334.705555555498</v>
      </c>
      <c r="B728" s="111">
        <f ca="1">IFERROR(__xludf.DUMMYFUNCTION("""COMPUTED_VALUE"""),6.77)</f>
        <v>6.77</v>
      </c>
      <c r="C728" s="112">
        <f ca="1">IFERROR(__xludf.DUMMYFUNCTION("""COMPUTED_VALUE"""),41341.7055555555)</f>
        <v>41341.705555555498</v>
      </c>
      <c r="D728" s="111">
        <f ca="1">IFERROR(__xludf.DUMMYFUNCTION("""COMPUTED_VALUE"""),18.48)</f>
        <v>18.48</v>
      </c>
      <c r="E728" s="112">
        <f ca="1">IFERROR(__xludf.DUMMYFUNCTION("""COMPUTED_VALUE"""),41344.7055555555)</f>
        <v>41344.705555555498</v>
      </c>
      <c r="F728" s="111">
        <f ca="1">IFERROR(__xludf.DUMMYFUNCTION("""COMPUTED_VALUE"""),7)</f>
        <v>7</v>
      </c>
      <c r="G728" s="112">
        <f ca="1">IFERROR(__xludf.DUMMYFUNCTION("""COMPUTED_VALUE"""),41337.7055555555)</f>
        <v>41337.705555555498</v>
      </c>
      <c r="H728" s="111">
        <f ca="1">IFERROR(__xludf.DUMMYFUNCTION("""COMPUTED_VALUE"""),16.5)</f>
        <v>16.5</v>
      </c>
      <c r="K728" s="112">
        <f ca="1">IFERROR(__xludf.DUMMYFUNCTION("""COMPUTED_VALUE"""),41786.7055555555)</f>
        <v>41786.705555555498</v>
      </c>
      <c r="L728" s="111">
        <f ca="1">IFERROR(__xludf.DUMMYFUNCTION("""COMPUTED_VALUE"""),0.26)</f>
        <v>0.26</v>
      </c>
      <c r="M728" s="112">
        <f ca="1">IFERROR(__xludf.DUMMYFUNCTION("""COMPUTED_VALUE"""),41246.7055555555)</f>
        <v>41246.705555555498</v>
      </c>
      <c r="N728" s="111">
        <f ca="1">IFERROR(__xludf.DUMMYFUNCTION("""COMPUTED_VALUE"""),14.04)</f>
        <v>14.04</v>
      </c>
      <c r="O728" s="112">
        <f ca="1">IFERROR(__xludf.DUMMYFUNCTION("""COMPUTED_VALUE"""),41330.7055555555)</f>
        <v>41330.705555555498</v>
      </c>
      <c r="P728" s="111">
        <f ca="1">IFERROR(__xludf.DUMMYFUNCTION("""COMPUTED_VALUE"""),35.88)</f>
        <v>35.880000000000003</v>
      </c>
      <c r="Q728" s="112">
        <f ca="1">IFERROR(__xludf.DUMMYFUNCTION("""COMPUTED_VALUE"""),41326.7055555555)</f>
        <v>41326.705555555498</v>
      </c>
      <c r="R728" s="111">
        <f ca="1">IFERROR(__xludf.DUMMYFUNCTION("""COMPUTED_VALUE"""),25.29)</f>
        <v>25.29</v>
      </c>
      <c r="S728" s="112">
        <f ca="1">IFERROR(__xludf.DUMMYFUNCTION("""COMPUTED_VALUE"""),41339.7055555555)</f>
        <v>41339.705555555498</v>
      </c>
      <c r="T728" s="111">
        <f ca="1">IFERROR(__xludf.DUMMYFUNCTION("""COMPUTED_VALUE"""),11.42)</f>
        <v>11.42</v>
      </c>
    </row>
    <row r="729" spans="1:20" x14ac:dyDescent="0.3">
      <c r="A729" s="112">
        <f ca="1">IFERROR(__xludf.DUMMYFUNCTION("""COMPUTED_VALUE"""),41337.7055555555)</f>
        <v>41337.705555555498</v>
      </c>
      <c r="B729" s="111">
        <f ca="1">IFERROR(__xludf.DUMMYFUNCTION("""COMPUTED_VALUE"""),6.66)</f>
        <v>6.66</v>
      </c>
      <c r="C729" s="112">
        <f ca="1">IFERROR(__xludf.DUMMYFUNCTION("""COMPUTED_VALUE"""),41344.7055555555)</f>
        <v>41344.705555555498</v>
      </c>
      <c r="D729" s="111">
        <f ca="1">IFERROR(__xludf.DUMMYFUNCTION("""COMPUTED_VALUE"""),18.38)</f>
        <v>18.38</v>
      </c>
      <c r="E729" s="112">
        <f ca="1">IFERROR(__xludf.DUMMYFUNCTION("""COMPUTED_VALUE"""),41345.7055555555)</f>
        <v>41345.705555555498</v>
      </c>
      <c r="F729" s="111">
        <f ca="1">IFERROR(__xludf.DUMMYFUNCTION("""COMPUTED_VALUE"""),6.9)</f>
        <v>6.9</v>
      </c>
      <c r="G729" s="112">
        <f ca="1">IFERROR(__xludf.DUMMYFUNCTION("""COMPUTED_VALUE"""),41338.7055555555)</f>
        <v>41338.705555555498</v>
      </c>
      <c r="H729" s="111">
        <f ca="1">IFERROR(__xludf.DUMMYFUNCTION("""COMPUTED_VALUE"""),16.56)</f>
        <v>16.559999999999999</v>
      </c>
      <c r="K729" s="112">
        <f ca="1">IFERROR(__xludf.DUMMYFUNCTION("""COMPUTED_VALUE"""),41787.7055555555)</f>
        <v>41787.705555555498</v>
      </c>
      <c r="L729" s="111">
        <f ca="1">IFERROR(__xludf.DUMMYFUNCTION("""COMPUTED_VALUE"""),0.27)</f>
        <v>0.27</v>
      </c>
      <c r="M729" s="112">
        <f ca="1">IFERROR(__xludf.DUMMYFUNCTION("""COMPUTED_VALUE"""),41247.7055555555)</f>
        <v>41247.705555555498</v>
      </c>
      <c r="N729" s="111">
        <f ca="1">IFERROR(__xludf.DUMMYFUNCTION("""COMPUTED_VALUE"""),13.84)</f>
        <v>13.84</v>
      </c>
      <c r="O729" s="112">
        <f ca="1">IFERROR(__xludf.DUMMYFUNCTION("""COMPUTED_VALUE"""),41331.7055555555)</f>
        <v>41331.705555555498</v>
      </c>
      <c r="P729" s="111">
        <f ca="1">IFERROR(__xludf.DUMMYFUNCTION("""COMPUTED_VALUE"""),36.6)</f>
        <v>36.6</v>
      </c>
      <c r="Q729" s="112">
        <f ca="1">IFERROR(__xludf.DUMMYFUNCTION("""COMPUTED_VALUE"""),41327.7055555555)</f>
        <v>41327.705555555498</v>
      </c>
      <c r="R729" s="111">
        <f ca="1">IFERROR(__xludf.DUMMYFUNCTION("""COMPUTED_VALUE"""),25.72)</f>
        <v>25.72</v>
      </c>
      <c r="S729" s="112">
        <f ca="1">IFERROR(__xludf.DUMMYFUNCTION("""COMPUTED_VALUE"""),41340.7055555555)</f>
        <v>41340.705555555498</v>
      </c>
      <c r="T729" s="111">
        <f ca="1">IFERROR(__xludf.DUMMYFUNCTION("""COMPUTED_VALUE"""),11.16)</f>
        <v>11.16</v>
      </c>
    </row>
    <row r="730" spans="1:20" x14ac:dyDescent="0.3">
      <c r="A730" s="112">
        <f ca="1">IFERROR(__xludf.DUMMYFUNCTION("""COMPUTED_VALUE"""),41338.7055555555)</f>
        <v>41338.705555555498</v>
      </c>
      <c r="B730" s="111">
        <f ca="1">IFERROR(__xludf.DUMMYFUNCTION("""COMPUTED_VALUE"""),6.49)</f>
        <v>6.49</v>
      </c>
      <c r="C730" s="112">
        <f ca="1">IFERROR(__xludf.DUMMYFUNCTION("""COMPUTED_VALUE"""),41345.7055555555)</f>
        <v>41345.705555555498</v>
      </c>
      <c r="D730" s="111">
        <f ca="1">IFERROR(__xludf.DUMMYFUNCTION("""COMPUTED_VALUE"""),18.11)</f>
        <v>18.11</v>
      </c>
      <c r="E730" s="112">
        <f ca="1">IFERROR(__xludf.DUMMYFUNCTION("""COMPUTED_VALUE"""),41346.7055555555)</f>
        <v>41346.705555555498</v>
      </c>
      <c r="F730" s="111">
        <f ca="1">IFERROR(__xludf.DUMMYFUNCTION("""COMPUTED_VALUE"""),6.88)</f>
        <v>6.88</v>
      </c>
      <c r="G730" s="112">
        <f ca="1">IFERROR(__xludf.DUMMYFUNCTION("""COMPUTED_VALUE"""),41339.7055555555)</f>
        <v>41339.705555555498</v>
      </c>
      <c r="H730" s="111">
        <f ca="1">IFERROR(__xludf.DUMMYFUNCTION("""COMPUTED_VALUE"""),18.05)</f>
        <v>18.05</v>
      </c>
      <c r="K730" s="112">
        <f ca="1">IFERROR(__xludf.DUMMYFUNCTION("""COMPUTED_VALUE"""),41788.7055555555)</f>
        <v>41788.705555555498</v>
      </c>
      <c r="L730" s="111">
        <f ca="1">IFERROR(__xludf.DUMMYFUNCTION("""COMPUTED_VALUE"""),0.26)</f>
        <v>0.26</v>
      </c>
      <c r="M730" s="112">
        <f ca="1">IFERROR(__xludf.DUMMYFUNCTION("""COMPUTED_VALUE"""),41248.7055555555)</f>
        <v>41248.705555555498</v>
      </c>
      <c r="N730" s="111">
        <f ca="1">IFERROR(__xludf.DUMMYFUNCTION("""COMPUTED_VALUE"""),14.05)</f>
        <v>14.05</v>
      </c>
      <c r="O730" s="112">
        <f ca="1">IFERROR(__xludf.DUMMYFUNCTION("""COMPUTED_VALUE"""),41332.7055555555)</f>
        <v>41332.705555555498</v>
      </c>
      <c r="P730" s="111">
        <f ca="1">IFERROR(__xludf.DUMMYFUNCTION("""COMPUTED_VALUE"""),37)</f>
        <v>37</v>
      </c>
      <c r="Q730" s="112">
        <f ca="1">IFERROR(__xludf.DUMMYFUNCTION("""COMPUTED_VALUE"""),41330.7055555555)</f>
        <v>41330.705555555498</v>
      </c>
      <c r="R730" s="111">
        <f ca="1">IFERROR(__xludf.DUMMYFUNCTION("""COMPUTED_VALUE"""),25.41)</f>
        <v>25.41</v>
      </c>
      <c r="S730" s="112">
        <f ca="1">IFERROR(__xludf.DUMMYFUNCTION("""COMPUTED_VALUE"""),41341.7055555555)</f>
        <v>41341.705555555498</v>
      </c>
      <c r="T730" s="111">
        <f ca="1">IFERROR(__xludf.DUMMYFUNCTION("""COMPUTED_VALUE"""),11.31)</f>
        <v>11.31</v>
      </c>
    </row>
    <row r="731" spans="1:20" x14ac:dyDescent="0.3">
      <c r="A731" s="112">
        <f ca="1">IFERROR(__xludf.DUMMYFUNCTION("""COMPUTED_VALUE"""),41339.7055555555)</f>
        <v>41339.705555555498</v>
      </c>
      <c r="B731" s="111">
        <f ca="1">IFERROR(__xludf.DUMMYFUNCTION("""COMPUTED_VALUE"""),6.86)</f>
        <v>6.86</v>
      </c>
      <c r="C731" s="112">
        <f ca="1">IFERROR(__xludf.DUMMYFUNCTION("""COMPUTED_VALUE"""),41346.7055555555)</f>
        <v>41346.705555555498</v>
      </c>
      <c r="D731" s="111">
        <f ca="1">IFERROR(__xludf.DUMMYFUNCTION("""COMPUTED_VALUE"""),18.03)</f>
        <v>18.03</v>
      </c>
      <c r="E731" s="112">
        <f ca="1">IFERROR(__xludf.DUMMYFUNCTION("""COMPUTED_VALUE"""),41347.7055555555)</f>
        <v>41347.705555555498</v>
      </c>
      <c r="F731" s="111">
        <f ca="1">IFERROR(__xludf.DUMMYFUNCTION("""COMPUTED_VALUE"""),6.75)</f>
        <v>6.75</v>
      </c>
      <c r="G731" s="112">
        <f ca="1">IFERROR(__xludf.DUMMYFUNCTION("""COMPUTED_VALUE"""),41340.7055555555)</f>
        <v>41340.705555555498</v>
      </c>
      <c r="H731" s="111">
        <f ca="1">IFERROR(__xludf.DUMMYFUNCTION("""COMPUTED_VALUE"""),18.95)</f>
        <v>18.95</v>
      </c>
      <c r="K731" s="112">
        <f ca="1">IFERROR(__xludf.DUMMYFUNCTION("""COMPUTED_VALUE"""),41789.7055555555)</f>
        <v>41789.705555555498</v>
      </c>
      <c r="L731" s="111">
        <f ca="1">IFERROR(__xludf.DUMMYFUNCTION("""COMPUTED_VALUE"""),0.25)</f>
        <v>0.25</v>
      </c>
      <c r="M731" s="112">
        <f ca="1">IFERROR(__xludf.DUMMYFUNCTION("""COMPUTED_VALUE"""),41249.7055555555)</f>
        <v>41249.705555555498</v>
      </c>
      <c r="N731" s="111">
        <f ca="1">IFERROR(__xludf.DUMMYFUNCTION("""COMPUTED_VALUE"""),13.76)</f>
        <v>13.76</v>
      </c>
      <c r="O731" s="112">
        <f ca="1">IFERROR(__xludf.DUMMYFUNCTION("""COMPUTED_VALUE"""),41333.7055555555)</f>
        <v>41333.705555555498</v>
      </c>
      <c r="P731" s="111">
        <f ca="1">IFERROR(__xludf.DUMMYFUNCTION("""COMPUTED_VALUE"""),37.8)</f>
        <v>37.799999999999997</v>
      </c>
      <c r="Q731" s="112">
        <f ca="1">IFERROR(__xludf.DUMMYFUNCTION("""COMPUTED_VALUE"""),41331.7055555555)</f>
        <v>41331.705555555498</v>
      </c>
      <c r="R731" s="111">
        <f ca="1">IFERROR(__xludf.DUMMYFUNCTION("""COMPUTED_VALUE"""),25.39)</f>
        <v>25.39</v>
      </c>
      <c r="S731" s="112">
        <f ca="1">IFERROR(__xludf.DUMMYFUNCTION("""COMPUTED_VALUE"""),41344.7055555555)</f>
        <v>41344.705555555498</v>
      </c>
      <c r="T731" s="111">
        <f ca="1">IFERROR(__xludf.DUMMYFUNCTION("""COMPUTED_VALUE"""),11.22)</f>
        <v>11.22</v>
      </c>
    </row>
    <row r="732" spans="1:20" x14ac:dyDescent="0.3">
      <c r="A732" s="112">
        <f ca="1">IFERROR(__xludf.DUMMYFUNCTION("""COMPUTED_VALUE"""),41340.7055555555)</f>
        <v>41340.705555555498</v>
      </c>
      <c r="B732" s="111">
        <f ca="1">IFERROR(__xludf.DUMMYFUNCTION("""COMPUTED_VALUE"""),7.36)</f>
        <v>7.36</v>
      </c>
      <c r="C732" s="112">
        <f ca="1">IFERROR(__xludf.DUMMYFUNCTION("""COMPUTED_VALUE"""),41347.7055555555)</f>
        <v>41347.705555555498</v>
      </c>
      <c r="D732" s="111">
        <f ca="1">IFERROR(__xludf.DUMMYFUNCTION("""COMPUTED_VALUE"""),17.8)</f>
        <v>17.8</v>
      </c>
      <c r="E732" s="112">
        <f ca="1">IFERROR(__xludf.DUMMYFUNCTION("""COMPUTED_VALUE"""),41348.7055555555)</f>
        <v>41348.705555555498</v>
      </c>
      <c r="F732" s="111">
        <f ca="1">IFERROR(__xludf.DUMMYFUNCTION("""COMPUTED_VALUE"""),6.75)</f>
        <v>6.75</v>
      </c>
      <c r="G732" s="112">
        <f ca="1">IFERROR(__xludf.DUMMYFUNCTION("""COMPUTED_VALUE"""),41341.7055555555)</f>
        <v>41341.705555555498</v>
      </c>
      <c r="H732" s="111">
        <f ca="1">IFERROR(__xludf.DUMMYFUNCTION("""COMPUTED_VALUE"""),18.37)</f>
        <v>18.37</v>
      </c>
      <c r="K732" s="112">
        <f ca="1">IFERROR(__xludf.DUMMYFUNCTION("""COMPUTED_VALUE"""),41792.7055555555)</f>
        <v>41792.705555555498</v>
      </c>
      <c r="L732" s="111">
        <f ca="1">IFERROR(__xludf.DUMMYFUNCTION("""COMPUTED_VALUE"""),0.24)</f>
        <v>0.24</v>
      </c>
      <c r="M732" s="112">
        <f ca="1">IFERROR(__xludf.DUMMYFUNCTION("""COMPUTED_VALUE"""),41250.7055555555)</f>
        <v>41250.705555555498</v>
      </c>
      <c r="N732" s="111">
        <f ca="1">IFERROR(__xludf.DUMMYFUNCTION("""COMPUTED_VALUE"""),13.77)</f>
        <v>13.77</v>
      </c>
      <c r="O732" s="112">
        <f ca="1">IFERROR(__xludf.DUMMYFUNCTION("""COMPUTED_VALUE"""),41334.7055555555)</f>
        <v>41334.705555555498</v>
      </c>
      <c r="P732" s="111">
        <f ca="1">IFERROR(__xludf.DUMMYFUNCTION("""COMPUTED_VALUE"""),36.75)</f>
        <v>36.75</v>
      </c>
      <c r="Q732" s="112">
        <f ca="1">IFERROR(__xludf.DUMMYFUNCTION("""COMPUTED_VALUE"""),41332.7055555555)</f>
        <v>41332.705555555498</v>
      </c>
      <c r="R732" s="111">
        <f ca="1">IFERROR(__xludf.DUMMYFUNCTION("""COMPUTED_VALUE"""),26.15)</f>
        <v>26.15</v>
      </c>
      <c r="S732" s="112">
        <f ca="1">IFERROR(__xludf.DUMMYFUNCTION("""COMPUTED_VALUE"""),41345.7055555555)</f>
        <v>41345.705555555498</v>
      </c>
      <c r="T732" s="111">
        <f ca="1">IFERROR(__xludf.DUMMYFUNCTION("""COMPUTED_VALUE"""),11.05)</f>
        <v>11.05</v>
      </c>
    </row>
    <row r="733" spans="1:20" x14ac:dyDescent="0.3">
      <c r="A733" s="112">
        <f ca="1">IFERROR(__xludf.DUMMYFUNCTION("""COMPUTED_VALUE"""),41341.7055555555)</f>
        <v>41341.705555555498</v>
      </c>
      <c r="B733" s="111">
        <f ca="1">IFERROR(__xludf.DUMMYFUNCTION("""COMPUTED_VALUE"""),7.22)</f>
        <v>7.22</v>
      </c>
      <c r="C733" s="112">
        <f ca="1">IFERROR(__xludf.DUMMYFUNCTION("""COMPUTED_VALUE"""),41348.7055555555)</f>
        <v>41348.705555555498</v>
      </c>
      <c r="D733" s="111">
        <f ca="1">IFERROR(__xludf.DUMMYFUNCTION("""COMPUTED_VALUE"""),17.82)</f>
        <v>17.82</v>
      </c>
      <c r="E733" s="112">
        <f ca="1">IFERROR(__xludf.DUMMYFUNCTION("""COMPUTED_VALUE"""),41351.7055555555)</f>
        <v>41351.705555555498</v>
      </c>
      <c r="F733" s="111">
        <f ca="1">IFERROR(__xludf.DUMMYFUNCTION("""COMPUTED_VALUE"""),6.85)</f>
        <v>6.85</v>
      </c>
      <c r="G733" s="112">
        <f ca="1">IFERROR(__xludf.DUMMYFUNCTION("""COMPUTED_VALUE"""),41344.7055555555)</f>
        <v>41344.705555555498</v>
      </c>
      <c r="H733" s="111">
        <f ca="1">IFERROR(__xludf.DUMMYFUNCTION("""COMPUTED_VALUE"""),18.93)</f>
        <v>18.93</v>
      </c>
      <c r="K733" s="112">
        <f ca="1">IFERROR(__xludf.DUMMYFUNCTION("""COMPUTED_VALUE"""),41793.7055555555)</f>
        <v>41793.705555555498</v>
      </c>
      <c r="L733" s="111">
        <f ca="1">IFERROR(__xludf.DUMMYFUNCTION("""COMPUTED_VALUE"""),0.24)</f>
        <v>0.24</v>
      </c>
      <c r="M733" s="112">
        <f ca="1">IFERROR(__xludf.DUMMYFUNCTION("""COMPUTED_VALUE"""),41253.7055555555)</f>
        <v>41253.705555555498</v>
      </c>
      <c r="N733" s="111">
        <f ca="1">IFERROR(__xludf.DUMMYFUNCTION("""COMPUTED_VALUE"""),13.95)</f>
        <v>13.95</v>
      </c>
      <c r="O733" s="112">
        <f ca="1">IFERROR(__xludf.DUMMYFUNCTION("""COMPUTED_VALUE"""),41337.7055555555)</f>
        <v>41337.705555555498</v>
      </c>
      <c r="P733" s="111">
        <f ca="1">IFERROR(__xludf.DUMMYFUNCTION("""COMPUTED_VALUE"""),35.64)</f>
        <v>35.64</v>
      </c>
      <c r="Q733" s="112">
        <f ca="1">IFERROR(__xludf.DUMMYFUNCTION("""COMPUTED_VALUE"""),41333.7055555555)</f>
        <v>41333.705555555498</v>
      </c>
      <c r="R733" s="111">
        <f ca="1">IFERROR(__xludf.DUMMYFUNCTION("""COMPUTED_VALUE"""),26.34)</f>
        <v>26.34</v>
      </c>
      <c r="S733" s="112">
        <f ca="1">IFERROR(__xludf.DUMMYFUNCTION("""COMPUTED_VALUE"""),41346.7055555555)</f>
        <v>41346.705555555498</v>
      </c>
      <c r="T733" s="111">
        <f ca="1">IFERROR(__xludf.DUMMYFUNCTION("""COMPUTED_VALUE"""),11.04)</f>
        <v>11.04</v>
      </c>
    </row>
    <row r="734" spans="1:20" x14ac:dyDescent="0.3">
      <c r="A734" s="112">
        <f ca="1">IFERROR(__xludf.DUMMYFUNCTION("""COMPUTED_VALUE"""),41344.7055555555)</f>
        <v>41344.705555555498</v>
      </c>
      <c r="B734" s="111">
        <f ca="1">IFERROR(__xludf.DUMMYFUNCTION("""COMPUTED_VALUE"""),7.21)</f>
        <v>7.21</v>
      </c>
      <c r="C734" s="112">
        <f ca="1">IFERROR(__xludf.DUMMYFUNCTION("""COMPUTED_VALUE"""),41351.7055555555)</f>
        <v>41351.705555555498</v>
      </c>
      <c r="D734" s="111">
        <f ca="1">IFERROR(__xludf.DUMMYFUNCTION("""COMPUTED_VALUE"""),18.16)</f>
        <v>18.16</v>
      </c>
      <c r="E734" s="112">
        <f ca="1">IFERROR(__xludf.DUMMYFUNCTION("""COMPUTED_VALUE"""),41352.7055555555)</f>
        <v>41352.705555555498</v>
      </c>
      <c r="F734" s="111">
        <f ca="1">IFERROR(__xludf.DUMMYFUNCTION("""COMPUTED_VALUE"""),6.79)</f>
        <v>6.79</v>
      </c>
      <c r="G734" s="112">
        <f ca="1">IFERROR(__xludf.DUMMYFUNCTION("""COMPUTED_VALUE"""),41345.7055555555)</f>
        <v>41345.705555555498</v>
      </c>
      <c r="H734" s="111">
        <f ca="1">IFERROR(__xludf.DUMMYFUNCTION("""COMPUTED_VALUE"""),18.74)</f>
        <v>18.739999999999998</v>
      </c>
      <c r="K734" s="112">
        <f ca="1">IFERROR(__xludf.DUMMYFUNCTION("""COMPUTED_VALUE"""),41794.7055555555)</f>
        <v>41794.705555555498</v>
      </c>
      <c r="L734" s="111">
        <f ca="1">IFERROR(__xludf.DUMMYFUNCTION("""COMPUTED_VALUE"""),0.25)</f>
        <v>0.25</v>
      </c>
      <c r="M734" s="112">
        <f ca="1">IFERROR(__xludf.DUMMYFUNCTION("""COMPUTED_VALUE"""),41254.7055555555)</f>
        <v>41254.705555555498</v>
      </c>
      <c r="N734" s="111">
        <f ca="1">IFERROR(__xludf.DUMMYFUNCTION("""COMPUTED_VALUE"""),14.04)</f>
        <v>14.04</v>
      </c>
      <c r="O734" s="112">
        <f ca="1">IFERROR(__xludf.DUMMYFUNCTION("""COMPUTED_VALUE"""),41338.7055555555)</f>
        <v>41338.705555555498</v>
      </c>
      <c r="P734" s="111">
        <f ca="1">IFERROR(__xludf.DUMMYFUNCTION("""COMPUTED_VALUE"""),35.45)</f>
        <v>35.450000000000003</v>
      </c>
      <c r="Q734" s="112">
        <f ca="1">IFERROR(__xludf.DUMMYFUNCTION("""COMPUTED_VALUE"""),41334.7055555555)</f>
        <v>41334.705555555498</v>
      </c>
      <c r="R734" s="111">
        <f ca="1">IFERROR(__xludf.DUMMYFUNCTION("""COMPUTED_VALUE"""),26.55)</f>
        <v>26.55</v>
      </c>
      <c r="S734" s="112">
        <f ca="1">IFERROR(__xludf.DUMMYFUNCTION("""COMPUTED_VALUE"""),41347.7055555555)</f>
        <v>41347.705555555498</v>
      </c>
      <c r="T734" s="111">
        <f ca="1">IFERROR(__xludf.DUMMYFUNCTION("""COMPUTED_VALUE"""),10.97)</f>
        <v>10.97</v>
      </c>
    </row>
    <row r="735" spans="1:20" x14ac:dyDescent="0.3">
      <c r="A735" s="112">
        <f ca="1">IFERROR(__xludf.DUMMYFUNCTION("""COMPUTED_VALUE"""),41345.7055555555)</f>
        <v>41345.705555555498</v>
      </c>
      <c r="B735" s="111">
        <f ca="1">IFERROR(__xludf.DUMMYFUNCTION("""COMPUTED_VALUE"""),7.27)</f>
        <v>7.27</v>
      </c>
      <c r="C735" s="112">
        <f ca="1">IFERROR(__xludf.DUMMYFUNCTION("""COMPUTED_VALUE"""),41352.7055555555)</f>
        <v>41352.705555555498</v>
      </c>
      <c r="D735" s="111">
        <f ca="1">IFERROR(__xludf.DUMMYFUNCTION("""COMPUTED_VALUE"""),17.94)</f>
        <v>17.940000000000001</v>
      </c>
      <c r="E735" s="112">
        <f ca="1">IFERROR(__xludf.DUMMYFUNCTION("""COMPUTED_VALUE"""),41353.7055555555)</f>
        <v>41353.705555555498</v>
      </c>
      <c r="F735" s="111">
        <f ca="1">IFERROR(__xludf.DUMMYFUNCTION("""COMPUTED_VALUE"""),6.84)</f>
        <v>6.84</v>
      </c>
      <c r="G735" s="112">
        <f ca="1">IFERROR(__xludf.DUMMYFUNCTION("""COMPUTED_VALUE"""),41346.7055555555)</f>
        <v>41346.705555555498</v>
      </c>
      <c r="H735" s="111">
        <f ca="1">IFERROR(__xludf.DUMMYFUNCTION("""COMPUTED_VALUE"""),18.75)</f>
        <v>18.75</v>
      </c>
      <c r="K735" s="112">
        <f ca="1">IFERROR(__xludf.DUMMYFUNCTION("""COMPUTED_VALUE"""),41795.7055555555)</f>
        <v>41795.705555555498</v>
      </c>
      <c r="L735" s="111">
        <f ca="1">IFERROR(__xludf.DUMMYFUNCTION("""COMPUTED_VALUE"""),0.25)</f>
        <v>0.25</v>
      </c>
      <c r="M735" s="112">
        <f ca="1">IFERROR(__xludf.DUMMYFUNCTION("""COMPUTED_VALUE"""),41255.7055555555)</f>
        <v>41255.705555555498</v>
      </c>
      <c r="N735" s="111">
        <f ca="1">IFERROR(__xludf.DUMMYFUNCTION("""COMPUTED_VALUE"""),14.05)</f>
        <v>14.05</v>
      </c>
      <c r="O735" s="112">
        <f ca="1">IFERROR(__xludf.DUMMYFUNCTION("""COMPUTED_VALUE"""),41339.7055555555)</f>
        <v>41339.705555555498</v>
      </c>
      <c r="P735" s="111">
        <f ca="1">IFERROR(__xludf.DUMMYFUNCTION("""COMPUTED_VALUE"""),37.4)</f>
        <v>37.4</v>
      </c>
      <c r="Q735" s="112">
        <f ca="1">IFERROR(__xludf.DUMMYFUNCTION("""COMPUTED_VALUE"""),41337.7055555555)</f>
        <v>41337.705555555498</v>
      </c>
      <c r="R735" s="111">
        <f ca="1">IFERROR(__xludf.DUMMYFUNCTION("""COMPUTED_VALUE"""),26.52)</f>
        <v>26.52</v>
      </c>
      <c r="S735" s="112">
        <f ca="1">IFERROR(__xludf.DUMMYFUNCTION("""COMPUTED_VALUE"""),41348.7055555555)</f>
        <v>41348.705555555498</v>
      </c>
      <c r="T735" s="111">
        <f ca="1">IFERROR(__xludf.DUMMYFUNCTION("""COMPUTED_VALUE"""),10.8)</f>
        <v>10.8</v>
      </c>
    </row>
    <row r="736" spans="1:20" x14ac:dyDescent="0.3">
      <c r="A736" s="112">
        <f ca="1">IFERROR(__xludf.DUMMYFUNCTION("""COMPUTED_VALUE"""),41346.7055555555)</f>
        <v>41346.705555555498</v>
      </c>
      <c r="B736" s="111">
        <f ca="1">IFERROR(__xludf.DUMMYFUNCTION("""COMPUTED_VALUE"""),7.1)</f>
        <v>7.1</v>
      </c>
      <c r="C736" s="112">
        <f ca="1">IFERROR(__xludf.DUMMYFUNCTION("""COMPUTED_VALUE"""),41353.7055555555)</f>
        <v>41353.705555555498</v>
      </c>
      <c r="D736" s="111">
        <f ca="1">IFERROR(__xludf.DUMMYFUNCTION("""COMPUTED_VALUE"""),18.1)</f>
        <v>18.100000000000001</v>
      </c>
      <c r="E736" s="112">
        <f ca="1">IFERROR(__xludf.DUMMYFUNCTION("""COMPUTED_VALUE"""),41354.7055555555)</f>
        <v>41354.705555555498</v>
      </c>
      <c r="F736" s="111">
        <f ca="1">IFERROR(__xludf.DUMMYFUNCTION("""COMPUTED_VALUE"""),6.77)</f>
        <v>6.77</v>
      </c>
      <c r="G736" s="112">
        <f ca="1">IFERROR(__xludf.DUMMYFUNCTION("""COMPUTED_VALUE"""),41347.7055555555)</f>
        <v>41347.705555555498</v>
      </c>
      <c r="H736" s="111">
        <f ca="1">IFERROR(__xludf.DUMMYFUNCTION("""COMPUTED_VALUE"""),19.29)</f>
        <v>19.29</v>
      </c>
      <c r="K736" s="112">
        <f ca="1">IFERROR(__xludf.DUMMYFUNCTION("""COMPUTED_VALUE"""),41796.7055555555)</f>
        <v>41796.705555555498</v>
      </c>
      <c r="L736" s="111">
        <f ca="1">IFERROR(__xludf.DUMMYFUNCTION("""COMPUTED_VALUE"""),0.26)</f>
        <v>0.26</v>
      </c>
      <c r="M736" s="112">
        <f ca="1">IFERROR(__xludf.DUMMYFUNCTION("""COMPUTED_VALUE"""),41256.7055555555)</f>
        <v>41256.705555555498</v>
      </c>
      <c r="N736" s="111">
        <f ca="1">IFERROR(__xludf.DUMMYFUNCTION("""COMPUTED_VALUE"""),14.15)</f>
        <v>14.15</v>
      </c>
      <c r="O736" s="112">
        <f ca="1">IFERROR(__xludf.DUMMYFUNCTION("""COMPUTED_VALUE"""),41340.7055555555)</f>
        <v>41340.705555555498</v>
      </c>
      <c r="P736" s="111">
        <f ca="1">IFERROR(__xludf.DUMMYFUNCTION("""COMPUTED_VALUE"""),37.38)</f>
        <v>37.380000000000003</v>
      </c>
      <c r="Q736" s="112">
        <f ca="1">IFERROR(__xludf.DUMMYFUNCTION("""COMPUTED_VALUE"""),41338.7055555555)</f>
        <v>41338.705555555498</v>
      </c>
      <c r="R736" s="111">
        <f ca="1">IFERROR(__xludf.DUMMYFUNCTION("""COMPUTED_VALUE"""),26.38)</f>
        <v>26.38</v>
      </c>
      <c r="S736" s="112">
        <f ca="1">IFERROR(__xludf.DUMMYFUNCTION("""COMPUTED_VALUE"""),41351.7055555555)</f>
        <v>41351.705555555498</v>
      </c>
      <c r="T736" s="111">
        <f ca="1">IFERROR(__xludf.DUMMYFUNCTION("""COMPUTED_VALUE"""),10.81)</f>
        <v>10.81</v>
      </c>
    </row>
    <row r="737" spans="1:20" x14ac:dyDescent="0.3">
      <c r="A737" s="112">
        <f ca="1">IFERROR(__xludf.DUMMYFUNCTION("""COMPUTED_VALUE"""),41347.7055555555)</f>
        <v>41347.705555555498</v>
      </c>
      <c r="B737" s="111">
        <f ca="1">IFERROR(__xludf.DUMMYFUNCTION("""COMPUTED_VALUE"""),6.86)</f>
        <v>6.86</v>
      </c>
      <c r="C737" s="112">
        <f ca="1">IFERROR(__xludf.DUMMYFUNCTION("""COMPUTED_VALUE"""),41354.7055555555)</f>
        <v>41354.705555555498</v>
      </c>
      <c r="D737" s="111">
        <f ca="1">IFERROR(__xludf.DUMMYFUNCTION("""COMPUTED_VALUE"""),17.9)</f>
        <v>17.899999999999999</v>
      </c>
      <c r="E737" s="112">
        <f ca="1">IFERROR(__xludf.DUMMYFUNCTION("""COMPUTED_VALUE"""),41355.7055555555)</f>
        <v>41355.705555555498</v>
      </c>
      <c r="F737" s="111">
        <f ca="1">IFERROR(__xludf.DUMMYFUNCTION("""COMPUTED_VALUE"""),6.69)</f>
        <v>6.69</v>
      </c>
      <c r="G737" s="112">
        <f ca="1">IFERROR(__xludf.DUMMYFUNCTION("""COMPUTED_VALUE"""),41348.7055555555)</f>
        <v>41348.705555555498</v>
      </c>
      <c r="H737" s="111">
        <f ca="1">IFERROR(__xludf.DUMMYFUNCTION("""COMPUTED_VALUE"""),19.09)</f>
        <v>19.09</v>
      </c>
      <c r="K737" s="112">
        <f ca="1">IFERROR(__xludf.DUMMYFUNCTION("""COMPUTED_VALUE"""),41799.7055555555)</f>
        <v>41799.705555555498</v>
      </c>
      <c r="L737" s="111">
        <f ca="1">IFERROR(__xludf.DUMMYFUNCTION("""COMPUTED_VALUE"""),0.27)</f>
        <v>0.27</v>
      </c>
      <c r="M737" s="112">
        <f ca="1">IFERROR(__xludf.DUMMYFUNCTION("""COMPUTED_VALUE"""),41257.7055555555)</f>
        <v>41257.705555555498</v>
      </c>
      <c r="N737" s="111">
        <f ca="1">IFERROR(__xludf.DUMMYFUNCTION("""COMPUTED_VALUE"""),14.09)</f>
        <v>14.09</v>
      </c>
      <c r="O737" s="112">
        <f ca="1">IFERROR(__xludf.DUMMYFUNCTION("""COMPUTED_VALUE"""),41341.7055555555)</f>
        <v>41341.705555555498</v>
      </c>
      <c r="P737" s="111">
        <f ca="1">IFERROR(__xludf.DUMMYFUNCTION("""COMPUTED_VALUE"""),36.34)</f>
        <v>36.340000000000003</v>
      </c>
      <c r="Q737" s="112">
        <f ca="1">IFERROR(__xludf.DUMMYFUNCTION("""COMPUTED_VALUE"""),41339.7055555555)</f>
        <v>41339.705555555498</v>
      </c>
      <c r="R737" s="111">
        <f ca="1">IFERROR(__xludf.DUMMYFUNCTION("""COMPUTED_VALUE"""),26.66)</f>
        <v>26.66</v>
      </c>
      <c r="S737" s="112">
        <f ca="1">IFERROR(__xludf.DUMMYFUNCTION("""COMPUTED_VALUE"""),41352.7055555555)</f>
        <v>41352.705555555498</v>
      </c>
      <c r="T737" s="111">
        <f ca="1">IFERROR(__xludf.DUMMYFUNCTION("""COMPUTED_VALUE"""),10.94)</f>
        <v>10.94</v>
      </c>
    </row>
    <row r="738" spans="1:20" x14ac:dyDescent="0.3">
      <c r="A738" s="112">
        <f ca="1">IFERROR(__xludf.DUMMYFUNCTION("""COMPUTED_VALUE"""),41348.7055555555)</f>
        <v>41348.705555555498</v>
      </c>
      <c r="B738" s="111">
        <f ca="1">IFERROR(__xludf.DUMMYFUNCTION("""COMPUTED_VALUE"""),6.69)</f>
        <v>6.69</v>
      </c>
      <c r="C738" s="112">
        <f ca="1">IFERROR(__xludf.DUMMYFUNCTION("""COMPUTED_VALUE"""),41355.7055555555)</f>
        <v>41355.705555555498</v>
      </c>
      <c r="D738" s="111">
        <f ca="1">IFERROR(__xludf.DUMMYFUNCTION("""COMPUTED_VALUE"""),17.68)</f>
        <v>17.68</v>
      </c>
      <c r="E738" s="112">
        <f ca="1">IFERROR(__xludf.DUMMYFUNCTION("""COMPUTED_VALUE"""),41358.7055555555)</f>
        <v>41358.705555555498</v>
      </c>
      <c r="F738" s="111">
        <f ca="1">IFERROR(__xludf.DUMMYFUNCTION("""COMPUTED_VALUE"""),6.63)</f>
        <v>6.63</v>
      </c>
      <c r="G738" s="112">
        <f ca="1">IFERROR(__xludf.DUMMYFUNCTION("""COMPUTED_VALUE"""),41351.7055555555)</f>
        <v>41351.705555555498</v>
      </c>
      <c r="H738" s="111">
        <f ca="1">IFERROR(__xludf.DUMMYFUNCTION("""COMPUTED_VALUE"""),19.2)</f>
        <v>19.2</v>
      </c>
      <c r="K738" s="112">
        <f ca="1">IFERROR(__xludf.DUMMYFUNCTION("""COMPUTED_VALUE"""),41800.7055555555)</f>
        <v>41800.705555555498</v>
      </c>
      <c r="L738" s="111">
        <f ca="1">IFERROR(__xludf.DUMMYFUNCTION("""COMPUTED_VALUE"""),0.27)</f>
        <v>0.27</v>
      </c>
      <c r="M738" s="112">
        <f ca="1">IFERROR(__xludf.DUMMYFUNCTION("""COMPUTED_VALUE"""),41260.7055555555)</f>
        <v>41260.705555555498</v>
      </c>
      <c r="N738" s="111">
        <f ca="1">IFERROR(__xludf.DUMMYFUNCTION("""COMPUTED_VALUE"""),14.09)</f>
        <v>14.09</v>
      </c>
      <c r="O738" s="112">
        <f ca="1">IFERROR(__xludf.DUMMYFUNCTION("""COMPUTED_VALUE"""),41344.7055555555)</f>
        <v>41344.705555555498</v>
      </c>
      <c r="P738" s="111">
        <f ca="1">IFERROR(__xludf.DUMMYFUNCTION("""COMPUTED_VALUE"""),36.67)</f>
        <v>36.67</v>
      </c>
      <c r="Q738" s="112">
        <f ca="1">IFERROR(__xludf.DUMMYFUNCTION("""COMPUTED_VALUE"""),41340.7055555555)</f>
        <v>41340.705555555498</v>
      </c>
      <c r="R738" s="111">
        <f ca="1">IFERROR(__xludf.DUMMYFUNCTION("""COMPUTED_VALUE"""),26.78)</f>
        <v>26.78</v>
      </c>
      <c r="S738" s="112">
        <f ca="1">IFERROR(__xludf.DUMMYFUNCTION("""COMPUTED_VALUE"""),41353.7055555555)</f>
        <v>41353.705555555498</v>
      </c>
      <c r="T738" s="111">
        <f ca="1">IFERROR(__xludf.DUMMYFUNCTION("""COMPUTED_VALUE"""),10.71)</f>
        <v>10.71</v>
      </c>
    </row>
    <row r="739" spans="1:20" x14ac:dyDescent="0.3">
      <c r="A739" s="112">
        <f ca="1">IFERROR(__xludf.DUMMYFUNCTION("""COMPUTED_VALUE"""),41351.7055555555)</f>
        <v>41351.705555555498</v>
      </c>
      <c r="B739" s="111">
        <f ca="1">IFERROR(__xludf.DUMMYFUNCTION("""COMPUTED_VALUE"""),6.72)</f>
        <v>6.72</v>
      </c>
      <c r="C739" s="112">
        <f ca="1">IFERROR(__xludf.DUMMYFUNCTION("""COMPUTED_VALUE"""),41358.7055555555)</f>
        <v>41358.705555555498</v>
      </c>
      <c r="D739" s="111">
        <f ca="1">IFERROR(__xludf.DUMMYFUNCTION("""COMPUTED_VALUE"""),17.5)</f>
        <v>17.5</v>
      </c>
      <c r="E739" s="112">
        <f ca="1">IFERROR(__xludf.DUMMYFUNCTION("""COMPUTED_VALUE"""),41359.7055555555)</f>
        <v>41359.705555555498</v>
      </c>
      <c r="F739" s="111">
        <f ca="1">IFERROR(__xludf.DUMMYFUNCTION("""COMPUTED_VALUE"""),6.69)</f>
        <v>6.69</v>
      </c>
      <c r="G739" s="112">
        <f ca="1">IFERROR(__xludf.DUMMYFUNCTION("""COMPUTED_VALUE"""),41352.7055555555)</f>
        <v>41352.705555555498</v>
      </c>
      <c r="H739" s="111">
        <f ca="1">IFERROR(__xludf.DUMMYFUNCTION("""COMPUTED_VALUE"""),19.1)</f>
        <v>19.100000000000001</v>
      </c>
      <c r="K739" s="112">
        <f ca="1">IFERROR(__xludf.DUMMYFUNCTION("""COMPUTED_VALUE"""),41801.7055555555)</f>
        <v>41801.705555555498</v>
      </c>
      <c r="L739" s="111">
        <f ca="1">IFERROR(__xludf.DUMMYFUNCTION("""COMPUTED_VALUE"""),0.27)</f>
        <v>0.27</v>
      </c>
      <c r="M739" s="112">
        <f ca="1">IFERROR(__xludf.DUMMYFUNCTION("""COMPUTED_VALUE"""),41261.7055555555)</f>
        <v>41261.705555555498</v>
      </c>
      <c r="N739" s="111">
        <f ca="1">IFERROR(__xludf.DUMMYFUNCTION("""COMPUTED_VALUE"""),14.1)</f>
        <v>14.1</v>
      </c>
      <c r="O739" s="112">
        <f ca="1">IFERROR(__xludf.DUMMYFUNCTION("""COMPUTED_VALUE"""),41345.7055555555)</f>
        <v>41345.705555555498</v>
      </c>
      <c r="P739" s="111">
        <f ca="1">IFERROR(__xludf.DUMMYFUNCTION("""COMPUTED_VALUE"""),36.29)</f>
        <v>36.29</v>
      </c>
      <c r="Q739" s="112">
        <f ca="1">IFERROR(__xludf.DUMMYFUNCTION("""COMPUTED_VALUE"""),41341.7055555555)</f>
        <v>41341.705555555498</v>
      </c>
      <c r="R739" s="111">
        <f ca="1">IFERROR(__xludf.DUMMYFUNCTION("""COMPUTED_VALUE"""),27.27)</f>
        <v>27.27</v>
      </c>
      <c r="S739" s="112">
        <f ca="1">IFERROR(__xludf.DUMMYFUNCTION("""COMPUTED_VALUE"""),41354.7055555555)</f>
        <v>41354.705555555498</v>
      </c>
      <c r="T739" s="111">
        <f ca="1">IFERROR(__xludf.DUMMYFUNCTION("""COMPUTED_VALUE"""),10.65)</f>
        <v>10.65</v>
      </c>
    </row>
    <row r="740" spans="1:20" x14ac:dyDescent="0.3">
      <c r="A740" s="112">
        <f ca="1">IFERROR(__xludf.DUMMYFUNCTION("""COMPUTED_VALUE"""),41352.7055555555)</f>
        <v>41352.705555555498</v>
      </c>
      <c r="B740" s="111">
        <f ca="1">IFERROR(__xludf.DUMMYFUNCTION("""COMPUTED_VALUE"""),6.7)</f>
        <v>6.7</v>
      </c>
      <c r="C740" s="112">
        <f ca="1">IFERROR(__xludf.DUMMYFUNCTION("""COMPUTED_VALUE"""),41359.7055555555)</f>
        <v>41359.705555555498</v>
      </c>
      <c r="D740" s="111">
        <f ca="1">IFERROR(__xludf.DUMMYFUNCTION("""COMPUTED_VALUE"""),17.72)</f>
        <v>17.72</v>
      </c>
      <c r="E740" s="112">
        <f ca="1">IFERROR(__xludf.DUMMYFUNCTION("""COMPUTED_VALUE"""),41360.7055555555)</f>
        <v>41360.705555555498</v>
      </c>
      <c r="F740" s="111">
        <f ca="1">IFERROR(__xludf.DUMMYFUNCTION("""COMPUTED_VALUE"""),6.71)</f>
        <v>6.71</v>
      </c>
      <c r="G740" s="112">
        <f ca="1">IFERROR(__xludf.DUMMYFUNCTION("""COMPUTED_VALUE"""),41353.7055555555)</f>
        <v>41353.705555555498</v>
      </c>
      <c r="H740" s="111">
        <f ca="1">IFERROR(__xludf.DUMMYFUNCTION("""COMPUTED_VALUE"""),18.85)</f>
        <v>18.850000000000001</v>
      </c>
      <c r="K740" s="112">
        <f ca="1">IFERROR(__xludf.DUMMYFUNCTION("""COMPUTED_VALUE"""),41803.7055555555)</f>
        <v>41803.705555555498</v>
      </c>
      <c r="L740" s="111">
        <f ca="1">IFERROR(__xludf.DUMMYFUNCTION("""COMPUTED_VALUE"""),0.27)</f>
        <v>0.27</v>
      </c>
      <c r="M740" s="112">
        <f ca="1">IFERROR(__xludf.DUMMYFUNCTION("""COMPUTED_VALUE"""),41262.7055555555)</f>
        <v>41262.705555555498</v>
      </c>
      <c r="N740" s="111">
        <f ca="1">IFERROR(__xludf.DUMMYFUNCTION("""COMPUTED_VALUE"""),14.45)</f>
        <v>14.45</v>
      </c>
      <c r="O740" s="112">
        <f ca="1">IFERROR(__xludf.DUMMYFUNCTION("""COMPUTED_VALUE"""),41346.7055555555)</f>
        <v>41346.705555555498</v>
      </c>
      <c r="P740" s="111">
        <f ca="1">IFERROR(__xludf.DUMMYFUNCTION("""COMPUTED_VALUE"""),34.85)</f>
        <v>34.85</v>
      </c>
      <c r="Q740" s="112">
        <f ca="1">IFERROR(__xludf.DUMMYFUNCTION("""COMPUTED_VALUE"""),41344.7055555555)</f>
        <v>41344.705555555498</v>
      </c>
      <c r="R740" s="111">
        <f ca="1">IFERROR(__xludf.DUMMYFUNCTION("""COMPUTED_VALUE"""),26.9)</f>
        <v>26.9</v>
      </c>
      <c r="S740" s="112">
        <f ca="1">IFERROR(__xludf.DUMMYFUNCTION("""COMPUTED_VALUE"""),41355.7055555555)</f>
        <v>41355.705555555498</v>
      </c>
      <c r="T740" s="111">
        <f ca="1">IFERROR(__xludf.DUMMYFUNCTION("""COMPUTED_VALUE"""),10.82)</f>
        <v>10.82</v>
      </c>
    </row>
    <row r="741" spans="1:20" x14ac:dyDescent="0.3">
      <c r="A741" s="112">
        <f ca="1">IFERROR(__xludf.DUMMYFUNCTION("""COMPUTED_VALUE"""),41353.7055555555)</f>
        <v>41353.705555555498</v>
      </c>
      <c r="B741" s="111">
        <f ca="1">IFERROR(__xludf.DUMMYFUNCTION("""COMPUTED_VALUE"""),6.45)</f>
        <v>6.45</v>
      </c>
      <c r="C741" s="112">
        <f ca="1">IFERROR(__xludf.DUMMYFUNCTION("""COMPUTED_VALUE"""),41360.7055555555)</f>
        <v>41360.705555555498</v>
      </c>
      <c r="D741" s="111">
        <f ca="1">IFERROR(__xludf.DUMMYFUNCTION("""COMPUTED_VALUE"""),17.76)</f>
        <v>17.760000000000002</v>
      </c>
      <c r="E741" s="112">
        <f ca="1">IFERROR(__xludf.DUMMYFUNCTION("""COMPUTED_VALUE"""),41361.7055555555)</f>
        <v>41361.705555555498</v>
      </c>
      <c r="F741" s="111">
        <f ca="1">IFERROR(__xludf.DUMMYFUNCTION("""COMPUTED_VALUE"""),6.86)</f>
        <v>6.86</v>
      </c>
      <c r="G741" s="112">
        <f ca="1">IFERROR(__xludf.DUMMYFUNCTION("""COMPUTED_VALUE"""),41354.7055555555)</f>
        <v>41354.705555555498</v>
      </c>
      <c r="H741" s="111">
        <f ca="1">IFERROR(__xludf.DUMMYFUNCTION("""COMPUTED_VALUE"""),18.53)</f>
        <v>18.53</v>
      </c>
      <c r="K741" s="112">
        <f ca="1">IFERROR(__xludf.DUMMYFUNCTION("""COMPUTED_VALUE"""),41806.7055555555)</f>
        <v>41806.705555555498</v>
      </c>
      <c r="L741" s="111">
        <f ca="1">IFERROR(__xludf.DUMMYFUNCTION("""COMPUTED_VALUE"""),0.28)</f>
        <v>0.28000000000000003</v>
      </c>
      <c r="M741" s="112">
        <f ca="1">IFERROR(__xludf.DUMMYFUNCTION("""COMPUTED_VALUE"""),41263.7055555555)</f>
        <v>41263.705555555498</v>
      </c>
      <c r="N741" s="111">
        <f ca="1">IFERROR(__xludf.DUMMYFUNCTION("""COMPUTED_VALUE"""),14.31)</f>
        <v>14.31</v>
      </c>
      <c r="O741" s="112">
        <f ca="1">IFERROR(__xludf.DUMMYFUNCTION("""COMPUTED_VALUE"""),41347.7055555555)</f>
        <v>41347.705555555498</v>
      </c>
      <c r="P741" s="111">
        <f ca="1">IFERROR(__xludf.DUMMYFUNCTION("""COMPUTED_VALUE"""),34.94)</f>
        <v>34.94</v>
      </c>
      <c r="Q741" s="112">
        <f ca="1">IFERROR(__xludf.DUMMYFUNCTION("""COMPUTED_VALUE"""),41345.7055555555)</f>
        <v>41345.705555555498</v>
      </c>
      <c r="R741" s="111">
        <f ca="1">IFERROR(__xludf.DUMMYFUNCTION("""COMPUTED_VALUE"""),26.59)</f>
        <v>26.59</v>
      </c>
      <c r="S741" s="112">
        <f ca="1">IFERROR(__xludf.DUMMYFUNCTION("""COMPUTED_VALUE"""),41358.7055555555)</f>
        <v>41358.705555555498</v>
      </c>
      <c r="T741" s="111">
        <f ca="1">IFERROR(__xludf.DUMMYFUNCTION("""COMPUTED_VALUE"""),10.84)</f>
        <v>10.84</v>
      </c>
    </row>
    <row r="742" spans="1:20" x14ac:dyDescent="0.3">
      <c r="A742" s="112">
        <f ca="1">IFERROR(__xludf.DUMMYFUNCTION("""COMPUTED_VALUE"""),41354.7055555555)</f>
        <v>41354.705555555498</v>
      </c>
      <c r="B742" s="111">
        <f ca="1">IFERROR(__xludf.DUMMYFUNCTION("""COMPUTED_VALUE"""),6.26)</f>
        <v>6.26</v>
      </c>
      <c r="C742" s="112">
        <f ca="1">IFERROR(__xludf.DUMMYFUNCTION("""COMPUTED_VALUE"""),41361.7055555555)</f>
        <v>41361.705555555498</v>
      </c>
      <c r="D742" s="111">
        <f ca="1">IFERROR(__xludf.DUMMYFUNCTION("""COMPUTED_VALUE"""),18.02)</f>
        <v>18.02</v>
      </c>
      <c r="E742" s="112">
        <f ca="1">IFERROR(__xludf.DUMMYFUNCTION("""COMPUTED_VALUE"""),41365.7055555555)</f>
        <v>41365.705555555498</v>
      </c>
      <c r="F742" s="111">
        <f ca="1">IFERROR(__xludf.DUMMYFUNCTION("""COMPUTED_VALUE"""),6.74)</f>
        <v>6.74</v>
      </c>
      <c r="G742" s="112">
        <f ca="1">IFERROR(__xludf.DUMMYFUNCTION("""COMPUTED_VALUE"""),41355.7055555555)</f>
        <v>41355.705555555498</v>
      </c>
      <c r="H742" s="111">
        <f ca="1">IFERROR(__xludf.DUMMYFUNCTION("""COMPUTED_VALUE"""),18.63)</f>
        <v>18.63</v>
      </c>
      <c r="K742" s="112">
        <f ca="1">IFERROR(__xludf.DUMMYFUNCTION("""COMPUTED_VALUE"""),41807.7055555555)</f>
        <v>41807.705555555498</v>
      </c>
      <c r="L742" s="111">
        <f ca="1">IFERROR(__xludf.DUMMYFUNCTION("""COMPUTED_VALUE"""),0.29)</f>
        <v>0.28999999999999998</v>
      </c>
      <c r="M742" s="112">
        <f ca="1">IFERROR(__xludf.DUMMYFUNCTION("""COMPUTED_VALUE"""),41264.7055555555)</f>
        <v>41264.705555555498</v>
      </c>
      <c r="N742" s="111">
        <f ca="1">IFERROR(__xludf.DUMMYFUNCTION("""COMPUTED_VALUE"""),14.47)</f>
        <v>14.47</v>
      </c>
      <c r="O742" s="112">
        <f ca="1">IFERROR(__xludf.DUMMYFUNCTION("""COMPUTED_VALUE"""),41348.7055555555)</f>
        <v>41348.705555555498</v>
      </c>
      <c r="P742" s="111">
        <f ca="1">IFERROR(__xludf.DUMMYFUNCTION("""COMPUTED_VALUE"""),34.73)</f>
        <v>34.729999999999997</v>
      </c>
      <c r="Q742" s="112">
        <f ca="1">IFERROR(__xludf.DUMMYFUNCTION("""COMPUTED_VALUE"""),41346.7055555555)</f>
        <v>41346.705555555498</v>
      </c>
      <c r="R742" s="111">
        <f ca="1">IFERROR(__xludf.DUMMYFUNCTION("""COMPUTED_VALUE"""),26.32)</f>
        <v>26.32</v>
      </c>
      <c r="S742" s="112">
        <f ca="1">IFERROR(__xludf.DUMMYFUNCTION("""COMPUTED_VALUE"""),41359.7055555555)</f>
        <v>41359.705555555498</v>
      </c>
      <c r="T742" s="111">
        <f ca="1">IFERROR(__xludf.DUMMYFUNCTION("""COMPUTED_VALUE"""),11.26)</f>
        <v>11.26</v>
      </c>
    </row>
    <row r="743" spans="1:20" x14ac:dyDescent="0.3">
      <c r="A743" s="112">
        <f ca="1">IFERROR(__xludf.DUMMYFUNCTION("""COMPUTED_VALUE"""),41355.7055555555)</f>
        <v>41355.705555555498</v>
      </c>
      <c r="B743" s="111">
        <f ca="1">IFERROR(__xludf.DUMMYFUNCTION("""COMPUTED_VALUE"""),6.31)</f>
        <v>6.31</v>
      </c>
      <c r="C743" s="112">
        <f ca="1">IFERROR(__xludf.DUMMYFUNCTION("""COMPUTED_VALUE"""),41365.7055555555)</f>
        <v>41365.705555555498</v>
      </c>
      <c r="D743" s="111">
        <f ca="1">IFERROR(__xludf.DUMMYFUNCTION("""COMPUTED_VALUE"""),17.73)</f>
        <v>17.73</v>
      </c>
      <c r="E743" s="112">
        <f ca="1">IFERROR(__xludf.DUMMYFUNCTION("""COMPUTED_VALUE"""),41366.7055555555)</f>
        <v>41366.705555555498</v>
      </c>
      <c r="F743" s="111">
        <f ca="1">IFERROR(__xludf.DUMMYFUNCTION("""COMPUTED_VALUE"""),6.64)</f>
        <v>6.64</v>
      </c>
      <c r="G743" s="112">
        <f ca="1">IFERROR(__xludf.DUMMYFUNCTION("""COMPUTED_VALUE"""),41358.7055555555)</f>
        <v>41358.705555555498</v>
      </c>
      <c r="H743" s="111">
        <f ca="1">IFERROR(__xludf.DUMMYFUNCTION("""COMPUTED_VALUE"""),18.59)</f>
        <v>18.59</v>
      </c>
      <c r="K743" s="112">
        <f ca="1">IFERROR(__xludf.DUMMYFUNCTION("""COMPUTED_VALUE"""),41808.7055555555)</f>
        <v>41808.705555555498</v>
      </c>
      <c r="L743" s="111">
        <f ca="1">IFERROR(__xludf.DUMMYFUNCTION("""COMPUTED_VALUE"""),0.28)</f>
        <v>0.28000000000000003</v>
      </c>
      <c r="M743" s="112">
        <f ca="1">IFERROR(__xludf.DUMMYFUNCTION("""COMPUTED_VALUE"""),41269.7055555555)</f>
        <v>41269.705555555498</v>
      </c>
      <c r="N743" s="111">
        <f ca="1">IFERROR(__xludf.DUMMYFUNCTION("""COMPUTED_VALUE"""),13.95)</f>
        <v>13.95</v>
      </c>
      <c r="O743" s="112">
        <f ca="1">IFERROR(__xludf.DUMMYFUNCTION("""COMPUTED_VALUE"""),41351.7055555555)</f>
        <v>41351.705555555498</v>
      </c>
      <c r="P743" s="111">
        <f ca="1">IFERROR(__xludf.DUMMYFUNCTION("""COMPUTED_VALUE"""),35)</f>
        <v>35</v>
      </c>
      <c r="Q743" s="112">
        <f ca="1">IFERROR(__xludf.DUMMYFUNCTION("""COMPUTED_VALUE"""),41347.7055555555)</f>
        <v>41347.705555555498</v>
      </c>
      <c r="R743" s="111">
        <f ca="1">IFERROR(__xludf.DUMMYFUNCTION("""COMPUTED_VALUE"""),26.42)</f>
        <v>26.42</v>
      </c>
      <c r="S743" s="112">
        <f ca="1">IFERROR(__xludf.DUMMYFUNCTION("""COMPUTED_VALUE"""),41360.7055555555)</f>
        <v>41360.705555555498</v>
      </c>
      <c r="T743" s="111">
        <f ca="1">IFERROR(__xludf.DUMMYFUNCTION("""COMPUTED_VALUE"""),11.4)</f>
        <v>11.4</v>
      </c>
    </row>
    <row r="744" spans="1:20" x14ac:dyDescent="0.3">
      <c r="A744" s="112">
        <f ca="1">IFERROR(__xludf.DUMMYFUNCTION("""COMPUTED_VALUE"""),41358.7055555555)</f>
        <v>41358.705555555498</v>
      </c>
      <c r="B744" s="111">
        <f ca="1">IFERROR(__xludf.DUMMYFUNCTION("""COMPUTED_VALUE"""),6.31)</f>
        <v>6.31</v>
      </c>
      <c r="C744" s="112">
        <f ca="1">IFERROR(__xludf.DUMMYFUNCTION("""COMPUTED_VALUE"""),41366.7055555555)</f>
        <v>41366.705555555498</v>
      </c>
      <c r="D744" s="111">
        <f ca="1">IFERROR(__xludf.DUMMYFUNCTION("""COMPUTED_VALUE"""),17.51)</f>
        <v>17.510000000000002</v>
      </c>
      <c r="E744" s="112">
        <f ca="1">IFERROR(__xludf.DUMMYFUNCTION("""COMPUTED_VALUE"""),41367.7055555555)</f>
        <v>41367.705555555498</v>
      </c>
      <c r="F744" s="111">
        <f ca="1">IFERROR(__xludf.DUMMYFUNCTION("""COMPUTED_VALUE"""),6.62)</f>
        <v>6.62</v>
      </c>
      <c r="G744" s="112">
        <f ca="1">IFERROR(__xludf.DUMMYFUNCTION("""COMPUTED_VALUE"""),41359.7055555555)</f>
        <v>41359.705555555498</v>
      </c>
      <c r="H744" s="111">
        <f ca="1">IFERROR(__xludf.DUMMYFUNCTION("""COMPUTED_VALUE"""),18.59)</f>
        <v>18.59</v>
      </c>
      <c r="K744" s="112">
        <f ca="1">IFERROR(__xludf.DUMMYFUNCTION("""COMPUTED_VALUE"""),41810.7055555555)</f>
        <v>41810.705555555498</v>
      </c>
      <c r="L744" s="111">
        <f ca="1">IFERROR(__xludf.DUMMYFUNCTION("""COMPUTED_VALUE"""),0.27)</f>
        <v>0.27</v>
      </c>
      <c r="M744" s="112">
        <f ca="1">IFERROR(__xludf.DUMMYFUNCTION("""COMPUTED_VALUE"""),41270.7055555555)</f>
        <v>41270.705555555498</v>
      </c>
      <c r="N744" s="111">
        <f ca="1">IFERROR(__xludf.DUMMYFUNCTION("""COMPUTED_VALUE"""),13.7)</f>
        <v>13.7</v>
      </c>
      <c r="O744" s="112">
        <f ca="1">IFERROR(__xludf.DUMMYFUNCTION("""COMPUTED_VALUE"""),41352.7055555555)</f>
        <v>41352.705555555498</v>
      </c>
      <c r="P744" s="111">
        <f ca="1">IFERROR(__xludf.DUMMYFUNCTION("""COMPUTED_VALUE"""),33.58)</f>
        <v>33.58</v>
      </c>
      <c r="Q744" s="112">
        <f ca="1">IFERROR(__xludf.DUMMYFUNCTION("""COMPUTED_VALUE"""),41348.7055555555)</f>
        <v>41348.705555555498</v>
      </c>
      <c r="R744" s="111">
        <f ca="1">IFERROR(__xludf.DUMMYFUNCTION("""COMPUTED_VALUE"""),26.35)</f>
        <v>26.35</v>
      </c>
      <c r="S744" s="112">
        <f ca="1">IFERROR(__xludf.DUMMYFUNCTION("""COMPUTED_VALUE"""),41361.7055555555)</f>
        <v>41361.705555555498</v>
      </c>
      <c r="T744" s="111">
        <f ca="1">IFERROR(__xludf.DUMMYFUNCTION("""COMPUTED_VALUE"""),11.36)</f>
        <v>11.36</v>
      </c>
    </row>
    <row r="745" spans="1:20" x14ac:dyDescent="0.3">
      <c r="A745" s="112">
        <f ca="1">IFERROR(__xludf.DUMMYFUNCTION("""COMPUTED_VALUE"""),41359.7055555555)</f>
        <v>41359.705555555498</v>
      </c>
      <c r="B745" s="111">
        <f ca="1">IFERROR(__xludf.DUMMYFUNCTION("""COMPUTED_VALUE"""),6.27)</f>
        <v>6.27</v>
      </c>
      <c r="C745" s="112">
        <f ca="1">IFERROR(__xludf.DUMMYFUNCTION("""COMPUTED_VALUE"""),41367.7055555555)</f>
        <v>41367.705555555498</v>
      </c>
      <c r="D745" s="111">
        <f ca="1">IFERROR(__xludf.DUMMYFUNCTION("""COMPUTED_VALUE"""),17.44)</f>
        <v>17.440000000000001</v>
      </c>
      <c r="E745" s="112">
        <f ca="1">IFERROR(__xludf.DUMMYFUNCTION("""COMPUTED_VALUE"""),41368.7055555555)</f>
        <v>41368.705555555498</v>
      </c>
      <c r="F745" s="111">
        <f ca="1">IFERROR(__xludf.DUMMYFUNCTION("""COMPUTED_VALUE"""),6.43)</f>
        <v>6.43</v>
      </c>
      <c r="G745" s="112">
        <f ca="1">IFERROR(__xludf.DUMMYFUNCTION("""COMPUTED_VALUE"""),41360.7055555555)</f>
        <v>41360.705555555498</v>
      </c>
      <c r="H745" s="111">
        <f ca="1">IFERROR(__xludf.DUMMYFUNCTION("""COMPUTED_VALUE"""),18.42)</f>
        <v>18.420000000000002</v>
      </c>
      <c r="K745" s="112">
        <f ca="1">IFERROR(__xludf.DUMMYFUNCTION("""COMPUTED_VALUE"""),41813.7055555555)</f>
        <v>41813.705555555498</v>
      </c>
      <c r="L745" s="111">
        <f ca="1">IFERROR(__xludf.DUMMYFUNCTION("""COMPUTED_VALUE"""),0.28)</f>
        <v>0.28000000000000003</v>
      </c>
      <c r="M745" s="112">
        <f ca="1">IFERROR(__xludf.DUMMYFUNCTION("""COMPUTED_VALUE"""),41271.7055555555)</f>
        <v>41271.705555555498</v>
      </c>
      <c r="N745" s="111">
        <f ca="1">IFERROR(__xludf.DUMMYFUNCTION("""COMPUTED_VALUE"""),13.79)</f>
        <v>13.79</v>
      </c>
      <c r="O745" s="112">
        <f ca="1">IFERROR(__xludf.DUMMYFUNCTION("""COMPUTED_VALUE"""),41353.7055555555)</f>
        <v>41353.705555555498</v>
      </c>
      <c r="P745" s="111">
        <f ca="1">IFERROR(__xludf.DUMMYFUNCTION("""COMPUTED_VALUE"""),34.35)</f>
        <v>34.35</v>
      </c>
      <c r="Q745" s="112">
        <f ca="1">IFERROR(__xludf.DUMMYFUNCTION("""COMPUTED_VALUE"""),41351.7055555555)</f>
        <v>41351.705555555498</v>
      </c>
      <c r="R745" s="111">
        <f ca="1">IFERROR(__xludf.DUMMYFUNCTION("""COMPUTED_VALUE"""),25.94)</f>
        <v>25.94</v>
      </c>
      <c r="S745" s="112">
        <f ca="1">IFERROR(__xludf.DUMMYFUNCTION("""COMPUTED_VALUE"""),41365.7055555555)</f>
        <v>41365.705555555498</v>
      </c>
      <c r="T745" s="111">
        <f ca="1">IFERROR(__xludf.DUMMYFUNCTION("""COMPUTED_VALUE"""),11.25)</f>
        <v>11.25</v>
      </c>
    </row>
    <row r="746" spans="1:20" x14ac:dyDescent="0.3">
      <c r="A746" s="112">
        <f ca="1">IFERROR(__xludf.DUMMYFUNCTION("""COMPUTED_VALUE"""),41360.7055555555)</f>
        <v>41360.705555555498</v>
      </c>
      <c r="B746" s="111">
        <f ca="1">IFERROR(__xludf.DUMMYFUNCTION("""COMPUTED_VALUE"""),6.18)</f>
        <v>6.18</v>
      </c>
      <c r="C746" s="112">
        <f ca="1">IFERROR(__xludf.DUMMYFUNCTION("""COMPUTED_VALUE"""),41368.7055555555)</f>
        <v>41368.705555555498</v>
      </c>
      <c r="D746" s="111">
        <f ca="1">IFERROR(__xludf.DUMMYFUNCTION("""COMPUTED_VALUE"""),16.9)</f>
        <v>16.899999999999999</v>
      </c>
      <c r="E746" s="112">
        <f ca="1">IFERROR(__xludf.DUMMYFUNCTION("""COMPUTED_VALUE"""),41369.7055555555)</f>
        <v>41369.705555555498</v>
      </c>
      <c r="F746" s="111">
        <f ca="1">IFERROR(__xludf.DUMMYFUNCTION("""COMPUTED_VALUE"""),6.47)</f>
        <v>6.47</v>
      </c>
      <c r="G746" s="112">
        <f ca="1">IFERROR(__xludf.DUMMYFUNCTION("""COMPUTED_VALUE"""),41361.7055555555)</f>
        <v>41361.705555555498</v>
      </c>
      <c r="H746" s="111">
        <f ca="1">IFERROR(__xludf.DUMMYFUNCTION("""COMPUTED_VALUE"""),18.35)</f>
        <v>18.350000000000001</v>
      </c>
      <c r="K746" s="112">
        <f ca="1">IFERROR(__xludf.DUMMYFUNCTION("""COMPUTED_VALUE"""),41814.7055555555)</f>
        <v>41814.705555555498</v>
      </c>
      <c r="L746" s="111">
        <f ca="1">IFERROR(__xludf.DUMMYFUNCTION("""COMPUTED_VALUE"""),0.28)</f>
        <v>0.28000000000000003</v>
      </c>
      <c r="M746" s="112">
        <f ca="1">IFERROR(__xludf.DUMMYFUNCTION("""COMPUTED_VALUE"""),41276.7055555555)</f>
        <v>41276.705555555498</v>
      </c>
      <c r="N746" s="111">
        <f ca="1">IFERROR(__xludf.DUMMYFUNCTION("""COMPUTED_VALUE"""),14.12)</f>
        <v>14.12</v>
      </c>
      <c r="O746" s="112">
        <f ca="1">IFERROR(__xludf.DUMMYFUNCTION("""COMPUTED_VALUE"""),41354.7055555555)</f>
        <v>41354.705555555498</v>
      </c>
      <c r="P746" s="111">
        <f ca="1">IFERROR(__xludf.DUMMYFUNCTION("""COMPUTED_VALUE"""),34.64)</f>
        <v>34.64</v>
      </c>
      <c r="Q746" s="112">
        <f ca="1">IFERROR(__xludf.DUMMYFUNCTION("""COMPUTED_VALUE"""),41352.7055555555)</f>
        <v>41352.705555555498</v>
      </c>
      <c r="R746" s="111">
        <f ca="1">IFERROR(__xludf.DUMMYFUNCTION("""COMPUTED_VALUE"""),26.37)</f>
        <v>26.37</v>
      </c>
      <c r="S746" s="112">
        <f ca="1">IFERROR(__xludf.DUMMYFUNCTION("""COMPUTED_VALUE"""),41366.7055555555)</f>
        <v>41366.705555555498</v>
      </c>
      <c r="T746" s="111">
        <f ca="1">IFERROR(__xludf.DUMMYFUNCTION("""COMPUTED_VALUE"""),11.03)</f>
        <v>11.03</v>
      </c>
    </row>
    <row r="747" spans="1:20" x14ac:dyDescent="0.3">
      <c r="A747" s="112">
        <f ca="1">IFERROR(__xludf.DUMMYFUNCTION("""COMPUTED_VALUE"""),41361.7055555555)</f>
        <v>41361.705555555498</v>
      </c>
      <c r="B747" s="111">
        <f ca="1">IFERROR(__xludf.DUMMYFUNCTION("""COMPUTED_VALUE"""),6.91)</f>
        <v>6.91</v>
      </c>
      <c r="C747" s="112">
        <f ca="1">IFERROR(__xludf.DUMMYFUNCTION("""COMPUTED_VALUE"""),41369.7055555555)</f>
        <v>41369.705555555498</v>
      </c>
      <c r="D747" s="111">
        <f ca="1">IFERROR(__xludf.DUMMYFUNCTION("""COMPUTED_VALUE"""),16.94)</f>
        <v>16.940000000000001</v>
      </c>
      <c r="E747" s="112">
        <f ca="1">IFERROR(__xludf.DUMMYFUNCTION("""COMPUTED_VALUE"""),41372.7055555555)</f>
        <v>41372.705555555498</v>
      </c>
      <c r="F747" s="111">
        <f ca="1">IFERROR(__xludf.DUMMYFUNCTION("""COMPUTED_VALUE"""),6.47)</f>
        <v>6.47</v>
      </c>
      <c r="G747" s="112">
        <f ca="1">IFERROR(__xludf.DUMMYFUNCTION("""COMPUTED_VALUE"""),41365.7055555555)</f>
        <v>41365.705555555498</v>
      </c>
      <c r="H747" s="111">
        <f ca="1">IFERROR(__xludf.DUMMYFUNCTION("""COMPUTED_VALUE"""),18.03)</f>
        <v>18.03</v>
      </c>
      <c r="K747" s="112">
        <f ca="1">IFERROR(__xludf.DUMMYFUNCTION("""COMPUTED_VALUE"""),41815.7055555555)</f>
        <v>41815.705555555498</v>
      </c>
      <c r="L747" s="111">
        <f ca="1">IFERROR(__xludf.DUMMYFUNCTION("""COMPUTED_VALUE"""),0.28)</f>
        <v>0.28000000000000003</v>
      </c>
      <c r="M747" s="112">
        <f ca="1">IFERROR(__xludf.DUMMYFUNCTION("""COMPUTED_VALUE"""),41277.7055555555)</f>
        <v>41277.705555555498</v>
      </c>
      <c r="N747" s="111">
        <f ca="1">IFERROR(__xludf.DUMMYFUNCTION("""COMPUTED_VALUE"""),14.95)</f>
        <v>14.95</v>
      </c>
      <c r="O747" s="112">
        <f ca="1">IFERROR(__xludf.DUMMYFUNCTION("""COMPUTED_VALUE"""),41355.7055555555)</f>
        <v>41355.705555555498</v>
      </c>
      <c r="P747" s="111">
        <f ca="1">IFERROR(__xludf.DUMMYFUNCTION("""COMPUTED_VALUE"""),34.71)</f>
        <v>34.71</v>
      </c>
      <c r="Q747" s="112">
        <f ca="1">IFERROR(__xludf.DUMMYFUNCTION("""COMPUTED_VALUE"""),41353.7055555555)</f>
        <v>41353.705555555498</v>
      </c>
      <c r="R747" s="111">
        <f ca="1">IFERROR(__xludf.DUMMYFUNCTION("""COMPUTED_VALUE"""),26.82)</f>
        <v>26.82</v>
      </c>
      <c r="S747" s="112">
        <f ca="1">IFERROR(__xludf.DUMMYFUNCTION("""COMPUTED_VALUE"""),41367.7055555555)</f>
        <v>41367.705555555498</v>
      </c>
      <c r="T747" s="111">
        <f ca="1">IFERROR(__xludf.DUMMYFUNCTION("""COMPUTED_VALUE"""),11.03)</f>
        <v>11.03</v>
      </c>
    </row>
    <row r="748" spans="1:20" x14ac:dyDescent="0.3">
      <c r="A748" s="112">
        <f ca="1">IFERROR(__xludf.DUMMYFUNCTION("""COMPUTED_VALUE"""),41365.7055555555)</f>
        <v>41365.705555555498</v>
      </c>
      <c r="B748" s="111">
        <f ca="1">IFERROR(__xludf.DUMMYFUNCTION("""COMPUTED_VALUE"""),6.85)</f>
        <v>6.85</v>
      </c>
      <c r="C748" s="112">
        <f ca="1">IFERROR(__xludf.DUMMYFUNCTION("""COMPUTED_VALUE"""),41372.7055555555)</f>
        <v>41372.705555555498</v>
      </c>
      <c r="D748" s="111">
        <f ca="1">IFERROR(__xludf.DUMMYFUNCTION("""COMPUTED_VALUE"""),16.83)</f>
        <v>16.829999999999998</v>
      </c>
      <c r="E748" s="112">
        <f ca="1">IFERROR(__xludf.DUMMYFUNCTION("""COMPUTED_VALUE"""),41373.7055555555)</f>
        <v>41373.705555555498</v>
      </c>
      <c r="F748" s="111">
        <f ca="1">IFERROR(__xludf.DUMMYFUNCTION("""COMPUTED_VALUE"""),6.62)</f>
        <v>6.62</v>
      </c>
      <c r="G748" s="112">
        <f ca="1">IFERROR(__xludf.DUMMYFUNCTION("""COMPUTED_VALUE"""),41366.7055555555)</f>
        <v>41366.705555555498</v>
      </c>
      <c r="H748" s="111">
        <f ca="1">IFERROR(__xludf.DUMMYFUNCTION("""COMPUTED_VALUE"""),17.7)</f>
        <v>17.7</v>
      </c>
      <c r="K748" s="112">
        <f ca="1">IFERROR(__xludf.DUMMYFUNCTION("""COMPUTED_VALUE"""),41816.7055555555)</f>
        <v>41816.705555555498</v>
      </c>
      <c r="L748" s="111">
        <f ca="1">IFERROR(__xludf.DUMMYFUNCTION("""COMPUTED_VALUE"""),0.28)</f>
        <v>0.28000000000000003</v>
      </c>
      <c r="M748" s="112">
        <f ca="1">IFERROR(__xludf.DUMMYFUNCTION("""COMPUTED_VALUE"""),41278.7055555555)</f>
        <v>41278.705555555498</v>
      </c>
      <c r="N748" s="111">
        <f ca="1">IFERROR(__xludf.DUMMYFUNCTION("""COMPUTED_VALUE"""),14.68)</f>
        <v>14.68</v>
      </c>
      <c r="O748" s="112">
        <f ca="1">IFERROR(__xludf.DUMMYFUNCTION("""COMPUTED_VALUE"""),41358.7055555555)</f>
        <v>41358.705555555498</v>
      </c>
      <c r="P748" s="111">
        <f ca="1">IFERROR(__xludf.DUMMYFUNCTION("""COMPUTED_VALUE"""),34.08)</f>
        <v>34.08</v>
      </c>
      <c r="Q748" s="112">
        <f ca="1">IFERROR(__xludf.DUMMYFUNCTION("""COMPUTED_VALUE"""),41354.7055555555)</f>
        <v>41354.705555555498</v>
      </c>
      <c r="R748" s="111">
        <f ca="1">IFERROR(__xludf.DUMMYFUNCTION("""COMPUTED_VALUE"""),26.8)</f>
        <v>26.8</v>
      </c>
      <c r="S748" s="112">
        <f ca="1">IFERROR(__xludf.DUMMYFUNCTION("""COMPUTED_VALUE"""),41368.7055555555)</f>
        <v>41368.705555555498</v>
      </c>
      <c r="T748" s="111">
        <f ca="1">IFERROR(__xludf.DUMMYFUNCTION("""COMPUTED_VALUE"""),10.78)</f>
        <v>10.78</v>
      </c>
    </row>
    <row r="749" spans="1:20" x14ac:dyDescent="0.3">
      <c r="A749" s="112">
        <f ca="1">IFERROR(__xludf.DUMMYFUNCTION("""COMPUTED_VALUE"""),41366.7055555555)</f>
        <v>41366.705555555498</v>
      </c>
      <c r="B749" s="111">
        <f ca="1">IFERROR(__xludf.DUMMYFUNCTION("""COMPUTED_VALUE"""),6.61)</f>
        <v>6.61</v>
      </c>
      <c r="C749" s="112">
        <f ca="1">IFERROR(__xludf.DUMMYFUNCTION("""COMPUTED_VALUE"""),41373.7055555555)</f>
        <v>41373.705555555498</v>
      </c>
      <c r="D749" s="111">
        <f ca="1">IFERROR(__xludf.DUMMYFUNCTION("""COMPUTED_VALUE"""),17.33)</f>
        <v>17.329999999999998</v>
      </c>
      <c r="E749" s="112">
        <f ca="1">IFERROR(__xludf.DUMMYFUNCTION("""COMPUTED_VALUE"""),41374.7055555555)</f>
        <v>41374.705555555498</v>
      </c>
      <c r="F749" s="111">
        <f ca="1">IFERROR(__xludf.DUMMYFUNCTION("""COMPUTED_VALUE"""),6.71)</f>
        <v>6.71</v>
      </c>
      <c r="G749" s="112">
        <f ca="1">IFERROR(__xludf.DUMMYFUNCTION("""COMPUTED_VALUE"""),41367.7055555555)</f>
        <v>41367.705555555498</v>
      </c>
      <c r="H749" s="111">
        <f ca="1">IFERROR(__xludf.DUMMYFUNCTION("""COMPUTED_VALUE"""),18)</f>
        <v>18</v>
      </c>
      <c r="K749" s="112">
        <f ca="1">IFERROR(__xludf.DUMMYFUNCTION("""COMPUTED_VALUE"""),41817.7055555555)</f>
        <v>41817.705555555498</v>
      </c>
      <c r="L749" s="111">
        <f ca="1">IFERROR(__xludf.DUMMYFUNCTION("""COMPUTED_VALUE"""),0.28)</f>
        <v>0.28000000000000003</v>
      </c>
      <c r="M749" s="112">
        <f ca="1">IFERROR(__xludf.DUMMYFUNCTION("""COMPUTED_VALUE"""),41281.7055555555)</f>
        <v>41281.705555555498</v>
      </c>
      <c r="N749" s="111">
        <f ca="1">IFERROR(__xludf.DUMMYFUNCTION("""COMPUTED_VALUE"""),14.62)</f>
        <v>14.62</v>
      </c>
      <c r="O749" s="112">
        <f ca="1">IFERROR(__xludf.DUMMYFUNCTION("""COMPUTED_VALUE"""),41359.7055555555)</f>
        <v>41359.705555555498</v>
      </c>
      <c r="P749" s="111">
        <f ca="1">IFERROR(__xludf.DUMMYFUNCTION("""COMPUTED_VALUE"""),34.45)</f>
        <v>34.450000000000003</v>
      </c>
      <c r="Q749" s="112">
        <f ca="1">IFERROR(__xludf.DUMMYFUNCTION("""COMPUTED_VALUE"""),41355.7055555555)</f>
        <v>41355.705555555498</v>
      </c>
      <c r="R749" s="111">
        <f ca="1">IFERROR(__xludf.DUMMYFUNCTION("""COMPUTED_VALUE"""),26.6)</f>
        <v>26.6</v>
      </c>
      <c r="S749" s="112">
        <f ca="1">IFERROR(__xludf.DUMMYFUNCTION("""COMPUTED_VALUE"""),41369.7055555555)</f>
        <v>41369.705555555498</v>
      </c>
      <c r="T749" s="111">
        <f ca="1">IFERROR(__xludf.DUMMYFUNCTION("""COMPUTED_VALUE"""),11.02)</f>
        <v>11.02</v>
      </c>
    </row>
    <row r="750" spans="1:20" x14ac:dyDescent="0.3">
      <c r="A750" s="112">
        <f ca="1">IFERROR(__xludf.DUMMYFUNCTION("""COMPUTED_VALUE"""),41367.7055555555)</f>
        <v>41367.705555555498</v>
      </c>
      <c r="B750" s="111">
        <f ca="1">IFERROR(__xludf.DUMMYFUNCTION("""COMPUTED_VALUE"""),6.54)</f>
        <v>6.54</v>
      </c>
      <c r="C750" s="112">
        <f ca="1">IFERROR(__xludf.DUMMYFUNCTION("""COMPUTED_VALUE"""),41374.7055555555)</f>
        <v>41374.705555555498</v>
      </c>
      <c r="D750" s="111">
        <f ca="1">IFERROR(__xludf.DUMMYFUNCTION("""COMPUTED_VALUE"""),17.59)</f>
        <v>17.59</v>
      </c>
      <c r="E750" s="112">
        <f ca="1">IFERROR(__xludf.DUMMYFUNCTION("""COMPUTED_VALUE"""),41375.7055555555)</f>
        <v>41375.705555555498</v>
      </c>
      <c r="F750" s="111">
        <f ca="1">IFERROR(__xludf.DUMMYFUNCTION("""COMPUTED_VALUE"""),6.75)</f>
        <v>6.75</v>
      </c>
      <c r="G750" s="112">
        <f ca="1">IFERROR(__xludf.DUMMYFUNCTION("""COMPUTED_VALUE"""),41368.7055555555)</f>
        <v>41368.705555555498</v>
      </c>
      <c r="H750" s="111">
        <f ca="1">IFERROR(__xludf.DUMMYFUNCTION("""COMPUTED_VALUE"""),17.71)</f>
        <v>17.71</v>
      </c>
      <c r="K750" s="112">
        <f ca="1">IFERROR(__xludf.DUMMYFUNCTION("""COMPUTED_VALUE"""),41820.7055555555)</f>
        <v>41820.705555555498</v>
      </c>
      <c r="L750" s="111">
        <f ca="1">IFERROR(__xludf.DUMMYFUNCTION("""COMPUTED_VALUE"""),0.29)</f>
        <v>0.28999999999999998</v>
      </c>
      <c r="M750" s="112">
        <f ca="1">IFERROR(__xludf.DUMMYFUNCTION("""COMPUTED_VALUE"""),41282.7055555555)</f>
        <v>41282.705555555498</v>
      </c>
      <c r="N750" s="111">
        <f ca="1">IFERROR(__xludf.DUMMYFUNCTION("""COMPUTED_VALUE"""),14.67)</f>
        <v>14.67</v>
      </c>
      <c r="O750" s="112">
        <f ca="1">IFERROR(__xludf.DUMMYFUNCTION("""COMPUTED_VALUE"""),41360.7055555555)</f>
        <v>41360.705555555498</v>
      </c>
      <c r="P750" s="111">
        <f ca="1">IFERROR(__xludf.DUMMYFUNCTION("""COMPUTED_VALUE"""),35.13)</f>
        <v>35.130000000000003</v>
      </c>
      <c r="Q750" s="112">
        <f ca="1">IFERROR(__xludf.DUMMYFUNCTION("""COMPUTED_VALUE"""),41358.7055555555)</f>
        <v>41358.705555555498</v>
      </c>
      <c r="R750" s="111">
        <f ca="1">IFERROR(__xludf.DUMMYFUNCTION("""COMPUTED_VALUE"""),26.31)</f>
        <v>26.31</v>
      </c>
      <c r="S750" s="112">
        <f ca="1">IFERROR(__xludf.DUMMYFUNCTION("""COMPUTED_VALUE"""),41372.7055555555)</f>
        <v>41372.705555555498</v>
      </c>
      <c r="T750" s="111">
        <f ca="1">IFERROR(__xludf.DUMMYFUNCTION("""COMPUTED_VALUE"""),11.19)</f>
        <v>11.19</v>
      </c>
    </row>
    <row r="751" spans="1:20" x14ac:dyDescent="0.3">
      <c r="A751" s="112">
        <f ca="1">IFERROR(__xludf.DUMMYFUNCTION("""COMPUTED_VALUE"""),41368.7055555555)</f>
        <v>41368.705555555498</v>
      </c>
      <c r="B751" s="111">
        <f ca="1">IFERROR(__xludf.DUMMYFUNCTION("""COMPUTED_VALUE"""),6.36)</f>
        <v>6.36</v>
      </c>
      <c r="C751" s="112">
        <f ca="1">IFERROR(__xludf.DUMMYFUNCTION("""COMPUTED_VALUE"""),41375.7055555555)</f>
        <v>41375.705555555498</v>
      </c>
      <c r="D751" s="111">
        <f ca="1">IFERROR(__xludf.DUMMYFUNCTION("""COMPUTED_VALUE"""),17.66)</f>
        <v>17.66</v>
      </c>
      <c r="E751" s="112">
        <f ca="1">IFERROR(__xludf.DUMMYFUNCTION("""COMPUTED_VALUE"""),41376.7055555555)</f>
        <v>41376.705555555498</v>
      </c>
      <c r="F751" s="111">
        <f ca="1">IFERROR(__xludf.DUMMYFUNCTION("""COMPUTED_VALUE"""),6.63)</f>
        <v>6.63</v>
      </c>
      <c r="G751" s="112">
        <f ca="1">IFERROR(__xludf.DUMMYFUNCTION("""COMPUTED_VALUE"""),41369.7055555555)</f>
        <v>41369.705555555498</v>
      </c>
      <c r="H751" s="111">
        <f ca="1">IFERROR(__xludf.DUMMYFUNCTION("""COMPUTED_VALUE"""),17.8)</f>
        <v>17.8</v>
      </c>
      <c r="K751" s="112">
        <f ca="1">IFERROR(__xludf.DUMMYFUNCTION("""COMPUTED_VALUE"""),41821.7055555555)</f>
        <v>41821.705555555498</v>
      </c>
      <c r="L751" s="111">
        <f ca="1">IFERROR(__xludf.DUMMYFUNCTION("""COMPUTED_VALUE"""),0.29)</f>
        <v>0.28999999999999998</v>
      </c>
      <c r="M751" s="112">
        <f ca="1">IFERROR(__xludf.DUMMYFUNCTION("""COMPUTED_VALUE"""),41283.7055555555)</f>
        <v>41283.705555555498</v>
      </c>
      <c r="N751" s="111">
        <f ca="1">IFERROR(__xludf.DUMMYFUNCTION("""COMPUTED_VALUE"""),14.85)</f>
        <v>14.85</v>
      </c>
      <c r="O751" s="112">
        <f ca="1">IFERROR(__xludf.DUMMYFUNCTION("""COMPUTED_VALUE"""),41361.7055555555)</f>
        <v>41361.705555555498</v>
      </c>
      <c r="P751" s="111">
        <f ca="1">IFERROR(__xludf.DUMMYFUNCTION("""COMPUTED_VALUE"""),34.9)</f>
        <v>34.9</v>
      </c>
      <c r="Q751" s="112">
        <f ca="1">IFERROR(__xludf.DUMMYFUNCTION("""COMPUTED_VALUE"""),41359.7055555555)</f>
        <v>41359.705555555498</v>
      </c>
      <c r="R751" s="111">
        <f ca="1">IFERROR(__xludf.DUMMYFUNCTION("""COMPUTED_VALUE"""),26.65)</f>
        <v>26.65</v>
      </c>
      <c r="S751" s="112">
        <f ca="1">IFERROR(__xludf.DUMMYFUNCTION("""COMPUTED_VALUE"""),41373.7055555555)</f>
        <v>41373.705555555498</v>
      </c>
      <c r="T751" s="111">
        <f ca="1">IFERROR(__xludf.DUMMYFUNCTION("""COMPUTED_VALUE"""),11.02)</f>
        <v>11.02</v>
      </c>
    </row>
    <row r="752" spans="1:20" x14ac:dyDescent="0.3">
      <c r="A752" s="112">
        <f ca="1">IFERROR(__xludf.DUMMYFUNCTION("""COMPUTED_VALUE"""),41369.7055555555)</f>
        <v>41369.705555555498</v>
      </c>
      <c r="B752" s="111">
        <f ca="1">IFERROR(__xludf.DUMMYFUNCTION("""COMPUTED_VALUE"""),6.4)</f>
        <v>6.4</v>
      </c>
      <c r="C752" s="112">
        <f ca="1">IFERROR(__xludf.DUMMYFUNCTION("""COMPUTED_VALUE"""),41376.7055555555)</f>
        <v>41376.705555555498</v>
      </c>
      <c r="D752" s="111">
        <f ca="1">IFERROR(__xludf.DUMMYFUNCTION("""COMPUTED_VALUE"""),17.33)</f>
        <v>17.329999999999998</v>
      </c>
      <c r="E752" s="112">
        <f ca="1">IFERROR(__xludf.DUMMYFUNCTION("""COMPUTED_VALUE"""),41379.7055555555)</f>
        <v>41379.705555555498</v>
      </c>
      <c r="F752" s="111">
        <f ca="1">IFERROR(__xludf.DUMMYFUNCTION("""COMPUTED_VALUE"""),6.5)</f>
        <v>6.5</v>
      </c>
      <c r="G752" s="112">
        <f ca="1">IFERROR(__xludf.DUMMYFUNCTION("""COMPUTED_VALUE"""),41372.7055555555)</f>
        <v>41372.705555555498</v>
      </c>
      <c r="H752" s="111">
        <f ca="1">IFERROR(__xludf.DUMMYFUNCTION("""COMPUTED_VALUE"""),17.37)</f>
        <v>17.37</v>
      </c>
      <c r="K752" s="112">
        <f ca="1">IFERROR(__xludf.DUMMYFUNCTION("""COMPUTED_VALUE"""),41822.7055555555)</f>
        <v>41822.705555555498</v>
      </c>
      <c r="L752" s="111">
        <f ca="1">IFERROR(__xludf.DUMMYFUNCTION("""COMPUTED_VALUE"""),0.29)</f>
        <v>0.28999999999999998</v>
      </c>
      <c r="M752" s="112">
        <f ca="1">IFERROR(__xludf.DUMMYFUNCTION("""COMPUTED_VALUE"""),41284.7055555555)</f>
        <v>41284.705555555498</v>
      </c>
      <c r="N752" s="111">
        <f ca="1">IFERROR(__xludf.DUMMYFUNCTION("""COMPUTED_VALUE"""),14.66)</f>
        <v>14.66</v>
      </c>
      <c r="O752" s="112">
        <f ca="1">IFERROR(__xludf.DUMMYFUNCTION("""COMPUTED_VALUE"""),41365.7055555555)</f>
        <v>41365.705555555498</v>
      </c>
      <c r="P752" s="111">
        <f ca="1">IFERROR(__xludf.DUMMYFUNCTION("""COMPUTED_VALUE"""),34)</f>
        <v>34</v>
      </c>
      <c r="Q752" s="112">
        <f ca="1">IFERROR(__xludf.DUMMYFUNCTION("""COMPUTED_VALUE"""),41360.7055555555)</f>
        <v>41360.705555555498</v>
      </c>
      <c r="R752" s="111">
        <f ca="1">IFERROR(__xludf.DUMMYFUNCTION("""COMPUTED_VALUE"""),26.9)</f>
        <v>26.9</v>
      </c>
      <c r="S752" s="112">
        <f ca="1">IFERROR(__xludf.DUMMYFUNCTION("""COMPUTED_VALUE"""),41374.7055555555)</f>
        <v>41374.705555555498</v>
      </c>
      <c r="T752" s="111">
        <f ca="1">IFERROR(__xludf.DUMMYFUNCTION("""COMPUTED_VALUE"""),11.1)</f>
        <v>11.1</v>
      </c>
    </row>
    <row r="753" spans="1:20" x14ac:dyDescent="0.3">
      <c r="A753" s="112">
        <f ca="1">IFERROR(__xludf.DUMMYFUNCTION("""COMPUTED_VALUE"""),41372.7055555555)</f>
        <v>41372.705555555498</v>
      </c>
      <c r="B753" s="111">
        <f ca="1">IFERROR(__xludf.DUMMYFUNCTION("""COMPUTED_VALUE"""),6.23)</f>
        <v>6.23</v>
      </c>
      <c r="C753" s="112">
        <f ca="1">IFERROR(__xludf.DUMMYFUNCTION("""COMPUTED_VALUE"""),41379.7055555555)</f>
        <v>41379.705555555498</v>
      </c>
      <c r="D753" s="111">
        <f ca="1">IFERROR(__xludf.DUMMYFUNCTION("""COMPUTED_VALUE"""),16.95)</f>
        <v>16.95</v>
      </c>
      <c r="E753" s="112">
        <f ca="1">IFERROR(__xludf.DUMMYFUNCTION("""COMPUTED_VALUE"""),41380.7055555555)</f>
        <v>41380.705555555498</v>
      </c>
      <c r="F753" s="111">
        <f ca="1">IFERROR(__xludf.DUMMYFUNCTION("""COMPUTED_VALUE"""),6.63)</f>
        <v>6.63</v>
      </c>
      <c r="G753" s="112">
        <f ca="1">IFERROR(__xludf.DUMMYFUNCTION("""COMPUTED_VALUE"""),41373.7055555555)</f>
        <v>41373.705555555498</v>
      </c>
      <c r="H753" s="111">
        <f ca="1">IFERROR(__xludf.DUMMYFUNCTION("""COMPUTED_VALUE"""),18.15)</f>
        <v>18.149999999999999</v>
      </c>
      <c r="K753" s="112">
        <f ca="1">IFERROR(__xludf.DUMMYFUNCTION("""COMPUTED_VALUE"""),41823.7055555555)</f>
        <v>41823.705555555498</v>
      </c>
      <c r="L753" s="111">
        <f ca="1">IFERROR(__xludf.DUMMYFUNCTION("""COMPUTED_VALUE"""),0.31)</f>
        <v>0.31</v>
      </c>
      <c r="M753" s="112">
        <f ca="1">IFERROR(__xludf.DUMMYFUNCTION("""COMPUTED_VALUE"""),41285.7055555555)</f>
        <v>41285.705555555498</v>
      </c>
      <c r="N753" s="111">
        <f ca="1">IFERROR(__xludf.DUMMYFUNCTION("""COMPUTED_VALUE"""),14.61)</f>
        <v>14.61</v>
      </c>
      <c r="O753" s="112">
        <f ca="1">IFERROR(__xludf.DUMMYFUNCTION("""COMPUTED_VALUE"""),41366.7055555555)</f>
        <v>41366.705555555498</v>
      </c>
      <c r="P753" s="111">
        <f ca="1">IFERROR(__xludf.DUMMYFUNCTION("""COMPUTED_VALUE"""),33.2)</f>
        <v>33.200000000000003</v>
      </c>
      <c r="Q753" s="112">
        <f ca="1">IFERROR(__xludf.DUMMYFUNCTION("""COMPUTED_VALUE"""),41361.7055555555)</f>
        <v>41361.705555555498</v>
      </c>
      <c r="R753" s="111">
        <f ca="1">IFERROR(__xludf.DUMMYFUNCTION("""COMPUTED_VALUE"""),27.45)</f>
        <v>27.45</v>
      </c>
      <c r="S753" s="112">
        <f ca="1">IFERROR(__xludf.DUMMYFUNCTION("""COMPUTED_VALUE"""),41375.7055555555)</f>
        <v>41375.705555555498</v>
      </c>
      <c r="T753" s="111">
        <f ca="1">IFERROR(__xludf.DUMMYFUNCTION("""COMPUTED_VALUE"""),10.94)</f>
        <v>10.94</v>
      </c>
    </row>
    <row r="754" spans="1:20" x14ac:dyDescent="0.3">
      <c r="A754" s="112">
        <f ca="1">IFERROR(__xludf.DUMMYFUNCTION("""COMPUTED_VALUE"""),41373.7055555555)</f>
        <v>41373.705555555498</v>
      </c>
      <c r="B754" s="111">
        <f ca="1">IFERROR(__xludf.DUMMYFUNCTION("""COMPUTED_VALUE"""),6.22)</f>
        <v>6.22</v>
      </c>
      <c r="C754" s="112">
        <f ca="1">IFERROR(__xludf.DUMMYFUNCTION("""COMPUTED_VALUE"""),41380.7055555555)</f>
        <v>41380.705555555498</v>
      </c>
      <c r="D754" s="111">
        <f ca="1">IFERROR(__xludf.DUMMYFUNCTION("""COMPUTED_VALUE"""),17.38)</f>
        <v>17.38</v>
      </c>
      <c r="E754" s="112">
        <f ca="1">IFERROR(__xludf.DUMMYFUNCTION("""COMPUTED_VALUE"""),41381.7055555555)</f>
        <v>41381.705555555498</v>
      </c>
      <c r="F754" s="111">
        <f ca="1">IFERROR(__xludf.DUMMYFUNCTION("""COMPUTED_VALUE"""),6.47)</f>
        <v>6.47</v>
      </c>
      <c r="G754" s="112">
        <f ca="1">IFERROR(__xludf.DUMMYFUNCTION("""COMPUTED_VALUE"""),41374.7055555555)</f>
        <v>41374.705555555498</v>
      </c>
      <c r="H754" s="111">
        <f ca="1">IFERROR(__xludf.DUMMYFUNCTION("""COMPUTED_VALUE"""),18.42)</f>
        <v>18.420000000000002</v>
      </c>
      <c r="K754" s="112">
        <f ca="1">IFERROR(__xludf.DUMMYFUNCTION("""COMPUTED_VALUE"""),41824.7055555555)</f>
        <v>41824.705555555498</v>
      </c>
      <c r="L754" s="111">
        <f ca="1">IFERROR(__xludf.DUMMYFUNCTION("""COMPUTED_VALUE"""),0.3)</f>
        <v>0.3</v>
      </c>
      <c r="M754" s="112">
        <f ca="1">IFERROR(__xludf.DUMMYFUNCTION("""COMPUTED_VALUE"""),41288.7055555555)</f>
        <v>41288.705555555498</v>
      </c>
      <c r="N754" s="111">
        <f ca="1">IFERROR(__xludf.DUMMYFUNCTION("""COMPUTED_VALUE"""),14.85)</f>
        <v>14.85</v>
      </c>
      <c r="O754" s="112">
        <f ca="1">IFERROR(__xludf.DUMMYFUNCTION("""COMPUTED_VALUE"""),41367.7055555555)</f>
        <v>41367.705555555498</v>
      </c>
      <c r="P754" s="111">
        <f ca="1">IFERROR(__xludf.DUMMYFUNCTION("""COMPUTED_VALUE"""),35.35)</f>
        <v>35.35</v>
      </c>
      <c r="Q754" s="112">
        <f ca="1">IFERROR(__xludf.DUMMYFUNCTION("""COMPUTED_VALUE"""),41365.7055555555)</f>
        <v>41365.705555555498</v>
      </c>
      <c r="R754" s="111">
        <f ca="1">IFERROR(__xludf.DUMMYFUNCTION("""COMPUTED_VALUE"""),27.56)</f>
        <v>27.56</v>
      </c>
      <c r="S754" s="112">
        <f ca="1">IFERROR(__xludf.DUMMYFUNCTION("""COMPUTED_VALUE"""),41376.7055555555)</f>
        <v>41376.705555555498</v>
      </c>
      <c r="T754" s="111">
        <f ca="1">IFERROR(__xludf.DUMMYFUNCTION("""COMPUTED_VALUE"""),10.74)</f>
        <v>10.74</v>
      </c>
    </row>
    <row r="755" spans="1:20" x14ac:dyDescent="0.3">
      <c r="A755" s="112">
        <f ca="1">IFERROR(__xludf.DUMMYFUNCTION("""COMPUTED_VALUE"""),41374.7055555555)</f>
        <v>41374.705555555498</v>
      </c>
      <c r="B755" s="111">
        <f ca="1">IFERROR(__xludf.DUMMYFUNCTION("""COMPUTED_VALUE"""),6.18)</f>
        <v>6.18</v>
      </c>
      <c r="C755" s="112">
        <f ca="1">IFERROR(__xludf.DUMMYFUNCTION("""COMPUTED_VALUE"""),41381.7055555555)</f>
        <v>41381.705555555498</v>
      </c>
      <c r="D755" s="111">
        <f ca="1">IFERROR(__xludf.DUMMYFUNCTION("""COMPUTED_VALUE"""),16.95)</f>
        <v>16.95</v>
      </c>
      <c r="E755" s="112">
        <f ca="1">IFERROR(__xludf.DUMMYFUNCTION("""COMPUTED_VALUE"""),41382.7055555555)</f>
        <v>41382.705555555498</v>
      </c>
      <c r="F755" s="111">
        <f ca="1">IFERROR(__xludf.DUMMYFUNCTION("""COMPUTED_VALUE"""),6.25)</f>
        <v>6.25</v>
      </c>
      <c r="G755" s="112">
        <f ca="1">IFERROR(__xludf.DUMMYFUNCTION("""COMPUTED_VALUE"""),41375.7055555555)</f>
        <v>41375.705555555498</v>
      </c>
      <c r="H755" s="111">
        <f ca="1">IFERROR(__xludf.DUMMYFUNCTION("""COMPUTED_VALUE"""),17.99)</f>
        <v>17.989999999999998</v>
      </c>
      <c r="K755" s="112">
        <f ca="1">IFERROR(__xludf.DUMMYFUNCTION("""COMPUTED_VALUE"""),41827.7055555555)</f>
        <v>41827.705555555498</v>
      </c>
      <c r="L755" s="111">
        <f ca="1">IFERROR(__xludf.DUMMYFUNCTION("""COMPUTED_VALUE"""),0.3)</f>
        <v>0.3</v>
      </c>
      <c r="M755" s="112">
        <f ca="1">IFERROR(__xludf.DUMMYFUNCTION("""COMPUTED_VALUE"""),41289.7055555555)</f>
        <v>41289.705555555498</v>
      </c>
      <c r="N755" s="111">
        <f ca="1">IFERROR(__xludf.DUMMYFUNCTION("""COMPUTED_VALUE"""),14.62)</f>
        <v>14.62</v>
      </c>
      <c r="O755" s="112">
        <f ca="1">IFERROR(__xludf.DUMMYFUNCTION("""COMPUTED_VALUE"""),41368.7055555555)</f>
        <v>41368.705555555498</v>
      </c>
      <c r="P755" s="111">
        <f ca="1">IFERROR(__xludf.DUMMYFUNCTION("""COMPUTED_VALUE"""),34.29)</f>
        <v>34.29</v>
      </c>
      <c r="Q755" s="112">
        <f ca="1">IFERROR(__xludf.DUMMYFUNCTION("""COMPUTED_VALUE"""),41366.7055555555)</f>
        <v>41366.705555555498</v>
      </c>
      <c r="R755" s="111">
        <f ca="1">IFERROR(__xludf.DUMMYFUNCTION("""COMPUTED_VALUE"""),27.65)</f>
        <v>27.65</v>
      </c>
      <c r="S755" s="112">
        <f ca="1">IFERROR(__xludf.DUMMYFUNCTION("""COMPUTED_VALUE"""),41379.7055555555)</f>
        <v>41379.705555555498</v>
      </c>
      <c r="T755" s="111">
        <f ca="1">IFERROR(__xludf.DUMMYFUNCTION("""COMPUTED_VALUE"""),10.58)</f>
        <v>10.58</v>
      </c>
    </row>
    <row r="756" spans="1:20" x14ac:dyDescent="0.3">
      <c r="A756" s="112">
        <f ca="1">IFERROR(__xludf.DUMMYFUNCTION("""COMPUTED_VALUE"""),41375.7055555555)</f>
        <v>41375.705555555498</v>
      </c>
      <c r="B756" s="111">
        <f ca="1">IFERROR(__xludf.DUMMYFUNCTION("""COMPUTED_VALUE"""),6.13)</f>
        <v>6.13</v>
      </c>
      <c r="C756" s="112">
        <f ca="1">IFERROR(__xludf.DUMMYFUNCTION("""COMPUTED_VALUE"""),41382.7055555555)</f>
        <v>41382.705555555498</v>
      </c>
      <c r="D756" s="111">
        <f ca="1">IFERROR(__xludf.DUMMYFUNCTION("""COMPUTED_VALUE"""),16.37)</f>
        <v>16.37</v>
      </c>
      <c r="E756" s="112">
        <f ca="1">IFERROR(__xludf.DUMMYFUNCTION("""COMPUTED_VALUE"""),41383.7055555555)</f>
        <v>41383.705555555498</v>
      </c>
      <c r="F756" s="111">
        <f ca="1">IFERROR(__xludf.DUMMYFUNCTION("""COMPUTED_VALUE"""),6.39)</f>
        <v>6.39</v>
      </c>
      <c r="G756" s="112">
        <f ca="1">IFERROR(__xludf.DUMMYFUNCTION("""COMPUTED_VALUE"""),41376.7055555555)</f>
        <v>41376.705555555498</v>
      </c>
      <c r="H756" s="111">
        <f ca="1">IFERROR(__xludf.DUMMYFUNCTION("""COMPUTED_VALUE"""),17.96)</f>
        <v>17.96</v>
      </c>
      <c r="K756" s="112">
        <f ca="1">IFERROR(__xludf.DUMMYFUNCTION("""COMPUTED_VALUE"""),41828.7055555555)</f>
        <v>41828.705555555498</v>
      </c>
      <c r="L756" s="111">
        <f ca="1">IFERROR(__xludf.DUMMYFUNCTION("""COMPUTED_VALUE"""),0.29)</f>
        <v>0.28999999999999998</v>
      </c>
      <c r="M756" s="112">
        <f ca="1">IFERROR(__xludf.DUMMYFUNCTION("""COMPUTED_VALUE"""),41290.7055555555)</f>
        <v>41290.705555555498</v>
      </c>
      <c r="N756" s="111">
        <f ca="1">IFERROR(__xludf.DUMMYFUNCTION("""COMPUTED_VALUE"""),14.7)</f>
        <v>14.7</v>
      </c>
      <c r="O756" s="112">
        <f ca="1">IFERROR(__xludf.DUMMYFUNCTION("""COMPUTED_VALUE"""),41369.7055555555)</f>
        <v>41369.705555555498</v>
      </c>
      <c r="P756" s="111">
        <f ca="1">IFERROR(__xludf.DUMMYFUNCTION("""COMPUTED_VALUE"""),34.56)</f>
        <v>34.56</v>
      </c>
      <c r="Q756" s="112">
        <f ca="1">IFERROR(__xludf.DUMMYFUNCTION("""COMPUTED_VALUE"""),41367.7055555555)</f>
        <v>41367.705555555498</v>
      </c>
      <c r="R756" s="111">
        <f ca="1">IFERROR(__xludf.DUMMYFUNCTION("""COMPUTED_VALUE"""),27.05)</f>
        <v>27.05</v>
      </c>
      <c r="S756" s="112">
        <f ca="1">IFERROR(__xludf.DUMMYFUNCTION("""COMPUTED_VALUE"""),41380.7055555555)</f>
        <v>41380.705555555498</v>
      </c>
      <c r="T756" s="111">
        <f ca="1">IFERROR(__xludf.DUMMYFUNCTION("""COMPUTED_VALUE"""),10.83)</f>
        <v>10.83</v>
      </c>
    </row>
    <row r="757" spans="1:20" x14ac:dyDescent="0.3">
      <c r="A757" s="112">
        <f ca="1">IFERROR(__xludf.DUMMYFUNCTION("""COMPUTED_VALUE"""),41376.7055555555)</f>
        <v>41376.705555555498</v>
      </c>
      <c r="B757" s="111">
        <f ca="1">IFERROR(__xludf.DUMMYFUNCTION("""COMPUTED_VALUE"""),6.01)</f>
        <v>6.01</v>
      </c>
      <c r="C757" s="112">
        <f ca="1">IFERROR(__xludf.DUMMYFUNCTION("""COMPUTED_VALUE"""),41383.7055555555)</f>
        <v>41383.705555555498</v>
      </c>
      <c r="D757" s="111">
        <f ca="1">IFERROR(__xludf.DUMMYFUNCTION("""COMPUTED_VALUE"""),16.72)</f>
        <v>16.72</v>
      </c>
      <c r="E757" s="112">
        <f ca="1">IFERROR(__xludf.DUMMYFUNCTION("""COMPUTED_VALUE"""),41386.7055555555)</f>
        <v>41386.705555555498</v>
      </c>
      <c r="F757" s="111">
        <f ca="1">IFERROR(__xludf.DUMMYFUNCTION("""COMPUTED_VALUE"""),6.37)</f>
        <v>6.37</v>
      </c>
      <c r="G757" s="112">
        <f ca="1">IFERROR(__xludf.DUMMYFUNCTION("""COMPUTED_VALUE"""),41379.7055555555)</f>
        <v>41379.705555555498</v>
      </c>
      <c r="H757" s="111">
        <f ca="1">IFERROR(__xludf.DUMMYFUNCTION("""COMPUTED_VALUE"""),17.23)</f>
        <v>17.23</v>
      </c>
      <c r="K757" s="112">
        <f ca="1">IFERROR(__xludf.DUMMYFUNCTION("""COMPUTED_VALUE"""),41830.7055555555)</f>
        <v>41830.705555555498</v>
      </c>
      <c r="L757" s="111">
        <f ca="1">IFERROR(__xludf.DUMMYFUNCTION("""COMPUTED_VALUE"""),0.29)</f>
        <v>0.28999999999999998</v>
      </c>
      <c r="M757" s="112">
        <f ca="1">IFERROR(__xludf.DUMMYFUNCTION("""COMPUTED_VALUE"""),41291.7055555555)</f>
        <v>41291.705555555498</v>
      </c>
      <c r="N757" s="111">
        <f ca="1">IFERROR(__xludf.DUMMYFUNCTION("""COMPUTED_VALUE"""),14.94)</f>
        <v>14.94</v>
      </c>
      <c r="O757" s="112">
        <f ca="1">IFERROR(__xludf.DUMMYFUNCTION("""COMPUTED_VALUE"""),41372.7055555555)</f>
        <v>41372.705555555498</v>
      </c>
      <c r="P757" s="111">
        <f ca="1">IFERROR(__xludf.DUMMYFUNCTION("""COMPUTED_VALUE"""),34.56)</f>
        <v>34.56</v>
      </c>
      <c r="Q757" s="112">
        <f ca="1">IFERROR(__xludf.DUMMYFUNCTION("""COMPUTED_VALUE"""),41368.7055555555)</f>
        <v>41368.705555555498</v>
      </c>
      <c r="R757" s="111">
        <f ca="1">IFERROR(__xludf.DUMMYFUNCTION("""COMPUTED_VALUE"""),26.46)</f>
        <v>26.46</v>
      </c>
      <c r="S757" s="112">
        <f ca="1">IFERROR(__xludf.DUMMYFUNCTION("""COMPUTED_VALUE"""),41381.7055555555)</f>
        <v>41381.705555555498</v>
      </c>
      <c r="T757" s="111">
        <f ca="1">IFERROR(__xludf.DUMMYFUNCTION("""COMPUTED_VALUE"""),10.8)</f>
        <v>10.8</v>
      </c>
    </row>
    <row r="758" spans="1:20" x14ac:dyDescent="0.3">
      <c r="A758" s="112">
        <f ca="1">IFERROR(__xludf.DUMMYFUNCTION("""COMPUTED_VALUE"""),41379.7055555555)</f>
        <v>41379.705555555498</v>
      </c>
      <c r="B758" s="111">
        <f ca="1">IFERROR(__xludf.DUMMYFUNCTION("""COMPUTED_VALUE"""),5.55)</f>
        <v>5.55</v>
      </c>
      <c r="C758" s="112">
        <f ca="1">IFERROR(__xludf.DUMMYFUNCTION("""COMPUTED_VALUE"""),41386.7055555555)</f>
        <v>41386.705555555498</v>
      </c>
      <c r="D758" s="111">
        <f ca="1">IFERROR(__xludf.DUMMYFUNCTION("""COMPUTED_VALUE"""),16.65)</f>
        <v>16.649999999999999</v>
      </c>
      <c r="E758" s="112">
        <f ca="1">IFERROR(__xludf.DUMMYFUNCTION("""COMPUTED_VALUE"""),41387.7055555555)</f>
        <v>41387.705555555498</v>
      </c>
      <c r="F758" s="111">
        <f ca="1">IFERROR(__xludf.DUMMYFUNCTION("""COMPUTED_VALUE"""),6.41)</f>
        <v>6.41</v>
      </c>
      <c r="G758" s="112">
        <f ca="1">IFERROR(__xludf.DUMMYFUNCTION("""COMPUTED_VALUE"""),41380.7055555555)</f>
        <v>41380.705555555498</v>
      </c>
      <c r="H758" s="111">
        <f ca="1">IFERROR(__xludf.DUMMYFUNCTION("""COMPUTED_VALUE"""),17.7)</f>
        <v>17.7</v>
      </c>
      <c r="K758" s="112">
        <f ca="1">IFERROR(__xludf.DUMMYFUNCTION("""COMPUTED_VALUE"""),41831.7055555555)</f>
        <v>41831.705555555498</v>
      </c>
      <c r="L758" s="111">
        <f ca="1">IFERROR(__xludf.DUMMYFUNCTION("""COMPUTED_VALUE"""),0.29)</f>
        <v>0.28999999999999998</v>
      </c>
      <c r="M758" s="112">
        <f ca="1">IFERROR(__xludf.DUMMYFUNCTION("""COMPUTED_VALUE"""),41292.7055555555)</f>
        <v>41292.705555555498</v>
      </c>
      <c r="N758" s="111">
        <f ca="1">IFERROR(__xludf.DUMMYFUNCTION("""COMPUTED_VALUE"""),14.99)</f>
        <v>14.99</v>
      </c>
      <c r="O758" s="112">
        <f ca="1">IFERROR(__xludf.DUMMYFUNCTION("""COMPUTED_VALUE"""),41373.7055555555)</f>
        <v>41373.705555555498</v>
      </c>
      <c r="P758" s="111">
        <f ca="1">IFERROR(__xludf.DUMMYFUNCTION("""COMPUTED_VALUE"""),36.19)</f>
        <v>36.19</v>
      </c>
      <c r="Q758" s="112">
        <f ca="1">IFERROR(__xludf.DUMMYFUNCTION("""COMPUTED_VALUE"""),41369.7055555555)</f>
        <v>41369.705555555498</v>
      </c>
      <c r="R758" s="111">
        <f ca="1">IFERROR(__xludf.DUMMYFUNCTION("""COMPUTED_VALUE"""),26.58)</f>
        <v>26.58</v>
      </c>
      <c r="S758" s="112">
        <f ca="1">IFERROR(__xludf.DUMMYFUNCTION("""COMPUTED_VALUE"""),41382.7055555555)</f>
        <v>41382.705555555498</v>
      </c>
      <c r="T758" s="111">
        <f ca="1">IFERROR(__xludf.DUMMYFUNCTION("""COMPUTED_VALUE"""),10.51)</f>
        <v>10.51</v>
      </c>
    </row>
    <row r="759" spans="1:20" x14ac:dyDescent="0.3">
      <c r="A759" s="112">
        <f ca="1">IFERROR(__xludf.DUMMYFUNCTION("""COMPUTED_VALUE"""),41380.7055555555)</f>
        <v>41380.705555555498</v>
      </c>
      <c r="B759" s="111">
        <f ca="1">IFERROR(__xludf.DUMMYFUNCTION("""COMPUTED_VALUE"""),5.57)</f>
        <v>5.57</v>
      </c>
      <c r="C759" s="112">
        <f ca="1">IFERROR(__xludf.DUMMYFUNCTION("""COMPUTED_VALUE"""),41387.7055555555)</f>
        <v>41387.705555555498</v>
      </c>
      <c r="D759" s="111">
        <f ca="1">IFERROR(__xludf.DUMMYFUNCTION("""COMPUTED_VALUE"""),16.79)</f>
        <v>16.79</v>
      </c>
      <c r="E759" s="112">
        <f ca="1">IFERROR(__xludf.DUMMYFUNCTION("""COMPUTED_VALUE"""),41388.7055555555)</f>
        <v>41388.705555555498</v>
      </c>
      <c r="F759" s="111">
        <f ca="1">IFERROR(__xludf.DUMMYFUNCTION("""COMPUTED_VALUE"""),6.43)</f>
        <v>6.43</v>
      </c>
      <c r="G759" s="112">
        <f ca="1">IFERROR(__xludf.DUMMYFUNCTION("""COMPUTED_VALUE"""),41381.7055555555)</f>
        <v>41381.705555555498</v>
      </c>
      <c r="H759" s="111">
        <f ca="1">IFERROR(__xludf.DUMMYFUNCTION("""COMPUTED_VALUE"""),17.17)</f>
        <v>17.170000000000002</v>
      </c>
      <c r="K759" s="112">
        <f ca="1">IFERROR(__xludf.DUMMYFUNCTION("""COMPUTED_VALUE"""),41834.7055555555)</f>
        <v>41834.705555555498</v>
      </c>
      <c r="L759" s="111">
        <f ca="1">IFERROR(__xludf.DUMMYFUNCTION("""COMPUTED_VALUE"""),0.29)</f>
        <v>0.28999999999999998</v>
      </c>
      <c r="M759" s="112">
        <f ca="1">IFERROR(__xludf.DUMMYFUNCTION("""COMPUTED_VALUE"""),41295.7055555555)</f>
        <v>41295.705555555498</v>
      </c>
      <c r="N759" s="111">
        <f ca="1">IFERROR(__xludf.DUMMYFUNCTION("""COMPUTED_VALUE"""),14.93)</f>
        <v>14.93</v>
      </c>
      <c r="O759" s="112">
        <f ca="1">IFERROR(__xludf.DUMMYFUNCTION("""COMPUTED_VALUE"""),41374.7055555555)</f>
        <v>41374.705555555498</v>
      </c>
      <c r="P759" s="111">
        <f ca="1">IFERROR(__xludf.DUMMYFUNCTION("""COMPUTED_VALUE"""),35)</f>
        <v>35</v>
      </c>
      <c r="Q759" s="112">
        <f ca="1">IFERROR(__xludf.DUMMYFUNCTION("""COMPUTED_VALUE"""),41372.7055555555)</f>
        <v>41372.705555555498</v>
      </c>
      <c r="R759" s="111">
        <f ca="1">IFERROR(__xludf.DUMMYFUNCTION("""COMPUTED_VALUE"""),26.9)</f>
        <v>26.9</v>
      </c>
      <c r="S759" s="112">
        <f ca="1">IFERROR(__xludf.DUMMYFUNCTION("""COMPUTED_VALUE"""),41383.7055555555)</f>
        <v>41383.705555555498</v>
      </c>
      <c r="T759" s="111">
        <f ca="1">IFERROR(__xludf.DUMMYFUNCTION("""COMPUTED_VALUE"""),10.67)</f>
        <v>10.67</v>
      </c>
    </row>
    <row r="760" spans="1:20" x14ac:dyDescent="0.3">
      <c r="A760" s="112">
        <f ca="1">IFERROR(__xludf.DUMMYFUNCTION("""COMPUTED_VALUE"""),41381.7055555555)</f>
        <v>41381.705555555498</v>
      </c>
      <c r="B760" s="111">
        <f ca="1">IFERROR(__xludf.DUMMYFUNCTION("""COMPUTED_VALUE"""),5.29)</f>
        <v>5.29</v>
      </c>
      <c r="C760" s="112">
        <f ca="1">IFERROR(__xludf.DUMMYFUNCTION("""COMPUTED_VALUE"""),41388.7055555555)</f>
        <v>41388.705555555498</v>
      </c>
      <c r="D760" s="111">
        <f ca="1">IFERROR(__xludf.DUMMYFUNCTION("""COMPUTED_VALUE"""),16.9)</f>
        <v>16.899999999999999</v>
      </c>
      <c r="E760" s="112">
        <f ca="1">IFERROR(__xludf.DUMMYFUNCTION("""COMPUTED_VALUE"""),41389.7055555555)</f>
        <v>41389.705555555498</v>
      </c>
      <c r="F760" s="111">
        <f ca="1">IFERROR(__xludf.DUMMYFUNCTION("""COMPUTED_VALUE"""),6.47)</f>
        <v>6.47</v>
      </c>
      <c r="G760" s="112">
        <f ca="1">IFERROR(__xludf.DUMMYFUNCTION("""COMPUTED_VALUE"""),41382.7055555555)</f>
        <v>41382.705555555498</v>
      </c>
      <c r="H760" s="111">
        <f ca="1">IFERROR(__xludf.DUMMYFUNCTION("""COMPUTED_VALUE"""),17.82)</f>
        <v>17.82</v>
      </c>
      <c r="K760" s="112">
        <f ca="1">IFERROR(__xludf.DUMMYFUNCTION("""COMPUTED_VALUE"""),41835.7055555555)</f>
        <v>41835.705555555498</v>
      </c>
      <c r="L760" s="111">
        <f ca="1">IFERROR(__xludf.DUMMYFUNCTION("""COMPUTED_VALUE"""),0.29)</f>
        <v>0.28999999999999998</v>
      </c>
      <c r="M760" s="112">
        <f ca="1">IFERROR(__xludf.DUMMYFUNCTION("""COMPUTED_VALUE"""),41296.7055555555)</f>
        <v>41296.705555555498</v>
      </c>
      <c r="N760" s="111">
        <f ca="1">IFERROR(__xludf.DUMMYFUNCTION("""COMPUTED_VALUE"""),15.05)</f>
        <v>15.05</v>
      </c>
      <c r="O760" s="112">
        <f ca="1">IFERROR(__xludf.DUMMYFUNCTION("""COMPUTED_VALUE"""),41375.7055555555)</f>
        <v>41375.705555555498</v>
      </c>
      <c r="P760" s="111">
        <f ca="1">IFERROR(__xludf.DUMMYFUNCTION("""COMPUTED_VALUE"""),34.14)</f>
        <v>34.14</v>
      </c>
      <c r="Q760" s="112">
        <f ca="1">IFERROR(__xludf.DUMMYFUNCTION("""COMPUTED_VALUE"""),41373.7055555555)</f>
        <v>41373.705555555498</v>
      </c>
      <c r="R760" s="111">
        <f ca="1">IFERROR(__xludf.DUMMYFUNCTION("""COMPUTED_VALUE"""),27.59)</f>
        <v>27.59</v>
      </c>
      <c r="S760" s="112">
        <f ca="1">IFERROR(__xludf.DUMMYFUNCTION("""COMPUTED_VALUE"""),41386.7055555555)</f>
        <v>41386.705555555498</v>
      </c>
      <c r="T760" s="111">
        <f ca="1">IFERROR(__xludf.DUMMYFUNCTION("""COMPUTED_VALUE"""),10.78)</f>
        <v>10.78</v>
      </c>
    </row>
    <row r="761" spans="1:20" x14ac:dyDescent="0.3">
      <c r="A761" s="112">
        <f ca="1">IFERROR(__xludf.DUMMYFUNCTION("""COMPUTED_VALUE"""),41382.7055555555)</f>
        <v>41382.705555555498</v>
      </c>
      <c r="B761" s="111">
        <f ca="1">IFERROR(__xludf.DUMMYFUNCTION("""COMPUTED_VALUE"""),5.16)</f>
        <v>5.16</v>
      </c>
      <c r="C761" s="112">
        <f ca="1">IFERROR(__xludf.DUMMYFUNCTION("""COMPUTED_VALUE"""),41389.7055555555)</f>
        <v>41389.705555555498</v>
      </c>
      <c r="D761" s="111">
        <f ca="1">IFERROR(__xludf.DUMMYFUNCTION("""COMPUTED_VALUE"""),16.86)</f>
        <v>16.86</v>
      </c>
      <c r="E761" s="112">
        <f ca="1">IFERROR(__xludf.DUMMYFUNCTION("""COMPUTED_VALUE"""),41390.7055555555)</f>
        <v>41390.705555555498</v>
      </c>
      <c r="F761" s="111">
        <f ca="1">IFERROR(__xludf.DUMMYFUNCTION("""COMPUTED_VALUE"""),6.26)</f>
        <v>6.26</v>
      </c>
      <c r="G761" s="112">
        <f ca="1">IFERROR(__xludf.DUMMYFUNCTION("""COMPUTED_VALUE"""),41383.7055555555)</f>
        <v>41383.705555555498</v>
      </c>
      <c r="H761" s="111">
        <f ca="1">IFERROR(__xludf.DUMMYFUNCTION("""COMPUTED_VALUE"""),18.39)</f>
        <v>18.39</v>
      </c>
      <c r="K761" s="112">
        <f ca="1">IFERROR(__xludf.DUMMYFUNCTION("""COMPUTED_VALUE"""),41836.7055555555)</f>
        <v>41836.705555555498</v>
      </c>
      <c r="L761" s="111">
        <f ca="1">IFERROR(__xludf.DUMMYFUNCTION("""COMPUTED_VALUE"""),0.29)</f>
        <v>0.28999999999999998</v>
      </c>
      <c r="M761" s="112">
        <f ca="1">IFERROR(__xludf.DUMMYFUNCTION("""COMPUTED_VALUE"""),41297.7055555555)</f>
        <v>41297.705555555498</v>
      </c>
      <c r="N761" s="111">
        <f ca="1">IFERROR(__xludf.DUMMYFUNCTION("""COMPUTED_VALUE"""),14.84)</f>
        <v>14.84</v>
      </c>
      <c r="O761" s="112">
        <f ca="1">IFERROR(__xludf.DUMMYFUNCTION("""COMPUTED_VALUE"""),41376.7055555555)</f>
        <v>41376.705555555498</v>
      </c>
      <c r="P761" s="111">
        <f ca="1">IFERROR(__xludf.DUMMYFUNCTION("""COMPUTED_VALUE"""),34.58)</f>
        <v>34.58</v>
      </c>
      <c r="Q761" s="112">
        <f ca="1">IFERROR(__xludf.DUMMYFUNCTION("""COMPUTED_VALUE"""),41374.7055555555)</f>
        <v>41374.705555555498</v>
      </c>
      <c r="R761" s="111">
        <f ca="1">IFERROR(__xludf.DUMMYFUNCTION("""COMPUTED_VALUE"""),28.18)</f>
        <v>28.18</v>
      </c>
      <c r="S761" s="112">
        <f ca="1">IFERROR(__xludf.DUMMYFUNCTION("""COMPUTED_VALUE"""),41387.7055555555)</f>
        <v>41387.705555555498</v>
      </c>
      <c r="T761" s="111">
        <f ca="1">IFERROR(__xludf.DUMMYFUNCTION("""COMPUTED_VALUE"""),11.03)</f>
        <v>11.03</v>
      </c>
    </row>
    <row r="762" spans="1:20" x14ac:dyDescent="0.3">
      <c r="A762" s="112">
        <f ca="1">IFERROR(__xludf.DUMMYFUNCTION("""COMPUTED_VALUE"""),41383.7055555555)</f>
        <v>41383.705555555498</v>
      </c>
      <c r="B762" s="111">
        <f ca="1">IFERROR(__xludf.DUMMYFUNCTION("""COMPUTED_VALUE"""),5.22)</f>
        <v>5.22</v>
      </c>
      <c r="C762" s="112">
        <f ca="1">IFERROR(__xludf.DUMMYFUNCTION("""COMPUTED_VALUE"""),41390.7055555555)</f>
        <v>41390.705555555498</v>
      </c>
      <c r="D762" s="111">
        <f ca="1">IFERROR(__xludf.DUMMYFUNCTION("""COMPUTED_VALUE"""),16.37)</f>
        <v>16.37</v>
      </c>
      <c r="E762" s="112">
        <f ca="1">IFERROR(__xludf.DUMMYFUNCTION("""COMPUTED_VALUE"""),41393.7055555555)</f>
        <v>41393.705555555498</v>
      </c>
      <c r="F762" s="111">
        <f ca="1">IFERROR(__xludf.DUMMYFUNCTION("""COMPUTED_VALUE"""),6.24)</f>
        <v>6.24</v>
      </c>
      <c r="G762" s="112">
        <f ca="1">IFERROR(__xludf.DUMMYFUNCTION("""COMPUTED_VALUE"""),41386.7055555555)</f>
        <v>41386.705555555498</v>
      </c>
      <c r="H762" s="111">
        <f ca="1">IFERROR(__xludf.DUMMYFUNCTION("""COMPUTED_VALUE"""),18.79)</f>
        <v>18.79</v>
      </c>
      <c r="K762" s="112">
        <f ca="1">IFERROR(__xludf.DUMMYFUNCTION("""COMPUTED_VALUE"""),41837.7055555555)</f>
        <v>41837.705555555498</v>
      </c>
      <c r="L762" s="111">
        <f ca="1">IFERROR(__xludf.DUMMYFUNCTION("""COMPUTED_VALUE"""),0.28)</f>
        <v>0.28000000000000003</v>
      </c>
      <c r="M762" s="112">
        <f ca="1">IFERROR(__xludf.DUMMYFUNCTION("""COMPUTED_VALUE"""),41298.7055555555)</f>
        <v>41298.705555555498</v>
      </c>
      <c r="N762" s="111">
        <f ca="1">IFERROR(__xludf.DUMMYFUNCTION("""COMPUTED_VALUE"""),14.8)</f>
        <v>14.8</v>
      </c>
      <c r="O762" s="112">
        <f ca="1">IFERROR(__xludf.DUMMYFUNCTION("""COMPUTED_VALUE"""),41379.7055555555)</f>
        <v>41379.705555555498</v>
      </c>
      <c r="P762" s="111">
        <f ca="1">IFERROR(__xludf.DUMMYFUNCTION("""COMPUTED_VALUE"""),32.46)</f>
        <v>32.46</v>
      </c>
      <c r="Q762" s="112">
        <f ca="1">IFERROR(__xludf.DUMMYFUNCTION("""COMPUTED_VALUE"""),41375.7055555555)</f>
        <v>41375.705555555498</v>
      </c>
      <c r="R762" s="111">
        <f ca="1">IFERROR(__xludf.DUMMYFUNCTION("""COMPUTED_VALUE"""),28.32)</f>
        <v>28.32</v>
      </c>
      <c r="S762" s="112">
        <f ca="1">IFERROR(__xludf.DUMMYFUNCTION("""COMPUTED_VALUE"""),41388.7055555555)</f>
        <v>41388.705555555498</v>
      </c>
      <c r="T762" s="111">
        <f ca="1">IFERROR(__xludf.DUMMYFUNCTION("""COMPUTED_VALUE"""),11.23)</f>
        <v>11.23</v>
      </c>
    </row>
    <row r="763" spans="1:20" x14ac:dyDescent="0.3">
      <c r="A763" s="112">
        <f ca="1">IFERROR(__xludf.DUMMYFUNCTION("""COMPUTED_VALUE"""),41386.7055555555)</f>
        <v>41386.705555555498</v>
      </c>
      <c r="B763" s="111">
        <f ca="1">IFERROR(__xludf.DUMMYFUNCTION("""COMPUTED_VALUE"""),5.37)</f>
        <v>5.37</v>
      </c>
      <c r="C763" s="112">
        <f ca="1">IFERROR(__xludf.DUMMYFUNCTION("""COMPUTED_VALUE"""),41393.7055555555)</f>
        <v>41393.705555555498</v>
      </c>
      <c r="D763" s="111">
        <f ca="1">IFERROR(__xludf.DUMMYFUNCTION("""COMPUTED_VALUE"""),16.45)</f>
        <v>16.45</v>
      </c>
      <c r="E763" s="112">
        <f ca="1">IFERROR(__xludf.DUMMYFUNCTION("""COMPUTED_VALUE"""),41394.7055555555)</f>
        <v>41394.705555555498</v>
      </c>
      <c r="F763" s="111">
        <f ca="1">IFERROR(__xludf.DUMMYFUNCTION("""COMPUTED_VALUE"""),6.48)</f>
        <v>6.48</v>
      </c>
      <c r="G763" s="112">
        <f ca="1">IFERROR(__xludf.DUMMYFUNCTION("""COMPUTED_VALUE"""),41387.7055555555)</f>
        <v>41387.705555555498</v>
      </c>
      <c r="H763" s="111">
        <f ca="1">IFERROR(__xludf.DUMMYFUNCTION("""COMPUTED_VALUE"""),19.12)</f>
        <v>19.12</v>
      </c>
      <c r="K763" s="112">
        <f ca="1">IFERROR(__xludf.DUMMYFUNCTION("""COMPUTED_VALUE"""),41838.7055555555)</f>
        <v>41838.705555555498</v>
      </c>
      <c r="L763" s="111">
        <f ca="1">IFERROR(__xludf.DUMMYFUNCTION("""COMPUTED_VALUE"""),0.28)</f>
        <v>0.28000000000000003</v>
      </c>
      <c r="M763" s="112">
        <f ca="1">IFERROR(__xludf.DUMMYFUNCTION("""COMPUTED_VALUE"""),41302.7055555555)</f>
        <v>41302.705555555498</v>
      </c>
      <c r="N763" s="111">
        <f ca="1">IFERROR(__xludf.DUMMYFUNCTION("""COMPUTED_VALUE"""),14.35)</f>
        <v>14.35</v>
      </c>
      <c r="O763" s="112">
        <f ca="1">IFERROR(__xludf.DUMMYFUNCTION("""COMPUTED_VALUE"""),41380.7055555555)</f>
        <v>41380.705555555498</v>
      </c>
      <c r="P763" s="111">
        <f ca="1">IFERROR(__xludf.DUMMYFUNCTION("""COMPUTED_VALUE"""),32.33)</f>
        <v>32.33</v>
      </c>
      <c r="Q763" s="112">
        <f ca="1">IFERROR(__xludf.DUMMYFUNCTION("""COMPUTED_VALUE"""),41376.7055555555)</f>
        <v>41376.705555555498</v>
      </c>
      <c r="R763" s="111">
        <f ca="1">IFERROR(__xludf.DUMMYFUNCTION("""COMPUTED_VALUE"""),28.35)</f>
        <v>28.35</v>
      </c>
      <c r="S763" s="112">
        <f ca="1">IFERROR(__xludf.DUMMYFUNCTION("""COMPUTED_VALUE"""),41389.7055555555)</f>
        <v>41389.705555555498</v>
      </c>
      <c r="T763" s="111">
        <f ca="1">IFERROR(__xludf.DUMMYFUNCTION("""COMPUTED_VALUE"""),11.12)</f>
        <v>11.12</v>
      </c>
    </row>
    <row r="764" spans="1:20" x14ac:dyDescent="0.3">
      <c r="A764" s="112">
        <f ca="1">IFERROR(__xludf.DUMMYFUNCTION("""COMPUTED_VALUE"""),41387.7055555555)</f>
        <v>41387.705555555498</v>
      </c>
      <c r="B764" s="111">
        <f ca="1">IFERROR(__xludf.DUMMYFUNCTION("""COMPUTED_VALUE"""),5.44)</f>
        <v>5.44</v>
      </c>
      <c r="C764" s="112">
        <f ca="1">IFERROR(__xludf.DUMMYFUNCTION("""COMPUTED_VALUE"""),41394.7055555555)</f>
        <v>41394.705555555498</v>
      </c>
      <c r="D764" s="111">
        <f ca="1">IFERROR(__xludf.DUMMYFUNCTION("""COMPUTED_VALUE"""),16.86)</f>
        <v>16.86</v>
      </c>
      <c r="E764" s="112">
        <f ca="1">IFERROR(__xludf.DUMMYFUNCTION("""COMPUTED_VALUE"""),41396.7055555555)</f>
        <v>41396.705555555498</v>
      </c>
      <c r="F764" s="111">
        <f ca="1">IFERROR(__xludf.DUMMYFUNCTION("""COMPUTED_VALUE"""),5.83)</f>
        <v>5.83</v>
      </c>
      <c r="G764" s="112">
        <f ca="1">IFERROR(__xludf.DUMMYFUNCTION("""COMPUTED_VALUE"""),41388.7055555555)</f>
        <v>41388.705555555498</v>
      </c>
      <c r="H764" s="111">
        <f ca="1">IFERROR(__xludf.DUMMYFUNCTION("""COMPUTED_VALUE"""),19.44)</f>
        <v>19.440000000000001</v>
      </c>
      <c r="K764" s="112">
        <f ca="1">IFERROR(__xludf.DUMMYFUNCTION("""COMPUTED_VALUE"""),41841.7055555555)</f>
        <v>41841.705555555498</v>
      </c>
      <c r="L764" s="111">
        <f ca="1">IFERROR(__xludf.DUMMYFUNCTION("""COMPUTED_VALUE"""),0.28)</f>
        <v>0.28000000000000003</v>
      </c>
      <c r="M764" s="112">
        <f ca="1">IFERROR(__xludf.DUMMYFUNCTION("""COMPUTED_VALUE"""),41303.7055555555)</f>
        <v>41303.705555555498</v>
      </c>
      <c r="N764" s="111">
        <f ca="1">IFERROR(__xludf.DUMMYFUNCTION("""COMPUTED_VALUE"""),14.18)</f>
        <v>14.18</v>
      </c>
      <c r="O764" s="112">
        <f ca="1">IFERROR(__xludf.DUMMYFUNCTION("""COMPUTED_VALUE"""),41381.7055555555)</f>
        <v>41381.705555555498</v>
      </c>
      <c r="P764" s="111">
        <f ca="1">IFERROR(__xludf.DUMMYFUNCTION("""COMPUTED_VALUE"""),32.46)</f>
        <v>32.46</v>
      </c>
      <c r="Q764" s="112">
        <f ca="1">IFERROR(__xludf.DUMMYFUNCTION("""COMPUTED_VALUE"""),41379.7055555555)</f>
        <v>41379.705555555498</v>
      </c>
      <c r="R764" s="111">
        <f ca="1">IFERROR(__xludf.DUMMYFUNCTION("""COMPUTED_VALUE"""),27.85)</f>
        <v>27.85</v>
      </c>
      <c r="S764" s="112">
        <f ca="1">IFERROR(__xludf.DUMMYFUNCTION("""COMPUTED_VALUE"""),41390.7055555555)</f>
        <v>41390.705555555498</v>
      </c>
      <c r="T764" s="111">
        <f ca="1">IFERROR(__xludf.DUMMYFUNCTION("""COMPUTED_VALUE"""),11)</f>
        <v>11</v>
      </c>
    </row>
    <row r="765" spans="1:20" x14ac:dyDescent="0.3">
      <c r="A765" s="112">
        <f ca="1">IFERROR(__xludf.DUMMYFUNCTION("""COMPUTED_VALUE"""),41388.7055555555)</f>
        <v>41388.705555555498</v>
      </c>
      <c r="B765" s="111">
        <f ca="1">IFERROR(__xludf.DUMMYFUNCTION("""COMPUTED_VALUE"""),5.42)</f>
        <v>5.42</v>
      </c>
      <c r="C765" s="112">
        <f ca="1">IFERROR(__xludf.DUMMYFUNCTION("""COMPUTED_VALUE"""),41396.7055555555)</f>
        <v>41396.705555555498</v>
      </c>
      <c r="D765" s="111">
        <f ca="1">IFERROR(__xludf.DUMMYFUNCTION("""COMPUTED_VALUE"""),16.69)</f>
        <v>16.690000000000001</v>
      </c>
      <c r="E765" s="112">
        <f ca="1">IFERROR(__xludf.DUMMYFUNCTION("""COMPUTED_VALUE"""),41397.7055555555)</f>
        <v>41397.705555555498</v>
      </c>
      <c r="F765" s="111">
        <f ca="1">IFERROR(__xludf.DUMMYFUNCTION("""COMPUTED_VALUE"""),5.9)</f>
        <v>5.9</v>
      </c>
      <c r="G765" s="112">
        <f ca="1">IFERROR(__xludf.DUMMYFUNCTION("""COMPUTED_VALUE"""),41389.7055555555)</f>
        <v>41389.705555555498</v>
      </c>
      <c r="H765" s="111">
        <f ca="1">IFERROR(__xludf.DUMMYFUNCTION("""COMPUTED_VALUE"""),19.17)</f>
        <v>19.170000000000002</v>
      </c>
      <c r="K765" s="112">
        <f ca="1">IFERROR(__xludf.DUMMYFUNCTION("""COMPUTED_VALUE"""),41842.7055555555)</f>
        <v>41842.705555555498</v>
      </c>
      <c r="L765" s="111">
        <f ca="1">IFERROR(__xludf.DUMMYFUNCTION("""COMPUTED_VALUE"""),0.28)</f>
        <v>0.28000000000000003</v>
      </c>
      <c r="M765" s="112">
        <f ca="1">IFERROR(__xludf.DUMMYFUNCTION("""COMPUTED_VALUE"""),41304.7055555555)</f>
        <v>41304.705555555498</v>
      </c>
      <c r="N765" s="111">
        <f ca="1">IFERROR(__xludf.DUMMYFUNCTION("""COMPUTED_VALUE"""),14.04)</f>
        <v>14.04</v>
      </c>
      <c r="O765" s="112">
        <f ca="1">IFERROR(__xludf.DUMMYFUNCTION("""COMPUTED_VALUE"""),41382.7055555555)</f>
        <v>41382.705555555498</v>
      </c>
      <c r="P765" s="111">
        <f ca="1">IFERROR(__xludf.DUMMYFUNCTION("""COMPUTED_VALUE"""),31.9)</f>
        <v>31.9</v>
      </c>
      <c r="Q765" s="112">
        <f ca="1">IFERROR(__xludf.DUMMYFUNCTION("""COMPUTED_VALUE"""),41380.7055555555)</f>
        <v>41380.705555555498</v>
      </c>
      <c r="R765" s="111">
        <f ca="1">IFERROR(__xludf.DUMMYFUNCTION("""COMPUTED_VALUE"""),28.15)</f>
        <v>28.15</v>
      </c>
      <c r="S765" s="112">
        <f ca="1">IFERROR(__xludf.DUMMYFUNCTION("""COMPUTED_VALUE"""),41393.7055555555)</f>
        <v>41393.705555555498</v>
      </c>
      <c r="T765" s="111">
        <f ca="1">IFERROR(__xludf.DUMMYFUNCTION("""COMPUTED_VALUE"""),11.2)</f>
        <v>11.2</v>
      </c>
    </row>
    <row r="766" spans="1:20" x14ac:dyDescent="0.3">
      <c r="A766" s="112">
        <f ca="1">IFERROR(__xludf.DUMMYFUNCTION("""COMPUTED_VALUE"""),41389.7055555555)</f>
        <v>41389.705555555498</v>
      </c>
      <c r="B766" s="111">
        <f ca="1">IFERROR(__xludf.DUMMYFUNCTION("""COMPUTED_VALUE"""),5.33)</f>
        <v>5.33</v>
      </c>
      <c r="C766" s="112">
        <f ca="1">IFERROR(__xludf.DUMMYFUNCTION("""COMPUTED_VALUE"""),41397.7055555555)</f>
        <v>41397.705555555498</v>
      </c>
      <c r="D766" s="111">
        <f ca="1">IFERROR(__xludf.DUMMYFUNCTION("""COMPUTED_VALUE"""),16.87)</f>
        <v>16.87</v>
      </c>
      <c r="E766" s="112">
        <f ca="1">IFERROR(__xludf.DUMMYFUNCTION("""COMPUTED_VALUE"""),41400.7055555555)</f>
        <v>41400.705555555498</v>
      </c>
      <c r="F766" s="111">
        <f ca="1">IFERROR(__xludf.DUMMYFUNCTION("""COMPUTED_VALUE"""),5.9)</f>
        <v>5.9</v>
      </c>
      <c r="G766" s="112">
        <f ca="1">IFERROR(__xludf.DUMMYFUNCTION("""COMPUTED_VALUE"""),41390.7055555555)</f>
        <v>41390.705555555498</v>
      </c>
      <c r="H766" s="111">
        <f ca="1">IFERROR(__xludf.DUMMYFUNCTION("""COMPUTED_VALUE"""),19.56)</f>
        <v>19.559999999999999</v>
      </c>
      <c r="K766" s="112">
        <f ca="1">IFERROR(__xludf.DUMMYFUNCTION("""COMPUTED_VALUE"""),41843.7055555555)</f>
        <v>41843.705555555498</v>
      </c>
      <c r="L766" s="111">
        <f ca="1">IFERROR(__xludf.DUMMYFUNCTION("""COMPUTED_VALUE"""),0.28)</f>
        <v>0.28000000000000003</v>
      </c>
      <c r="M766" s="112">
        <f ca="1">IFERROR(__xludf.DUMMYFUNCTION("""COMPUTED_VALUE"""),41305.7055555555)</f>
        <v>41305.705555555498</v>
      </c>
      <c r="N766" s="111">
        <f ca="1">IFERROR(__xludf.DUMMYFUNCTION("""COMPUTED_VALUE"""),14.35)</f>
        <v>14.35</v>
      </c>
      <c r="O766" s="112">
        <f ca="1">IFERROR(__xludf.DUMMYFUNCTION("""COMPUTED_VALUE"""),41383.7055555555)</f>
        <v>41383.705555555498</v>
      </c>
      <c r="P766" s="111">
        <f ca="1">IFERROR(__xludf.DUMMYFUNCTION("""COMPUTED_VALUE"""),32.11)</f>
        <v>32.11</v>
      </c>
      <c r="Q766" s="112">
        <f ca="1">IFERROR(__xludf.DUMMYFUNCTION("""COMPUTED_VALUE"""),41381.7055555555)</f>
        <v>41381.705555555498</v>
      </c>
      <c r="R766" s="111">
        <f ca="1">IFERROR(__xludf.DUMMYFUNCTION("""COMPUTED_VALUE"""),27.6)</f>
        <v>27.6</v>
      </c>
      <c r="S766" s="112">
        <f ca="1">IFERROR(__xludf.DUMMYFUNCTION("""COMPUTED_VALUE"""),41394.7055555555)</f>
        <v>41394.705555555498</v>
      </c>
      <c r="T766" s="111">
        <f ca="1">IFERROR(__xludf.DUMMYFUNCTION("""COMPUTED_VALUE"""),11.51)</f>
        <v>11.51</v>
      </c>
    </row>
    <row r="767" spans="1:20" x14ac:dyDescent="0.3">
      <c r="A767" s="112">
        <f ca="1">IFERROR(__xludf.DUMMYFUNCTION("""COMPUTED_VALUE"""),41390.7055555555)</f>
        <v>41390.705555555498</v>
      </c>
      <c r="B767" s="111">
        <f ca="1">IFERROR(__xludf.DUMMYFUNCTION("""COMPUTED_VALUE"""),5.2)</f>
        <v>5.2</v>
      </c>
      <c r="C767" s="112">
        <f ca="1">IFERROR(__xludf.DUMMYFUNCTION("""COMPUTED_VALUE"""),41400.7055555555)</f>
        <v>41400.705555555498</v>
      </c>
      <c r="D767" s="111">
        <f ca="1">IFERROR(__xludf.DUMMYFUNCTION("""COMPUTED_VALUE"""),16.81)</f>
        <v>16.809999999999999</v>
      </c>
      <c r="E767" s="112">
        <f ca="1">IFERROR(__xludf.DUMMYFUNCTION("""COMPUTED_VALUE"""),41401.7055555555)</f>
        <v>41401.705555555498</v>
      </c>
      <c r="F767" s="111">
        <f ca="1">IFERROR(__xludf.DUMMYFUNCTION("""COMPUTED_VALUE"""),6)</f>
        <v>6</v>
      </c>
      <c r="G767" s="112">
        <f ca="1">IFERROR(__xludf.DUMMYFUNCTION("""COMPUTED_VALUE"""),41393.7055555555)</f>
        <v>41393.705555555498</v>
      </c>
      <c r="H767" s="111">
        <f ca="1">IFERROR(__xludf.DUMMYFUNCTION("""COMPUTED_VALUE"""),20.42)</f>
        <v>20.420000000000002</v>
      </c>
      <c r="K767" s="112">
        <f ca="1">IFERROR(__xludf.DUMMYFUNCTION("""COMPUTED_VALUE"""),41844.7055555555)</f>
        <v>41844.705555555498</v>
      </c>
      <c r="L767" s="111">
        <f ca="1">IFERROR(__xludf.DUMMYFUNCTION("""COMPUTED_VALUE"""),0.29)</f>
        <v>0.28999999999999998</v>
      </c>
      <c r="M767" s="112">
        <f ca="1">IFERROR(__xludf.DUMMYFUNCTION("""COMPUTED_VALUE"""),41306.7055555555)</f>
        <v>41306.705555555498</v>
      </c>
      <c r="N767" s="111">
        <f ca="1">IFERROR(__xludf.DUMMYFUNCTION("""COMPUTED_VALUE"""),14.27)</f>
        <v>14.27</v>
      </c>
      <c r="O767" s="112">
        <f ca="1">IFERROR(__xludf.DUMMYFUNCTION("""COMPUTED_VALUE"""),41386.7055555555)</f>
        <v>41386.705555555498</v>
      </c>
      <c r="P767" s="111">
        <f ca="1">IFERROR(__xludf.DUMMYFUNCTION("""COMPUTED_VALUE"""),32.39)</f>
        <v>32.39</v>
      </c>
      <c r="Q767" s="112">
        <f ca="1">IFERROR(__xludf.DUMMYFUNCTION("""COMPUTED_VALUE"""),41382.7055555555)</f>
        <v>41382.705555555498</v>
      </c>
      <c r="R767" s="111">
        <f ca="1">IFERROR(__xludf.DUMMYFUNCTION("""COMPUTED_VALUE"""),26.83)</f>
        <v>26.83</v>
      </c>
      <c r="S767" s="112">
        <f ca="1">IFERROR(__xludf.DUMMYFUNCTION("""COMPUTED_VALUE"""),41396.7055555555)</f>
        <v>41396.705555555498</v>
      </c>
      <c r="T767" s="111">
        <f ca="1">IFERROR(__xludf.DUMMYFUNCTION("""COMPUTED_VALUE"""),11.35)</f>
        <v>11.35</v>
      </c>
    </row>
    <row r="768" spans="1:20" x14ac:dyDescent="0.3">
      <c r="A768" s="112">
        <f ca="1">IFERROR(__xludf.DUMMYFUNCTION("""COMPUTED_VALUE"""),41393.7055555555)</f>
        <v>41393.705555555498</v>
      </c>
      <c r="B768" s="111">
        <f ca="1">IFERROR(__xludf.DUMMYFUNCTION("""COMPUTED_VALUE"""),5.24)</f>
        <v>5.24</v>
      </c>
      <c r="C768" s="112">
        <f ca="1">IFERROR(__xludf.DUMMYFUNCTION("""COMPUTED_VALUE"""),41401.7055555555)</f>
        <v>41401.705555555498</v>
      </c>
      <c r="D768" s="111">
        <f ca="1">IFERROR(__xludf.DUMMYFUNCTION("""COMPUTED_VALUE"""),17.35)</f>
        <v>17.350000000000001</v>
      </c>
      <c r="E768" s="112">
        <f ca="1">IFERROR(__xludf.DUMMYFUNCTION("""COMPUTED_VALUE"""),41402.7055555555)</f>
        <v>41402.705555555498</v>
      </c>
      <c r="F768" s="111">
        <f ca="1">IFERROR(__xludf.DUMMYFUNCTION("""COMPUTED_VALUE"""),6.07)</f>
        <v>6.07</v>
      </c>
      <c r="G768" s="112">
        <f ca="1">IFERROR(__xludf.DUMMYFUNCTION("""COMPUTED_VALUE"""),41394.7055555555)</f>
        <v>41394.705555555498</v>
      </c>
      <c r="H768" s="111">
        <f ca="1">IFERROR(__xludf.DUMMYFUNCTION("""COMPUTED_VALUE"""),20.09)</f>
        <v>20.09</v>
      </c>
      <c r="K768" s="112">
        <f ca="1">IFERROR(__xludf.DUMMYFUNCTION("""COMPUTED_VALUE"""),41845.7055555555)</f>
        <v>41845.705555555498</v>
      </c>
      <c r="L768" s="111">
        <f ca="1">IFERROR(__xludf.DUMMYFUNCTION("""COMPUTED_VALUE"""),0.28)</f>
        <v>0.28000000000000003</v>
      </c>
      <c r="M768" s="112">
        <f ca="1">IFERROR(__xludf.DUMMYFUNCTION("""COMPUTED_VALUE"""),41309.7055555555)</f>
        <v>41309.705555555498</v>
      </c>
      <c r="N768" s="111">
        <f ca="1">IFERROR(__xludf.DUMMYFUNCTION("""COMPUTED_VALUE"""),14.07)</f>
        <v>14.07</v>
      </c>
      <c r="O768" s="112">
        <f ca="1">IFERROR(__xludf.DUMMYFUNCTION("""COMPUTED_VALUE"""),41387.7055555555)</f>
        <v>41387.705555555498</v>
      </c>
      <c r="P768" s="111">
        <f ca="1">IFERROR(__xludf.DUMMYFUNCTION("""COMPUTED_VALUE"""),33.37)</f>
        <v>33.369999999999997</v>
      </c>
      <c r="Q768" s="112">
        <f ca="1">IFERROR(__xludf.DUMMYFUNCTION("""COMPUTED_VALUE"""),41383.7055555555)</f>
        <v>41383.705555555498</v>
      </c>
      <c r="R768" s="111">
        <f ca="1">IFERROR(__xludf.DUMMYFUNCTION("""COMPUTED_VALUE"""),26.54)</f>
        <v>26.54</v>
      </c>
      <c r="S768" s="112">
        <f ca="1">IFERROR(__xludf.DUMMYFUNCTION("""COMPUTED_VALUE"""),41397.7055555555)</f>
        <v>41397.705555555498</v>
      </c>
      <c r="T768" s="111">
        <f ca="1">IFERROR(__xludf.DUMMYFUNCTION("""COMPUTED_VALUE"""),11.13)</f>
        <v>11.13</v>
      </c>
    </row>
    <row r="769" spans="1:20" x14ac:dyDescent="0.3">
      <c r="A769" s="112">
        <f ca="1">IFERROR(__xludf.DUMMYFUNCTION("""COMPUTED_VALUE"""),41394.7055555555)</f>
        <v>41394.705555555498</v>
      </c>
      <c r="B769" s="111">
        <f ca="1">IFERROR(__xludf.DUMMYFUNCTION("""COMPUTED_VALUE"""),5.38)</f>
        <v>5.38</v>
      </c>
      <c r="C769" s="112">
        <f ca="1">IFERROR(__xludf.DUMMYFUNCTION("""COMPUTED_VALUE"""),41402.7055555555)</f>
        <v>41402.705555555498</v>
      </c>
      <c r="D769" s="111">
        <f ca="1">IFERROR(__xludf.DUMMYFUNCTION("""COMPUTED_VALUE"""),17.53)</f>
        <v>17.53</v>
      </c>
      <c r="E769" s="112">
        <f ca="1">IFERROR(__xludf.DUMMYFUNCTION("""COMPUTED_VALUE"""),41403.7055555555)</f>
        <v>41403.705555555498</v>
      </c>
      <c r="F769" s="111">
        <f ca="1">IFERROR(__xludf.DUMMYFUNCTION("""COMPUTED_VALUE"""),6.04)</f>
        <v>6.04</v>
      </c>
      <c r="G769" s="112">
        <f ca="1">IFERROR(__xludf.DUMMYFUNCTION("""COMPUTED_VALUE"""),41396.7055555555)</f>
        <v>41396.705555555498</v>
      </c>
      <c r="H769" s="111">
        <f ca="1">IFERROR(__xludf.DUMMYFUNCTION("""COMPUTED_VALUE"""),20.25)</f>
        <v>20.25</v>
      </c>
      <c r="K769" s="112">
        <f ca="1">IFERROR(__xludf.DUMMYFUNCTION("""COMPUTED_VALUE"""),41848.7055555555)</f>
        <v>41848.705555555498</v>
      </c>
      <c r="L769" s="111">
        <f ca="1">IFERROR(__xludf.DUMMYFUNCTION("""COMPUTED_VALUE"""),0.28)</f>
        <v>0.28000000000000003</v>
      </c>
      <c r="M769" s="112">
        <f ca="1">IFERROR(__xludf.DUMMYFUNCTION("""COMPUTED_VALUE"""),41310.7055555555)</f>
        <v>41310.705555555498</v>
      </c>
      <c r="N769" s="111">
        <f ca="1">IFERROR(__xludf.DUMMYFUNCTION("""COMPUTED_VALUE"""),14.06)</f>
        <v>14.06</v>
      </c>
      <c r="O769" s="112">
        <f ca="1">IFERROR(__xludf.DUMMYFUNCTION("""COMPUTED_VALUE"""),41388.7055555555)</f>
        <v>41388.705555555498</v>
      </c>
      <c r="P769" s="111">
        <f ca="1">IFERROR(__xludf.DUMMYFUNCTION("""COMPUTED_VALUE"""),34)</f>
        <v>34</v>
      </c>
      <c r="Q769" s="112">
        <f ca="1">IFERROR(__xludf.DUMMYFUNCTION("""COMPUTED_VALUE"""),41386.7055555555)</f>
        <v>41386.705555555498</v>
      </c>
      <c r="R769" s="111">
        <f ca="1">IFERROR(__xludf.DUMMYFUNCTION("""COMPUTED_VALUE"""),26.61)</f>
        <v>26.61</v>
      </c>
      <c r="S769" s="112">
        <f ca="1">IFERROR(__xludf.DUMMYFUNCTION("""COMPUTED_VALUE"""),41400.7055555555)</f>
        <v>41400.705555555498</v>
      </c>
      <c r="T769" s="111">
        <f ca="1">IFERROR(__xludf.DUMMYFUNCTION("""COMPUTED_VALUE"""),11.19)</f>
        <v>11.19</v>
      </c>
    </row>
    <row r="770" spans="1:20" x14ac:dyDescent="0.3">
      <c r="A770" s="112">
        <f ca="1">IFERROR(__xludf.DUMMYFUNCTION("""COMPUTED_VALUE"""),41396.7055555555)</f>
        <v>41396.705555555498</v>
      </c>
      <c r="B770" s="111">
        <f ca="1">IFERROR(__xludf.DUMMYFUNCTION("""COMPUTED_VALUE"""),5.09)</f>
        <v>5.09</v>
      </c>
      <c r="C770" s="112">
        <f ca="1">IFERROR(__xludf.DUMMYFUNCTION("""COMPUTED_VALUE"""),41403.7055555555)</f>
        <v>41403.705555555498</v>
      </c>
      <c r="D770" s="111">
        <f ca="1">IFERROR(__xludf.DUMMYFUNCTION("""COMPUTED_VALUE"""),17.56)</f>
        <v>17.559999999999999</v>
      </c>
      <c r="E770" s="112">
        <f ca="1">IFERROR(__xludf.DUMMYFUNCTION("""COMPUTED_VALUE"""),41404.7055555555)</f>
        <v>41404.705555555498</v>
      </c>
      <c r="F770" s="111">
        <f ca="1">IFERROR(__xludf.DUMMYFUNCTION("""COMPUTED_VALUE"""),5.98)</f>
        <v>5.98</v>
      </c>
      <c r="G770" s="112">
        <f ca="1">IFERROR(__xludf.DUMMYFUNCTION("""COMPUTED_VALUE"""),41397.7055555555)</f>
        <v>41397.705555555498</v>
      </c>
      <c r="H770" s="111">
        <f ca="1">IFERROR(__xludf.DUMMYFUNCTION("""COMPUTED_VALUE"""),19.97)</f>
        <v>19.97</v>
      </c>
      <c r="K770" s="112">
        <f ca="1">IFERROR(__xludf.DUMMYFUNCTION("""COMPUTED_VALUE"""),41849.7055555555)</f>
        <v>41849.705555555498</v>
      </c>
      <c r="L770" s="111">
        <f ca="1">IFERROR(__xludf.DUMMYFUNCTION("""COMPUTED_VALUE"""),0.28)</f>
        <v>0.28000000000000003</v>
      </c>
      <c r="M770" s="112">
        <f ca="1">IFERROR(__xludf.DUMMYFUNCTION("""COMPUTED_VALUE"""),41311.7055555555)</f>
        <v>41311.705555555498</v>
      </c>
      <c r="N770" s="111">
        <f ca="1">IFERROR(__xludf.DUMMYFUNCTION("""COMPUTED_VALUE"""),13.8)</f>
        <v>13.8</v>
      </c>
      <c r="O770" s="112">
        <f ca="1">IFERROR(__xludf.DUMMYFUNCTION("""COMPUTED_VALUE"""),41389.7055555555)</f>
        <v>41389.705555555498</v>
      </c>
      <c r="P770" s="111">
        <f ca="1">IFERROR(__xludf.DUMMYFUNCTION("""COMPUTED_VALUE"""),34.11)</f>
        <v>34.11</v>
      </c>
      <c r="Q770" s="112">
        <f ca="1">IFERROR(__xludf.DUMMYFUNCTION("""COMPUTED_VALUE"""),41387.7055555555)</f>
        <v>41387.705555555498</v>
      </c>
      <c r="R770" s="111">
        <f ca="1">IFERROR(__xludf.DUMMYFUNCTION("""COMPUTED_VALUE"""),26.8)</f>
        <v>26.8</v>
      </c>
      <c r="S770" s="112">
        <f ca="1">IFERROR(__xludf.DUMMYFUNCTION("""COMPUTED_VALUE"""),41401.7055555555)</f>
        <v>41401.705555555498</v>
      </c>
      <c r="T770" s="111">
        <f ca="1">IFERROR(__xludf.DUMMYFUNCTION("""COMPUTED_VALUE"""),11.27)</f>
        <v>11.27</v>
      </c>
    </row>
    <row r="771" spans="1:20" x14ac:dyDescent="0.3">
      <c r="A771" s="112">
        <f ca="1">IFERROR(__xludf.DUMMYFUNCTION("""COMPUTED_VALUE"""),41397.7055555555)</f>
        <v>41397.705555555498</v>
      </c>
      <c r="B771" s="111">
        <f ca="1">IFERROR(__xludf.DUMMYFUNCTION("""COMPUTED_VALUE"""),4.98)</f>
        <v>4.9800000000000004</v>
      </c>
      <c r="C771" s="112">
        <f ca="1">IFERROR(__xludf.DUMMYFUNCTION("""COMPUTED_VALUE"""),41404.7055555555)</f>
        <v>41404.705555555498</v>
      </c>
      <c r="D771" s="111">
        <f ca="1">IFERROR(__xludf.DUMMYFUNCTION("""COMPUTED_VALUE"""),17.37)</f>
        <v>17.37</v>
      </c>
      <c r="E771" s="112">
        <f ca="1">IFERROR(__xludf.DUMMYFUNCTION("""COMPUTED_VALUE"""),41407.7055555555)</f>
        <v>41407.705555555498</v>
      </c>
      <c r="F771" s="111">
        <f ca="1">IFERROR(__xludf.DUMMYFUNCTION("""COMPUTED_VALUE"""),5.89)</f>
        <v>5.89</v>
      </c>
      <c r="G771" s="112">
        <f ca="1">IFERROR(__xludf.DUMMYFUNCTION("""COMPUTED_VALUE"""),41400.7055555555)</f>
        <v>41400.705555555498</v>
      </c>
      <c r="H771" s="111">
        <f ca="1">IFERROR(__xludf.DUMMYFUNCTION("""COMPUTED_VALUE"""),20.33)</f>
        <v>20.329999999999998</v>
      </c>
      <c r="K771" s="112">
        <f ca="1">IFERROR(__xludf.DUMMYFUNCTION("""COMPUTED_VALUE"""),41850.7055555555)</f>
        <v>41850.705555555498</v>
      </c>
      <c r="L771" s="111">
        <f ca="1">IFERROR(__xludf.DUMMYFUNCTION("""COMPUTED_VALUE"""),0.27)</f>
        <v>0.27</v>
      </c>
      <c r="M771" s="112">
        <f ca="1">IFERROR(__xludf.DUMMYFUNCTION("""COMPUTED_VALUE"""),41312.7055555555)</f>
        <v>41312.705555555498</v>
      </c>
      <c r="N771" s="111">
        <f ca="1">IFERROR(__xludf.DUMMYFUNCTION("""COMPUTED_VALUE"""),13.68)</f>
        <v>13.68</v>
      </c>
      <c r="O771" s="112">
        <f ca="1">IFERROR(__xludf.DUMMYFUNCTION("""COMPUTED_VALUE"""),41390.7055555555)</f>
        <v>41390.705555555498</v>
      </c>
      <c r="P771" s="111">
        <f ca="1">IFERROR(__xludf.DUMMYFUNCTION("""COMPUTED_VALUE"""),33.01)</f>
        <v>33.01</v>
      </c>
      <c r="Q771" s="112">
        <f ca="1">IFERROR(__xludf.DUMMYFUNCTION("""COMPUTED_VALUE"""),41388.7055555555)</f>
        <v>41388.705555555498</v>
      </c>
      <c r="R771" s="111">
        <f ca="1">IFERROR(__xludf.DUMMYFUNCTION("""COMPUTED_VALUE"""),26.13)</f>
        <v>26.13</v>
      </c>
      <c r="S771" s="112">
        <f ca="1">IFERROR(__xludf.DUMMYFUNCTION("""COMPUTED_VALUE"""),41402.7055555555)</f>
        <v>41402.705555555498</v>
      </c>
      <c r="T771" s="111">
        <f ca="1">IFERROR(__xludf.DUMMYFUNCTION("""COMPUTED_VALUE"""),11.35)</f>
        <v>11.35</v>
      </c>
    </row>
    <row r="772" spans="1:20" x14ac:dyDescent="0.3">
      <c r="A772" s="112">
        <f ca="1">IFERROR(__xludf.DUMMYFUNCTION("""COMPUTED_VALUE"""),41400.7055555555)</f>
        <v>41400.705555555498</v>
      </c>
      <c r="B772" s="111">
        <f ca="1">IFERROR(__xludf.DUMMYFUNCTION("""COMPUTED_VALUE"""),4.85)</f>
        <v>4.8499999999999996</v>
      </c>
      <c r="C772" s="112">
        <f ca="1">IFERROR(__xludf.DUMMYFUNCTION("""COMPUTED_VALUE"""),41407.7055555555)</f>
        <v>41407.705555555498</v>
      </c>
      <c r="D772" s="111">
        <f ca="1">IFERROR(__xludf.DUMMYFUNCTION("""COMPUTED_VALUE"""),17.04)</f>
        <v>17.04</v>
      </c>
      <c r="E772" s="112">
        <f ca="1">IFERROR(__xludf.DUMMYFUNCTION("""COMPUTED_VALUE"""),41408.7055555555)</f>
        <v>41408.705555555498</v>
      </c>
      <c r="F772" s="111">
        <f ca="1">IFERROR(__xludf.DUMMYFUNCTION("""COMPUTED_VALUE"""),5.89)</f>
        <v>5.89</v>
      </c>
      <c r="G772" s="112">
        <f ca="1">IFERROR(__xludf.DUMMYFUNCTION("""COMPUTED_VALUE"""),41401.7055555555)</f>
        <v>41401.705555555498</v>
      </c>
      <c r="H772" s="111">
        <f ca="1">IFERROR(__xludf.DUMMYFUNCTION("""COMPUTED_VALUE"""),20.62)</f>
        <v>20.62</v>
      </c>
      <c r="K772" s="112">
        <f ca="1">IFERROR(__xludf.DUMMYFUNCTION("""COMPUTED_VALUE"""),41851.7055555555)</f>
        <v>41851.705555555498</v>
      </c>
      <c r="L772" s="111">
        <f ca="1">IFERROR(__xludf.DUMMYFUNCTION("""COMPUTED_VALUE"""),0.28)</f>
        <v>0.28000000000000003</v>
      </c>
      <c r="M772" s="112">
        <f ca="1">IFERROR(__xludf.DUMMYFUNCTION("""COMPUTED_VALUE"""),41313.7055555555)</f>
        <v>41313.705555555498</v>
      </c>
      <c r="N772" s="111">
        <f ca="1">IFERROR(__xludf.DUMMYFUNCTION("""COMPUTED_VALUE"""),13.95)</f>
        <v>13.95</v>
      </c>
      <c r="O772" s="112">
        <f ca="1">IFERROR(__xludf.DUMMYFUNCTION("""COMPUTED_VALUE"""),41393.7055555555)</f>
        <v>41393.705555555498</v>
      </c>
      <c r="P772" s="111">
        <f ca="1">IFERROR(__xludf.DUMMYFUNCTION("""COMPUTED_VALUE"""),33.6)</f>
        <v>33.6</v>
      </c>
      <c r="Q772" s="112">
        <f ca="1">IFERROR(__xludf.DUMMYFUNCTION("""COMPUTED_VALUE"""),41389.7055555555)</f>
        <v>41389.705555555498</v>
      </c>
      <c r="R772" s="111">
        <f ca="1">IFERROR(__xludf.DUMMYFUNCTION("""COMPUTED_VALUE"""),25.64)</f>
        <v>25.64</v>
      </c>
      <c r="S772" s="112">
        <f ca="1">IFERROR(__xludf.DUMMYFUNCTION("""COMPUTED_VALUE"""),41403.7055555555)</f>
        <v>41403.705555555498</v>
      </c>
      <c r="T772" s="111">
        <f ca="1">IFERROR(__xludf.DUMMYFUNCTION("""COMPUTED_VALUE"""),11.54)</f>
        <v>11.54</v>
      </c>
    </row>
    <row r="773" spans="1:20" x14ac:dyDescent="0.3">
      <c r="A773" s="112">
        <f ca="1">IFERROR(__xludf.DUMMYFUNCTION("""COMPUTED_VALUE"""),41401.7055555555)</f>
        <v>41401.705555555498</v>
      </c>
      <c r="B773" s="111">
        <f ca="1">IFERROR(__xludf.DUMMYFUNCTION("""COMPUTED_VALUE"""),4.89)</f>
        <v>4.8899999999999997</v>
      </c>
      <c r="C773" s="112">
        <f ca="1">IFERROR(__xludf.DUMMYFUNCTION("""COMPUTED_VALUE"""),41408.7055555555)</f>
        <v>41408.705555555498</v>
      </c>
      <c r="D773" s="111">
        <f ca="1">IFERROR(__xludf.DUMMYFUNCTION("""COMPUTED_VALUE"""),17.29)</f>
        <v>17.29</v>
      </c>
      <c r="E773" s="112">
        <f ca="1">IFERROR(__xludf.DUMMYFUNCTION("""COMPUTED_VALUE"""),41409.7055555555)</f>
        <v>41409.705555555498</v>
      </c>
      <c r="F773" s="111">
        <f ca="1">IFERROR(__xludf.DUMMYFUNCTION("""COMPUTED_VALUE"""),5.99)</f>
        <v>5.99</v>
      </c>
      <c r="G773" s="112">
        <f ca="1">IFERROR(__xludf.DUMMYFUNCTION("""COMPUTED_VALUE"""),41402.7055555555)</f>
        <v>41402.705555555498</v>
      </c>
      <c r="H773" s="111">
        <f ca="1">IFERROR(__xludf.DUMMYFUNCTION("""COMPUTED_VALUE"""),20.29)</f>
        <v>20.29</v>
      </c>
      <c r="K773" s="112">
        <f ca="1">IFERROR(__xludf.DUMMYFUNCTION("""COMPUTED_VALUE"""),41852.7055555555)</f>
        <v>41852.705555555498</v>
      </c>
      <c r="L773" s="111">
        <f ca="1">IFERROR(__xludf.DUMMYFUNCTION("""COMPUTED_VALUE"""),0.28)</f>
        <v>0.28000000000000003</v>
      </c>
      <c r="M773" s="112">
        <f ca="1">IFERROR(__xludf.DUMMYFUNCTION("""COMPUTED_VALUE"""),41318.7055555555)</f>
        <v>41318.705555555498</v>
      </c>
      <c r="N773" s="111">
        <f ca="1">IFERROR(__xludf.DUMMYFUNCTION("""COMPUTED_VALUE"""),13.84)</f>
        <v>13.84</v>
      </c>
      <c r="O773" s="112">
        <f ca="1">IFERROR(__xludf.DUMMYFUNCTION("""COMPUTED_VALUE"""),41394.7055555555)</f>
        <v>41394.705555555498</v>
      </c>
      <c r="P773" s="111">
        <f ca="1">IFERROR(__xludf.DUMMYFUNCTION("""COMPUTED_VALUE"""),34.29)</f>
        <v>34.29</v>
      </c>
      <c r="Q773" s="112">
        <f ca="1">IFERROR(__xludf.DUMMYFUNCTION("""COMPUTED_VALUE"""),41390.7055555555)</f>
        <v>41390.705555555498</v>
      </c>
      <c r="R773" s="111">
        <f ca="1">IFERROR(__xludf.DUMMYFUNCTION("""COMPUTED_VALUE"""),25.06)</f>
        <v>25.06</v>
      </c>
      <c r="S773" s="112">
        <f ca="1">IFERROR(__xludf.DUMMYFUNCTION("""COMPUTED_VALUE"""),41404.7055555555)</f>
        <v>41404.705555555498</v>
      </c>
      <c r="T773" s="111">
        <f ca="1">IFERROR(__xludf.DUMMYFUNCTION("""COMPUTED_VALUE"""),11.54)</f>
        <v>11.54</v>
      </c>
    </row>
    <row r="774" spans="1:20" x14ac:dyDescent="0.3">
      <c r="A774" s="112">
        <f ca="1">IFERROR(__xludf.DUMMYFUNCTION("""COMPUTED_VALUE"""),41402.7055555555)</f>
        <v>41402.705555555498</v>
      </c>
      <c r="B774" s="111">
        <f ca="1">IFERROR(__xludf.DUMMYFUNCTION("""COMPUTED_VALUE"""),4.85)</f>
        <v>4.8499999999999996</v>
      </c>
      <c r="C774" s="112">
        <f ca="1">IFERROR(__xludf.DUMMYFUNCTION("""COMPUTED_VALUE"""),41409.7055555555)</f>
        <v>41409.705555555498</v>
      </c>
      <c r="D774" s="111">
        <f ca="1">IFERROR(__xludf.DUMMYFUNCTION("""COMPUTED_VALUE"""),17.58)</f>
        <v>17.579999999999998</v>
      </c>
      <c r="E774" s="112">
        <f ca="1">IFERROR(__xludf.DUMMYFUNCTION("""COMPUTED_VALUE"""),41410.7055555555)</f>
        <v>41410.705555555498</v>
      </c>
      <c r="F774" s="111">
        <f ca="1">IFERROR(__xludf.DUMMYFUNCTION("""COMPUTED_VALUE"""),5.95)</f>
        <v>5.95</v>
      </c>
      <c r="G774" s="112">
        <f ca="1">IFERROR(__xludf.DUMMYFUNCTION("""COMPUTED_VALUE"""),41403.7055555555)</f>
        <v>41403.705555555498</v>
      </c>
      <c r="H774" s="111">
        <f ca="1">IFERROR(__xludf.DUMMYFUNCTION("""COMPUTED_VALUE"""),20.3)</f>
        <v>20.3</v>
      </c>
      <c r="K774" s="112">
        <f ca="1">IFERROR(__xludf.DUMMYFUNCTION("""COMPUTED_VALUE"""),41855.7055555555)</f>
        <v>41855.705555555498</v>
      </c>
      <c r="L774" s="111">
        <f ca="1">IFERROR(__xludf.DUMMYFUNCTION("""COMPUTED_VALUE"""),0.28)</f>
        <v>0.28000000000000003</v>
      </c>
      <c r="M774" s="112">
        <f ca="1">IFERROR(__xludf.DUMMYFUNCTION("""COMPUTED_VALUE"""),41319.7055555555)</f>
        <v>41319.705555555498</v>
      </c>
      <c r="N774" s="111">
        <f ca="1">IFERROR(__xludf.DUMMYFUNCTION("""COMPUTED_VALUE"""),13.65)</f>
        <v>13.65</v>
      </c>
      <c r="O774" s="112">
        <f ca="1">IFERROR(__xludf.DUMMYFUNCTION("""COMPUTED_VALUE"""),41396.7055555555)</f>
        <v>41396.705555555498</v>
      </c>
      <c r="P774" s="111">
        <f ca="1">IFERROR(__xludf.DUMMYFUNCTION("""COMPUTED_VALUE"""),33.41)</f>
        <v>33.409999999999997</v>
      </c>
      <c r="Q774" s="112">
        <f ca="1">IFERROR(__xludf.DUMMYFUNCTION("""COMPUTED_VALUE"""),41393.7055555555)</f>
        <v>41393.705555555498</v>
      </c>
      <c r="R774" s="111">
        <f ca="1">IFERROR(__xludf.DUMMYFUNCTION("""COMPUTED_VALUE"""),24.8)</f>
        <v>24.8</v>
      </c>
      <c r="S774" s="112">
        <f ca="1">IFERROR(__xludf.DUMMYFUNCTION("""COMPUTED_VALUE"""),41407.7055555555)</f>
        <v>41407.705555555498</v>
      </c>
      <c r="T774" s="111">
        <f ca="1">IFERROR(__xludf.DUMMYFUNCTION("""COMPUTED_VALUE"""),11.38)</f>
        <v>11.38</v>
      </c>
    </row>
    <row r="775" spans="1:20" x14ac:dyDescent="0.3">
      <c r="A775" s="112">
        <f ca="1">IFERROR(__xludf.DUMMYFUNCTION("""COMPUTED_VALUE"""),41403.7055555555)</f>
        <v>41403.705555555498</v>
      </c>
      <c r="B775" s="111">
        <f ca="1">IFERROR(__xludf.DUMMYFUNCTION("""COMPUTED_VALUE"""),4.81)</f>
        <v>4.8099999999999996</v>
      </c>
      <c r="C775" s="112">
        <f ca="1">IFERROR(__xludf.DUMMYFUNCTION("""COMPUTED_VALUE"""),41410.7055555555)</f>
        <v>41410.705555555498</v>
      </c>
      <c r="D775" s="111">
        <f ca="1">IFERROR(__xludf.DUMMYFUNCTION("""COMPUTED_VALUE"""),17.42)</f>
        <v>17.420000000000002</v>
      </c>
      <c r="E775" s="112">
        <f ca="1">IFERROR(__xludf.DUMMYFUNCTION("""COMPUTED_VALUE"""),41411.7055555555)</f>
        <v>41411.705555555498</v>
      </c>
      <c r="F775" s="111">
        <f ca="1">IFERROR(__xludf.DUMMYFUNCTION("""COMPUTED_VALUE"""),6.02)</f>
        <v>6.02</v>
      </c>
      <c r="G775" s="112">
        <f ca="1">IFERROR(__xludf.DUMMYFUNCTION("""COMPUTED_VALUE"""),41404.7055555555)</f>
        <v>41404.705555555498</v>
      </c>
      <c r="H775" s="111">
        <f ca="1">IFERROR(__xludf.DUMMYFUNCTION("""COMPUTED_VALUE"""),19.96)</f>
        <v>19.96</v>
      </c>
      <c r="K775" s="112">
        <f ca="1">IFERROR(__xludf.DUMMYFUNCTION("""COMPUTED_VALUE"""),41856.7055555555)</f>
        <v>41856.705555555498</v>
      </c>
      <c r="L775" s="111">
        <f ca="1">IFERROR(__xludf.DUMMYFUNCTION("""COMPUTED_VALUE"""),0.28)</f>
        <v>0.28000000000000003</v>
      </c>
      <c r="M775" s="112">
        <f ca="1">IFERROR(__xludf.DUMMYFUNCTION("""COMPUTED_VALUE"""),41320.7055555555)</f>
        <v>41320.705555555498</v>
      </c>
      <c r="N775" s="111">
        <f ca="1">IFERROR(__xludf.DUMMYFUNCTION("""COMPUTED_VALUE"""),14.25)</f>
        <v>14.25</v>
      </c>
      <c r="O775" s="112">
        <f ca="1">IFERROR(__xludf.DUMMYFUNCTION("""COMPUTED_VALUE"""),41397.7055555555)</f>
        <v>41397.705555555498</v>
      </c>
      <c r="P775" s="111">
        <f ca="1">IFERROR(__xludf.DUMMYFUNCTION("""COMPUTED_VALUE"""),33.7)</f>
        <v>33.700000000000003</v>
      </c>
      <c r="Q775" s="112">
        <f ca="1">IFERROR(__xludf.DUMMYFUNCTION("""COMPUTED_VALUE"""),41394.7055555555)</f>
        <v>41394.705555555498</v>
      </c>
      <c r="R775" s="111">
        <f ca="1">IFERROR(__xludf.DUMMYFUNCTION("""COMPUTED_VALUE"""),25.25)</f>
        <v>25.25</v>
      </c>
      <c r="S775" s="112">
        <f ca="1">IFERROR(__xludf.DUMMYFUNCTION("""COMPUTED_VALUE"""),41408.7055555555)</f>
        <v>41408.705555555498</v>
      </c>
      <c r="T775" s="111">
        <f ca="1">IFERROR(__xludf.DUMMYFUNCTION("""COMPUTED_VALUE"""),11.4)</f>
        <v>11.4</v>
      </c>
    </row>
    <row r="776" spans="1:20" x14ac:dyDescent="0.3">
      <c r="A776" s="112">
        <f ca="1">IFERROR(__xludf.DUMMYFUNCTION("""COMPUTED_VALUE"""),41404.7055555555)</f>
        <v>41404.705555555498</v>
      </c>
      <c r="B776" s="111">
        <f ca="1">IFERROR(__xludf.DUMMYFUNCTION("""COMPUTED_VALUE"""),4.81)</f>
        <v>4.8099999999999996</v>
      </c>
      <c r="C776" s="112">
        <f ca="1">IFERROR(__xludf.DUMMYFUNCTION("""COMPUTED_VALUE"""),41411.7055555555)</f>
        <v>41411.705555555498</v>
      </c>
      <c r="D776" s="111">
        <f ca="1">IFERROR(__xludf.DUMMYFUNCTION("""COMPUTED_VALUE"""),17.6)</f>
        <v>17.600000000000001</v>
      </c>
      <c r="E776" s="112">
        <f ca="1">IFERROR(__xludf.DUMMYFUNCTION("""COMPUTED_VALUE"""),41414.7055555555)</f>
        <v>41414.705555555498</v>
      </c>
      <c r="F776" s="111">
        <f ca="1">IFERROR(__xludf.DUMMYFUNCTION("""COMPUTED_VALUE"""),6.06)</f>
        <v>6.06</v>
      </c>
      <c r="G776" s="112">
        <f ca="1">IFERROR(__xludf.DUMMYFUNCTION("""COMPUTED_VALUE"""),41407.7055555555)</f>
        <v>41407.705555555498</v>
      </c>
      <c r="H776" s="111">
        <f ca="1">IFERROR(__xludf.DUMMYFUNCTION("""COMPUTED_VALUE"""),19.49)</f>
        <v>19.489999999999998</v>
      </c>
      <c r="K776" s="112">
        <f ca="1">IFERROR(__xludf.DUMMYFUNCTION("""COMPUTED_VALUE"""),41857.7055555555)</f>
        <v>41857.705555555498</v>
      </c>
      <c r="L776" s="111">
        <f ca="1">IFERROR(__xludf.DUMMYFUNCTION("""COMPUTED_VALUE"""),0.27)</f>
        <v>0.27</v>
      </c>
      <c r="M776" s="112">
        <f ca="1">IFERROR(__xludf.DUMMYFUNCTION("""COMPUTED_VALUE"""),41323.7055555555)</f>
        <v>41323.705555555498</v>
      </c>
      <c r="N776" s="111">
        <f ca="1">IFERROR(__xludf.DUMMYFUNCTION("""COMPUTED_VALUE"""),14.48)</f>
        <v>14.48</v>
      </c>
      <c r="O776" s="112">
        <f ca="1">IFERROR(__xludf.DUMMYFUNCTION("""COMPUTED_VALUE"""),41400.7055555555)</f>
        <v>41400.705555555498</v>
      </c>
      <c r="P776" s="111">
        <f ca="1">IFERROR(__xludf.DUMMYFUNCTION("""COMPUTED_VALUE"""),33.83)</f>
        <v>33.83</v>
      </c>
      <c r="Q776" s="112">
        <f ca="1">IFERROR(__xludf.DUMMYFUNCTION("""COMPUTED_VALUE"""),41396.7055555555)</f>
        <v>41396.705555555498</v>
      </c>
      <c r="R776" s="111">
        <f ca="1">IFERROR(__xludf.DUMMYFUNCTION("""COMPUTED_VALUE"""),24.86)</f>
        <v>24.86</v>
      </c>
      <c r="S776" s="112">
        <f ca="1">IFERROR(__xludf.DUMMYFUNCTION("""COMPUTED_VALUE"""),41409.7055555555)</f>
        <v>41409.705555555498</v>
      </c>
      <c r="T776" s="111">
        <f ca="1">IFERROR(__xludf.DUMMYFUNCTION("""COMPUTED_VALUE"""),11.68)</f>
        <v>11.68</v>
      </c>
    </row>
    <row r="777" spans="1:20" x14ac:dyDescent="0.3">
      <c r="A777" s="112">
        <f ca="1">IFERROR(__xludf.DUMMYFUNCTION("""COMPUTED_VALUE"""),41407.7055555555)</f>
        <v>41407.705555555498</v>
      </c>
      <c r="B777" s="111">
        <f ca="1">IFERROR(__xludf.DUMMYFUNCTION("""COMPUTED_VALUE"""),4.68)</f>
        <v>4.68</v>
      </c>
      <c r="C777" s="112">
        <f ca="1">IFERROR(__xludf.DUMMYFUNCTION("""COMPUTED_VALUE"""),41414.7055555555)</f>
        <v>41414.705555555498</v>
      </c>
      <c r="D777" s="111">
        <f ca="1">IFERROR(__xludf.DUMMYFUNCTION("""COMPUTED_VALUE"""),16.18)</f>
        <v>16.18</v>
      </c>
      <c r="E777" s="112">
        <f ca="1">IFERROR(__xludf.DUMMYFUNCTION("""COMPUTED_VALUE"""),41415.7055555555)</f>
        <v>41415.705555555498</v>
      </c>
      <c r="F777" s="111">
        <f ca="1">IFERROR(__xludf.DUMMYFUNCTION("""COMPUTED_VALUE"""),6.13)</f>
        <v>6.13</v>
      </c>
      <c r="G777" s="112">
        <f ca="1">IFERROR(__xludf.DUMMYFUNCTION("""COMPUTED_VALUE"""),41408.7055555555)</f>
        <v>41408.705555555498</v>
      </c>
      <c r="H777" s="111">
        <f ca="1">IFERROR(__xludf.DUMMYFUNCTION("""COMPUTED_VALUE"""),19.55)</f>
        <v>19.55</v>
      </c>
      <c r="K777" s="112">
        <f ca="1">IFERROR(__xludf.DUMMYFUNCTION("""COMPUTED_VALUE"""),41858.7055555555)</f>
        <v>41858.705555555498</v>
      </c>
      <c r="L777" s="111">
        <f ca="1">IFERROR(__xludf.DUMMYFUNCTION("""COMPUTED_VALUE"""),0.27)</f>
        <v>0.27</v>
      </c>
      <c r="M777" s="112">
        <f ca="1">IFERROR(__xludf.DUMMYFUNCTION("""COMPUTED_VALUE"""),41324.7055555555)</f>
        <v>41324.705555555498</v>
      </c>
      <c r="N777" s="111">
        <f ca="1">IFERROR(__xludf.DUMMYFUNCTION("""COMPUTED_VALUE"""),14.17)</f>
        <v>14.17</v>
      </c>
      <c r="O777" s="112">
        <f ca="1">IFERROR(__xludf.DUMMYFUNCTION("""COMPUTED_VALUE"""),41401.7055555555)</f>
        <v>41401.705555555498</v>
      </c>
      <c r="P777" s="111">
        <f ca="1">IFERROR(__xludf.DUMMYFUNCTION("""COMPUTED_VALUE"""),34.85)</f>
        <v>34.85</v>
      </c>
      <c r="Q777" s="112">
        <f ca="1">IFERROR(__xludf.DUMMYFUNCTION("""COMPUTED_VALUE"""),41397.7055555555)</f>
        <v>41397.705555555498</v>
      </c>
      <c r="R777" s="111">
        <f ca="1">IFERROR(__xludf.DUMMYFUNCTION("""COMPUTED_VALUE"""),24.75)</f>
        <v>24.75</v>
      </c>
      <c r="S777" s="112">
        <f ca="1">IFERROR(__xludf.DUMMYFUNCTION("""COMPUTED_VALUE"""),41410.7055555555)</f>
        <v>41410.705555555498</v>
      </c>
      <c r="T777" s="111">
        <f ca="1">IFERROR(__xludf.DUMMYFUNCTION("""COMPUTED_VALUE"""),11.62)</f>
        <v>11.62</v>
      </c>
    </row>
    <row r="778" spans="1:20" x14ac:dyDescent="0.3">
      <c r="A778" s="112">
        <f ca="1">IFERROR(__xludf.DUMMYFUNCTION("""COMPUTED_VALUE"""),41408.7055555555)</f>
        <v>41408.705555555498</v>
      </c>
      <c r="B778" s="111">
        <f ca="1">IFERROR(__xludf.DUMMYFUNCTION("""COMPUTED_VALUE"""),4.6)</f>
        <v>4.5999999999999996</v>
      </c>
      <c r="C778" s="112">
        <f ca="1">IFERROR(__xludf.DUMMYFUNCTION("""COMPUTED_VALUE"""),41415.7055555555)</f>
        <v>41415.705555555498</v>
      </c>
      <c r="D778" s="111">
        <f ca="1">IFERROR(__xludf.DUMMYFUNCTION("""COMPUTED_VALUE"""),16.45)</f>
        <v>16.45</v>
      </c>
      <c r="E778" s="112">
        <f ca="1">IFERROR(__xludf.DUMMYFUNCTION("""COMPUTED_VALUE"""),41416.7055555555)</f>
        <v>41416.705555555498</v>
      </c>
      <c r="F778" s="111">
        <f ca="1">IFERROR(__xludf.DUMMYFUNCTION("""COMPUTED_VALUE"""),6.28)</f>
        <v>6.28</v>
      </c>
      <c r="G778" s="112">
        <f ca="1">IFERROR(__xludf.DUMMYFUNCTION("""COMPUTED_VALUE"""),41409.7055555555)</f>
        <v>41409.705555555498</v>
      </c>
      <c r="H778" s="111">
        <f ca="1">IFERROR(__xludf.DUMMYFUNCTION("""COMPUTED_VALUE"""),19.57)</f>
        <v>19.57</v>
      </c>
      <c r="K778" s="112">
        <f ca="1">IFERROR(__xludf.DUMMYFUNCTION("""COMPUTED_VALUE"""),41859.7055555555)</f>
        <v>41859.705555555498</v>
      </c>
      <c r="L778" s="111">
        <f ca="1">IFERROR(__xludf.DUMMYFUNCTION("""COMPUTED_VALUE"""),0.27)</f>
        <v>0.27</v>
      </c>
      <c r="M778" s="112">
        <f ca="1">IFERROR(__xludf.DUMMYFUNCTION("""COMPUTED_VALUE"""),41325.7055555555)</f>
        <v>41325.705555555498</v>
      </c>
      <c r="N778" s="111">
        <f ca="1">IFERROR(__xludf.DUMMYFUNCTION("""COMPUTED_VALUE"""),13.85)</f>
        <v>13.85</v>
      </c>
      <c r="O778" s="112">
        <f ca="1">IFERROR(__xludf.DUMMYFUNCTION("""COMPUTED_VALUE"""),41402.7055555555)</f>
        <v>41402.705555555498</v>
      </c>
      <c r="P778" s="111">
        <f ca="1">IFERROR(__xludf.DUMMYFUNCTION("""COMPUTED_VALUE"""),34.96)</f>
        <v>34.96</v>
      </c>
      <c r="Q778" s="112">
        <f ca="1">IFERROR(__xludf.DUMMYFUNCTION("""COMPUTED_VALUE"""),41400.7055555555)</f>
        <v>41400.705555555498</v>
      </c>
      <c r="R778" s="111">
        <f ca="1">IFERROR(__xludf.DUMMYFUNCTION("""COMPUTED_VALUE"""),24.43)</f>
        <v>24.43</v>
      </c>
      <c r="S778" s="112">
        <f ca="1">IFERROR(__xludf.DUMMYFUNCTION("""COMPUTED_VALUE"""),41411.7055555555)</f>
        <v>41411.705555555498</v>
      </c>
      <c r="T778" s="111">
        <f ca="1">IFERROR(__xludf.DUMMYFUNCTION("""COMPUTED_VALUE"""),11.72)</f>
        <v>11.72</v>
      </c>
    </row>
    <row r="779" spans="1:20" x14ac:dyDescent="0.3">
      <c r="A779" s="112">
        <f ca="1">IFERROR(__xludf.DUMMYFUNCTION("""COMPUTED_VALUE"""),41409.7055555555)</f>
        <v>41409.705555555498</v>
      </c>
      <c r="B779" s="111">
        <f ca="1">IFERROR(__xludf.DUMMYFUNCTION("""COMPUTED_VALUE"""),4.66)</f>
        <v>4.66</v>
      </c>
      <c r="C779" s="112">
        <f ca="1">IFERROR(__xludf.DUMMYFUNCTION("""COMPUTED_VALUE"""),41416.7055555555)</f>
        <v>41416.705555555498</v>
      </c>
      <c r="D779" s="111">
        <f ca="1">IFERROR(__xludf.DUMMYFUNCTION("""COMPUTED_VALUE"""),16.66)</f>
        <v>16.66</v>
      </c>
      <c r="E779" s="112">
        <f ca="1">IFERROR(__xludf.DUMMYFUNCTION("""COMPUTED_VALUE"""),41417.7055555555)</f>
        <v>41417.705555555498</v>
      </c>
      <c r="F779" s="111">
        <f ca="1">IFERROR(__xludf.DUMMYFUNCTION("""COMPUTED_VALUE"""),6.19)</f>
        <v>6.19</v>
      </c>
      <c r="G779" s="112">
        <f ca="1">IFERROR(__xludf.DUMMYFUNCTION("""COMPUTED_VALUE"""),41410.7055555555)</f>
        <v>41410.705555555498</v>
      </c>
      <c r="H779" s="111">
        <f ca="1">IFERROR(__xludf.DUMMYFUNCTION("""COMPUTED_VALUE"""),19.75)</f>
        <v>19.75</v>
      </c>
      <c r="K779" s="112">
        <f ca="1">IFERROR(__xludf.DUMMYFUNCTION("""COMPUTED_VALUE"""),41862.7055555555)</f>
        <v>41862.705555555498</v>
      </c>
      <c r="L779" s="111">
        <f ca="1">IFERROR(__xludf.DUMMYFUNCTION("""COMPUTED_VALUE"""),0.28)</f>
        <v>0.28000000000000003</v>
      </c>
      <c r="M779" s="112">
        <f ca="1">IFERROR(__xludf.DUMMYFUNCTION("""COMPUTED_VALUE"""),41326.7055555555)</f>
        <v>41326.705555555498</v>
      </c>
      <c r="N779" s="111">
        <f ca="1">IFERROR(__xludf.DUMMYFUNCTION("""COMPUTED_VALUE"""),13.7)</f>
        <v>13.7</v>
      </c>
      <c r="O779" s="112">
        <f ca="1">IFERROR(__xludf.DUMMYFUNCTION("""COMPUTED_VALUE"""),41403.7055555555)</f>
        <v>41403.705555555498</v>
      </c>
      <c r="P779" s="111">
        <f ca="1">IFERROR(__xludf.DUMMYFUNCTION("""COMPUTED_VALUE"""),35.28)</f>
        <v>35.28</v>
      </c>
      <c r="Q779" s="112">
        <f ca="1">IFERROR(__xludf.DUMMYFUNCTION("""COMPUTED_VALUE"""),41401.7055555555)</f>
        <v>41401.705555555498</v>
      </c>
      <c r="R779" s="111">
        <f ca="1">IFERROR(__xludf.DUMMYFUNCTION("""COMPUTED_VALUE"""),25.41)</f>
        <v>25.41</v>
      </c>
      <c r="S779" s="112">
        <f ca="1">IFERROR(__xludf.DUMMYFUNCTION("""COMPUTED_VALUE"""),41414.7055555555)</f>
        <v>41414.705555555498</v>
      </c>
      <c r="T779" s="111">
        <f ca="1">IFERROR(__xludf.DUMMYFUNCTION("""COMPUTED_VALUE"""),11.96)</f>
        <v>11.96</v>
      </c>
    </row>
    <row r="780" spans="1:20" x14ac:dyDescent="0.3">
      <c r="A780" s="112">
        <f ca="1">IFERROR(__xludf.DUMMYFUNCTION("""COMPUTED_VALUE"""),41410.7055555555)</f>
        <v>41410.705555555498</v>
      </c>
      <c r="B780" s="111">
        <f ca="1">IFERROR(__xludf.DUMMYFUNCTION("""COMPUTED_VALUE"""),5.12)</f>
        <v>5.12</v>
      </c>
      <c r="C780" s="112">
        <f ca="1">IFERROR(__xludf.DUMMYFUNCTION("""COMPUTED_VALUE"""),41417.7055555555)</f>
        <v>41417.705555555498</v>
      </c>
      <c r="D780" s="111">
        <f ca="1">IFERROR(__xludf.DUMMYFUNCTION("""COMPUTED_VALUE"""),16.52)</f>
        <v>16.52</v>
      </c>
      <c r="E780" s="112">
        <f ca="1">IFERROR(__xludf.DUMMYFUNCTION("""COMPUTED_VALUE"""),41418.7055555555)</f>
        <v>41418.705555555498</v>
      </c>
      <c r="F780" s="111">
        <f ca="1">IFERROR(__xludf.DUMMYFUNCTION("""COMPUTED_VALUE"""),6.17)</f>
        <v>6.17</v>
      </c>
      <c r="G780" s="112">
        <f ca="1">IFERROR(__xludf.DUMMYFUNCTION("""COMPUTED_VALUE"""),41411.7055555555)</f>
        <v>41411.705555555498</v>
      </c>
      <c r="H780" s="111">
        <f ca="1">IFERROR(__xludf.DUMMYFUNCTION("""COMPUTED_VALUE"""),19.89)</f>
        <v>19.89</v>
      </c>
      <c r="K780" s="112">
        <f ca="1">IFERROR(__xludf.DUMMYFUNCTION("""COMPUTED_VALUE"""),41863.7055555555)</f>
        <v>41863.705555555498</v>
      </c>
      <c r="L780" s="111">
        <f ca="1">IFERROR(__xludf.DUMMYFUNCTION("""COMPUTED_VALUE"""),0.28)</f>
        <v>0.28000000000000003</v>
      </c>
      <c r="M780" s="112">
        <f ca="1">IFERROR(__xludf.DUMMYFUNCTION("""COMPUTED_VALUE"""),41327.7055555555)</f>
        <v>41327.705555555498</v>
      </c>
      <c r="N780" s="111">
        <f ca="1">IFERROR(__xludf.DUMMYFUNCTION("""COMPUTED_VALUE"""),13.98)</f>
        <v>13.98</v>
      </c>
      <c r="O780" s="112">
        <f ca="1">IFERROR(__xludf.DUMMYFUNCTION("""COMPUTED_VALUE"""),41404.7055555555)</f>
        <v>41404.705555555498</v>
      </c>
      <c r="P780" s="111">
        <f ca="1">IFERROR(__xludf.DUMMYFUNCTION("""COMPUTED_VALUE"""),34.35)</f>
        <v>34.35</v>
      </c>
      <c r="Q780" s="112">
        <f ca="1">IFERROR(__xludf.DUMMYFUNCTION("""COMPUTED_VALUE"""),41402.7055555555)</f>
        <v>41402.705555555498</v>
      </c>
      <c r="R780" s="111">
        <f ca="1">IFERROR(__xludf.DUMMYFUNCTION("""COMPUTED_VALUE"""),25.46)</f>
        <v>25.46</v>
      </c>
      <c r="S780" s="112">
        <f ca="1">IFERROR(__xludf.DUMMYFUNCTION("""COMPUTED_VALUE"""),41415.7055555555)</f>
        <v>41415.705555555498</v>
      </c>
      <c r="T780" s="111">
        <f ca="1">IFERROR(__xludf.DUMMYFUNCTION("""COMPUTED_VALUE"""),11.98)</f>
        <v>11.98</v>
      </c>
    </row>
    <row r="781" spans="1:20" x14ac:dyDescent="0.3">
      <c r="A781" s="112">
        <f ca="1">IFERROR(__xludf.DUMMYFUNCTION("""COMPUTED_VALUE"""),41411.7055555555)</f>
        <v>41411.705555555498</v>
      </c>
      <c r="B781" s="111">
        <f ca="1">IFERROR(__xludf.DUMMYFUNCTION("""COMPUTED_VALUE"""),5.04)</f>
        <v>5.04</v>
      </c>
      <c r="C781" s="112">
        <f ca="1">IFERROR(__xludf.DUMMYFUNCTION("""COMPUTED_VALUE"""),41418.7055555555)</f>
        <v>41418.705555555498</v>
      </c>
      <c r="D781" s="111">
        <f ca="1">IFERROR(__xludf.DUMMYFUNCTION("""COMPUTED_VALUE"""),16.45)</f>
        <v>16.45</v>
      </c>
      <c r="E781" s="112">
        <f ca="1">IFERROR(__xludf.DUMMYFUNCTION("""COMPUTED_VALUE"""),41421.7055555555)</f>
        <v>41421.705555555498</v>
      </c>
      <c r="F781" s="111">
        <f ca="1">IFERROR(__xludf.DUMMYFUNCTION("""COMPUTED_VALUE"""),6.17)</f>
        <v>6.17</v>
      </c>
      <c r="G781" s="112">
        <f ca="1">IFERROR(__xludf.DUMMYFUNCTION("""COMPUTED_VALUE"""),41414.7055555555)</f>
        <v>41414.705555555498</v>
      </c>
      <c r="H781" s="111">
        <f ca="1">IFERROR(__xludf.DUMMYFUNCTION("""COMPUTED_VALUE"""),20.2)</f>
        <v>20.2</v>
      </c>
      <c r="K781" s="112">
        <f ca="1">IFERROR(__xludf.DUMMYFUNCTION("""COMPUTED_VALUE"""),41864.7055555555)</f>
        <v>41864.705555555498</v>
      </c>
      <c r="L781" s="111">
        <f ca="1">IFERROR(__xludf.DUMMYFUNCTION("""COMPUTED_VALUE"""),0.28)</f>
        <v>0.28000000000000003</v>
      </c>
      <c r="M781" s="112">
        <f ca="1">IFERROR(__xludf.DUMMYFUNCTION("""COMPUTED_VALUE"""),41330.7055555555)</f>
        <v>41330.705555555498</v>
      </c>
      <c r="N781" s="111">
        <f ca="1">IFERROR(__xludf.DUMMYFUNCTION("""COMPUTED_VALUE"""),13.95)</f>
        <v>13.95</v>
      </c>
      <c r="O781" s="112">
        <f ca="1">IFERROR(__xludf.DUMMYFUNCTION("""COMPUTED_VALUE"""),41407.7055555555)</f>
        <v>41407.705555555498</v>
      </c>
      <c r="P781" s="111">
        <f ca="1">IFERROR(__xludf.DUMMYFUNCTION("""COMPUTED_VALUE"""),33.46)</f>
        <v>33.46</v>
      </c>
      <c r="Q781" s="112">
        <f ca="1">IFERROR(__xludf.DUMMYFUNCTION("""COMPUTED_VALUE"""),41403.7055555555)</f>
        <v>41403.705555555498</v>
      </c>
      <c r="R781" s="111">
        <f ca="1">IFERROR(__xludf.DUMMYFUNCTION("""COMPUTED_VALUE"""),25.25)</f>
        <v>25.25</v>
      </c>
      <c r="S781" s="112">
        <f ca="1">IFERROR(__xludf.DUMMYFUNCTION("""COMPUTED_VALUE"""),41416.7055555555)</f>
        <v>41416.705555555498</v>
      </c>
      <c r="T781" s="111">
        <f ca="1">IFERROR(__xludf.DUMMYFUNCTION("""COMPUTED_VALUE"""),12.11)</f>
        <v>12.11</v>
      </c>
    </row>
    <row r="782" spans="1:20" x14ac:dyDescent="0.3">
      <c r="A782" s="112">
        <f ca="1">IFERROR(__xludf.DUMMYFUNCTION("""COMPUTED_VALUE"""),41414.7055555555)</f>
        <v>41414.705555555498</v>
      </c>
      <c r="B782" s="111">
        <f ca="1">IFERROR(__xludf.DUMMYFUNCTION("""COMPUTED_VALUE"""),5.19)</f>
        <v>5.19</v>
      </c>
      <c r="C782" s="112">
        <f ca="1">IFERROR(__xludf.DUMMYFUNCTION("""COMPUTED_VALUE"""),41421.7055555555)</f>
        <v>41421.705555555498</v>
      </c>
      <c r="D782" s="111">
        <f ca="1">IFERROR(__xludf.DUMMYFUNCTION("""COMPUTED_VALUE"""),16.42)</f>
        <v>16.420000000000002</v>
      </c>
      <c r="E782" s="112">
        <f ca="1">IFERROR(__xludf.DUMMYFUNCTION("""COMPUTED_VALUE"""),41422.7055555555)</f>
        <v>41422.705555555498</v>
      </c>
      <c r="F782" s="111">
        <f ca="1">IFERROR(__xludf.DUMMYFUNCTION("""COMPUTED_VALUE"""),6.19)</f>
        <v>6.19</v>
      </c>
      <c r="G782" s="112">
        <f ca="1">IFERROR(__xludf.DUMMYFUNCTION("""COMPUTED_VALUE"""),41415.7055555555)</f>
        <v>41415.705555555498</v>
      </c>
      <c r="H782" s="111">
        <f ca="1">IFERROR(__xludf.DUMMYFUNCTION("""COMPUTED_VALUE"""),20.25)</f>
        <v>20.25</v>
      </c>
      <c r="K782" s="112">
        <f ca="1">IFERROR(__xludf.DUMMYFUNCTION("""COMPUTED_VALUE"""),41865.7055555555)</f>
        <v>41865.705555555498</v>
      </c>
      <c r="L782" s="111">
        <f ca="1">IFERROR(__xludf.DUMMYFUNCTION("""COMPUTED_VALUE"""),0.28)</f>
        <v>0.28000000000000003</v>
      </c>
      <c r="M782" s="112">
        <f ca="1">IFERROR(__xludf.DUMMYFUNCTION("""COMPUTED_VALUE"""),41331.7055555555)</f>
        <v>41331.705555555498</v>
      </c>
      <c r="N782" s="111">
        <f ca="1">IFERROR(__xludf.DUMMYFUNCTION("""COMPUTED_VALUE"""),13.65)</f>
        <v>13.65</v>
      </c>
      <c r="O782" s="112">
        <f ca="1">IFERROR(__xludf.DUMMYFUNCTION("""COMPUTED_VALUE"""),41408.7055555555)</f>
        <v>41408.705555555498</v>
      </c>
      <c r="P782" s="111">
        <f ca="1">IFERROR(__xludf.DUMMYFUNCTION("""COMPUTED_VALUE"""),32.79)</f>
        <v>32.79</v>
      </c>
      <c r="Q782" s="112">
        <f ca="1">IFERROR(__xludf.DUMMYFUNCTION("""COMPUTED_VALUE"""),41404.7055555555)</f>
        <v>41404.705555555498</v>
      </c>
      <c r="R782" s="111">
        <f ca="1">IFERROR(__xludf.DUMMYFUNCTION("""COMPUTED_VALUE"""),25.34)</f>
        <v>25.34</v>
      </c>
      <c r="S782" s="112">
        <f ca="1">IFERROR(__xludf.DUMMYFUNCTION("""COMPUTED_VALUE"""),41417.7055555555)</f>
        <v>41417.705555555498</v>
      </c>
      <c r="T782" s="111">
        <f ca="1">IFERROR(__xludf.DUMMYFUNCTION("""COMPUTED_VALUE"""),11.99)</f>
        <v>11.99</v>
      </c>
    </row>
    <row r="783" spans="1:20" x14ac:dyDescent="0.3">
      <c r="A783" s="112">
        <f ca="1">IFERROR(__xludf.DUMMYFUNCTION("""COMPUTED_VALUE"""),41415.7055555555)</f>
        <v>41415.705555555498</v>
      </c>
      <c r="B783" s="111">
        <f ca="1">IFERROR(__xludf.DUMMYFUNCTION("""COMPUTED_VALUE"""),5.48)</f>
        <v>5.48</v>
      </c>
      <c r="C783" s="112">
        <f ca="1">IFERROR(__xludf.DUMMYFUNCTION("""COMPUTED_VALUE"""),41422.7055555555)</f>
        <v>41422.705555555498</v>
      </c>
      <c r="D783" s="111">
        <f ca="1">IFERROR(__xludf.DUMMYFUNCTION("""COMPUTED_VALUE"""),16.45)</f>
        <v>16.45</v>
      </c>
      <c r="E783" s="112">
        <f ca="1">IFERROR(__xludf.DUMMYFUNCTION("""COMPUTED_VALUE"""),41423.7055555555)</f>
        <v>41423.705555555498</v>
      </c>
      <c r="F783" s="111">
        <f ca="1">IFERROR(__xludf.DUMMYFUNCTION("""COMPUTED_VALUE"""),6.05)</f>
        <v>6.05</v>
      </c>
      <c r="G783" s="112">
        <f ca="1">IFERROR(__xludf.DUMMYFUNCTION("""COMPUTED_VALUE"""),41416.7055555555)</f>
        <v>41416.705555555498</v>
      </c>
      <c r="H783" s="111">
        <f ca="1">IFERROR(__xludf.DUMMYFUNCTION("""COMPUTED_VALUE"""),19.92)</f>
        <v>19.920000000000002</v>
      </c>
      <c r="K783" s="112">
        <f ca="1">IFERROR(__xludf.DUMMYFUNCTION("""COMPUTED_VALUE"""),41866.7055555555)</f>
        <v>41866.705555555498</v>
      </c>
      <c r="L783" s="111">
        <f ca="1">IFERROR(__xludf.DUMMYFUNCTION("""COMPUTED_VALUE"""),0.28)</f>
        <v>0.28000000000000003</v>
      </c>
      <c r="M783" s="112">
        <f ca="1">IFERROR(__xludf.DUMMYFUNCTION("""COMPUTED_VALUE"""),41332.7055555555)</f>
        <v>41332.705555555498</v>
      </c>
      <c r="N783" s="111">
        <f ca="1">IFERROR(__xludf.DUMMYFUNCTION("""COMPUTED_VALUE"""),13.72)</f>
        <v>13.72</v>
      </c>
      <c r="O783" s="112">
        <f ca="1">IFERROR(__xludf.DUMMYFUNCTION("""COMPUTED_VALUE"""),41409.7055555555)</f>
        <v>41409.705555555498</v>
      </c>
      <c r="P783" s="111">
        <f ca="1">IFERROR(__xludf.DUMMYFUNCTION("""COMPUTED_VALUE"""),32.1)</f>
        <v>32.1</v>
      </c>
      <c r="Q783" s="112">
        <f ca="1">IFERROR(__xludf.DUMMYFUNCTION("""COMPUTED_VALUE"""),41407.7055555555)</f>
        <v>41407.705555555498</v>
      </c>
      <c r="R783" s="111">
        <f ca="1">IFERROR(__xludf.DUMMYFUNCTION("""COMPUTED_VALUE"""),25.25)</f>
        <v>25.25</v>
      </c>
      <c r="S783" s="112">
        <f ca="1">IFERROR(__xludf.DUMMYFUNCTION("""COMPUTED_VALUE"""),41418.7055555555)</f>
        <v>41418.705555555498</v>
      </c>
      <c r="T783" s="111">
        <f ca="1">IFERROR(__xludf.DUMMYFUNCTION("""COMPUTED_VALUE"""),12.25)</f>
        <v>12.25</v>
      </c>
    </row>
    <row r="784" spans="1:20" x14ac:dyDescent="0.3">
      <c r="A784" s="112">
        <f ca="1">IFERROR(__xludf.DUMMYFUNCTION("""COMPUTED_VALUE"""),41416.7055555555)</f>
        <v>41416.705555555498</v>
      </c>
      <c r="B784" s="111">
        <f ca="1">IFERROR(__xludf.DUMMYFUNCTION("""COMPUTED_VALUE"""),5.9)</f>
        <v>5.9</v>
      </c>
      <c r="C784" s="112">
        <f ca="1">IFERROR(__xludf.DUMMYFUNCTION("""COMPUTED_VALUE"""),41423.7055555555)</f>
        <v>41423.705555555498</v>
      </c>
      <c r="D784" s="111">
        <f ca="1">IFERROR(__xludf.DUMMYFUNCTION("""COMPUTED_VALUE"""),16.05)</f>
        <v>16.05</v>
      </c>
      <c r="E784" s="112">
        <f ca="1">IFERROR(__xludf.DUMMYFUNCTION("""COMPUTED_VALUE"""),41425.7055555555)</f>
        <v>41425.705555555498</v>
      </c>
      <c r="F784" s="111">
        <f ca="1">IFERROR(__xludf.DUMMYFUNCTION("""COMPUTED_VALUE"""),6.07)</f>
        <v>6.07</v>
      </c>
      <c r="G784" s="112">
        <f ca="1">IFERROR(__xludf.DUMMYFUNCTION("""COMPUTED_VALUE"""),41417.7055555555)</f>
        <v>41417.705555555498</v>
      </c>
      <c r="H784" s="111">
        <f ca="1">IFERROR(__xludf.DUMMYFUNCTION("""COMPUTED_VALUE"""),19.86)</f>
        <v>19.86</v>
      </c>
      <c r="K784" s="112">
        <f ca="1">IFERROR(__xludf.DUMMYFUNCTION("""COMPUTED_VALUE"""),41869.7055555555)</f>
        <v>41869.705555555498</v>
      </c>
      <c r="L784" s="111">
        <f ca="1">IFERROR(__xludf.DUMMYFUNCTION("""COMPUTED_VALUE"""),0.28)</f>
        <v>0.28000000000000003</v>
      </c>
      <c r="M784" s="112">
        <f ca="1">IFERROR(__xludf.DUMMYFUNCTION("""COMPUTED_VALUE"""),41333.7055555555)</f>
        <v>41333.705555555498</v>
      </c>
      <c r="N784" s="111">
        <f ca="1">IFERROR(__xludf.DUMMYFUNCTION("""COMPUTED_VALUE"""),13.85)</f>
        <v>13.85</v>
      </c>
      <c r="O784" s="112">
        <f ca="1">IFERROR(__xludf.DUMMYFUNCTION("""COMPUTED_VALUE"""),41410.7055555555)</f>
        <v>41410.705555555498</v>
      </c>
      <c r="P784" s="111">
        <f ca="1">IFERROR(__xludf.DUMMYFUNCTION("""COMPUTED_VALUE"""),31.35)</f>
        <v>31.35</v>
      </c>
      <c r="Q784" s="112">
        <f ca="1">IFERROR(__xludf.DUMMYFUNCTION("""COMPUTED_VALUE"""),41408.7055555555)</f>
        <v>41408.705555555498</v>
      </c>
      <c r="R784" s="111">
        <f ca="1">IFERROR(__xludf.DUMMYFUNCTION("""COMPUTED_VALUE"""),25.26)</f>
        <v>25.26</v>
      </c>
      <c r="S784" s="112">
        <f ca="1">IFERROR(__xludf.DUMMYFUNCTION("""COMPUTED_VALUE"""),41421.7055555555)</f>
        <v>41421.705555555498</v>
      </c>
      <c r="T784" s="111">
        <f ca="1">IFERROR(__xludf.DUMMYFUNCTION("""COMPUTED_VALUE"""),12.06)</f>
        <v>12.06</v>
      </c>
    </row>
    <row r="785" spans="1:20" x14ac:dyDescent="0.3">
      <c r="A785" s="112">
        <f ca="1">IFERROR(__xludf.DUMMYFUNCTION("""COMPUTED_VALUE"""),41417.7055555555)</f>
        <v>41417.705555555498</v>
      </c>
      <c r="B785" s="111">
        <f ca="1">IFERROR(__xludf.DUMMYFUNCTION("""COMPUTED_VALUE"""),5.99)</f>
        <v>5.99</v>
      </c>
      <c r="C785" s="112">
        <f ca="1">IFERROR(__xludf.DUMMYFUNCTION("""COMPUTED_VALUE"""),41425.7055555555)</f>
        <v>41425.705555555498</v>
      </c>
      <c r="D785" s="111">
        <f ca="1">IFERROR(__xludf.DUMMYFUNCTION("""COMPUTED_VALUE"""),16.18)</f>
        <v>16.18</v>
      </c>
      <c r="E785" s="112">
        <f ca="1">IFERROR(__xludf.DUMMYFUNCTION("""COMPUTED_VALUE"""),41428.7055555555)</f>
        <v>41428.705555555498</v>
      </c>
      <c r="F785" s="111">
        <f ca="1">IFERROR(__xludf.DUMMYFUNCTION("""COMPUTED_VALUE"""),6.05)</f>
        <v>6.05</v>
      </c>
      <c r="G785" s="112">
        <f ca="1">IFERROR(__xludf.DUMMYFUNCTION("""COMPUTED_VALUE"""),41418.7055555555)</f>
        <v>41418.705555555498</v>
      </c>
      <c r="H785" s="111">
        <f ca="1">IFERROR(__xludf.DUMMYFUNCTION("""COMPUTED_VALUE"""),20.09)</f>
        <v>20.09</v>
      </c>
      <c r="K785" s="112">
        <f ca="1">IFERROR(__xludf.DUMMYFUNCTION("""COMPUTED_VALUE"""),41870.7055555555)</f>
        <v>41870.705555555498</v>
      </c>
      <c r="L785" s="111">
        <f ca="1">IFERROR(__xludf.DUMMYFUNCTION("""COMPUTED_VALUE"""),0.28)</f>
        <v>0.28000000000000003</v>
      </c>
      <c r="M785" s="112">
        <f ca="1">IFERROR(__xludf.DUMMYFUNCTION("""COMPUTED_VALUE"""),41334.7055555555)</f>
        <v>41334.705555555498</v>
      </c>
      <c r="N785" s="111">
        <f ca="1">IFERROR(__xludf.DUMMYFUNCTION("""COMPUTED_VALUE"""),14.02)</f>
        <v>14.02</v>
      </c>
      <c r="O785" s="112">
        <f ca="1">IFERROR(__xludf.DUMMYFUNCTION("""COMPUTED_VALUE"""),41411.7055555555)</f>
        <v>41411.705555555498</v>
      </c>
      <c r="P785" s="111">
        <f ca="1">IFERROR(__xludf.DUMMYFUNCTION("""COMPUTED_VALUE"""),31.77)</f>
        <v>31.77</v>
      </c>
      <c r="Q785" s="112">
        <f ca="1">IFERROR(__xludf.DUMMYFUNCTION("""COMPUTED_VALUE"""),41409.7055555555)</f>
        <v>41409.705555555498</v>
      </c>
      <c r="R785" s="111">
        <f ca="1">IFERROR(__xludf.DUMMYFUNCTION("""COMPUTED_VALUE"""),24.68)</f>
        <v>24.68</v>
      </c>
      <c r="S785" s="112">
        <f ca="1">IFERROR(__xludf.DUMMYFUNCTION("""COMPUTED_VALUE"""),41422.7055555555)</f>
        <v>41422.705555555498</v>
      </c>
      <c r="T785" s="111">
        <f ca="1">IFERROR(__xludf.DUMMYFUNCTION("""COMPUTED_VALUE"""),12.1)</f>
        <v>12.1</v>
      </c>
    </row>
    <row r="786" spans="1:20" x14ac:dyDescent="0.3">
      <c r="A786" s="112">
        <f ca="1">IFERROR(__xludf.DUMMYFUNCTION("""COMPUTED_VALUE"""),41418.7055555555)</f>
        <v>41418.705555555498</v>
      </c>
      <c r="B786" s="111">
        <f ca="1">IFERROR(__xludf.DUMMYFUNCTION("""COMPUTED_VALUE"""),6.12)</f>
        <v>6.12</v>
      </c>
      <c r="C786" s="112">
        <f ca="1">IFERROR(__xludf.DUMMYFUNCTION("""COMPUTED_VALUE"""),41428.7055555555)</f>
        <v>41428.705555555498</v>
      </c>
      <c r="D786" s="111">
        <f ca="1">IFERROR(__xludf.DUMMYFUNCTION("""COMPUTED_VALUE"""),16.09)</f>
        <v>16.09</v>
      </c>
      <c r="E786" s="112">
        <f ca="1">IFERROR(__xludf.DUMMYFUNCTION("""COMPUTED_VALUE"""),41429.7055555555)</f>
        <v>41429.705555555498</v>
      </c>
      <c r="F786" s="111">
        <f ca="1">IFERROR(__xludf.DUMMYFUNCTION("""COMPUTED_VALUE"""),6.04)</f>
        <v>6.04</v>
      </c>
      <c r="G786" s="112">
        <f ca="1">IFERROR(__xludf.DUMMYFUNCTION("""COMPUTED_VALUE"""),41421.7055555555)</f>
        <v>41421.705555555498</v>
      </c>
      <c r="H786" s="111">
        <f ca="1">IFERROR(__xludf.DUMMYFUNCTION("""COMPUTED_VALUE"""),19.93)</f>
        <v>19.93</v>
      </c>
      <c r="K786" s="112">
        <f ca="1">IFERROR(__xludf.DUMMYFUNCTION("""COMPUTED_VALUE"""),41871.7055555555)</f>
        <v>41871.705555555498</v>
      </c>
      <c r="L786" s="111">
        <f ca="1">IFERROR(__xludf.DUMMYFUNCTION("""COMPUTED_VALUE"""),0.28)</f>
        <v>0.28000000000000003</v>
      </c>
      <c r="M786" s="112">
        <f ca="1">IFERROR(__xludf.DUMMYFUNCTION("""COMPUTED_VALUE"""),41337.7055555555)</f>
        <v>41337.705555555498</v>
      </c>
      <c r="N786" s="111">
        <f ca="1">IFERROR(__xludf.DUMMYFUNCTION("""COMPUTED_VALUE"""),14.16)</f>
        <v>14.16</v>
      </c>
      <c r="O786" s="112">
        <f ca="1">IFERROR(__xludf.DUMMYFUNCTION("""COMPUTED_VALUE"""),41414.7055555555)</f>
        <v>41414.705555555498</v>
      </c>
      <c r="P786" s="111">
        <f ca="1">IFERROR(__xludf.DUMMYFUNCTION("""COMPUTED_VALUE"""),32.89)</f>
        <v>32.89</v>
      </c>
      <c r="Q786" s="112">
        <f ca="1">IFERROR(__xludf.DUMMYFUNCTION("""COMPUTED_VALUE"""),41410.7055555555)</f>
        <v>41410.705555555498</v>
      </c>
      <c r="R786" s="111">
        <f ca="1">IFERROR(__xludf.DUMMYFUNCTION("""COMPUTED_VALUE"""),25.17)</f>
        <v>25.17</v>
      </c>
      <c r="S786" s="112">
        <f ca="1">IFERROR(__xludf.DUMMYFUNCTION("""COMPUTED_VALUE"""),41423.7055555555)</f>
        <v>41423.705555555498</v>
      </c>
      <c r="T786" s="111">
        <f ca="1">IFERROR(__xludf.DUMMYFUNCTION("""COMPUTED_VALUE"""),11.7)</f>
        <v>11.7</v>
      </c>
    </row>
    <row r="787" spans="1:20" x14ac:dyDescent="0.3">
      <c r="A787" s="112">
        <f ca="1">IFERROR(__xludf.DUMMYFUNCTION("""COMPUTED_VALUE"""),41421.7055555555)</f>
        <v>41421.705555555498</v>
      </c>
      <c r="B787" s="111">
        <f ca="1">IFERROR(__xludf.DUMMYFUNCTION("""COMPUTED_VALUE"""),6.08)</f>
        <v>6.08</v>
      </c>
      <c r="C787" s="112">
        <f ca="1">IFERROR(__xludf.DUMMYFUNCTION("""COMPUTED_VALUE"""),41429.7055555555)</f>
        <v>41429.705555555498</v>
      </c>
      <c r="D787" s="111">
        <f ca="1">IFERROR(__xludf.DUMMYFUNCTION("""COMPUTED_VALUE"""),16.17)</f>
        <v>16.170000000000002</v>
      </c>
      <c r="E787" s="112">
        <f ca="1">IFERROR(__xludf.DUMMYFUNCTION("""COMPUTED_VALUE"""),41430.7055555555)</f>
        <v>41430.705555555498</v>
      </c>
      <c r="F787" s="111">
        <f ca="1">IFERROR(__xludf.DUMMYFUNCTION("""COMPUTED_VALUE"""),5.85)</f>
        <v>5.85</v>
      </c>
      <c r="G787" s="112">
        <f ca="1">IFERROR(__xludf.DUMMYFUNCTION("""COMPUTED_VALUE"""),41422.7055555555)</f>
        <v>41422.705555555498</v>
      </c>
      <c r="H787" s="111">
        <f ca="1">IFERROR(__xludf.DUMMYFUNCTION("""COMPUTED_VALUE"""),20.04)</f>
        <v>20.04</v>
      </c>
      <c r="K787" s="112">
        <f ca="1">IFERROR(__xludf.DUMMYFUNCTION("""COMPUTED_VALUE"""),41872.7055555555)</f>
        <v>41872.705555555498</v>
      </c>
      <c r="L787" s="111">
        <f ca="1">IFERROR(__xludf.DUMMYFUNCTION("""COMPUTED_VALUE"""),0.28)</f>
        <v>0.28000000000000003</v>
      </c>
      <c r="M787" s="112">
        <f ca="1">IFERROR(__xludf.DUMMYFUNCTION("""COMPUTED_VALUE"""),41338.7055555555)</f>
        <v>41338.705555555498</v>
      </c>
      <c r="N787" s="111">
        <f ca="1">IFERROR(__xludf.DUMMYFUNCTION("""COMPUTED_VALUE"""),14.2)</f>
        <v>14.2</v>
      </c>
      <c r="O787" s="112">
        <f ca="1">IFERROR(__xludf.DUMMYFUNCTION("""COMPUTED_VALUE"""),41415.7055555555)</f>
        <v>41415.705555555498</v>
      </c>
      <c r="P787" s="111">
        <f ca="1">IFERROR(__xludf.DUMMYFUNCTION("""COMPUTED_VALUE"""),33.1)</f>
        <v>33.1</v>
      </c>
      <c r="Q787" s="112">
        <f ca="1">IFERROR(__xludf.DUMMYFUNCTION("""COMPUTED_VALUE"""),41411.7055555555)</f>
        <v>41411.705555555498</v>
      </c>
      <c r="R787" s="111">
        <f ca="1">IFERROR(__xludf.DUMMYFUNCTION("""COMPUTED_VALUE"""),26.04)</f>
        <v>26.04</v>
      </c>
      <c r="S787" s="112">
        <f ca="1">IFERROR(__xludf.DUMMYFUNCTION("""COMPUTED_VALUE"""),41425.7055555555)</f>
        <v>41425.705555555498</v>
      </c>
      <c r="T787" s="111">
        <f ca="1">IFERROR(__xludf.DUMMYFUNCTION("""COMPUTED_VALUE"""),11.18)</f>
        <v>11.18</v>
      </c>
    </row>
    <row r="788" spans="1:20" x14ac:dyDescent="0.3">
      <c r="A788" s="112">
        <f ca="1">IFERROR(__xludf.DUMMYFUNCTION("""COMPUTED_VALUE"""),41422.7055555555)</f>
        <v>41422.705555555498</v>
      </c>
      <c r="B788" s="111">
        <f ca="1">IFERROR(__xludf.DUMMYFUNCTION("""COMPUTED_VALUE"""),6.19)</f>
        <v>6.19</v>
      </c>
      <c r="C788" s="112">
        <f ca="1">IFERROR(__xludf.DUMMYFUNCTION("""COMPUTED_VALUE"""),41430.7055555555)</f>
        <v>41430.705555555498</v>
      </c>
      <c r="D788" s="111">
        <f ca="1">IFERROR(__xludf.DUMMYFUNCTION("""COMPUTED_VALUE"""),15.61)</f>
        <v>15.61</v>
      </c>
      <c r="E788" s="112">
        <f ca="1">IFERROR(__xludf.DUMMYFUNCTION("""COMPUTED_VALUE"""),41431.7055555555)</f>
        <v>41431.705555555498</v>
      </c>
      <c r="F788" s="111">
        <f ca="1">IFERROR(__xludf.DUMMYFUNCTION("""COMPUTED_VALUE"""),5.93)</f>
        <v>5.93</v>
      </c>
      <c r="G788" s="112">
        <f ca="1">IFERROR(__xludf.DUMMYFUNCTION("""COMPUTED_VALUE"""),41423.7055555555)</f>
        <v>41423.705555555498</v>
      </c>
      <c r="H788" s="111">
        <f ca="1">IFERROR(__xludf.DUMMYFUNCTION("""COMPUTED_VALUE"""),19.85)</f>
        <v>19.850000000000001</v>
      </c>
      <c r="K788" s="112">
        <f ca="1">IFERROR(__xludf.DUMMYFUNCTION("""COMPUTED_VALUE"""),41873.7055555555)</f>
        <v>41873.705555555498</v>
      </c>
      <c r="L788" s="111">
        <f ca="1">IFERROR(__xludf.DUMMYFUNCTION("""COMPUTED_VALUE"""),0.27)</f>
        <v>0.27</v>
      </c>
      <c r="M788" s="112">
        <f ca="1">IFERROR(__xludf.DUMMYFUNCTION("""COMPUTED_VALUE"""),41339.7055555555)</f>
        <v>41339.705555555498</v>
      </c>
      <c r="N788" s="111">
        <f ca="1">IFERROR(__xludf.DUMMYFUNCTION("""COMPUTED_VALUE"""),14.18)</f>
        <v>14.18</v>
      </c>
      <c r="O788" s="112">
        <f ca="1">IFERROR(__xludf.DUMMYFUNCTION("""COMPUTED_VALUE"""),41416.7055555555)</f>
        <v>41416.705555555498</v>
      </c>
      <c r="P788" s="111">
        <f ca="1">IFERROR(__xludf.DUMMYFUNCTION("""COMPUTED_VALUE"""),32.62)</f>
        <v>32.619999999999997</v>
      </c>
      <c r="Q788" s="112">
        <f ca="1">IFERROR(__xludf.DUMMYFUNCTION("""COMPUTED_VALUE"""),41414.7055555555)</f>
        <v>41414.705555555498</v>
      </c>
      <c r="R788" s="111">
        <f ca="1">IFERROR(__xludf.DUMMYFUNCTION("""COMPUTED_VALUE"""),26.57)</f>
        <v>26.57</v>
      </c>
      <c r="S788" s="112">
        <f ca="1">IFERROR(__xludf.DUMMYFUNCTION("""COMPUTED_VALUE"""),41428.7055555555)</f>
        <v>41428.705555555498</v>
      </c>
      <c r="T788" s="111">
        <f ca="1">IFERROR(__xludf.DUMMYFUNCTION("""COMPUTED_VALUE"""),11.01)</f>
        <v>11.01</v>
      </c>
    </row>
    <row r="789" spans="1:20" x14ac:dyDescent="0.3">
      <c r="A789" s="112">
        <f ca="1">IFERROR(__xludf.DUMMYFUNCTION("""COMPUTED_VALUE"""),41423.7055555555)</f>
        <v>41423.705555555498</v>
      </c>
      <c r="B789" s="111">
        <f ca="1">IFERROR(__xludf.DUMMYFUNCTION("""COMPUTED_VALUE"""),5.89)</f>
        <v>5.89</v>
      </c>
      <c r="C789" s="112">
        <f ca="1">IFERROR(__xludf.DUMMYFUNCTION("""COMPUTED_VALUE"""),41431.7055555555)</f>
        <v>41431.705555555498</v>
      </c>
      <c r="D789" s="111">
        <f ca="1">IFERROR(__xludf.DUMMYFUNCTION("""COMPUTED_VALUE"""),15.75)</f>
        <v>15.75</v>
      </c>
      <c r="E789" s="112">
        <f ca="1">IFERROR(__xludf.DUMMYFUNCTION("""COMPUTED_VALUE"""),41432.7055555555)</f>
        <v>41432.705555555498</v>
      </c>
      <c r="F789" s="111">
        <f ca="1">IFERROR(__xludf.DUMMYFUNCTION("""COMPUTED_VALUE"""),5.76)</f>
        <v>5.76</v>
      </c>
      <c r="G789" s="112">
        <f ca="1">IFERROR(__xludf.DUMMYFUNCTION("""COMPUTED_VALUE"""),41425.7055555555)</f>
        <v>41425.705555555498</v>
      </c>
      <c r="H789" s="111">
        <f ca="1">IFERROR(__xludf.DUMMYFUNCTION("""COMPUTED_VALUE"""),20.06)</f>
        <v>20.059999999999999</v>
      </c>
      <c r="K789" s="112">
        <f ca="1">IFERROR(__xludf.DUMMYFUNCTION("""COMPUTED_VALUE"""),41876.7055555555)</f>
        <v>41876.705555555498</v>
      </c>
      <c r="L789" s="111">
        <f ca="1">IFERROR(__xludf.DUMMYFUNCTION("""COMPUTED_VALUE"""),0.28)</f>
        <v>0.28000000000000003</v>
      </c>
      <c r="M789" s="112">
        <f ca="1">IFERROR(__xludf.DUMMYFUNCTION("""COMPUTED_VALUE"""),41340.7055555555)</f>
        <v>41340.705555555498</v>
      </c>
      <c r="N789" s="111">
        <f ca="1">IFERROR(__xludf.DUMMYFUNCTION("""COMPUTED_VALUE"""),14.33)</f>
        <v>14.33</v>
      </c>
      <c r="O789" s="112">
        <f ca="1">IFERROR(__xludf.DUMMYFUNCTION("""COMPUTED_VALUE"""),41417.7055555555)</f>
        <v>41417.705555555498</v>
      </c>
      <c r="P789" s="111">
        <f ca="1">IFERROR(__xludf.DUMMYFUNCTION("""COMPUTED_VALUE"""),32.01)</f>
        <v>32.01</v>
      </c>
      <c r="Q789" s="112">
        <f ca="1">IFERROR(__xludf.DUMMYFUNCTION("""COMPUTED_VALUE"""),41415.7055555555)</f>
        <v>41415.705555555498</v>
      </c>
      <c r="R789" s="111">
        <f ca="1">IFERROR(__xludf.DUMMYFUNCTION("""COMPUTED_VALUE"""),26.38)</f>
        <v>26.38</v>
      </c>
      <c r="S789" s="112">
        <f ca="1">IFERROR(__xludf.DUMMYFUNCTION("""COMPUTED_VALUE"""),41429.7055555555)</f>
        <v>41429.705555555498</v>
      </c>
      <c r="T789" s="111">
        <f ca="1">IFERROR(__xludf.DUMMYFUNCTION("""COMPUTED_VALUE"""),10.97)</f>
        <v>10.97</v>
      </c>
    </row>
    <row r="790" spans="1:20" x14ac:dyDescent="0.3">
      <c r="A790" s="112">
        <f ca="1">IFERROR(__xludf.DUMMYFUNCTION("""COMPUTED_VALUE"""),41425.7055555555)</f>
        <v>41425.705555555498</v>
      </c>
      <c r="B790" s="111">
        <f ca="1">IFERROR(__xludf.DUMMYFUNCTION("""COMPUTED_VALUE"""),5.55)</f>
        <v>5.55</v>
      </c>
      <c r="C790" s="112">
        <f ca="1">IFERROR(__xludf.DUMMYFUNCTION("""COMPUTED_VALUE"""),41432.7055555555)</f>
        <v>41432.705555555498</v>
      </c>
      <c r="D790" s="111">
        <f ca="1">IFERROR(__xludf.DUMMYFUNCTION("""COMPUTED_VALUE"""),15.42)</f>
        <v>15.42</v>
      </c>
      <c r="E790" s="112">
        <f ca="1">IFERROR(__xludf.DUMMYFUNCTION("""COMPUTED_VALUE"""),41435.7055555555)</f>
        <v>41435.705555555498</v>
      </c>
      <c r="F790" s="111">
        <f ca="1">IFERROR(__xludf.DUMMYFUNCTION("""COMPUTED_VALUE"""),5.86)</f>
        <v>5.86</v>
      </c>
      <c r="G790" s="112">
        <f ca="1">IFERROR(__xludf.DUMMYFUNCTION("""COMPUTED_VALUE"""),41428.7055555555)</f>
        <v>41428.705555555498</v>
      </c>
      <c r="H790" s="111">
        <f ca="1">IFERROR(__xludf.DUMMYFUNCTION("""COMPUTED_VALUE"""),20.29)</f>
        <v>20.29</v>
      </c>
      <c r="K790" s="112">
        <f ca="1">IFERROR(__xludf.DUMMYFUNCTION("""COMPUTED_VALUE"""),41877.7055555555)</f>
        <v>41877.705555555498</v>
      </c>
      <c r="L790" s="111">
        <f ca="1">IFERROR(__xludf.DUMMYFUNCTION("""COMPUTED_VALUE"""),0.28)</f>
        <v>0.28000000000000003</v>
      </c>
      <c r="M790" s="112">
        <f ca="1">IFERROR(__xludf.DUMMYFUNCTION("""COMPUTED_VALUE"""),41341.7055555555)</f>
        <v>41341.705555555498</v>
      </c>
      <c r="N790" s="111">
        <f ca="1">IFERROR(__xludf.DUMMYFUNCTION("""COMPUTED_VALUE"""),14.54)</f>
        <v>14.54</v>
      </c>
      <c r="O790" s="112">
        <f ca="1">IFERROR(__xludf.DUMMYFUNCTION("""COMPUTED_VALUE"""),41418.7055555555)</f>
        <v>41418.705555555498</v>
      </c>
      <c r="P790" s="111">
        <f ca="1">IFERROR(__xludf.DUMMYFUNCTION("""COMPUTED_VALUE"""),31.76)</f>
        <v>31.76</v>
      </c>
      <c r="Q790" s="112">
        <f ca="1">IFERROR(__xludf.DUMMYFUNCTION("""COMPUTED_VALUE"""),41416.7055555555)</f>
        <v>41416.705555555498</v>
      </c>
      <c r="R790" s="111">
        <f ca="1">IFERROR(__xludf.DUMMYFUNCTION("""COMPUTED_VALUE"""),26.68)</f>
        <v>26.68</v>
      </c>
      <c r="S790" s="112">
        <f ca="1">IFERROR(__xludf.DUMMYFUNCTION("""COMPUTED_VALUE"""),41430.7055555555)</f>
        <v>41430.705555555498</v>
      </c>
      <c r="T790" s="111">
        <f ca="1">IFERROR(__xludf.DUMMYFUNCTION("""COMPUTED_VALUE"""),10.89)</f>
        <v>10.89</v>
      </c>
    </row>
    <row r="791" spans="1:20" x14ac:dyDescent="0.3">
      <c r="A791" s="112">
        <f ca="1">IFERROR(__xludf.DUMMYFUNCTION("""COMPUTED_VALUE"""),41428.7055555555)</f>
        <v>41428.705555555498</v>
      </c>
      <c r="B791" s="111">
        <f ca="1">IFERROR(__xludf.DUMMYFUNCTION("""COMPUTED_VALUE"""),5.69)</f>
        <v>5.69</v>
      </c>
      <c r="C791" s="112">
        <f ca="1">IFERROR(__xludf.DUMMYFUNCTION("""COMPUTED_VALUE"""),41435.7055555555)</f>
        <v>41435.705555555498</v>
      </c>
      <c r="D791" s="111">
        <f ca="1">IFERROR(__xludf.DUMMYFUNCTION("""COMPUTED_VALUE"""),15.62)</f>
        <v>15.62</v>
      </c>
      <c r="E791" s="112">
        <f ca="1">IFERROR(__xludf.DUMMYFUNCTION("""COMPUTED_VALUE"""),41436.7055555555)</f>
        <v>41436.705555555498</v>
      </c>
      <c r="F791" s="111">
        <f ca="1">IFERROR(__xludf.DUMMYFUNCTION("""COMPUTED_VALUE"""),5.69)</f>
        <v>5.69</v>
      </c>
      <c r="G791" s="112">
        <f ca="1">IFERROR(__xludf.DUMMYFUNCTION("""COMPUTED_VALUE"""),41429.7055555555)</f>
        <v>41429.705555555498</v>
      </c>
      <c r="H791" s="111">
        <f ca="1">IFERROR(__xludf.DUMMYFUNCTION("""COMPUTED_VALUE"""),20.07)</f>
        <v>20.07</v>
      </c>
      <c r="K791" s="112">
        <f ca="1">IFERROR(__xludf.DUMMYFUNCTION("""COMPUTED_VALUE"""),41878.7055555555)</f>
        <v>41878.705555555498</v>
      </c>
      <c r="L791" s="111">
        <f ca="1">IFERROR(__xludf.DUMMYFUNCTION("""COMPUTED_VALUE"""),0.28)</f>
        <v>0.28000000000000003</v>
      </c>
      <c r="M791" s="112">
        <f ca="1">IFERROR(__xludf.DUMMYFUNCTION("""COMPUTED_VALUE"""),41344.7055555555)</f>
        <v>41344.705555555498</v>
      </c>
      <c r="N791" s="111">
        <f ca="1">IFERROR(__xludf.DUMMYFUNCTION("""COMPUTED_VALUE"""),14.54)</f>
        <v>14.54</v>
      </c>
      <c r="O791" s="112">
        <f ca="1">IFERROR(__xludf.DUMMYFUNCTION("""COMPUTED_VALUE"""),41421.7055555555)</f>
        <v>41421.705555555498</v>
      </c>
      <c r="P791" s="111">
        <f ca="1">IFERROR(__xludf.DUMMYFUNCTION("""COMPUTED_VALUE"""),32)</f>
        <v>32</v>
      </c>
      <c r="Q791" s="112">
        <f ca="1">IFERROR(__xludf.DUMMYFUNCTION("""COMPUTED_VALUE"""),41417.7055555555)</f>
        <v>41417.705555555498</v>
      </c>
      <c r="R791" s="111">
        <f ca="1">IFERROR(__xludf.DUMMYFUNCTION("""COMPUTED_VALUE"""),26.65)</f>
        <v>26.65</v>
      </c>
      <c r="S791" s="112">
        <f ca="1">IFERROR(__xludf.DUMMYFUNCTION("""COMPUTED_VALUE"""),41431.7055555555)</f>
        <v>41431.705555555498</v>
      </c>
      <c r="T791" s="111">
        <f ca="1">IFERROR(__xludf.DUMMYFUNCTION("""COMPUTED_VALUE"""),10.89)</f>
        <v>10.89</v>
      </c>
    </row>
    <row r="792" spans="1:20" x14ac:dyDescent="0.3">
      <c r="A792" s="112">
        <f ca="1">IFERROR(__xludf.DUMMYFUNCTION("""COMPUTED_VALUE"""),41429.7055555555)</f>
        <v>41429.705555555498</v>
      </c>
      <c r="B792" s="111">
        <f ca="1">IFERROR(__xludf.DUMMYFUNCTION("""COMPUTED_VALUE"""),5.55)</f>
        <v>5.55</v>
      </c>
      <c r="C792" s="112">
        <f ca="1">IFERROR(__xludf.DUMMYFUNCTION("""COMPUTED_VALUE"""),41436.7055555555)</f>
        <v>41436.705555555498</v>
      </c>
      <c r="D792" s="111">
        <f ca="1">IFERROR(__xludf.DUMMYFUNCTION("""COMPUTED_VALUE"""),15.11)</f>
        <v>15.11</v>
      </c>
      <c r="E792" s="112">
        <f ca="1">IFERROR(__xludf.DUMMYFUNCTION("""COMPUTED_VALUE"""),41437.7055555555)</f>
        <v>41437.705555555498</v>
      </c>
      <c r="F792" s="111">
        <f ca="1">IFERROR(__xludf.DUMMYFUNCTION("""COMPUTED_VALUE"""),5.69)</f>
        <v>5.69</v>
      </c>
      <c r="G792" s="112">
        <f ca="1">IFERROR(__xludf.DUMMYFUNCTION("""COMPUTED_VALUE"""),41430.7055555555)</f>
        <v>41430.705555555498</v>
      </c>
      <c r="H792" s="111">
        <f ca="1">IFERROR(__xludf.DUMMYFUNCTION("""COMPUTED_VALUE"""),19.42)</f>
        <v>19.420000000000002</v>
      </c>
      <c r="K792" s="112">
        <f ca="1">IFERROR(__xludf.DUMMYFUNCTION("""COMPUTED_VALUE"""),41879.7055555555)</f>
        <v>41879.705555555498</v>
      </c>
      <c r="L792" s="111">
        <f ca="1">IFERROR(__xludf.DUMMYFUNCTION("""COMPUTED_VALUE"""),0.28)</f>
        <v>0.28000000000000003</v>
      </c>
      <c r="M792" s="112">
        <f ca="1">IFERROR(__xludf.DUMMYFUNCTION("""COMPUTED_VALUE"""),41345.7055555555)</f>
        <v>41345.705555555498</v>
      </c>
      <c r="N792" s="111">
        <f ca="1">IFERROR(__xludf.DUMMYFUNCTION("""COMPUTED_VALUE"""),14.42)</f>
        <v>14.42</v>
      </c>
      <c r="O792" s="112">
        <f ca="1">IFERROR(__xludf.DUMMYFUNCTION("""COMPUTED_VALUE"""),41422.7055555555)</f>
        <v>41422.705555555498</v>
      </c>
      <c r="P792" s="111">
        <f ca="1">IFERROR(__xludf.DUMMYFUNCTION("""COMPUTED_VALUE"""),31.31)</f>
        <v>31.31</v>
      </c>
      <c r="Q792" s="112">
        <f ca="1">IFERROR(__xludf.DUMMYFUNCTION("""COMPUTED_VALUE"""),41418.7055555555)</f>
        <v>41418.705555555498</v>
      </c>
      <c r="R792" s="111">
        <f ca="1">IFERROR(__xludf.DUMMYFUNCTION("""COMPUTED_VALUE"""),26.69)</f>
        <v>26.69</v>
      </c>
      <c r="S792" s="112">
        <f ca="1">IFERROR(__xludf.DUMMYFUNCTION("""COMPUTED_VALUE"""),41432.7055555555)</f>
        <v>41432.705555555498</v>
      </c>
      <c r="T792" s="111">
        <f ca="1">IFERROR(__xludf.DUMMYFUNCTION("""COMPUTED_VALUE"""),10.69)</f>
        <v>10.69</v>
      </c>
    </row>
    <row r="793" spans="1:20" x14ac:dyDescent="0.3">
      <c r="A793" s="112">
        <f ca="1">IFERROR(__xludf.DUMMYFUNCTION("""COMPUTED_VALUE"""),41430.7055555555)</f>
        <v>41430.705555555498</v>
      </c>
      <c r="B793" s="111">
        <f ca="1">IFERROR(__xludf.DUMMYFUNCTION("""COMPUTED_VALUE"""),5.32)</f>
        <v>5.32</v>
      </c>
      <c r="C793" s="112">
        <f ca="1">IFERROR(__xludf.DUMMYFUNCTION("""COMPUTED_VALUE"""),41437.7055555555)</f>
        <v>41437.705555555498</v>
      </c>
      <c r="D793" s="111">
        <f ca="1">IFERROR(__xludf.DUMMYFUNCTION("""COMPUTED_VALUE"""),15.08)</f>
        <v>15.08</v>
      </c>
      <c r="E793" s="112">
        <f ca="1">IFERROR(__xludf.DUMMYFUNCTION("""COMPUTED_VALUE"""),41438.7055555555)</f>
        <v>41438.705555555498</v>
      </c>
      <c r="F793" s="111">
        <f ca="1">IFERROR(__xludf.DUMMYFUNCTION("""COMPUTED_VALUE"""),5.72)</f>
        <v>5.72</v>
      </c>
      <c r="G793" s="112">
        <f ca="1">IFERROR(__xludf.DUMMYFUNCTION("""COMPUTED_VALUE"""),41431.7055555555)</f>
        <v>41431.705555555498</v>
      </c>
      <c r="H793" s="111">
        <f ca="1">IFERROR(__xludf.DUMMYFUNCTION("""COMPUTED_VALUE"""),19.46)</f>
        <v>19.46</v>
      </c>
      <c r="K793" s="112">
        <f ca="1">IFERROR(__xludf.DUMMYFUNCTION("""COMPUTED_VALUE"""),41880.7055555555)</f>
        <v>41880.705555555498</v>
      </c>
      <c r="L793" s="111">
        <f ca="1">IFERROR(__xludf.DUMMYFUNCTION("""COMPUTED_VALUE"""),0.28)</f>
        <v>0.28000000000000003</v>
      </c>
      <c r="M793" s="112">
        <f ca="1">IFERROR(__xludf.DUMMYFUNCTION("""COMPUTED_VALUE"""),41346.7055555555)</f>
        <v>41346.705555555498</v>
      </c>
      <c r="N793" s="111">
        <f ca="1">IFERROR(__xludf.DUMMYFUNCTION("""COMPUTED_VALUE"""),14.46)</f>
        <v>14.46</v>
      </c>
      <c r="O793" s="112">
        <f ca="1">IFERROR(__xludf.DUMMYFUNCTION("""COMPUTED_VALUE"""),41423.7055555555)</f>
        <v>41423.705555555498</v>
      </c>
      <c r="P793" s="111">
        <f ca="1">IFERROR(__xludf.DUMMYFUNCTION("""COMPUTED_VALUE"""),31.05)</f>
        <v>31.05</v>
      </c>
      <c r="Q793" s="112">
        <f ca="1">IFERROR(__xludf.DUMMYFUNCTION("""COMPUTED_VALUE"""),41421.7055555555)</f>
        <v>41421.705555555498</v>
      </c>
      <c r="R793" s="111">
        <f ca="1">IFERROR(__xludf.DUMMYFUNCTION("""COMPUTED_VALUE"""),26.77)</f>
        <v>26.77</v>
      </c>
      <c r="S793" s="112">
        <f ca="1">IFERROR(__xludf.DUMMYFUNCTION("""COMPUTED_VALUE"""),41435.7055555555)</f>
        <v>41435.705555555498</v>
      </c>
      <c r="T793" s="111">
        <f ca="1">IFERROR(__xludf.DUMMYFUNCTION("""COMPUTED_VALUE"""),10.67)</f>
        <v>10.67</v>
      </c>
    </row>
    <row r="794" spans="1:20" x14ac:dyDescent="0.3">
      <c r="A794" s="112">
        <f ca="1">IFERROR(__xludf.DUMMYFUNCTION("""COMPUTED_VALUE"""),41431.7055555555)</f>
        <v>41431.705555555498</v>
      </c>
      <c r="B794" s="111">
        <f ca="1">IFERROR(__xludf.DUMMYFUNCTION("""COMPUTED_VALUE"""),5.33)</f>
        <v>5.33</v>
      </c>
      <c r="C794" s="112">
        <f ca="1">IFERROR(__xludf.DUMMYFUNCTION("""COMPUTED_VALUE"""),41438.7055555555)</f>
        <v>41438.705555555498</v>
      </c>
      <c r="D794" s="111">
        <f ca="1">IFERROR(__xludf.DUMMYFUNCTION("""COMPUTED_VALUE"""),15.04)</f>
        <v>15.04</v>
      </c>
      <c r="E794" s="112">
        <f ca="1">IFERROR(__xludf.DUMMYFUNCTION("""COMPUTED_VALUE"""),41439.7055555555)</f>
        <v>41439.705555555498</v>
      </c>
      <c r="F794" s="111">
        <f ca="1">IFERROR(__xludf.DUMMYFUNCTION("""COMPUTED_VALUE"""),5.56)</f>
        <v>5.56</v>
      </c>
      <c r="G794" s="112">
        <f ca="1">IFERROR(__xludf.DUMMYFUNCTION("""COMPUTED_VALUE"""),41432.7055555555)</f>
        <v>41432.705555555498</v>
      </c>
      <c r="H794" s="111">
        <f ca="1">IFERROR(__xludf.DUMMYFUNCTION("""COMPUTED_VALUE"""),18.84)</f>
        <v>18.84</v>
      </c>
      <c r="K794" s="112">
        <f ca="1">IFERROR(__xludf.DUMMYFUNCTION("""COMPUTED_VALUE"""),41883.7055555555)</f>
        <v>41883.705555555498</v>
      </c>
      <c r="L794" s="111">
        <f ca="1">IFERROR(__xludf.DUMMYFUNCTION("""COMPUTED_VALUE"""),0.28)</f>
        <v>0.28000000000000003</v>
      </c>
      <c r="M794" s="112">
        <f ca="1">IFERROR(__xludf.DUMMYFUNCTION("""COMPUTED_VALUE"""),41347.7055555555)</f>
        <v>41347.705555555498</v>
      </c>
      <c r="N794" s="111">
        <f ca="1">IFERROR(__xludf.DUMMYFUNCTION("""COMPUTED_VALUE"""),14.42)</f>
        <v>14.42</v>
      </c>
      <c r="O794" s="112">
        <f ca="1">IFERROR(__xludf.DUMMYFUNCTION("""COMPUTED_VALUE"""),41425.7055555555)</f>
        <v>41425.705555555498</v>
      </c>
      <c r="P794" s="111">
        <f ca="1">IFERROR(__xludf.DUMMYFUNCTION("""COMPUTED_VALUE"""),30.45)</f>
        <v>30.45</v>
      </c>
      <c r="Q794" s="112">
        <f ca="1">IFERROR(__xludf.DUMMYFUNCTION("""COMPUTED_VALUE"""),41422.7055555555)</f>
        <v>41422.705555555498</v>
      </c>
      <c r="R794" s="111">
        <f ca="1">IFERROR(__xludf.DUMMYFUNCTION("""COMPUTED_VALUE"""),26.7)</f>
        <v>26.7</v>
      </c>
      <c r="S794" s="112">
        <f ca="1">IFERROR(__xludf.DUMMYFUNCTION("""COMPUTED_VALUE"""),41436.7055555555)</f>
        <v>41436.705555555498</v>
      </c>
      <c r="T794" s="111">
        <f ca="1">IFERROR(__xludf.DUMMYFUNCTION("""COMPUTED_VALUE"""),10.49)</f>
        <v>10.49</v>
      </c>
    </row>
    <row r="795" spans="1:20" x14ac:dyDescent="0.3">
      <c r="A795" s="112">
        <f ca="1">IFERROR(__xludf.DUMMYFUNCTION("""COMPUTED_VALUE"""),41432.7055555555)</f>
        <v>41432.705555555498</v>
      </c>
      <c r="B795" s="111">
        <f ca="1">IFERROR(__xludf.DUMMYFUNCTION("""COMPUTED_VALUE"""),4.95)</f>
        <v>4.95</v>
      </c>
      <c r="C795" s="112">
        <f ca="1">IFERROR(__xludf.DUMMYFUNCTION("""COMPUTED_VALUE"""),41439.7055555555)</f>
        <v>41439.705555555498</v>
      </c>
      <c r="D795" s="111">
        <f ca="1">IFERROR(__xludf.DUMMYFUNCTION("""COMPUTED_VALUE"""),14.71)</f>
        <v>14.71</v>
      </c>
      <c r="E795" s="112">
        <f ca="1">IFERROR(__xludf.DUMMYFUNCTION("""COMPUTED_VALUE"""),41442.7055555555)</f>
        <v>41442.705555555498</v>
      </c>
      <c r="F795" s="111">
        <f ca="1">IFERROR(__xludf.DUMMYFUNCTION("""COMPUTED_VALUE"""),5.59)</f>
        <v>5.59</v>
      </c>
      <c r="G795" s="112">
        <f ca="1">IFERROR(__xludf.DUMMYFUNCTION("""COMPUTED_VALUE"""),41435.7055555555)</f>
        <v>41435.705555555498</v>
      </c>
      <c r="H795" s="111">
        <f ca="1">IFERROR(__xludf.DUMMYFUNCTION("""COMPUTED_VALUE"""),18.88)</f>
        <v>18.88</v>
      </c>
      <c r="K795" s="112">
        <f ca="1">IFERROR(__xludf.DUMMYFUNCTION("""COMPUTED_VALUE"""),41884.7055555555)</f>
        <v>41884.705555555498</v>
      </c>
      <c r="L795" s="111">
        <f ca="1">IFERROR(__xludf.DUMMYFUNCTION("""COMPUTED_VALUE"""),0.28)</f>
        <v>0.28000000000000003</v>
      </c>
      <c r="M795" s="112">
        <f ca="1">IFERROR(__xludf.DUMMYFUNCTION("""COMPUTED_VALUE"""),41348.7055555555)</f>
        <v>41348.705555555498</v>
      </c>
      <c r="N795" s="111">
        <f ca="1">IFERROR(__xludf.DUMMYFUNCTION("""COMPUTED_VALUE"""),14.52)</f>
        <v>14.52</v>
      </c>
      <c r="O795" s="112">
        <f ca="1">IFERROR(__xludf.DUMMYFUNCTION("""COMPUTED_VALUE"""),41428.7055555555)</f>
        <v>41428.705555555498</v>
      </c>
      <c r="P795" s="111">
        <f ca="1">IFERROR(__xludf.DUMMYFUNCTION("""COMPUTED_VALUE"""),31.6)</f>
        <v>31.6</v>
      </c>
      <c r="Q795" s="112">
        <f ca="1">IFERROR(__xludf.DUMMYFUNCTION("""COMPUTED_VALUE"""),41423.7055555555)</f>
        <v>41423.705555555498</v>
      </c>
      <c r="R795" s="111">
        <f ca="1">IFERROR(__xludf.DUMMYFUNCTION("""COMPUTED_VALUE"""),25.87)</f>
        <v>25.87</v>
      </c>
      <c r="S795" s="112">
        <f ca="1">IFERROR(__xludf.DUMMYFUNCTION("""COMPUTED_VALUE"""),41437.7055555555)</f>
        <v>41437.705555555498</v>
      </c>
      <c r="T795" s="111">
        <f ca="1">IFERROR(__xludf.DUMMYFUNCTION("""COMPUTED_VALUE"""),10.44)</f>
        <v>10.44</v>
      </c>
    </row>
    <row r="796" spans="1:20" x14ac:dyDescent="0.3">
      <c r="A796" s="112">
        <f ca="1">IFERROR(__xludf.DUMMYFUNCTION("""COMPUTED_VALUE"""),41435.7055555555)</f>
        <v>41435.705555555498</v>
      </c>
      <c r="B796" s="111">
        <f ca="1">IFERROR(__xludf.DUMMYFUNCTION("""COMPUTED_VALUE"""),4.98)</f>
        <v>4.9800000000000004</v>
      </c>
      <c r="C796" s="112">
        <f ca="1">IFERROR(__xludf.DUMMYFUNCTION("""COMPUTED_VALUE"""),41442.7055555555)</f>
        <v>41442.705555555498</v>
      </c>
      <c r="D796" s="111">
        <f ca="1">IFERROR(__xludf.DUMMYFUNCTION("""COMPUTED_VALUE"""),14.8)</f>
        <v>14.8</v>
      </c>
      <c r="E796" s="112">
        <f ca="1">IFERROR(__xludf.DUMMYFUNCTION("""COMPUTED_VALUE"""),41443.7055555555)</f>
        <v>41443.705555555498</v>
      </c>
      <c r="F796" s="111">
        <f ca="1">IFERROR(__xludf.DUMMYFUNCTION("""COMPUTED_VALUE"""),5.56)</f>
        <v>5.56</v>
      </c>
      <c r="G796" s="112">
        <f ca="1">IFERROR(__xludf.DUMMYFUNCTION("""COMPUTED_VALUE"""),41436.7055555555)</f>
        <v>41436.705555555498</v>
      </c>
      <c r="H796" s="111">
        <f ca="1">IFERROR(__xludf.DUMMYFUNCTION("""COMPUTED_VALUE"""),18.53)</f>
        <v>18.53</v>
      </c>
      <c r="K796" s="112">
        <f ca="1">IFERROR(__xludf.DUMMYFUNCTION("""COMPUTED_VALUE"""),41885.7055555555)</f>
        <v>41885.705555555498</v>
      </c>
      <c r="L796" s="111">
        <f ca="1">IFERROR(__xludf.DUMMYFUNCTION("""COMPUTED_VALUE"""),0.29)</f>
        <v>0.28999999999999998</v>
      </c>
      <c r="M796" s="112">
        <f ca="1">IFERROR(__xludf.DUMMYFUNCTION("""COMPUTED_VALUE"""),41351.7055555555)</f>
        <v>41351.705555555498</v>
      </c>
      <c r="N796" s="111">
        <f ca="1">IFERROR(__xludf.DUMMYFUNCTION("""COMPUTED_VALUE"""),14.26)</f>
        <v>14.26</v>
      </c>
      <c r="O796" s="112">
        <f ca="1">IFERROR(__xludf.DUMMYFUNCTION("""COMPUTED_VALUE"""),41429.7055555555)</f>
        <v>41429.705555555498</v>
      </c>
      <c r="P796" s="111">
        <f ca="1">IFERROR(__xludf.DUMMYFUNCTION("""COMPUTED_VALUE"""),32)</f>
        <v>32</v>
      </c>
      <c r="Q796" s="112">
        <f ca="1">IFERROR(__xludf.DUMMYFUNCTION("""COMPUTED_VALUE"""),41425.7055555555)</f>
        <v>41425.705555555498</v>
      </c>
      <c r="R796" s="111">
        <f ca="1">IFERROR(__xludf.DUMMYFUNCTION("""COMPUTED_VALUE"""),25.25)</f>
        <v>25.25</v>
      </c>
      <c r="S796" s="112">
        <f ca="1">IFERROR(__xludf.DUMMYFUNCTION("""COMPUTED_VALUE"""),41438.7055555555)</f>
        <v>41438.705555555498</v>
      </c>
      <c r="T796" s="111">
        <f ca="1">IFERROR(__xludf.DUMMYFUNCTION("""COMPUTED_VALUE"""),10.47)</f>
        <v>10.47</v>
      </c>
    </row>
    <row r="797" spans="1:20" x14ac:dyDescent="0.3">
      <c r="A797" s="112">
        <f ca="1">IFERROR(__xludf.DUMMYFUNCTION("""COMPUTED_VALUE"""),41436.7055555555)</f>
        <v>41436.705555555498</v>
      </c>
      <c r="B797" s="111">
        <f ca="1">IFERROR(__xludf.DUMMYFUNCTION("""COMPUTED_VALUE"""),4.78)</f>
        <v>4.78</v>
      </c>
      <c r="C797" s="112">
        <f ca="1">IFERROR(__xludf.DUMMYFUNCTION("""COMPUTED_VALUE"""),41443.7055555555)</f>
        <v>41443.705555555498</v>
      </c>
      <c r="D797" s="111">
        <f ca="1">IFERROR(__xludf.DUMMYFUNCTION("""COMPUTED_VALUE"""),14.71)</f>
        <v>14.71</v>
      </c>
      <c r="E797" s="112">
        <f ca="1">IFERROR(__xludf.DUMMYFUNCTION("""COMPUTED_VALUE"""),41444.7055555555)</f>
        <v>41444.705555555498</v>
      </c>
      <c r="F797" s="111">
        <f ca="1">IFERROR(__xludf.DUMMYFUNCTION("""COMPUTED_VALUE"""),5.45)</f>
        <v>5.45</v>
      </c>
      <c r="G797" s="112">
        <f ca="1">IFERROR(__xludf.DUMMYFUNCTION("""COMPUTED_VALUE"""),41437.7055555555)</f>
        <v>41437.705555555498</v>
      </c>
      <c r="H797" s="111">
        <f ca="1">IFERROR(__xludf.DUMMYFUNCTION("""COMPUTED_VALUE"""),18.12)</f>
        <v>18.12</v>
      </c>
      <c r="K797" s="112">
        <f ca="1">IFERROR(__xludf.DUMMYFUNCTION("""COMPUTED_VALUE"""),41886.7055555555)</f>
        <v>41886.705555555498</v>
      </c>
      <c r="L797" s="111">
        <f ca="1">IFERROR(__xludf.DUMMYFUNCTION("""COMPUTED_VALUE"""),0.28)</f>
        <v>0.28000000000000003</v>
      </c>
      <c r="M797" s="112">
        <f ca="1">IFERROR(__xludf.DUMMYFUNCTION("""COMPUTED_VALUE"""),41352.7055555555)</f>
        <v>41352.705555555498</v>
      </c>
      <c r="N797" s="111">
        <f ca="1">IFERROR(__xludf.DUMMYFUNCTION("""COMPUTED_VALUE"""),14.07)</f>
        <v>14.07</v>
      </c>
      <c r="O797" s="112">
        <f ca="1">IFERROR(__xludf.DUMMYFUNCTION("""COMPUTED_VALUE"""),41430.7055555555)</f>
        <v>41430.705555555498</v>
      </c>
      <c r="P797" s="111">
        <f ca="1">IFERROR(__xludf.DUMMYFUNCTION("""COMPUTED_VALUE"""),30.92)</f>
        <v>30.92</v>
      </c>
      <c r="Q797" s="112">
        <f ca="1">IFERROR(__xludf.DUMMYFUNCTION("""COMPUTED_VALUE"""),41428.7055555555)</f>
        <v>41428.705555555498</v>
      </c>
      <c r="R797" s="111">
        <f ca="1">IFERROR(__xludf.DUMMYFUNCTION("""COMPUTED_VALUE"""),25.53)</f>
        <v>25.53</v>
      </c>
      <c r="S797" s="112">
        <f ca="1">IFERROR(__xludf.DUMMYFUNCTION("""COMPUTED_VALUE"""),41439.7055555555)</f>
        <v>41439.705555555498</v>
      </c>
      <c r="T797" s="111">
        <f ca="1">IFERROR(__xludf.DUMMYFUNCTION("""COMPUTED_VALUE"""),10.04)</f>
        <v>10.039999999999999</v>
      </c>
    </row>
    <row r="798" spans="1:20" x14ac:dyDescent="0.3">
      <c r="A798" s="112">
        <f ca="1">IFERROR(__xludf.DUMMYFUNCTION("""COMPUTED_VALUE"""),41437.7055555555)</f>
        <v>41437.705555555498</v>
      </c>
      <c r="B798" s="111">
        <f ca="1">IFERROR(__xludf.DUMMYFUNCTION("""COMPUTED_VALUE"""),4.66)</f>
        <v>4.66</v>
      </c>
      <c r="C798" s="112">
        <f ca="1">IFERROR(__xludf.DUMMYFUNCTION("""COMPUTED_VALUE"""),41444.7055555555)</f>
        <v>41444.705555555498</v>
      </c>
      <c r="D798" s="111">
        <f ca="1">IFERROR(__xludf.DUMMYFUNCTION("""COMPUTED_VALUE"""),14.53)</f>
        <v>14.53</v>
      </c>
      <c r="E798" s="112">
        <f ca="1">IFERROR(__xludf.DUMMYFUNCTION("""COMPUTED_VALUE"""),41445.7055555555)</f>
        <v>41445.705555555498</v>
      </c>
      <c r="F798" s="111">
        <f ca="1">IFERROR(__xludf.DUMMYFUNCTION("""COMPUTED_VALUE"""),5.43)</f>
        <v>5.43</v>
      </c>
      <c r="G798" s="112">
        <f ca="1">IFERROR(__xludf.DUMMYFUNCTION("""COMPUTED_VALUE"""),41438.7055555555)</f>
        <v>41438.705555555498</v>
      </c>
      <c r="H798" s="111">
        <f ca="1">IFERROR(__xludf.DUMMYFUNCTION("""COMPUTED_VALUE"""),18.8)</f>
        <v>18.8</v>
      </c>
      <c r="K798" s="112">
        <f ca="1">IFERROR(__xludf.DUMMYFUNCTION("""COMPUTED_VALUE"""),41887.7055555555)</f>
        <v>41887.705555555498</v>
      </c>
      <c r="L798" s="111">
        <f ca="1">IFERROR(__xludf.DUMMYFUNCTION("""COMPUTED_VALUE"""),0.28)</f>
        <v>0.28000000000000003</v>
      </c>
      <c r="M798" s="112">
        <f ca="1">IFERROR(__xludf.DUMMYFUNCTION("""COMPUTED_VALUE"""),41353.7055555555)</f>
        <v>41353.705555555498</v>
      </c>
      <c r="N798" s="111">
        <f ca="1">IFERROR(__xludf.DUMMYFUNCTION("""COMPUTED_VALUE"""),14.2)</f>
        <v>14.2</v>
      </c>
      <c r="O798" s="112">
        <f ca="1">IFERROR(__xludf.DUMMYFUNCTION("""COMPUTED_VALUE"""),41431.7055555555)</f>
        <v>41431.705555555498</v>
      </c>
      <c r="P798" s="111">
        <f ca="1">IFERROR(__xludf.DUMMYFUNCTION("""COMPUTED_VALUE"""),31.28)</f>
        <v>31.28</v>
      </c>
      <c r="Q798" s="112">
        <f ca="1">IFERROR(__xludf.DUMMYFUNCTION("""COMPUTED_VALUE"""),41429.7055555555)</f>
        <v>41429.705555555498</v>
      </c>
      <c r="R798" s="111">
        <f ca="1">IFERROR(__xludf.DUMMYFUNCTION("""COMPUTED_VALUE"""),25.04)</f>
        <v>25.04</v>
      </c>
      <c r="S798" s="112">
        <f ca="1">IFERROR(__xludf.DUMMYFUNCTION("""COMPUTED_VALUE"""),41442.7055555555)</f>
        <v>41442.705555555498</v>
      </c>
      <c r="T798" s="111">
        <f ca="1">IFERROR(__xludf.DUMMYFUNCTION("""COMPUTED_VALUE"""),10.12)</f>
        <v>10.119999999999999</v>
      </c>
    </row>
    <row r="799" spans="1:20" x14ac:dyDescent="0.3">
      <c r="A799" s="112">
        <f ca="1">IFERROR(__xludf.DUMMYFUNCTION("""COMPUTED_VALUE"""),41438.7055555555)</f>
        <v>41438.705555555498</v>
      </c>
      <c r="B799" s="111">
        <f ca="1">IFERROR(__xludf.DUMMYFUNCTION("""COMPUTED_VALUE"""),4.95)</f>
        <v>4.95</v>
      </c>
      <c r="C799" s="112">
        <f ca="1">IFERROR(__xludf.DUMMYFUNCTION("""COMPUTED_VALUE"""),41445.7055555555)</f>
        <v>41445.705555555498</v>
      </c>
      <c r="D799" s="111">
        <f ca="1">IFERROR(__xludf.DUMMYFUNCTION("""COMPUTED_VALUE"""),14.65)</f>
        <v>14.65</v>
      </c>
      <c r="E799" s="112">
        <f ca="1">IFERROR(__xludf.DUMMYFUNCTION("""COMPUTED_VALUE"""),41446.7055555555)</f>
        <v>41446.705555555498</v>
      </c>
      <c r="F799" s="111">
        <f ca="1">IFERROR(__xludf.DUMMYFUNCTION("""COMPUTED_VALUE"""),5.39)</f>
        <v>5.39</v>
      </c>
      <c r="G799" s="112">
        <f ca="1">IFERROR(__xludf.DUMMYFUNCTION("""COMPUTED_VALUE"""),41439.7055555555)</f>
        <v>41439.705555555498</v>
      </c>
      <c r="H799" s="111">
        <f ca="1">IFERROR(__xludf.DUMMYFUNCTION("""COMPUTED_VALUE"""),18.35)</f>
        <v>18.350000000000001</v>
      </c>
      <c r="K799" s="112">
        <f ca="1">IFERROR(__xludf.DUMMYFUNCTION("""COMPUTED_VALUE"""),41890.7055555555)</f>
        <v>41890.705555555498</v>
      </c>
      <c r="L799" s="111">
        <f ca="1">IFERROR(__xludf.DUMMYFUNCTION("""COMPUTED_VALUE"""),0.27)</f>
        <v>0.27</v>
      </c>
      <c r="M799" s="112">
        <f ca="1">IFERROR(__xludf.DUMMYFUNCTION("""COMPUTED_VALUE"""),41354.7055555555)</f>
        <v>41354.705555555498</v>
      </c>
      <c r="N799" s="111">
        <f ca="1">IFERROR(__xludf.DUMMYFUNCTION("""COMPUTED_VALUE"""),14.07)</f>
        <v>14.07</v>
      </c>
      <c r="O799" s="112">
        <f ca="1">IFERROR(__xludf.DUMMYFUNCTION("""COMPUTED_VALUE"""),41432.7055555555)</f>
        <v>41432.705555555498</v>
      </c>
      <c r="P799" s="111">
        <f ca="1">IFERROR(__xludf.DUMMYFUNCTION("""COMPUTED_VALUE"""),30.76)</f>
        <v>30.76</v>
      </c>
      <c r="Q799" s="112">
        <f ca="1">IFERROR(__xludf.DUMMYFUNCTION("""COMPUTED_VALUE"""),41430.7055555555)</f>
        <v>41430.705555555498</v>
      </c>
      <c r="R799" s="111">
        <f ca="1">IFERROR(__xludf.DUMMYFUNCTION("""COMPUTED_VALUE"""),24.45)</f>
        <v>24.45</v>
      </c>
      <c r="S799" s="112">
        <f ca="1">IFERROR(__xludf.DUMMYFUNCTION("""COMPUTED_VALUE"""),41443.7055555555)</f>
        <v>41443.705555555498</v>
      </c>
      <c r="T799" s="111">
        <f ca="1">IFERROR(__xludf.DUMMYFUNCTION("""COMPUTED_VALUE"""),10.05)</f>
        <v>10.050000000000001</v>
      </c>
    </row>
    <row r="800" spans="1:20" x14ac:dyDescent="0.3">
      <c r="A800" s="112">
        <f ca="1">IFERROR(__xludf.DUMMYFUNCTION("""COMPUTED_VALUE"""),41439.7055555555)</f>
        <v>41439.705555555498</v>
      </c>
      <c r="B800" s="111">
        <f ca="1">IFERROR(__xludf.DUMMYFUNCTION("""COMPUTED_VALUE"""),4.71)</f>
        <v>4.71</v>
      </c>
      <c r="C800" s="112">
        <f ca="1">IFERROR(__xludf.DUMMYFUNCTION("""COMPUTED_VALUE"""),41446.7055555555)</f>
        <v>41446.705555555498</v>
      </c>
      <c r="D800" s="111">
        <f ca="1">IFERROR(__xludf.DUMMYFUNCTION("""COMPUTED_VALUE"""),14.31)</f>
        <v>14.31</v>
      </c>
      <c r="E800" s="112">
        <f ca="1">IFERROR(__xludf.DUMMYFUNCTION("""COMPUTED_VALUE"""),41449.7055555555)</f>
        <v>41449.705555555498</v>
      </c>
      <c r="F800" s="111">
        <f ca="1">IFERROR(__xludf.DUMMYFUNCTION("""COMPUTED_VALUE"""),5.2)</f>
        <v>5.2</v>
      </c>
      <c r="G800" s="112">
        <f ca="1">IFERROR(__xludf.DUMMYFUNCTION("""COMPUTED_VALUE"""),41442.7055555555)</f>
        <v>41442.705555555498</v>
      </c>
      <c r="H800" s="111">
        <f ca="1">IFERROR(__xludf.DUMMYFUNCTION("""COMPUTED_VALUE"""),18.09)</f>
        <v>18.09</v>
      </c>
      <c r="K800" s="112">
        <f ca="1">IFERROR(__xludf.DUMMYFUNCTION("""COMPUTED_VALUE"""),41891.7055555555)</f>
        <v>41891.705555555498</v>
      </c>
      <c r="L800" s="111">
        <f ca="1">IFERROR(__xludf.DUMMYFUNCTION("""COMPUTED_VALUE"""),0.26)</f>
        <v>0.26</v>
      </c>
      <c r="M800" s="112">
        <f ca="1">IFERROR(__xludf.DUMMYFUNCTION("""COMPUTED_VALUE"""),41355.7055555555)</f>
        <v>41355.705555555498</v>
      </c>
      <c r="N800" s="111">
        <f ca="1">IFERROR(__xludf.DUMMYFUNCTION("""COMPUTED_VALUE"""),14.05)</f>
        <v>14.05</v>
      </c>
      <c r="O800" s="112">
        <f ca="1">IFERROR(__xludf.DUMMYFUNCTION("""COMPUTED_VALUE"""),41435.7055555555)</f>
        <v>41435.705555555498</v>
      </c>
      <c r="P800" s="111">
        <f ca="1">IFERROR(__xludf.DUMMYFUNCTION("""COMPUTED_VALUE"""),30.46)</f>
        <v>30.46</v>
      </c>
      <c r="Q800" s="112">
        <f ca="1">IFERROR(__xludf.DUMMYFUNCTION("""COMPUTED_VALUE"""),41431.7055555555)</f>
        <v>41431.705555555498</v>
      </c>
      <c r="R800" s="111">
        <f ca="1">IFERROR(__xludf.DUMMYFUNCTION("""COMPUTED_VALUE"""),24.36)</f>
        <v>24.36</v>
      </c>
      <c r="S800" s="112">
        <f ca="1">IFERROR(__xludf.DUMMYFUNCTION("""COMPUTED_VALUE"""),41444.7055555555)</f>
        <v>41444.705555555498</v>
      </c>
      <c r="T800" s="111">
        <f ca="1">IFERROR(__xludf.DUMMYFUNCTION("""COMPUTED_VALUE"""),9.91)</f>
        <v>9.91</v>
      </c>
    </row>
    <row r="801" spans="1:20" x14ac:dyDescent="0.3">
      <c r="A801" s="112">
        <f ca="1">IFERROR(__xludf.DUMMYFUNCTION("""COMPUTED_VALUE"""),41442.7055555555)</f>
        <v>41442.705555555498</v>
      </c>
      <c r="B801" s="111">
        <f ca="1">IFERROR(__xludf.DUMMYFUNCTION("""COMPUTED_VALUE"""),4.78)</f>
        <v>4.78</v>
      </c>
      <c r="C801" s="112">
        <f ca="1">IFERROR(__xludf.DUMMYFUNCTION("""COMPUTED_VALUE"""),41449.7055555555)</f>
        <v>41449.705555555498</v>
      </c>
      <c r="D801" s="111">
        <f ca="1">IFERROR(__xludf.DUMMYFUNCTION("""COMPUTED_VALUE"""),13.82)</f>
        <v>13.82</v>
      </c>
      <c r="E801" s="112">
        <f ca="1">IFERROR(__xludf.DUMMYFUNCTION("""COMPUTED_VALUE"""),41450.7055555555)</f>
        <v>41450.705555555498</v>
      </c>
      <c r="F801" s="111">
        <f ca="1">IFERROR(__xludf.DUMMYFUNCTION("""COMPUTED_VALUE"""),5.2)</f>
        <v>5.2</v>
      </c>
      <c r="G801" s="112">
        <f ca="1">IFERROR(__xludf.DUMMYFUNCTION("""COMPUTED_VALUE"""),41443.7055555555)</f>
        <v>41443.705555555498</v>
      </c>
      <c r="H801" s="111">
        <f ca="1">IFERROR(__xludf.DUMMYFUNCTION("""COMPUTED_VALUE"""),17.83)</f>
        <v>17.829999999999998</v>
      </c>
      <c r="K801" s="112">
        <f ca="1">IFERROR(__xludf.DUMMYFUNCTION("""COMPUTED_VALUE"""),41892.7055555555)</f>
        <v>41892.705555555498</v>
      </c>
      <c r="L801" s="111">
        <f ca="1">IFERROR(__xludf.DUMMYFUNCTION("""COMPUTED_VALUE"""),0.25)</f>
        <v>0.25</v>
      </c>
      <c r="M801" s="112">
        <f ca="1">IFERROR(__xludf.DUMMYFUNCTION("""COMPUTED_VALUE"""),41358.7055555555)</f>
        <v>41358.705555555498</v>
      </c>
      <c r="N801" s="111">
        <f ca="1">IFERROR(__xludf.DUMMYFUNCTION("""COMPUTED_VALUE"""),13.87)</f>
        <v>13.87</v>
      </c>
      <c r="O801" s="112">
        <f ca="1">IFERROR(__xludf.DUMMYFUNCTION("""COMPUTED_VALUE"""),41436.7055555555)</f>
        <v>41436.705555555498</v>
      </c>
      <c r="P801" s="111">
        <f ca="1">IFERROR(__xludf.DUMMYFUNCTION("""COMPUTED_VALUE"""),29.71)</f>
        <v>29.71</v>
      </c>
      <c r="Q801" s="112">
        <f ca="1">IFERROR(__xludf.DUMMYFUNCTION("""COMPUTED_VALUE"""),41432.7055555555)</f>
        <v>41432.705555555498</v>
      </c>
      <c r="R801" s="111">
        <f ca="1">IFERROR(__xludf.DUMMYFUNCTION("""COMPUTED_VALUE"""),23.45)</f>
        <v>23.45</v>
      </c>
      <c r="S801" s="112">
        <f ca="1">IFERROR(__xludf.DUMMYFUNCTION("""COMPUTED_VALUE"""),41445.7055555555)</f>
        <v>41445.705555555498</v>
      </c>
      <c r="T801" s="111">
        <f ca="1">IFERROR(__xludf.DUMMYFUNCTION("""COMPUTED_VALUE"""),10.17)</f>
        <v>10.17</v>
      </c>
    </row>
    <row r="802" spans="1:20" x14ac:dyDescent="0.3">
      <c r="A802" s="112">
        <f ca="1">IFERROR(__xludf.DUMMYFUNCTION("""COMPUTED_VALUE"""),41443.7055555555)</f>
        <v>41443.705555555498</v>
      </c>
      <c r="B802" s="111">
        <f ca="1">IFERROR(__xludf.DUMMYFUNCTION("""COMPUTED_VALUE"""),4.97)</f>
        <v>4.97</v>
      </c>
      <c r="C802" s="112">
        <f ca="1">IFERROR(__xludf.DUMMYFUNCTION("""COMPUTED_VALUE"""),41450.7055555555)</f>
        <v>41450.705555555498</v>
      </c>
      <c r="D802" s="111">
        <f ca="1">IFERROR(__xludf.DUMMYFUNCTION("""COMPUTED_VALUE"""),13.9)</f>
        <v>13.9</v>
      </c>
      <c r="E802" s="112">
        <f ca="1">IFERROR(__xludf.DUMMYFUNCTION("""COMPUTED_VALUE"""),41451.7055555555)</f>
        <v>41451.705555555498</v>
      </c>
      <c r="F802" s="111">
        <f ca="1">IFERROR(__xludf.DUMMYFUNCTION("""COMPUTED_VALUE"""),5.22)</f>
        <v>5.22</v>
      </c>
      <c r="G802" s="112">
        <f ca="1">IFERROR(__xludf.DUMMYFUNCTION("""COMPUTED_VALUE"""),41444.7055555555)</f>
        <v>41444.705555555498</v>
      </c>
      <c r="H802" s="111">
        <f ca="1">IFERROR(__xludf.DUMMYFUNCTION("""COMPUTED_VALUE"""),17.2)</f>
        <v>17.2</v>
      </c>
      <c r="K802" s="112">
        <f ca="1">IFERROR(__xludf.DUMMYFUNCTION("""COMPUTED_VALUE"""),41893.7055555555)</f>
        <v>41893.705555555498</v>
      </c>
      <c r="L802" s="111">
        <f ca="1">IFERROR(__xludf.DUMMYFUNCTION("""COMPUTED_VALUE"""),0.26)</f>
        <v>0.26</v>
      </c>
      <c r="M802" s="112">
        <f ca="1">IFERROR(__xludf.DUMMYFUNCTION("""COMPUTED_VALUE"""),41359.7055555555)</f>
        <v>41359.705555555498</v>
      </c>
      <c r="N802" s="111">
        <f ca="1">IFERROR(__xludf.DUMMYFUNCTION("""COMPUTED_VALUE"""),14.06)</f>
        <v>14.06</v>
      </c>
      <c r="O802" s="112">
        <f ca="1">IFERROR(__xludf.DUMMYFUNCTION("""COMPUTED_VALUE"""),41437.7055555555)</f>
        <v>41437.705555555498</v>
      </c>
      <c r="P802" s="111">
        <f ca="1">IFERROR(__xludf.DUMMYFUNCTION("""COMPUTED_VALUE"""),29.39)</f>
        <v>29.39</v>
      </c>
      <c r="Q802" s="112">
        <f ca="1">IFERROR(__xludf.DUMMYFUNCTION("""COMPUTED_VALUE"""),41435.7055555555)</f>
        <v>41435.705555555498</v>
      </c>
      <c r="R802" s="111">
        <f ca="1">IFERROR(__xludf.DUMMYFUNCTION("""COMPUTED_VALUE"""),23.94)</f>
        <v>23.94</v>
      </c>
      <c r="S802" s="112">
        <f ca="1">IFERROR(__xludf.DUMMYFUNCTION("""COMPUTED_VALUE"""),41446.7055555555)</f>
        <v>41446.705555555498</v>
      </c>
      <c r="T802" s="111">
        <f ca="1">IFERROR(__xludf.DUMMYFUNCTION("""COMPUTED_VALUE"""),9.92)</f>
        <v>9.92</v>
      </c>
    </row>
    <row r="803" spans="1:20" x14ac:dyDescent="0.3">
      <c r="A803" s="112">
        <f ca="1">IFERROR(__xludf.DUMMYFUNCTION("""COMPUTED_VALUE"""),41444.7055555555)</f>
        <v>41444.705555555498</v>
      </c>
      <c r="B803" s="111">
        <f ca="1">IFERROR(__xludf.DUMMYFUNCTION("""COMPUTED_VALUE"""),4.75)</f>
        <v>4.75</v>
      </c>
      <c r="C803" s="112">
        <f ca="1">IFERROR(__xludf.DUMMYFUNCTION("""COMPUTED_VALUE"""),41451.7055555555)</f>
        <v>41451.705555555498</v>
      </c>
      <c r="D803" s="111">
        <f ca="1">IFERROR(__xludf.DUMMYFUNCTION("""COMPUTED_VALUE"""),13.95)</f>
        <v>13.95</v>
      </c>
      <c r="E803" s="112">
        <f ca="1">IFERROR(__xludf.DUMMYFUNCTION("""COMPUTED_VALUE"""),41452.7055555555)</f>
        <v>41452.705555555498</v>
      </c>
      <c r="F803" s="111">
        <f ca="1">IFERROR(__xludf.DUMMYFUNCTION("""COMPUTED_VALUE"""),5.31)</f>
        <v>5.31</v>
      </c>
      <c r="G803" s="112">
        <f ca="1">IFERROR(__xludf.DUMMYFUNCTION("""COMPUTED_VALUE"""),41445.7055555555)</f>
        <v>41445.705555555498</v>
      </c>
      <c r="H803" s="111">
        <f ca="1">IFERROR(__xludf.DUMMYFUNCTION("""COMPUTED_VALUE"""),16.89)</f>
        <v>16.89</v>
      </c>
      <c r="K803" s="112">
        <f ca="1">IFERROR(__xludf.DUMMYFUNCTION("""COMPUTED_VALUE"""),41894.7055555555)</f>
        <v>41894.705555555498</v>
      </c>
      <c r="L803" s="111">
        <f ca="1">IFERROR(__xludf.DUMMYFUNCTION("""COMPUTED_VALUE"""),0.26)</f>
        <v>0.26</v>
      </c>
      <c r="M803" s="112">
        <f ca="1">IFERROR(__xludf.DUMMYFUNCTION("""COMPUTED_VALUE"""),41360.7055555555)</f>
        <v>41360.705555555498</v>
      </c>
      <c r="N803" s="111">
        <f ca="1">IFERROR(__xludf.DUMMYFUNCTION("""COMPUTED_VALUE"""),14.37)</f>
        <v>14.37</v>
      </c>
      <c r="O803" s="112">
        <f ca="1">IFERROR(__xludf.DUMMYFUNCTION("""COMPUTED_VALUE"""),41438.7055555555)</f>
        <v>41438.705555555498</v>
      </c>
      <c r="P803" s="111">
        <f ca="1">IFERROR(__xludf.DUMMYFUNCTION("""COMPUTED_VALUE"""),30.89)</f>
        <v>30.89</v>
      </c>
      <c r="Q803" s="112">
        <f ca="1">IFERROR(__xludf.DUMMYFUNCTION("""COMPUTED_VALUE"""),41436.7055555555)</f>
        <v>41436.705555555498</v>
      </c>
      <c r="R803" s="111">
        <f ca="1">IFERROR(__xludf.DUMMYFUNCTION("""COMPUTED_VALUE"""),23.06)</f>
        <v>23.06</v>
      </c>
      <c r="S803" s="112">
        <f ca="1">IFERROR(__xludf.DUMMYFUNCTION("""COMPUTED_VALUE"""),41449.7055555555)</f>
        <v>41449.705555555498</v>
      </c>
      <c r="T803" s="111">
        <f ca="1">IFERROR(__xludf.DUMMYFUNCTION("""COMPUTED_VALUE"""),9.99)</f>
        <v>9.99</v>
      </c>
    </row>
    <row r="804" spans="1:20" x14ac:dyDescent="0.3">
      <c r="A804" s="112">
        <f ca="1">IFERROR(__xludf.DUMMYFUNCTION("""COMPUTED_VALUE"""),41445.7055555555)</f>
        <v>41445.705555555498</v>
      </c>
      <c r="B804" s="111">
        <f ca="1">IFERROR(__xludf.DUMMYFUNCTION("""COMPUTED_VALUE"""),4.63)</f>
        <v>4.63</v>
      </c>
      <c r="C804" s="112">
        <f ca="1">IFERROR(__xludf.DUMMYFUNCTION("""COMPUTED_VALUE"""),41452.7055555555)</f>
        <v>41452.705555555498</v>
      </c>
      <c r="D804" s="111">
        <f ca="1">IFERROR(__xludf.DUMMYFUNCTION("""COMPUTED_VALUE"""),14.23)</f>
        <v>14.23</v>
      </c>
      <c r="E804" s="112">
        <f ca="1">IFERROR(__xludf.DUMMYFUNCTION("""COMPUTED_VALUE"""),41453.7055555555)</f>
        <v>41453.705555555498</v>
      </c>
      <c r="F804" s="111">
        <f ca="1">IFERROR(__xludf.DUMMYFUNCTION("""COMPUTED_VALUE"""),5.34)</f>
        <v>5.34</v>
      </c>
      <c r="G804" s="112">
        <f ca="1">IFERROR(__xludf.DUMMYFUNCTION("""COMPUTED_VALUE"""),41446.7055555555)</f>
        <v>41446.705555555498</v>
      </c>
      <c r="H804" s="111">
        <f ca="1">IFERROR(__xludf.DUMMYFUNCTION("""COMPUTED_VALUE"""),16.41)</f>
        <v>16.41</v>
      </c>
      <c r="K804" s="112">
        <f ca="1">IFERROR(__xludf.DUMMYFUNCTION("""COMPUTED_VALUE"""),41897.7055555555)</f>
        <v>41897.705555555498</v>
      </c>
      <c r="L804" s="111">
        <f ca="1">IFERROR(__xludf.DUMMYFUNCTION("""COMPUTED_VALUE"""),0.26)</f>
        <v>0.26</v>
      </c>
      <c r="M804" s="112">
        <f ca="1">IFERROR(__xludf.DUMMYFUNCTION("""COMPUTED_VALUE"""),41361.7055555555)</f>
        <v>41361.705555555498</v>
      </c>
      <c r="N804" s="111">
        <f ca="1">IFERROR(__xludf.DUMMYFUNCTION("""COMPUTED_VALUE"""),14.72)</f>
        <v>14.72</v>
      </c>
      <c r="O804" s="112">
        <f ca="1">IFERROR(__xludf.DUMMYFUNCTION("""COMPUTED_VALUE"""),41439.7055555555)</f>
        <v>41439.705555555498</v>
      </c>
      <c r="P804" s="111">
        <f ca="1">IFERROR(__xludf.DUMMYFUNCTION("""COMPUTED_VALUE"""),30.09)</f>
        <v>30.09</v>
      </c>
      <c r="Q804" s="112">
        <f ca="1">IFERROR(__xludf.DUMMYFUNCTION("""COMPUTED_VALUE"""),41437.7055555555)</f>
        <v>41437.705555555498</v>
      </c>
      <c r="R804" s="111">
        <f ca="1">IFERROR(__xludf.DUMMYFUNCTION("""COMPUTED_VALUE"""),22.34)</f>
        <v>22.34</v>
      </c>
      <c r="S804" s="112">
        <f ca="1">IFERROR(__xludf.DUMMYFUNCTION("""COMPUTED_VALUE"""),41450.7055555555)</f>
        <v>41450.705555555498</v>
      </c>
      <c r="T804" s="111">
        <f ca="1">IFERROR(__xludf.DUMMYFUNCTION("""COMPUTED_VALUE"""),9.84)</f>
        <v>9.84</v>
      </c>
    </row>
    <row r="805" spans="1:20" x14ac:dyDescent="0.3">
      <c r="A805" s="112">
        <f ca="1">IFERROR(__xludf.DUMMYFUNCTION("""COMPUTED_VALUE"""),41446.7055555555)</f>
        <v>41446.705555555498</v>
      </c>
      <c r="B805" s="111">
        <f ca="1">IFERROR(__xludf.DUMMYFUNCTION("""COMPUTED_VALUE"""),4.53)</f>
        <v>4.53</v>
      </c>
      <c r="C805" s="112">
        <f ca="1">IFERROR(__xludf.DUMMYFUNCTION("""COMPUTED_VALUE"""),41453.7055555555)</f>
        <v>41453.705555555498</v>
      </c>
      <c r="D805" s="111">
        <f ca="1">IFERROR(__xludf.DUMMYFUNCTION("""COMPUTED_VALUE"""),14.4)</f>
        <v>14.4</v>
      </c>
      <c r="E805" s="112">
        <f ca="1">IFERROR(__xludf.DUMMYFUNCTION("""COMPUTED_VALUE"""),41456.7055555555)</f>
        <v>41456.705555555498</v>
      </c>
      <c r="F805" s="111">
        <f ca="1">IFERROR(__xludf.DUMMYFUNCTION("""COMPUTED_VALUE"""),5.39)</f>
        <v>5.39</v>
      </c>
      <c r="G805" s="112">
        <f ca="1">IFERROR(__xludf.DUMMYFUNCTION("""COMPUTED_VALUE"""),41449.7055555555)</f>
        <v>41449.705555555498</v>
      </c>
      <c r="H805" s="111">
        <f ca="1">IFERROR(__xludf.DUMMYFUNCTION("""COMPUTED_VALUE"""),15.91)</f>
        <v>15.91</v>
      </c>
      <c r="K805" s="112">
        <f ca="1">IFERROR(__xludf.DUMMYFUNCTION("""COMPUTED_VALUE"""),41898.7055555555)</f>
        <v>41898.705555555498</v>
      </c>
      <c r="L805" s="111">
        <f ca="1">IFERROR(__xludf.DUMMYFUNCTION("""COMPUTED_VALUE"""),0.27)</f>
        <v>0.27</v>
      </c>
      <c r="M805" s="112">
        <f ca="1">IFERROR(__xludf.DUMMYFUNCTION("""COMPUTED_VALUE"""),41365.7055555555)</f>
        <v>41365.705555555498</v>
      </c>
      <c r="N805" s="111">
        <f ca="1">IFERROR(__xludf.DUMMYFUNCTION("""COMPUTED_VALUE"""),14.57)</f>
        <v>14.57</v>
      </c>
      <c r="O805" s="112">
        <f ca="1">IFERROR(__xludf.DUMMYFUNCTION("""COMPUTED_VALUE"""),41442.7055555555)</f>
        <v>41442.705555555498</v>
      </c>
      <c r="P805" s="111">
        <f ca="1">IFERROR(__xludf.DUMMYFUNCTION("""COMPUTED_VALUE"""),30.4)</f>
        <v>30.4</v>
      </c>
      <c r="Q805" s="112">
        <f ca="1">IFERROR(__xludf.DUMMYFUNCTION("""COMPUTED_VALUE"""),41438.7055555555)</f>
        <v>41438.705555555498</v>
      </c>
      <c r="R805" s="111">
        <f ca="1">IFERROR(__xludf.DUMMYFUNCTION("""COMPUTED_VALUE"""),22.81)</f>
        <v>22.81</v>
      </c>
      <c r="S805" s="112">
        <f ca="1">IFERROR(__xludf.DUMMYFUNCTION("""COMPUTED_VALUE"""),41451.7055555555)</f>
        <v>41451.705555555498</v>
      </c>
      <c r="T805" s="111">
        <f ca="1">IFERROR(__xludf.DUMMYFUNCTION("""COMPUTED_VALUE"""),9.92)</f>
        <v>9.92</v>
      </c>
    </row>
    <row r="806" spans="1:20" x14ac:dyDescent="0.3">
      <c r="A806" s="112">
        <f ca="1">IFERROR(__xludf.DUMMYFUNCTION("""COMPUTED_VALUE"""),41449.7055555555)</f>
        <v>41449.705555555498</v>
      </c>
      <c r="B806" s="111">
        <f ca="1">IFERROR(__xludf.DUMMYFUNCTION("""COMPUTED_VALUE"""),4.49)</f>
        <v>4.49</v>
      </c>
      <c r="C806" s="112">
        <f ca="1">IFERROR(__xludf.DUMMYFUNCTION("""COMPUTED_VALUE"""),41456.7055555555)</f>
        <v>41456.705555555498</v>
      </c>
      <c r="D806" s="111">
        <f ca="1">IFERROR(__xludf.DUMMYFUNCTION("""COMPUTED_VALUE"""),14.35)</f>
        <v>14.35</v>
      </c>
      <c r="E806" s="112">
        <f ca="1">IFERROR(__xludf.DUMMYFUNCTION("""COMPUTED_VALUE"""),41457.7055555555)</f>
        <v>41457.705555555498</v>
      </c>
      <c r="F806" s="111">
        <f ca="1">IFERROR(__xludf.DUMMYFUNCTION("""COMPUTED_VALUE"""),5.11)</f>
        <v>5.1100000000000003</v>
      </c>
      <c r="G806" s="112">
        <f ca="1">IFERROR(__xludf.DUMMYFUNCTION("""COMPUTED_VALUE"""),41450.7055555555)</f>
        <v>41450.705555555498</v>
      </c>
      <c r="H806" s="111">
        <f ca="1">IFERROR(__xludf.DUMMYFUNCTION("""COMPUTED_VALUE"""),16.1)</f>
        <v>16.100000000000001</v>
      </c>
      <c r="K806" s="112">
        <f ca="1">IFERROR(__xludf.DUMMYFUNCTION("""COMPUTED_VALUE"""),41899.7055555555)</f>
        <v>41899.705555555498</v>
      </c>
      <c r="L806" s="111">
        <f ca="1">IFERROR(__xludf.DUMMYFUNCTION("""COMPUTED_VALUE"""),0.27)</f>
        <v>0.27</v>
      </c>
      <c r="M806" s="112">
        <f ca="1">IFERROR(__xludf.DUMMYFUNCTION("""COMPUTED_VALUE"""),41366.7055555555)</f>
        <v>41366.705555555498</v>
      </c>
      <c r="N806" s="111">
        <f ca="1">IFERROR(__xludf.DUMMYFUNCTION("""COMPUTED_VALUE"""),14.4)</f>
        <v>14.4</v>
      </c>
      <c r="O806" s="112">
        <f ca="1">IFERROR(__xludf.DUMMYFUNCTION("""COMPUTED_VALUE"""),41443.7055555555)</f>
        <v>41443.705555555498</v>
      </c>
      <c r="P806" s="111">
        <f ca="1">IFERROR(__xludf.DUMMYFUNCTION("""COMPUTED_VALUE"""),31.03)</f>
        <v>31.03</v>
      </c>
      <c r="Q806" s="112">
        <f ca="1">IFERROR(__xludf.DUMMYFUNCTION("""COMPUTED_VALUE"""),41439.7055555555)</f>
        <v>41439.705555555498</v>
      </c>
      <c r="R806" s="111">
        <f ca="1">IFERROR(__xludf.DUMMYFUNCTION("""COMPUTED_VALUE"""),22.99)</f>
        <v>22.99</v>
      </c>
      <c r="S806" s="112">
        <f ca="1">IFERROR(__xludf.DUMMYFUNCTION("""COMPUTED_VALUE"""),41452.7055555555)</f>
        <v>41452.705555555498</v>
      </c>
      <c r="T806" s="111">
        <f ca="1">IFERROR(__xludf.DUMMYFUNCTION("""COMPUTED_VALUE"""),9.8)</f>
        <v>9.8000000000000007</v>
      </c>
    </row>
    <row r="807" spans="1:20" x14ac:dyDescent="0.3">
      <c r="A807" s="112">
        <f ca="1">IFERROR(__xludf.DUMMYFUNCTION("""COMPUTED_VALUE"""),41450.7055555555)</f>
        <v>41450.705555555498</v>
      </c>
      <c r="B807" s="111">
        <f ca="1">IFERROR(__xludf.DUMMYFUNCTION("""COMPUTED_VALUE"""),4.59)</f>
        <v>4.59</v>
      </c>
      <c r="C807" s="112">
        <f ca="1">IFERROR(__xludf.DUMMYFUNCTION("""COMPUTED_VALUE"""),41457.7055555555)</f>
        <v>41457.705555555498</v>
      </c>
      <c r="D807" s="111">
        <f ca="1">IFERROR(__xludf.DUMMYFUNCTION("""COMPUTED_VALUE"""),13.66)</f>
        <v>13.66</v>
      </c>
      <c r="E807" s="112">
        <f ca="1">IFERROR(__xludf.DUMMYFUNCTION("""COMPUTED_VALUE"""),41458.7055555555)</f>
        <v>41458.705555555498</v>
      </c>
      <c r="F807" s="111">
        <f ca="1">IFERROR(__xludf.DUMMYFUNCTION("""COMPUTED_VALUE"""),5.05)</f>
        <v>5.05</v>
      </c>
      <c r="G807" s="112">
        <f ca="1">IFERROR(__xludf.DUMMYFUNCTION("""COMPUTED_VALUE"""),41451.7055555555)</f>
        <v>41451.705555555498</v>
      </c>
      <c r="H807" s="111">
        <f ca="1">IFERROR(__xludf.DUMMYFUNCTION("""COMPUTED_VALUE"""),16.15)</f>
        <v>16.149999999999999</v>
      </c>
      <c r="K807" s="112">
        <f ca="1">IFERROR(__xludf.DUMMYFUNCTION("""COMPUTED_VALUE"""),41900.7055555555)</f>
        <v>41900.705555555498</v>
      </c>
      <c r="L807" s="111">
        <f ca="1">IFERROR(__xludf.DUMMYFUNCTION("""COMPUTED_VALUE"""),0.27)</f>
        <v>0.27</v>
      </c>
      <c r="M807" s="112">
        <f ca="1">IFERROR(__xludf.DUMMYFUNCTION("""COMPUTED_VALUE"""),41367.7055555555)</f>
        <v>41367.705555555498</v>
      </c>
      <c r="N807" s="111">
        <f ca="1">IFERROR(__xludf.DUMMYFUNCTION("""COMPUTED_VALUE"""),14.57)</f>
        <v>14.57</v>
      </c>
      <c r="O807" s="112">
        <f ca="1">IFERROR(__xludf.DUMMYFUNCTION("""COMPUTED_VALUE"""),41444.7055555555)</f>
        <v>41444.705555555498</v>
      </c>
      <c r="P807" s="111">
        <f ca="1">IFERROR(__xludf.DUMMYFUNCTION("""COMPUTED_VALUE"""),30.71)</f>
        <v>30.71</v>
      </c>
      <c r="Q807" s="112">
        <f ca="1">IFERROR(__xludf.DUMMYFUNCTION("""COMPUTED_VALUE"""),41442.7055555555)</f>
        <v>41442.705555555498</v>
      </c>
      <c r="R807" s="111">
        <f ca="1">IFERROR(__xludf.DUMMYFUNCTION("""COMPUTED_VALUE"""),22.98)</f>
        <v>22.98</v>
      </c>
      <c r="S807" s="112">
        <f ca="1">IFERROR(__xludf.DUMMYFUNCTION("""COMPUTED_VALUE"""),41453.7055555555)</f>
        <v>41453.705555555498</v>
      </c>
      <c r="T807" s="111">
        <f ca="1">IFERROR(__xludf.DUMMYFUNCTION("""COMPUTED_VALUE"""),9.6)</f>
        <v>9.6</v>
      </c>
    </row>
    <row r="808" spans="1:20" x14ac:dyDescent="0.3">
      <c r="A808" s="112">
        <f ca="1">IFERROR(__xludf.DUMMYFUNCTION("""COMPUTED_VALUE"""),41451.7055555555)</f>
        <v>41451.705555555498</v>
      </c>
      <c r="B808" s="111">
        <f ca="1">IFERROR(__xludf.DUMMYFUNCTION("""COMPUTED_VALUE"""),4.51)</f>
        <v>4.51</v>
      </c>
      <c r="C808" s="112">
        <f ca="1">IFERROR(__xludf.DUMMYFUNCTION("""COMPUTED_VALUE"""),41458.7055555555)</f>
        <v>41458.705555555498</v>
      </c>
      <c r="D808" s="111">
        <f ca="1">IFERROR(__xludf.DUMMYFUNCTION("""COMPUTED_VALUE"""),13.5)</f>
        <v>13.5</v>
      </c>
      <c r="E808" s="112">
        <f ca="1">IFERROR(__xludf.DUMMYFUNCTION("""COMPUTED_VALUE"""),41459.7055555555)</f>
        <v>41459.705555555498</v>
      </c>
      <c r="F808" s="111">
        <f ca="1">IFERROR(__xludf.DUMMYFUNCTION("""COMPUTED_VALUE"""),5.11)</f>
        <v>5.1100000000000003</v>
      </c>
      <c r="G808" s="112">
        <f ca="1">IFERROR(__xludf.DUMMYFUNCTION("""COMPUTED_VALUE"""),41452.7055555555)</f>
        <v>41452.705555555498</v>
      </c>
      <c r="H808" s="111">
        <f ca="1">IFERROR(__xludf.DUMMYFUNCTION("""COMPUTED_VALUE"""),16.38)</f>
        <v>16.38</v>
      </c>
      <c r="K808" s="112">
        <f ca="1">IFERROR(__xludf.DUMMYFUNCTION("""COMPUTED_VALUE"""),41901.7055555555)</f>
        <v>41901.705555555498</v>
      </c>
      <c r="L808" s="111">
        <f ca="1">IFERROR(__xludf.DUMMYFUNCTION("""COMPUTED_VALUE"""),0.27)</f>
        <v>0.27</v>
      </c>
      <c r="M808" s="112">
        <f ca="1">IFERROR(__xludf.DUMMYFUNCTION("""COMPUTED_VALUE"""),41368.7055555555)</f>
        <v>41368.705555555498</v>
      </c>
      <c r="N808" s="111">
        <f ca="1">IFERROR(__xludf.DUMMYFUNCTION("""COMPUTED_VALUE"""),14.36)</f>
        <v>14.36</v>
      </c>
      <c r="O808" s="112">
        <f ca="1">IFERROR(__xludf.DUMMYFUNCTION("""COMPUTED_VALUE"""),41445.7055555555)</f>
        <v>41445.705555555498</v>
      </c>
      <c r="P808" s="111">
        <f ca="1">IFERROR(__xludf.DUMMYFUNCTION("""COMPUTED_VALUE"""),31.09)</f>
        <v>31.09</v>
      </c>
      <c r="Q808" s="112">
        <f ca="1">IFERROR(__xludf.DUMMYFUNCTION("""COMPUTED_VALUE"""),41443.7055555555)</f>
        <v>41443.705555555498</v>
      </c>
      <c r="R808" s="111">
        <f ca="1">IFERROR(__xludf.DUMMYFUNCTION("""COMPUTED_VALUE"""),22.6)</f>
        <v>22.6</v>
      </c>
      <c r="S808" s="112">
        <f ca="1">IFERROR(__xludf.DUMMYFUNCTION("""COMPUTED_VALUE"""),41456.7055555555)</f>
        <v>41456.705555555498</v>
      </c>
      <c r="T808" s="111">
        <f ca="1">IFERROR(__xludf.DUMMYFUNCTION("""COMPUTED_VALUE"""),9.58)</f>
        <v>9.58</v>
      </c>
    </row>
    <row r="809" spans="1:20" x14ac:dyDescent="0.3">
      <c r="A809" s="112">
        <f ca="1">IFERROR(__xludf.DUMMYFUNCTION("""COMPUTED_VALUE"""),41452.7055555555)</f>
        <v>41452.705555555498</v>
      </c>
      <c r="B809" s="111">
        <f ca="1">IFERROR(__xludf.DUMMYFUNCTION("""COMPUTED_VALUE"""),4.61)</f>
        <v>4.6100000000000003</v>
      </c>
      <c r="C809" s="112">
        <f ca="1">IFERROR(__xludf.DUMMYFUNCTION("""COMPUTED_VALUE"""),41459.7055555555)</f>
        <v>41459.705555555498</v>
      </c>
      <c r="D809" s="111">
        <f ca="1">IFERROR(__xludf.DUMMYFUNCTION("""COMPUTED_VALUE"""),13.67)</f>
        <v>13.67</v>
      </c>
      <c r="E809" s="112">
        <f ca="1">IFERROR(__xludf.DUMMYFUNCTION("""COMPUTED_VALUE"""),41460.7055555555)</f>
        <v>41460.705555555498</v>
      </c>
      <c r="F809" s="111">
        <f ca="1">IFERROR(__xludf.DUMMYFUNCTION("""COMPUTED_VALUE"""),5.02)</f>
        <v>5.0199999999999996</v>
      </c>
      <c r="G809" s="112">
        <f ca="1">IFERROR(__xludf.DUMMYFUNCTION("""COMPUTED_VALUE"""),41453.7055555555)</f>
        <v>41453.705555555498</v>
      </c>
      <c r="H809" s="111">
        <f ca="1">IFERROR(__xludf.DUMMYFUNCTION("""COMPUTED_VALUE"""),16.17)</f>
        <v>16.170000000000002</v>
      </c>
      <c r="K809" s="112">
        <f ca="1">IFERROR(__xludf.DUMMYFUNCTION("""COMPUTED_VALUE"""),41904.7055555555)</f>
        <v>41904.705555555498</v>
      </c>
      <c r="L809" s="111">
        <f ca="1">IFERROR(__xludf.DUMMYFUNCTION("""COMPUTED_VALUE"""),0.26)</f>
        <v>0.26</v>
      </c>
      <c r="M809" s="112">
        <f ca="1">IFERROR(__xludf.DUMMYFUNCTION("""COMPUTED_VALUE"""),41369.7055555555)</f>
        <v>41369.705555555498</v>
      </c>
      <c r="N809" s="111">
        <f ca="1">IFERROR(__xludf.DUMMYFUNCTION("""COMPUTED_VALUE"""),14.36)</f>
        <v>14.36</v>
      </c>
      <c r="O809" s="112">
        <f ca="1">IFERROR(__xludf.DUMMYFUNCTION("""COMPUTED_VALUE"""),41446.7055555555)</f>
        <v>41446.705555555498</v>
      </c>
      <c r="P809" s="111">
        <f ca="1">IFERROR(__xludf.DUMMYFUNCTION("""COMPUTED_VALUE"""),30.5)</f>
        <v>30.5</v>
      </c>
      <c r="Q809" s="112">
        <f ca="1">IFERROR(__xludf.DUMMYFUNCTION("""COMPUTED_VALUE"""),41444.7055555555)</f>
        <v>41444.705555555498</v>
      </c>
      <c r="R809" s="111">
        <f ca="1">IFERROR(__xludf.DUMMYFUNCTION("""COMPUTED_VALUE"""),21.89)</f>
        <v>21.89</v>
      </c>
      <c r="S809" s="112">
        <f ca="1">IFERROR(__xludf.DUMMYFUNCTION("""COMPUTED_VALUE"""),41457.7055555555)</f>
        <v>41457.705555555498</v>
      </c>
      <c r="T809" s="111">
        <f ca="1">IFERROR(__xludf.DUMMYFUNCTION("""COMPUTED_VALUE"""),9.17)</f>
        <v>9.17</v>
      </c>
    </row>
    <row r="810" spans="1:20" x14ac:dyDescent="0.3">
      <c r="A810" s="112">
        <f ca="1">IFERROR(__xludf.DUMMYFUNCTION("""COMPUTED_VALUE"""),41453.7055555555)</f>
        <v>41453.705555555498</v>
      </c>
      <c r="B810" s="111">
        <f ca="1">IFERROR(__xludf.DUMMYFUNCTION("""COMPUTED_VALUE"""),4.58)</f>
        <v>4.58</v>
      </c>
      <c r="C810" s="112">
        <f ca="1">IFERROR(__xludf.DUMMYFUNCTION("""COMPUTED_VALUE"""),41460.7055555555)</f>
        <v>41460.705555555498</v>
      </c>
      <c r="D810" s="111">
        <f ca="1">IFERROR(__xludf.DUMMYFUNCTION("""COMPUTED_VALUE"""),13.34)</f>
        <v>13.34</v>
      </c>
      <c r="E810" s="112">
        <f ca="1">IFERROR(__xludf.DUMMYFUNCTION("""COMPUTED_VALUE"""),41463.7055555555)</f>
        <v>41463.705555555498</v>
      </c>
      <c r="F810" s="111">
        <f ca="1">IFERROR(__xludf.DUMMYFUNCTION("""COMPUTED_VALUE"""),5.03)</f>
        <v>5.03</v>
      </c>
      <c r="G810" s="112">
        <f ca="1">IFERROR(__xludf.DUMMYFUNCTION("""COMPUTED_VALUE"""),41456.7055555555)</f>
        <v>41456.705555555498</v>
      </c>
      <c r="H810" s="111">
        <f ca="1">IFERROR(__xludf.DUMMYFUNCTION("""COMPUTED_VALUE"""),16.12)</f>
        <v>16.12</v>
      </c>
      <c r="K810" s="112">
        <f ca="1">IFERROR(__xludf.DUMMYFUNCTION("""COMPUTED_VALUE"""),41905.7055555555)</f>
        <v>41905.705555555498</v>
      </c>
      <c r="L810" s="111">
        <f ca="1">IFERROR(__xludf.DUMMYFUNCTION("""COMPUTED_VALUE"""),0.26)</f>
        <v>0.26</v>
      </c>
      <c r="M810" s="112">
        <f ca="1">IFERROR(__xludf.DUMMYFUNCTION("""COMPUTED_VALUE"""),41372.7055555555)</f>
        <v>41372.705555555498</v>
      </c>
      <c r="N810" s="111">
        <f ca="1">IFERROR(__xludf.DUMMYFUNCTION("""COMPUTED_VALUE"""),14.16)</f>
        <v>14.16</v>
      </c>
      <c r="O810" s="112">
        <f ca="1">IFERROR(__xludf.DUMMYFUNCTION("""COMPUTED_VALUE"""),41449.7055555555)</f>
        <v>41449.705555555498</v>
      </c>
      <c r="P810" s="111">
        <f ca="1">IFERROR(__xludf.DUMMYFUNCTION("""COMPUTED_VALUE"""),28.89)</f>
        <v>28.89</v>
      </c>
      <c r="Q810" s="112">
        <f ca="1">IFERROR(__xludf.DUMMYFUNCTION("""COMPUTED_VALUE"""),41445.7055555555)</f>
        <v>41445.705555555498</v>
      </c>
      <c r="R810" s="111">
        <f ca="1">IFERROR(__xludf.DUMMYFUNCTION("""COMPUTED_VALUE"""),21.25)</f>
        <v>21.25</v>
      </c>
      <c r="S810" s="112">
        <f ca="1">IFERROR(__xludf.DUMMYFUNCTION("""COMPUTED_VALUE"""),41458.7055555555)</f>
        <v>41458.705555555498</v>
      </c>
      <c r="T810" s="111">
        <f ca="1">IFERROR(__xludf.DUMMYFUNCTION("""COMPUTED_VALUE"""),9.12)</f>
        <v>9.1199999999999992</v>
      </c>
    </row>
    <row r="811" spans="1:20" x14ac:dyDescent="0.3">
      <c r="A811" s="112">
        <f ca="1">IFERROR(__xludf.DUMMYFUNCTION("""COMPUTED_VALUE"""),41456.7055555555)</f>
        <v>41456.705555555498</v>
      </c>
      <c r="B811" s="111">
        <f ca="1">IFERROR(__xludf.DUMMYFUNCTION("""COMPUTED_VALUE"""),4.54)</f>
        <v>4.54</v>
      </c>
      <c r="C811" s="112">
        <f ca="1">IFERROR(__xludf.DUMMYFUNCTION("""COMPUTED_VALUE"""),41463.7055555555)</f>
        <v>41463.705555555498</v>
      </c>
      <c r="D811" s="111">
        <f ca="1">IFERROR(__xludf.DUMMYFUNCTION("""COMPUTED_VALUE"""),13.47)</f>
        <v>13.47</v>
      </c>
      <c r="E811" s="112">
        <f ca="1">IFERROR(__xludf.DUMMYFUNCTION("""COMPUTED_VALUE"""),41465.7055555555)</f>
        <v>41465.705555555498</v>
      </c>
      <c r="F811" s="111">
        <f ca="1">IFERROR(__xludf.DUMMYFUNCTION("""COMPUTED_VALUE"""),5.09)</f>
        <v>5.09</v>
      </c>
      <c r="G811" s="112">
        <f ca="1">IFERROR(__xludf.DUMMYFUNCTION("""COMPUTED_VALUE"""),41457.7055555555)</f>
        <v>41457.705555555498</v>
      </c>
      <c r="H811" s="111">
        <f ca="1">IFERROR(__xludf.DUMMYFUNCTION("""COMPUTED_VALUE"""),15.39)</f>
        <v>15.39</v>
      </c>
      <c r="K811" s="112">
        <f ca="1">IFERROR(__xludf.DUMMYFUNCTION("""COMPUTED_VALUE"""),41906.7055555555)</f>
        <v>41906.705555555498</v>
      </c>
      <c r="L811" s="111">
        <f ca="1">IFERROR(__xludf.DUMMYFUNCTION("""COMPUTED_VALUE"""),0.26)</f>
        <v>0.26</v>
      </c>
      <c r="M811" s="112">
        <f ca="1">IFERROR(__xludf.DUMMYFUNCTION("""COMPUTED_VALUE"""),41373.7055555555)</f>
        <v>41373.705555555498</v>
      </c>
      <c r="N811" s="111">
        <f ca="1">IFERROR(__xludf.DUMMYFUNCTION("""COMPUTED_VALUE"""),14.54)</f>
        <v>14.54</v>
      </c>
      <c r="O811" s="112">
        <f ca="1">IFERROR(__xludf.DUMMYFUNCTION("""COMPUTED_VALUE"""),41450.7055555555)</f>
        <v>41450.705555555498</v>
      </c>
      <c r="P811" s="111">
        <f ca="1">IFERROR(__xludf.DUMMYFUNCTION("""COMPUTED_VALUE"""),29.35)</f>
        <v>29.35</v>
      </c>
      <c r="Q811" s="112">
        <f ca="1">IFERROR(__xludf.DUMMYFUNCTION("""COMPUTED_VALUE"""),41446.7055555555)</f>
        <v>41446.705555555498</v>
      </c>
      <c r="R811" s="111">
        <f ca="1">IFERROR(__xludf.DUMMYFUNCTION("""COMPUTED_VALUE"""),21.05)</f>
        <v>21.05</v>
      </c>
      <c r="S811" s="112">
        <f ca="1">IFERROR(__xludf.DUMMYFUNCTION("""COMPUTED_VALUE"""),41459.7055555555)</f>
        <v>41459.705555555498</v>
      </c>
      <c r="T811" s="111">
        <f ca="1">IFERROR(__xludf.DUMMYFUNCTION("""COMPUTED_VALUE"""),9.26)</f>
        <v>9.26</v>
      </c>
    </row>
    <row r="812" spans="1:20" x14ac:dyDescent="0.3">
      <c r="A812" s="112">
        <f ca="1">IFERROR(__xludf.DUMMYFUNCTION("""COMPUTED_VALUE"""),41457.7055555555)</f>
        <v>41457.705555555498</v>
      </c>
      <c r="B812" s="111">
        <f ca="1">IFERROR(__xludf.DUMMYFUNCTION("""COMPUTED_VALUE"""),4.43)</f>
        <v>4.43</v>
      </c>
      <c r="C812" s="112">
        <f ca="1">IFERROR(__xludf.DUMMYFUNCTION("""COMPUTED_VALUE"""),41465.7055555555)</f>
        <v>41465.705555555498</v>
      </c>
      <c r="D812" s="111">
        <f ca="1">IFERROR(__xludf.DUMMYFUNCTION("""COMPUTED_VALUE"""),13.52)</f>
        <v>13.52</v>
      </c>
      <c r="E812" s="112">
        <f ca="1">IFERROR(__xludf.DUMMYFUNCTION("""COMPUTED_VALUE"""),41466.7055555555)</f>
        <v>41466.705555555498</v>
      </c>
      <c r="F812" s="111">
        <f ca="1">IFERROR(__xludf.DUMMYFUNCTION("""COMPUTED_VALUE"""),5.17)</f>
        <v>5.17</v>
      </c>
      <c r="G812" s="112">
        <f ca="1">IFERROR(__xludf.DUMMYFUNCTION("""COMPUTED_VALUE"""),41458.7055555555)</f>
        <v>41458.705555555498</v>
      </c>
      <c r="H812" s="111">
        <f ca="1">IFERROR(__xludf.DUMMYFUNCTION("""COMPUTED_VALUE"""),15.9)</f>
        <v>15.9</v>
      </c>
      <c r="K812" s="112">
        <f ca="1">IFERROR(__xludf.DUMMYFUNCTION("""COMPUTED_VALUE"""),41907.7055555555)</f>
        <v>41907.705555555498</v>
      </c>
      <c r="L812" s="111">
        <f ca="1">IFERROR(__xludf.DUMMYFUNCTION("""COMPUTED_VALUE"""),0.25)</f>
        <v>0.25</v>
      </c>
      <c r="M812" s="112">
        <f ca="1">IFERROR(__xludf.DUMMYFUNCTION("""COMPUTED_VALUE"""),41374.7055555555)</f>
        <v>41374.705555555498</v>
      </c>
      <c r="N812" s="111">
        <f ca="1">IFERROR(__xludf.DUMMYFUNCTION("""COMPUTED_VALUE"""),14.87)</f>
        <v>14.87</v>
      </c>
      <c r="O812" s="112">
        <f ca="1">IFERROR(__xludf.DUMMYFUNCTION("""COMPUTED_VALUE"""),41451.7055555555)</f>
        <v>41451.705555555498</v>
      </c>
      <c r="P812" s="111">
        <f ca="1">IFERROR(__xludf.DUMMYFUNCTION("""COMPUTED_VALUE"""),28.45)</f>
        <v>28.45</v>
      </c>
      <c r="Q812" s="112">
        <f ca="1">IFERROR(__xludf.DUMMYFUNCTION("""COMPUTED_VALUE"""),41449.7055555555)</f>
        <v>41449.705555555498</v>
      </c>
      <c r="R812" s="111">
        <f ca="1">IFERROR(__xludf.DUMMYFUNCTION("""COMPUTED_VALUE"""),21.07)</f>
        <v>21.07</v>
      </c>
      <c r="S812" s="112">
        <f ca="1">IFERROR(__xludf.DUMMYFUNCTION("""COMPUTED_VALUE"""),41460.7055555555)</f>
        <v>41460.705555555498</v>
      </c>
      <c r="T812" s="111">
        <f ca="1">IFERROR(__xludf.DUMMYFUNCTION("""COMPUTED_VALUE"""),9.13)</f>
        <v>9.1300000000000008</v>
      </c>
    </row>
    <row r="813" spans="1:20" x14ac:dyDescent="0.3">
      <c r="A813" s="112">
        <f ca="1">IFERROR(__xludf.DUMMYFUNCTION("""COMPUTED_VALUE"""),41458.7055555555)</f>
        <v>41458.705555555498</v>
      </c>
      <c r="B813" s="111">
        <f ca="1">IFERROR(__xludf.DUMMYFUNCTION("""COMPUTED_VALUE"""),4.36)</f>
        <v>4.3600000000000003</v>
      </c>
      <c r="C813" s="112">
        <f ca="1">IFERROR(__xludf.DUMMYFUNCTION("""COMPUTED_VALUE"""),41466.7055555555)</f>
        <v>41466.705555555498</v>
      </c>
      <c r="D813" s="111">
        <f ca="1">IFERROR(__xludf.DUMMYFUNCTION("""COMPUTED_VALUE"""),13.86)</f>
        <v>13.86</v>
      </c>
      <c r="E813" s="112">
        <f ca="1">IFERROR(__xludf.DUMMYFUNCTION("""COMPUTED_VALUE"""),41467.7055555555)</f>
        <v>41467.705555555498</v>
      </c>
      <c r="F813" s="111">
        <f ca="1">IFERROR(__xludf.DUMMYFUNCTION("""COMPUTED_VALUE"""),5.14)</f>
        <v>5.14</v>
      </c>
      <c r="G813" s="112">
        <f ca="1">IFERROR(__xludf.DUMMYFUNCTION("""COMPUTED_VALUE"""),41459.7055555555)</f>
        <v>41459.705555555498</v>
      </c>
      <c r="H813" s="111">
        <f ca="1">IFERROR(__xludf.DUMMYFUNCTION("""COMPUTED_VALUE"""),15.96)</f>
        <v>15.96</v>
      </c>
      <c r="K813" s="112">
        <f ca="1">IFERROR(__xludf.DUMMYFUNCTION("""COMPUTED_VALUE"""),41908.7055555555)</f>
        <v>41908.705555555498</v>
      </c>
      <c r="L813" s="111">
        <f ca="1">IFERROR(__xludf.DUMMYFUNCTION("""COMPUTED_VALUE"""),0.25)</f>
        <v>0.25</v>
      </c>
      <c r="M813" s="112">
        <f ca="1">IFERROR(__xludf.DUMMYFUNCTION("""COMPUTED_VALUE"""),41375.7055555555)</f>
        <v>41375.705555555498</v>
      </c>
      <c r="N813" s="111">
        <f ca="1">IFERROR(__xludf.DUMMYFUNCTION("""COMPUTED_VALUE"""),14.85)</f>
        <v>14.85</v>
      </c>
      <c r="O813" s="112">
        <f ca="1">IFERROR(__xludf.DUMMYFUNCTION("""COMPUTED_VALUE"""),41452.7055555555)</f>
        <v>41452.705555555498</v>
      </c>
      <c r="P813" s="111">
        <f ca="1">IFERROR(__xludf.DUMMYFUNCTION("""COMPUTED_VALUE"""),28.45)</f>
        <v>28.45</v>
      </c>
      <c r="Q813" s="112">
        <f ca="1">IFERROR(__xludf.DUMMYFUNCTION("""COMPUTED_VALUE"""),41450.7055555555)</f>
        <v>41450.705555555498</v>
      </c>
      <c r="R813" s="111">
        <f ca="1">IFERROR(__xludf.DUMMYFUNCTION("""COMPUTED_VALUE"""),21.25)</f>
        <v>21.25</v>
      </c>
      <c r="S813" s="112">
        <f ca="1">IFERROR(__xludf.DUMMYFUNCTION("""COMPUTED_VALUE"""),41463.7055555555)</f>
        <v>41463.705555555498</v>
      </c>
      <c r="T813" s="111">
        <f ca="1">IFERROR(__xludf.DUMMYFUNCTION("""COMPUTED_VALUE"""),9.21)</f>
        <v>9.2100000000000009</v>
      </c>
    </row>
    <row r="814" spans="1:20" x14ac:dyDescent="0.3">
      <c r="A814" s="112">
        <f ca="1">IFERROR(__xludf.DUMMYFUNCTION("""COMPUTED_VALUE"""),41459.7055555555)</f>
        <v>41459.705555555498</v>
      </c>
      <c r="B814" s="111">
        <f ca="1">IFERROR(__xludf.DUMMYFUNCTION("""COMPUTED_VALUE"""),4.42)</f>
        <v>4.42</v>
      </c>
      <c r="C814" s="112">
        <f ca="1">IFERROR(__xludf.DUMMYFUNCTION("""COMPUTED_VALUE"""),41467.7055555555)</f>
        <v>41467.705555555498</v>
      </c>
      <c r="D814" s="111">
        <f ca="1">IFERROR(__xludf.DUMMYFUNCTION("""COMPUTED_VALUE"""),13.71)</f>
        <v>13.71</v>
      </c>
      <c r="E814" s="112">
        <f ca="1">IFERROR(__xludf.DUMMYFUNCTION("""COMPUTED_VALUE"""),41470.7055555555)</f>
        <v>41470.705555555498</v>
      </c>
      <c r="F814" s="111">
        <f ca="1">IFERROR(__xludf.DUMMYFUNCTION("""COMPUTED_VALUE"""),5.24)</f>
        <v>5.24</v>
      </c>
      <c r="G814" s="112">
        <f ca="1">IFERROR(__xludf.DUMMYFUNCTION("""COMPUTED_VALUE"""),41460.7055555555)</f>
        <v>41460.705555555498</v>
      </c>
      <c r="H814" s="111">
        <f ca="1">IFERROR(__xludf.DUMMYFUNCTION("""COMPUTED_VALUE"""),15.15)</f>
        <v>15.15</v>
      </c>
      <c r="K814" s="112">
        <f ca="1">IFERROR(__xludf.DUMMYFUNCTION("""COMPUTED_VALUE"""),41911.7055555555)</f>
        <v>41911.705555555498</v>
      </c>
      <c r="L814" s="111">
        <f ca="1">IFERROR(__xludf.DUMMYFUNCTION("""COMPUTED_VALUE"""),0.23)</f>
        <v>0.23</v>
      </c>
      <c r="M814" s="112">
        <f ca="1">IFERROR(__xludf.DUMMYFUNCTION("""COMPUTED_VALUE"""),41376.7055555555)</f>
        <v>41376.705555555498</v>
      </c>
      <c r="N814" s="111">
        <f ca="1">IFERROR(__xludf.DUMMYFUNCTION("""COMPUTED_VALUE"""),14.75)</f>
        <v>14.75</v>
      </c>
      <c r="O814" s="112">
        <f ca="1">IFERROR(__xludf.DUMMYFUNCTION("""COMPUTED_VALUE"""),41453.7055555555)</f>
        <v>41453.705555555498</v>
      </c>
      <c r="P814" s="111">
        <f ca="1">IFERROR(__xludf.DUMMYFUNCTION("""COMPUTED_VALUE"""),28.91)</f>
        <v>28.91</v>
      </c>
      <c r="Q814" s="112">
        <f ca="1">IFERROR(__xludf.DUMMYFUNCTION("""COMPUTED_VALUE"""),41451.7055555555)</f>
        <v>41451.705555555498</v>
      </c>
      <c r="R814" s="111">
        <f ca="1">IFERROR(__xludf.DUMMYFUNCTION("""COMPUTED_VALUE"""),21.3)</f>
        <v>21.3</v>
      </c>
      <c r="S814" s="112">
        <f ca="1">IFERROR(__xludf.DUMMYFUNCTION("""COMPUTED_VALUE"""),41465.7055555555)</f>
        <v>41465.705555555498</v>
      </c>
      <c r="T814" s="111">
        <f ca="1">IFERROR(__xludf.DUMMYFUNCTION("""COMPUTED_VALUE"""),9.26)</f>
        <v>9.26</v>
      </c>
    </row>
    <row r="815" spans="1:20" x14ac:dyDescent="0.3">
      <c r="A815" s="112">
        <f ca="1">IFERROR(__xludf.DUMMYFUNCTION("""COMPUTED_VALUE"""),41460.7055555555)</f>
        <v>41460.705555555498</v>
      </c>
      <c r="B815" s="111">
        <f ca="1">IFERROR(__xludf.DUMMYFUNCTION("""COMPUTED_VALUE"""),4.37)</f>
        <v>4.37</v>
      </c>
      <c r="C815" s="112">
        <f ca="1">IFERROR(__xludf.DUMMYFUNCTION("""COMPUTED_VALUE"""),41470.7055555555)</f>
        <v>41470.705555555498</v>
      </c>
      <c r="D815" s="111">
        <f ca="1">IFERROR(__xludf.DUMMYFUNCTION("""COMPUTED_VALUE"""),14)</f>
        <v>14</v>
      </c>
      <c r="E815" s="112">
        <f ca="1">IFERROR(__xludf.DUMMYFUNCTION("""COMPUTED_VALUE"""),41471.7055555555)</f>
        <v>41471.705555555498</v>
      </c>
      <c r="F815" s="111">
        <f ca="1">IFERROR(__xludf.DUMMYFUNCTION("""COMPUTED_VALUE"""),5.28)</f>
        <v>5.28</v>
      </c>
      <c r="G815" s="112">
        <f ca="1">IFERROR(__xludf.DUMMYFUNCTION("""COMPUTED_VALUE"""),41463.7055555555)</f>
        <v>41463.705555555498</v>
      </c>
      <c r="H815" s="111">
        <f ca="1">IFERROR(__xludf.DUMMYFUNCTION("""COMPUTED_VALUE"""),15)</f>
        <v>15</v>
      </c>
      <c r="K815" s="112">
        <f ca="1">IFERROR(__xludf.DUMMYFUNCTION("""COMPUTED_VALUE"""),41912.7055555555)</f>
        <v>41912.705555555498</v>
      </c>
      <c r="L815" s="111">
        <f ca="1">IFERROR(__xludf.DUMMYFUNCTION("""COMPUTED_VALUE"""),0.24)</f>
        <v>0.24</v>
      </c>
      <c r="M815" s="112">
        <f ca="1">IFERROR(__xludf.DUMMYFUNCTION("""COMPUTED_VALUE"""),41379.7055555555)</f>
        <v>41379.705555555498</v>
      </c>
      <c r="N815" s="111">
        <f ca="1">IFERROR(__xludf.DUMMYFUNCTION("""COMPUTED_VALUE"""),14.31)</f>
        <v>14.31</v>
      </c>
      <c r="O815" s="112">
        <f ca="1">IFERROR(__xludf.DUMMYFUNCTION("""COMPUTED_VALUE"""),41456.7055555555)</f>
        <v>41456.705555555498</v>
      </c>
      <c r="P815" s="111">
        <f ca="1">IFERROR(__xludf.DUMMYFUNCTION("""COMPUTED_VALUE"""),29.45)</f>
        <v>29.45</v>
      </c>
      <c r="Q815" s="112">
        <f ca="1">IFERROR(__xludf.DUMMYFUNCTION("""COMPUTED_VALUE"""),41452.7055555555)</f>
        <v>41452.705555555498</v>
      </c>
      <c r="R815" s="111">
        <f ca="1">IFERROR(__xludf.DUMMYFUNCTION("""COMPUTED_VALUE"""),21.52)</f>
        <v>21.52</v>
      </c>
      <c r="S815" s="112">
        <f ca="1">IFERROR(__xludf.DUMMYFUNCTION("""COMPUTED_VALUE"""),41466.7055555555)</f>
        <v>41466.705555555498</v>
      </c>
      <c r="T815" s="111">
        <f ca="1">IFERROR(__xludf.DUMMYFUNCTION("""COMPUTED_VALUE"""),9.34)</f>
        <v>9.34</v>
      </c>
    </row>
    <row r="816" spans="1:20" x14ac:dyDescent="0.3">
      <c r="A816" s="112">
        <f ca="1">IFERROR(__xludf.DUMMYFUNCTION("""COMPUTED_VALUE"""),41463.7055555555)</f>
        <v>41463.705555555498</v>
      </c>
      <c r="B816" s="111">
        <f ca="1">IFERROR(__xludf.DUMMYFUNCTION("""COMPUTED_VALUE"""),4.38)</f>
        <v>4.38</v>
      </c>
      <c r="C816" s="112">
        <f ca="1">IFERROR(__xludf.DUMMYFUNCTION("""COMPUTED_VALUE"""),41471.7055555555)</f>
        <v>41471.705555555498</v>
      </c>
      <c r="D816" s="111">
        <f ca="1">IFERROR(__xludf.DUMMYFUNCTION("""COMPUTED_VALUE"""),14.04)</f>
        <v>14.04</v>
      </c>
      <c r="E816" s="112">
        <f ca="1">IFERROR(__xludf.DUMMYFUNCTION("""COMPUTED_VALUE"""),41472.7055555555)</f>
        <v>41472.705555555498</v>
      </c>
      <c r="F816" s="111">
        <f ca="1">IFERROR(__xludf.DUMMYFUNCTION("""COMPUTED_VALUE"""),5.35)</f>
        <v>5.35</v>
      </c>
      <c r="G816" s="112">
        <f ca="1">IFERROR(__xludf.DUMMYFUNCTION("""COMPUTED_VALUE"""),41465.7055555555)</f>
        <v>41465.705555555498</v>
      </c>
      <c r="H816" s="111">
        <f ca="1">IFERROR(__xludf.DUMMYFUNCTION("""COMPUTED_VALUE"""),15.25)</f>
        <v>15.25</v>
      </c>
      <c r="K816" s="112">
        <f ca="1">IFERROR(__xludf.DUMMYFUNCTION("""COMPUTED_VALUE"""),41913.7055555555)</f>
        <v>41913.705555555498</v>
      </c>
      <c r="L816" s="111">
        <f ca="1">IFERROR(__xludf.DUMMYFUNCTION("""COMPUTED_VALUE"""),0.24)</f>
        <v>0.24</v>
      </c>
      <c r="M816" s="112">
        <f ca="1">IFERROR(__xludf.DUMMYFUNCTION("""COMPUTED_VALUE"""),41380.7055555555)</f>
        <v>41380.705555555498</v>
      </c>
      <c r="N816" s="111">
        <f ca="1">IFERROR(__xludf.DUMMYFUNCTION("""COMPUTED_VALUE"""),14.57)</f>
        <v>14.57</v>
      </c>
      <c r="O816" s="112">
        <f ca="1">IFERROR(__xludf.DUMMYFUNCTION("""COMPUTED_VALUE"""),41457.7055555555)</f>
        <v>41457.705555555498</v>
      </c>
      <c r="P816" s="111">
        <f ca="1">IFERROR(__xludf.DUMMYFUNCTION("""COMPUTED_VALUE"""),28.5)</f>
        <v>28.5</v>
      </c>
      <c r="Q816" s="112">
        <f ca="1">IFERROR(__xludf.DUMMYFUNCTION("""COMPUTED_VALUE"""),41453.7055555555)</f>
        <v>41453.705555555498</v>
      </c>
      <c r="R816" s="111">
        <f ca="1">IFERROR(__xludf.DUMMYFUNCTION("""COMPUTED_VALUE"""),22.06)</f>
        <v>22.06</v>
      </c>
      <c r="S816" s="112">
        <f ca="1">IFERROR(__xludf.DUMMYFUNCTION("""COMPUTED_VALUE"""),41467.7055555555)</f>
        <v>41467.705555555498</v>
      </c>
      <c r="T816" s="111">
        <f ca="1">IFERROR(__xludf.DUMMYFUNCTION("""COMPUTED_VALUE"""),9.29)</f>
        <v>9.2899999999999991</v>
      </c>
    </row>
    <row r="817" spans="1:20" x14ac:dyDescent="0.3">
      <c r="A817" s="112">
        <f ca="1">IFERROR(__xludf.DUMMYFUNCTION("""COMPUTED_VALUE"""),41465.7055555555)</f>
        <v>41465.705555555498</v>
      </c>
      <c r="B817" s="111">
        <f ca="1">IFERROR(__xludf.DUMMYFUNCTION("""COMPUTED_VALUE"""),4.51)</f>
        <v>4.51</v>
      </c>
      <c r="C817" s="112">
        <f ca="1">IFERROR(__xludf.DUMMYFUNCTION("""COMPUTED_VALUE"""),41472.7055555555)</f>
        <v>41472.705555555498</v>
      </c>
      <c r="D817" s="111">
        <f ca="1">IFERROR(__xludf.DUMMYFUNCTION("""COMPUTED_VALUE"""),14.22)</f>
        <v>14.22</v>
      </c>
      <c r="E817" s="112">
        <f ca="1">IFERROR(__xludf.DUMMYFUNCTION("""COMPUTED_VALUE"""),41473.7055555555)</f>
        <v>41473.705555555498</v>
      </c>
      <c r="F817" s="111">
        <f ca="1">IFERROR(__xludf.DUMMYFUNCTION("""COMPUTED_VALUE"""),5.35)</f>
        <v>5.35</v>
      </c>
      <c r="G817" s="112">
        <f ca="1">IFERROR(__xludf.DUMMYFUNCTION("""COMPUTED_VALUE"""),41466.7055555555)</f>
        <v>41466.705555555498</v>
      </c>
      <c r="H817" s="111">
        <f ca="1">IFERROR(__xludf.DUMMYFUNCTION("""COMPUTED_VALUE"""),15.76)</f>
        <v>15.76</v>
      </c>
      <c r="K817" s="112">
        <f ca="1">IFERROR(__xludf.DUMMYFUNCTION("""COMPUTED_VALUE"""),41914.7055555555)</f>
        <v>41914.705555555498</v>
      </c>
      <c r="L817" s="111">
        <f ca="1">IFERROR(__xludf.DUMMYFUNCTION("""COMPUTED_VALUE"""),0.25)</f>
        <v>0.25</v>
      </c>
      <c r="M817" s="112">
        <f ca="1">IFERROR(__xludf.DUMMYFUNCTION("""COMPUTED_VALUE"""),41381.7055555555)</f>
        <v>41381.705555555498</v>
      </c>
      <c r="N817" s="111">
        <f ca="1">IFERROR(__xludf.DUMMYFUNCTION("""COMPUTED_VALUE"""),14.04)</f>
        <v>14.04</v>
      </c>
      <c r="O817" s="112">
        <f ca="1">IFERROR(__xludf.DUMMYFUNCTION("""COMPUTED_VALUE"""),41458.7055555555)</f>
        <v>41458.705555555498</v>
      </c>
      <c r="P817" s="111">
        <f ca="1">IFERROR(__xludf.DUMMYFUNCTION("""COMPUTED_VALUE"""),28.39)</f>
        <v>28.39</v>
      </c>
      <c r="Q817" s="112">
        <f ca="1">IFERROR(__xludf.DUMMYFUNCTION("""COMPUTED_VALUE"""),41456.7055555555)</f>
        <v>41456.705555555498</v>
      </c>
      <c r="R817" s="111">
        <f ca="1">IFERROR(__xludf.DUMMYFUNCTION("""COMPUTED_VALUE"""),22.13)</f>
        <v>22.13</v>
      </c>
      <c r="S817" s="112">
        <f ca="1">IFERROR(__xludf.DUMMYFUNCTION("""COMPUTED_VALUE"""),41470.7055555555)</f>
        <v>41470.705555555498</v>
      </c>
      <c r="T817" s="111">
        <f ca="1">IFERROR(__xludf.DUMMYFUNCTION("""COMPUTED_VALUE"""),9.32)</f>
        <v>9.32</v>
      </c>
    </row>
    <row r="818" spans="1:20" x14ac:dyDescent="0.3">
      <c r="A818" s="112">
        <f ca="1">IFERROR(__xludf.DUMMYFUNCTION("""COMPUTED_VALUE"""),41466.7055555555)</f>
        <v>41466.705555555498</v>
      </c>
      <c r="B818" s="111">
        <f ca="1">IFERROR(__xludf.DUMMYFUNCTION("""COMPUTED_VALUE"""),4.7)</f>
        <v>4.7</v>
      </c>
      <c r="C818" s="112">
        <f ca="1">IFERROR(__xludf.DUMMYFUNCTION("""COMPUTED_VALUE"""),41473.7055555555)</f>
        <v>41473.705555555498</v>
      </c>
      <c r="D818" s="111">
        <f ca="1">IFERROR(__xludf.DUMMYFUNCTION("""COMPUTED_VALUE"""),14.24)</f>
        <v>14.24</v>
      </c>
      <c r="E818" s="112">
        <f ca="1">IFERROR(__xludf.DUMMYFUNCTION("""COMPUTED_VALUE"""),41474.7055555555)</f>
        <v>41474.705555555498</v>
      </c>
      <c r="F818" s="111">
        <f ca="1">IFERROR(__xludf.DUMMYFUNCTION("""COMPUTED_VALUE"""),5.33)</f>
        <v>5.33</v>
      </c>
      <c r="G818" s="112">
        <f ca="1">IFERROR(__xludf.DUMMYFUNCTION("""COMPUTED_VALUE"""),41467.7055555555)</f>
        <v>41467.705555555498</v>
      </c>
      <c r="H818" s="111">
        <f ca="1">IFERROR(__xludf.DUMMYFUNCTION("""COMPUTED_VALUE"""),15.43)</f>
        <v>15.43</v>
      </c>
      <c r="K818" s="112">
        <f ca="1">IFERROR(__xludf.DUMMYFUNCTION("""COMPUTED_VALUE"""),41915.7055555555)</f>
        <v>41915.705555555498</v>
      </c>
      <c r="L818" s="111">
        <f ca="1">IFERROR(__xludf.DUMMYFUNCTION("""COMPUTED_VALUE"""),0.24)</f>
        <v>0.24</v>
      </c>
      <c r="M818" s="112">
        <f ca="1">IFERROR(__xludf.DUMMYFUNCTION("""COMPUTED_VALUE"""),41382.7055555555)</f>
        <v>41382.705555555498</v>
      </c>
      <c r="N818" s="111">
        <f ca="1">IFERROR(__xludf.DUMMYFUNCTION("""COMPUTED_VALUE"""),13.76)</f>
        <v>13.76</v>
      </c>
      <c r="O818" s="112">
        <f ca="1">IFERROR(__xludf.DUMMYFUNCTION("""COMPUTED_VALUE"""),41459.7055555555)</f>
        <v>41459.705555555498</v>
      </c>
      <c r="P818" s="111">
        <f ca="1">IFERROR(__xludf.DUMMYFUNCTION("""COMPUTED_VALUE"""),29.47)</f>
        <v>29.47</v>
      </c>
      <c r="Q818" s="112">
        <f ca="1">IFERROR(__xludf.DUMMYFUNCTION("""COMPUTED_VALUE"""),41457.7055555555)</f>
        <v>41457.705555555498</v>
      </c>
      <c r="R818" s="111">
        <f ca="1">IFERROR(__xludf.DUMMYFUNCTION("""COMPUTED_VALUE"""),20.9)</f>
        <v>20.9</v>
      </c>
      <c r="S818" s="112">
        <f ca="1">IFERROR(__xludf.DUMMYFUNCTION("""COMPUTED_VALUE"""),41471.7055555555)</f>
        <v>41471.705555555498</v>
      </c>
      <c r="T818" s="111">
        <f ca="1">IFERROR(__xludf.DUMMYFUNCTION("""COMPUTED_VALUE"""),9.27)</f>
        <v>9.27</v>
      </c>
    </row>
    <row r="819" spans="1:20" x14ac:dyDescent="0.3">
      <c r="A819" s="112">
        <f ca="1">IFERROR(__xludf.DUMMYFUNCTION("""COMPUTED_VALUE"""),41467.7055555555)</f>
        <v>41467.705555555498</v>
      </c>
      <c r="B819" s="111">
        <f ca="1">IFERROR(__xludf.DUMMYFUNCTION("""COMPUTED_VALUE"""),4.73)</f>
        <v>4.7300000000000004</v>
      </c>
      <c r="C819" s="112">
        <f ca="1">IFERROR(__xludf.DUMMYFUNCTION("""COMPUTED_VALUE"""),41474.7055555555)</f>
        <v>41474.705555555498</v>
      </c>
      <c r="D819" s="111">
        <f ca="1">IFERROR(__xludf.DUMMYFUNCTION("""COMPUTED_VALUE"""),14.25)</f>
        <v>14.25</v>
      </c>
      <c r="E819" s="112">
        <f ca="1">IFERROR(__xludf.DUMMYFUNCTION("""COMPUTED_VALUE"""),41477.7055555555)</f>
        <v>41477.705555555498</v>
      </c>
      <c r="F819" s="111">
        <f ca="1">IFERROR(__xludf.DUMMYFUNCTION("""COMPUTED_VALUE"""),5.44)</f>
        <v>5.44</v>
      </c>
      <c r="G819" s="112">
        <f ca="1">IFERROR(__xludf.DUMMYFUNCTION("""COMPUTED_VALUE"""),41470.7055555555)</f>
        <v>41470.705555555498</v>
      </c>
      <c r="H819" s="111">
        <f ca="1">IFERROR(__xludf.DUMMYFUNCTION("""COMPUTED_VALUE"""),15.5)</f>
        <v>15.5</v>
      </c>
      <c r="K819" s="112">
        <f ca="1">IFERROR(__xludf.DUMMYFUNCTION("""COMPUTED_VALUE"""),41918.7055555555)</f>
        <v>41918.705555555498</v>
      </c>
      <c r="L819" s="111">
        <f ca="1">IFERROR(__xludf.DUMMYFUNCTION("""COMPUTED_VALUE"""),0.26)</f>
        <v>0.26</v>
      </c>
      <c r="M819" s="112">
        <f ca="1">IFERROR(__xludf.DUMMYFUNCTION("""COMPUTED_VALUE"""),41383.7055555555)</f>
        <v>41383.705555555498</v>
      </c>
      <c r="N819" s="111">
        <f ca="1">IFERROR(__xludf.DUMMYFUNCTION("""COMPUTED_VALUE"""),13.93)</f>
        <v>13.93</v>
      </c>
      <c r="O819" s="112">
        <f ca="1">IFERROR(__xludf.DUMMYFUNCTION("""COMPUTED_VALUE"""),41460.7055555555)</f>
        <v>41460.705555555498</v>
      </c>
      <c r="P819" s="111">
        <f ca="1">IFERROR(__xludf.DUMMYFUNCTION("""COMPUTED_VALUE"""),28.75)</f>
        <v>28.75</v>
      </c>
      <c r="Q819" s="112">
        <f ca="1">IFERROR(__xludf.DUMMYFUNCTION("""COMPUTED_VALUE"""),41458.7055555555)</f>
        <v>41458.705555555498</v>
      </c>
      <c r="R819" s="111">
        <f ca="1">IFERROR(__xludf.DUMMYFUNCTION("""COMPUTED_VALUE"""),20.3)</f>
        <v>20.3</v>
      </c>
      <c r="S819" s="112">
        <f ca="1">IFERROR(__xludf.DUMMYFUNCTION("""COMPUTED_VALUE"""),41472.7055555555)</f>
        <v>41472.705555555498</v>
      </c>
      <c r="T819" s="111">
        <f ca="1">IFERROR(__xludf.DUMMYFUNCTION("""COMPUTED_VALUE"""),9.17)</f>
        <v>9.17</v>
      </c>
    </row>
    <row r="820" spans="1:20" x14ac:dyDescent="0.3">
      <c r="A820" s="112">
        <f ca="1">IFERROR(__xludf.DUMMYFUNCTION("""COMPUTED_VALUE"""),41470.7055555555)</f>
        <v>41470.705555555498</v>
      </c>
      <c r="B820" s="111">
        <f ca="1">IFERROR(__xludf.DUMMYFUNCTION("""COMPUTED_VALUE"""),4.91)</f>
        <v>4.91</v>
      </c>
      <c r="C820" s="112">
        <f ca="1">IFERROR(__xludf.DUMMYFUNCTION("""COMPUTED_VALUE"""),41477.7055555555)</f>
        <v>41477.705555555498</v>
      </c>
      <c r="D820" s="111">
        <f ca="1">IFERROR(__xludf.DUMMYFUNCTION("""COMPUTED_VALUE"""),14.49)</f>
        <v>14.49</v>
      </c>
      <c r="E820" s="112">
        <f ca="1">IFERROR(__xludf.DUMMYFUNCTION("""COMPUTED_VALUE"""),41478.7055555555)</f>
        <v>41478.705555555498</v>
      </c>
      <c r="F820" s="111">
        <f ca="1">IFERROR(__xludf.DUMMYFUNCTION("""COMPUTED_VALUE"""),5.53)</f>
        <v>5.53</v>
      </c>
      <c r="G820" s="112">
        <f ca="1">IFERROR(__xludf.DUMMYFUNCTION("""COMPUTED_VALUE"""),41471.7055555555)</f>
        <v>41471.705555555498</v>
      </c>
      <c r="H820" s="111">
        <f ca="1">IFERROR(__xludf.DUMMYFUNCTION("""COMPUTED_VALUE"""),15.75)</f>
        <v>15.75</v>
      </c>
      <c r="K820" s="112">
        <f ca="1">IFERROR(__xludf.DUMMYFUNCTION("""COMPUTED_VALUE"""),41919.7055555555)</f>
        <v>41919.705555555498</v>
      </c>
      <c r="L820" s="111">
        <f ca="1">IFERROR(__xludf.DUMMYFUNCTION("""COMPUTED_VALUE"""),0.26)</f>
        <v>0.26</v>
      </c>
      <c r="M820" s="112">
        <f ca="1">IFERROR(__xludf.DUMMYFUNCTION("""COMPUTED_VALUE"""),41386.7055555555)</f>
        <v>41386.705555555498</v>
      </c>
      <c r="N820" s="111">
        <f ca="1">IFERROR(__xludf.DUMMYFUNCTION("""COMPUTED_VALUE"""),13.93)</f>
        <v>13.93</v>
      </c>
      <c r="O820" s="112">
        <f ca="1">IFERROR(__xludf.DUMMYFUNCTION("""COMPUTED_VALUE"""),41463.7055555555)</f>
        <v>41463.705555555498</v>
      </c>
      <c r="P820" s="111">
        <f ca="1">IFERROR(__xludf.DUMMYFUNCTION("""COMPUTED_VALUE"""),28.38)</f>
        <v>28.38</v>
      </c>
      <c r="Q820" s="112">
        <f ca="1">IFERROR(__xludf.DUMMYFUNCTION("""COMPUTED_VALUE"""),41459.7055555555)</f>
        <v>41459.705555555498</v>
      </c>
      <c r="R820" s="111">
        <f ca="1">IFERROR(__xludf.DUMMYFUNCTION("""COMPUTED_VALUE"""),20.61)</f>
        <v>20.61</v>
      </c>
      <c r="S820" s="112">
        <f ca="1">IFERROR(__xludf.DUMMYFUNCTION("""COMPUTED_VALUE"""),41473.7055555555)</f>
        <v>41473.705555555498</v>
      </c>
      <c r="T820" s="111">
        <f ca="1">IFERROR(__xludf.DUMMYFUNCTION("""COMPUTED_VALUE"""),9.17)</f>
        <v>9.17</v>
      </c>
    </row>
    <row r="821" spans="1:20" x14ac:dyDescent="0.3">
      <c r="A821" s="112">
        <f ca="1">IFERROR(__xludf.DUMMYFUNCTION("""COMPUTED_VALUE"""),41471.7055555555)</f>
        <v>41471.705555555498</v>
      </c>
      <c r="B821" s="111">
        <f ca="1">IFERROR(__xludf.DUMMYFUNCTION("""COMPUTED_VALUE"""),4.8)</f>
        <v>4.8</v>
      </c>
      <c r="C821" s="112">
        <f ca="1">IFERROR(__xludf.DUMMYFUNCTION("""COMPUTED_VALUE"""),41478.7055555555)</f>
        <v>41478.705555555498</v>
      </c>
      <c r="D821" s="111">
        <f ca="1">IFERROR(__xludf.DUMMYFUNCTION("""COMPUTED_VALUE"""),14.68)</f>
        <v>14.68</v>
      </c>
      <c r="E821" s="112">
        <f ca="1">IFERROR(__xludf.DUMMYFUNCTION("""COMPUTED_VALUE"""),41479.7055555555)</f>
        <v>41479.705555555498</v>
      </c>
      <c r="F821" s="111">
        <f ca="1">IFERROR(__xludf.DUMMYFUNCTION("""COMPUTED_VALUE"""),5.46)</f>
        <v>5.46</v>
      </c>
      <c r="G821" s="112">
        <f ca="1">IFERROR(__xludf.DUMMYFUNCTION("""COMPUTED_VALUE"""),41472.7055555555)</f>
        <v>41472.705555555498</v>
      </c>
      <c r="H821" s="111">
        <f ca="1">IFERROR(__xludf.DUMMYFUNCTION("""COMPUTED_VALUE"""),16.06)</f>
        <v>16.059999999999999</v>
      </c>
      <c r="K821" s="112">
        <f ca="1">IFERROR(__xludf.DUMMYFUNCTION("""COMPUTED_VALUE"""),41920.7055555555)</f>
        <v>41920.705555555498</v>
      </c>
      <c r="L821" s="111">
        <f ca="1">IFERROR(__xludf.DUMMYFUNCTION("""COMPUTED_VALUE"""),0.26)</f>
        <v>0.26</v>
      </c>
      <c r="M821" s="112">
        <f ca="1">IFERROR(__xludf.DUMMYFUNCTION("""COMPUTED_VALUE"""),41387.7055555555)</f>
        <v>41387.705555555498</v>
      </c>
      <c r="N821" s="111">
        <f ca="1">IFERROR(__xludf.DUMMYFUNCTION("""COMPUTED_VALUE"""),14.1)</f>
        <v>14.1</v>
      </c>
      <c r="O821" s="112">
        <f ca="1">IFERROR(__xludf.DUMMYFUNCTION("""COMPUTED_VALUE"""),41465.7055555555)</f>
        <v>41465.705555555498</v>
      </c>
      <c r="P821" s="111">
        <f ca="1">IFERROR(__xludf.DUMMYFUNCTION("""COMPUTED_VALUE"""),29.05)</f>
        <v>29.05</v>
      </c>
      <c r="Q821" s="112">
        <f ca="1">IFERROR(__xludf.DUMMYFUNCTION("""COMPUTED_VALUE"""),41460.7055555555)</f>
        <v>41460.705555555498</v>
      </c>
      <c r="R821" s="111">
        <f ca="1">IFERROR(__xludf.DUMMYFUNCTION("""COMPUTED_VALUE"""),20.48)</f>
        <v>20.48</v>
      </c>
      <c r="S821" s="112">
        <f ca="1">IFERROR(__xludf.DUMMYFUNCTION("""COMPUTED_VALUE"""),41474.7055555555)</f>
        <v>41474.705555555498</v>
      </c>
      <c r="T821" s="111">
        <f ca="1">IFERROR(__xludf.DUMMYFUNCTION("""COMPUTED_VALUE"""),9.04)</f>
        <v>9.0399999999999991</v>
      </c>
    </row>
    <row r="822" spans="1:20" x14ac:dyDescent="0.3">
      <c r="A822" s="112">
        <f ca="1">IFERROR(__xludf.DUMMYFUNCTION("""COMPUTED_VALUE"""),41472.7055555555)</f>
        <v>41472.705555555498</v>
      </c>
      <c r="B822" s="111">
        <f ca="1">IFERROR(__xludf.DUMMYFUNCTION("""COMPUTED_VALUE"""),4.78)</f>
        <v>4.78</v>
      </c>
      <c r="C822" s="112">
        <f ca="1">IFERROR(__xludf.DUMMYFUNCTION("""COMPUTED_VALUE"""),41479.7055555555)</f>
        <v>41479.705555555498</v>
      </c>
      <c r="D822" s="111">
        <f ca="1">IFERROR(__xludf.DUMMYFUNCTION("""COMPUTED_VALUE"""),14.51)</f>
        <v>14.51</v>
      </c>
      <c r="E822" s="112">
        <f ca="1">IFERROR(__xludf.DUMMYFUNCTION("""COMPUTED_VALUE"""),41480.7055555555)</f>
        <v>41480.705555555498</v>
      </c>
      <c r="F822" s="111">
        <f ca="1">IFERROR(__xludf.DUMMYFUNCTION("""COMPUTED_VALUE"""),5.46)</f>
        <v>5.46</v>
      </c>
      <c r="G822" s="112">
        <f ca="1">IFERROR(__xludf.DUMMYFUNCTION("""COMPUTED_VALUE"""),41473.7055555555)</f>
        <v>41473.705555555498</v>
      </c>
      <c r="H822" s="111">
        <f ca="1">IFERROR(__xludf.DUMMYFUNCTION("""COMPUTED_VALUE"""),16.1)</f>
        <v>16.100000000000001</v>
      </c>
      <c r="K822" s="112">
        <f ca="1">IFERROR(__xludf.DUMMYFUNCTION("""COMPUTED_VALUE"""),41921.7055555555)</f>
        <v>41921.705555555498</v>
      </c>
      <c r="L822" s="111">
        <f ca="1">IFERROR(__xludf.DUMMYFUNCTION("""COMPUTED_VALUE"""),0.27)</f>
        <v>0.27</v>
      </c>
      <c r="M822" s="112">
        <f ca="1">IFERROR(__xludf.DUMMYFUNCTION("""COMPUTED_VALUE"""),41388.7055555555)</f>
        <v>41388.705555555498</v>
      </c>
      <c r="N822" s="111">
        <f ca="1">IFERROR(__xludf.DUMMYFUNCTION("""COMPUTED_VALUE"""),14.05)</f>
        <v>14.05</v>
      </c>
      <c r="O822" s="112">
        <f ca="1">IFERROR(__xludf.DUMMYFUNCTION("""COMPUTED_VALUE"""),41466.7055555555)</f>
        <v>41466.705555555498</v>
      </c>
      <c r="P822" s="111">
        <f ca="1">IFERROR(__xludf.DUMMYFUNCTION("""COMPUTED_VALUE"""),30.48)</f>
        <v>30.48</v>
      </c>
      <c r="Q822" s="112">
        <f ca="1">IFERROR(__xludf.DUMMYFUNCTION("""COMPUTED_VALUE"""),41463.7055555555)</f>
        <v>41463.705555555498</v>
      </c>
      <c r="R822" s="111">
        <f ca="1">IFERROR(__xludf.DUMMYFUNCTION("""COMPUTED_VALUE"""),20.41)</f>
        <v>20.41</v>
      </c>
      <c r="S822" s="112">
        <f ca="1">IFERROR(__xludf.DUMMYFUNCTION("""COMPUTED_VALUE"""),41477.7055555555)</f>
        <v>41477.705555555498</v>
      </c>
      <c r="T822" s="111">
        <f ca="1">IFERROR(__xludf.DUMMYFUNCTION("""COMPUTED_VALUE"""),9.22)</f>
        <v>9.2200000000000006</v>
      </c>
    </row>
    <row r="823" spans="1:20" x14ac:dyDescent="0.3">
      <c r="A823" s="112">
        <f ca="1">IFERROR(__xludf.DUMMYFUNCTION("""COMPUTED_VALUE"""),41473.7055555555)</f>
        <v>41473.705555555498</v>
      </c>
      <c r="B823" s="111">
        <f ca="1">IFERROR(__xludf.DUMMYFUNCTION("""COMPUTED_VALUE"""),4.68)</f>
        <v>4.68</v>
      </c>
      <c r="C823" s="112">
        <f ca="1">IFERROR(__xludf.DUMMYFUNCTION("""COMPUTED_VALUE"""),41480.7055555555)</f>
        <v>41480.705555555498</v>
      </c>
      <c r="D823" s="111">
        <f ca="1">IFERROR(__xludf.DUMMYFUNCTION("""COMPUTED_VALUE"""),14.53)</f>
        <v>14.53</v>
      </c>
      <c r="E823" s="112">
        <f ca="1">IFERROR(__xludf.DUMMYFUNCTION("""COMPUTED_VALUE"""),41481.7055555555)</f>
        <v>41481.705555555498</v>
      </c>
      <c r="F823" s="111">
        <f ca="1">IFERROR(__xludf.DUMMYFUNCTION("""COMPUTED_VALUE"""),5.5)</f>
        <v>5.5</v>
      </c>
      <c r="G823" s="112">
        <f ca="1">IFERROR(__xludf.DUMMYFUNCTION("""COMPUTED_VALUE"""),41474.7055555555)</f>
        <v>41474.705555555498</v>
      </c>
      <c r="H823" s="111">
        <f ca="1">IFERROR(__xludf.DUMMYFUNCTION("""COMPUTED_VALUE"""),15.98)</f>
        <v>15.98</v>
      </c>
      <c r="K823" s="112">
        <f ca="1">IFERROR(__xludf.DUMMYFUNCTION("""COMPUTED_VALUE"""),41922.7055555555)</f>
        <v>41922.705555555498</v>
      </c>
      <c r="L823" s="111">
        <f ca="1">IFERROR(__xludf.DUMMYFUNCTION("""COMPUTED_VALUE"""),0.25)</f>
        <v>0.25</v>
      </c>
      <c r="M823" s="112">
        <f ca="1">IFERROR(__xludf.DUMMYFUNCTION("""COMPUTED_VALUE"""),41389.7055555555)</f>
        <v>41389.705555555498</v>
      </c>
      <c r="N823" s="111">
        <f ca="1">IFERROR(__xludf.DUMMYFUNCTION("""COMPUTED_VALUE"""),13.97)</f>
        <v>13.97</v>
      </c>
      <c r="O823" s="112">
        <f ca="1">IFERROR(__xludf.DUMMYFUNCTION("""COMPUTED_VALUE"""),41467.7055555555)</f>
        <v>41467.705555555498</v>
      </c>
      <c r="P823" s="111">
        <f ca="1">IFERROR(__xludf.DUMMYFUNCTION("""COMPUTED_VALUE"""),29.84)</f>
        <v>29.84</v>
      </c>
      <c r="Q823" s="112">
        <f ca="1">IFERROR(__xludf.DUMMYFUNCTION("""COMPUTED_VALUE"""),41465.7055555555)</f>
        <v>41465.705555555498</v>
      </c>
      <c r="R823" s="111">
        <f ca="1">IFERROR(__xludf.DUMMYFUNCTION("""COMPUTED_VALUE"""),20.54)</f>
        <v>20.54</v>
      </c>
      <c r="S823" s="112">
        <f ca="1">IFERROR(__xludf.DUMMYFUNCTION("""COMPUTED_VALUE"""),41478.7055555555)</f>
        <v>41478.705555555498</v>
      </c>
      <c r="T823" s="111">
        <f ca="1">IFERROR(__xludf.DUMMYFUNCTION("""COMPUTED_VALUE"""),9.05)</f>
        <v>9.0500000000000007</v>
      </c>
    </row>
    <row r="824" spans="1:20" x14ac:dyDescent="0.3">
      <c r="A824" s="112">
        <f ca="1">IFERROR(__xludf.DUMMYFUNCTION("""COMPUTED_VALUE"""),41474.7055555555)</f>
        <v>41474.705555555498</v>
      </c>
      <c r="B824" s="111">
        <f ca="1">IFERROR(__xludf.DUMMYFUNCTION("""COMPUTED_VALUE"""),4.57)</f>
        <v>4.57</v>
      </c>
      <c r="C824" s="112">
        <f ca="1">IFERROR(__xludf.DUMMYFUNCTION("""COMPUTED_VALUE"""),41481.7055555555)</f>
        <v>41481.705555555498</v>
      </c>
      <c r="D824" s="111">
        <f ca="1">IFERROR(__xludf.DUMMYFUNCTION("""COMPUTED_VALUE"""),14.53)</f>
        <v>14.53</v>
      </c>
      <c r="E824" s="112">
        <f ca="1">IFERROR(__xludf.DUMMYFUNCTION("""COMPUTED_VALUE"""),41484.7055555555)</f>
        <v>41484.705555555498</v>
      </c>
      <c r="F824" s="111">
        <f ca="1">IFERROR(__xludf.DUMMYFUNCTION("""COMPUTED_VALUE"""),5.46)</f>
        <v>5.46</v>
      </c>
      <c r="G824" s="112">
        <f ca="1">IFERROR(__xludf.DUMMYFUNCTION("""COMPUTED_VALUE"""),41477.7055555555)</f>
        <v>41477.705555555498</v>
      </c>
      <c r="H824" s="111">
        <f ca="1">IFERROR(__xludf.DUMMYFUNCTION("""COMPUTED_VALUE"""),16.3)</f>
        <v>16.3</v>
      </c>
      <c r="K824" s="112">
        <f ca="1">IFERROR(__xludf.DUMMYFUNCTION("""COMPUTED_VALUE"""),41925.7055555555)</f>
        <v>41925.705555555498</v>
      </c>
      <c r="L824" s="111">
        <f ca="1">IFERROR(__xludf.DUMMYFUNCTION("""COMPUTED_VALUE"""),0.25)</f>
        <v>0.25</v>
      </c>
      <c r="M824" s="112">
        <f ca="1">IFERROR(__xludf.DUMMYFUNCTION("""COMPUTED_VALUE"""),41390.7055555555)</f>
        <v>41390.705555555498</v>
      </c>
      <c r="N824" s="111">
        <f ca="1">IFERROR(__xludf.DUMMYFUNCTION("""COMPUTED_VALUE"""),13.68)</f>
        <v>13.68</v>
      </c>
      <c r="O824" s="112">
        <f ca="1">IFERROR(__xludf.DUMMYFUNCTION("""COMPUTED_VALUE"""),41470.7055555555)</f>
        <v>41470.705555555498</v>
      </c>
      <c r="P824" s="111">
        <f ca="1">IFERROR(__xludf.DUMMYFUNCTION("""COMPUTED_VALUE"""),29.97)</f>
        <v>29.97</v>
      </c>
      <c r="Q824" s="112">
        <f ca="1">IFERROR(__xludf.DUMMYFUNCTION("""COMPUTED_VALUE"""),41466.7055555555)</f>
        <v>41466.705555555498</v>
      </c>
      <c r="R824" s="111">
        <f ca="1">IFERROR(__xludf.DUMMYFUNCTION("""COMPUTED_VALUE"""),21.17)</f>
        <v>21.17</v>
      </c>
      <c r="S824" s="112">
        <f ca="1">IFERROR(__xludf.DUMMYFUNCTION("""COMPUTED_VALUE"""),41479.7055555555)</f>
        <v>41479.705555555498</v>
      </c>
      <c r="T824" s="111">
        <f ca="1">IFERROR(__xludf.DUMMYFUNCTION("""COMPUTED_VALUE"""),9.02)</f>
        <v>9.02</v>
      </c>
    </row>
    <row r="825" spans="1:20" x14ac:dyDescent="0.3">
      <c r="A825" s="112">
        <f ca="1">IFERROR(__xludf.DUMMYFUNCTION("""COMPUTED_VALUE"""),41477.7055555555)</f>
        <v>41477.705555555498</v>
      </c>
      <c r="B825" s="111">
        <f ca="1">IFERROR(__xludf.DUMMYFUNCTION("""COMPUTED_VALUE"""),4.77)</f>
        <v>4.7699999999999996</v>
      </c>
      <c r="C825" s="112">
        <f ca="1">IFERROR(__xludf.DUMMYFUNCTION("""COMPUTED_VALUE"""),41484.7055555555)</f>
        <v>41484.705555555498</v>
      </c>
      <c r="D825" s="111">
        <f ca="1">IFERROR(__xludf.DUMMYFUNCTION("""COMPUTED_VALUE"""),14.52)</f>
        <v>14.52</v>
      </c>
      <c r="E825" s="112">
        <f ca="1">IFERROR(__xludf.DUMMYFUNCTION("""COMPUTED_VALUE"""),41485.7055555555)</f>
        <v>41485.705555555498</v>
      </c>
      <c r="F825" s="111">
        <f ca="1">IFERROR(__xludf.DUMMYFUNCTION("""COMPUTED_VALUE"""),5.48)</f>
        <v>5.48</v>
      </c>
      <c r="G825" s="112">
        <f ca="1">IFERROR(__xludf.DUMMYFUNCTION("""COMPUTED_VALUE"""),41478.7055555555)</f>
        <v>41478.705555555498</v>
      </c>
      <c r="H825" s="111">
        <f ca="1">IFERROR(__xludf.DUMMYFUNCTION("""COMPUTED_VALUE"""),16.41)</f>
        <v>16.41</v>
      </c>
      <c r="K825" s="112">
        <f ca="1">IFERROR(__xludf.DUMMYFUNCTION("""COMPUTED_VALUE"""),41926.7055555555)</f>
        <v>41926.705555555498</v>
      </c>
      <c r="L825" s="111">
        <f ca="1">IFERROR(__xludf.DUMMYFUNCTION("""COMPUTED_VALUE"""),0.25)</f>
        <v>0.25</v>
      </c>
      <c r="M825" s="112">
        <f ca="1">IFERROR(__xludf.DUMMYFUNCTION("""COMPUTED_VALUE"""),41393.7055555555)</f>
        <v>41393.705555555498</v>
      </c>
      <c r="N825" s="111">
        <f ca="1">IFERROR(__xludf.DUMMYFUNCTION("""COMPUTED_VALUE"""),13.75)</f>
        <v>13.75</v>
      </c>
      <c r="O825" s="112">
        <f ca="1">IFERROR(__xludf.DUMMYFUNCTION("""COMPUTED_VALUE"""),41471.7055555555)</f>
        <v>41471.705555555498</v>
      </c>
      <c r="P825" s="111">
        <f ca="1">IFERROR(__xludf.DUMMYFUNCTION("""COMPUTED_VALUE"""),31.23)</f>
        <v>31.23</v>
      </c>
      <c r="Q825" s="112">
        <f ca="1">IFERROR(__xludf.DUMMYFUNCTION("""COMPUTED_VALUE"""),41467.7055555555)</f>
        <v>41467.705555555498</v>
      </c>
      <c r="R825" s="111">
        <f ca="1">IFERROR(__xludf.DUMMYFUNCTION("""COMPUTED_VALUE"""),21)</f>
        <v>21</v>
      </c>
      <c r="S825" s="112">
        <f ca="1">IFERROR(__xludf.DUMMYFUNCTION("""COMPUTED_VALUE"""),41480.7055555555)</f>
        <v>41480.705555555498</v>
      </c>
      <c r="T825" s="111">
        <f ca="1">IFERROR(__xludf.DUMMYFUNCTION("""COMPUTED_VALUE"""),9.02)</f>
        <v>9.02</v>
      </c>
    </row>
    <row r="826" spans="1:20" x14ac:dyDescent="0.3">
      <c r="A826" s="112">
        <f ca="1">IFERROR(__xludf.DUMMYFUNCTION("""COMPUTED_VALUE"""),41478.7055555555)</f>
        <v>41478.705555555498</v>
      </c>
      <c r="B826" s="111">
        <f ca="1">IFERROR(__xludf.DUMMYFUNCTION("""COMPUTED_VALUE"""),4.79)</f>
        <v>4.79</v>
      </c>
      <c r="C826" s="112">
        <f ca="1">IFERROR(__xludf.DUMMYFUNCTION("""COMPUTED_VALUE"""),41485.7055555555)</f>
        <v>41485.705555555498</v>
      </c>
      <c r="D826" s="111">
        <f ca="1">IFERROR(__xludf.DUMMYFUNCTION("""COMPUTED_VALUE"""),14.64)</f>
        <v>14.64</v>
      </c>
      <c r="E826" s="112">
        <f ca="1">IFERROR(__xludf.DUMMYFUNCTION("""COMPUTED_VALUE"""),41486.7055555555)</f>
        <v>41486.705555555498</v>
      </c>
      <c r="F826" s="111">
        <f ca="1">IFERROR(__xludf.DUMMYFUNCTION("""COMPUTED_VALUE"""),5.44)</f>
        <v>5.44</v>
      </c>
      <c r="G826" s="112">
        <f ca="1">IFERROR(__xludf.DUMMYFUNCTION("""COMPUTED_VALUE"""),41479.7055555555)</f>
        <v>41479.705555555498</v>
      </c>
      <c r="H826" s="111">
        <f ca="1">IFERROR(__xludf.DUMMYFUNCTION("""COMPUTED_VALUE"""),16.39)</f>
        <v>16.39</v>
      </c>
      <c r="K826" s="112">
        <f ca="1">IFERROR(__xludf.DUMMYFUNCTION("""COMPUTED_VALUE"""),41927.7055555555)</f>
        <v>41927.705555555498</v>
      </c>
      <c r="L826" s="111">
        <f ca="1">IFERROR(__xludf.DUMMYFUNCTION("""COMPUTED_VALUE"""),0.26)</f>
        <v>0.26</v>
      </c>
      <c r="M826" s="112">
        <f ca="1">IFERROR(__xludf.DUMMYFUNCTION("""COMPUTED_VALUE"""),41394.7055555555)</f>
        <v>41394.705555555498</v>
      </c>
      <c r="N826" s="111">
        <f ca="1">IFERROR(__xludf.DUMMYFUNCTION("""COMPUTED_VALUE"""),14.18)</f>
        <v>14.18</v>
      </c>
      <c r="O826" s="112">
        <f ca="1">IFERROR(__xludf.DUMMYFUNCTION("""COMPUTED_VALUE"""),41472.7055555555)</f>
        <v>41472.705555555498</v>
      </c>
      <c r="P826" s="111">
        <f ca="1">IFERROR(__xludf.DUMMYFUNCTION("""COMPUTED_VALUE"""),31.84)</f>
        <v>31.84</v>
      </c>
      <c r="Q826" s="112">
        <f ca="1">IFERROR(__xludf.DUMMYFUNCTION("""COMPUTED_VALUE"""),41470.7055555555)</f>
        <v>41470.705555555498</v>
      </c>
      <c r="R826" s="111">
        <f ca="1">IFERROR(__xludf.DUMMYFUNCTION("""COMPUTED_VALUE"""),21.57)</f>
        <v>21.57</v>
      </c>
      <c r="S826" s="112">
        <f ca="1">IFERROR(__xludf.DUMMYFUNCTION("""COMPUTED_VALUE"""),41481.7055555555)</f>
        <v>41481.705555555498</v>
      </c>
      <c r="T826" s="111">
        <f ca="1">IFERROR(__xludf.DUMMYFUNCTION("""COMPUTED_VALUE"""),9.32)</f>
        <v>9.32</v>
      </c>
    </row>
    <row r="827" spans="1:20" x14ac:dyDescent="0.3">
      <c r="A827" s="112">
        <f ca="1">IFERROR(__xludf.DUMMYFUNCTION("""COMPUTED_VALUE"""),41479.7055555555)</f>
        <v>41479.705555555498</v>
      </c>
      <c r="B827" s="111">
        <f ca="1">IFERROR(__xludf.DUMMYFUNCTION("""COMPUTED_VALUE"""),4.7)</f>
        <v>4.7</v>
      </c>
      <c r="C827" s="112">
        <f ca="1">IFERROR(__xludf.DUMMYFUNCTION("""COMPUTED_VALUE"""),41486.7055555555)</f>
        <v>41486.705555555498</v>
      </c>
      <c r="D827" s="111">
        <f ca="1">IFERROR(__xludf.DUMMYFUNCTION("""COMPUTED_VALUE"""),14.59)</f>
        <v>14.59</v>
      </c>
      <c r="E827" s="112">
        <f ca="1">IFERROR(__xludf.DUMMYFUNCTION("""COMPUTED_VALUE"""),41487.7055555555)</f>
        <v>41487.705555555498</v>
      </c>
      <c r="F827" s="111">
        <f ca="1">IFERROR(__xludf.DUMMYFUNCTION("""COMPUTED_VALUE"""),5.62)</f>
        <v>5.62</v>
      </c>
      <c r="G827" s="112">
        <f ca="1">IFERROR(__xludf.DUMMYFUNCTION("""COMPUTED_VALUE"""),41480.7055555555)</f>
        <v>41480.705555555498</v>
      </c>
      <c r="H827" s="111">
        <f ca="1">IFERROR(__xludf.DUMMYFUNCTION("""COMPUTED_VALUE"""),16.84)</f>
        <v>16.84</v>
      </c>
      <c r="K827" s="112">
        <f ca="1">IFERROR(__xludf.DUMMYFUNCTION("""COMPUTED_VALUE"""),41928.7055555555)</f>
        <v>41928.705555555498</v>
      </c>
      <c r="L827" s="111">
        <f ca="1">IFERROR(__xludf.DUMMYFUNCTION("""COMPUTED_VALUE"""),0.25)</f>
        <v>0.25</v>
      </c>
      <c r="M827" s="112">
        <f ca="1">IFERROR(__xludf.DUMMYFUNCTION("""COMPUTED_VALUE"""),41396.7055555555)</f>
        <v>41396.705555555498</v>
      </c>
      <c r="N827" s="111">
        <f ca="1">IFERROR(__xludf.DUMMYFUNCTION("""COMPUTED_VALUE"""),14.14)</f>
        <v>14.14</v>
      </c>
      <c r="O827" s="112">
        <f ca="1">IFERROR(__xludf.DUMMYFUNCTION("""COMPUTED_VALUE"""),41473.7055555555)</f>
        <v>41473.705555555498</v>
      </c>
      <c r="P827" s="111">
        <f ca="1">IFERROR(__xludf.DUMMYFUNCTION("""COMPUTED_VALUE"""),31.65)</f>
        <v>31.65</v>
      </c>
      <c r="Q827" s="112">
        <f ca="1">IFERROR(__xludf.DUMMYFUNCTION("""COMPUTED_VALUE"""),41471.7055555555)</f>
        <v>41471.705555555498</v>
      </c>
      <c r="R827" s="111">
        <f ca="1">IFERROR(__xludf.DUMMYFUNCTION("""COMPUTED_VALUE"""),22.2)</f>
        <v>22.2</v>
      </c>
      <c r="S827" s="112">
        <f ca="1">IFERROR(__xludf.DUMMYFUNCTION("""COMPUTED_VALUE"""),41484.7055555555)</f>
        <v>41484.705555555498</v>
      </c>
      <c r="T827" s="111">
        <f ca="1">IFERROR(__xludf.DUMMYFUNCTION("""COMPUTED_VALUE"""),9.36)</f>
        <v>9.36</v>
      </c>
    </row>
    <row r="828" spans="1:20" x14ac:dyDescent="0.3">
      <c r="A828" s="112">
        <f ca="1">IFERROR(__xludf.DUMMYFUNCTION("""COMPUTED_VALUE"""),41480.7055555555)</f>
        <v>41480.705555555498</v>
      </c>
      <c r="B828" s="111">
        <f ca="1">IFERROR(__xludf.DUMMYFUNCTION("""COMPUTED_VALUE"""),4.83)</f>
        <v>4.83</v>
      </c>
      <c r="C828" s="112">
        <f ca="1">IFERROR(__xludf.DUMMYFUNCTION("""COMPUTED_VALUE"""),41487.7055555555)</f>
        <v>41487.705555555498</v>
      </c>
      <c r="D828" s="111">
        <f ca="1">IFERROR(__xludf.DUMMYFUNCTION("""COMPUTED_VALUE"""),15.06)</f>
        <v>15.06</v>
      </c>
      <c r="E828" s="112">
        <f ca="1">IFERROR(__xludf.DUMMYFUNCTION("""COMPUTED_VALUE"""),41488.7055555555)</f>
        <v>41488.705555555498</v>
      </c>
      <c r="F828" s="111">
        <f ca="1">IFERROR(__xludf.DUMMYFUNCTION("""COMPUTED_VALUE"""),5.63)</f>
        <v>5.63</v>
      </c>
      <c r="G828" s="112">
        <f ca="1">IFERROR(__xludf.DUMMYFUNCTION("""COMPUTED_VALUE"""),41481.7055555555)</f>
        <v>41481.705555555498</v>
      </c>
      <c r="H828" s="111">
        <f ca="1">IFERROR(__xludf.DUMMYFUNCTION("""COMPUTED_VALUE"""),16.95)</f>
        <v>16.95</v>
      </c>
      <c r="K828" s="112">
        <f ca="1">IFERROR(__xludf.DUMMYFUNCTION("""COMPUTED_VALUE"""),41929.7055555555)</f>
        <v>41929.705555555498</v>
      </c>
      <c r="L828" s="111">
        <f ca="1">IFERROR(__xludf.DUMMYFUNCTION("""COMPUTED_VALUE"""),0.25)</f>
        <v>0.25</v>
      </c>
      <c r="M828" s="112">
        <f ca="1">IFERROR(__xludf.DUMMYFUNCTION("""COMPUTED_VALUE"""),41397.7055555555)</f>
        <v>41397.705555555498</v>
      </c>
      <c r="N828" s="111">
        <f ca="1">IFERROR(__xludf.DUMMYFUNCTION("""COMPUTED_VALUE"""),14.21)</f>
        <v>14.21</v>
      </c>
      <c r="O828" s="112">
        <f ca="1">IFERROR(__xludf.DUMMYFUNCTION("""COMPUTED_VALUE"""),41474.7055555555)</f>
        <v>41474.705555555498</v>
      </c>
      <c r="P828" s="111">
        <f ca="1">IFERROR(__xludf.DUMMYFUNCTION("""COMPUTED_VALUE"""),30.93)</f>
        <v>30.93</v>
      </c>
      <c r="Q828" s="112">
        <f ca="1">IFERROR(__xludf.DUMMYFUNCTION("""COMPUTED_VALUE"""),41472.7055555555)</f>
        <v>41472.705555555498</v>
      </c>
      <c r="R828" s="111">
        <f ca="1">IFERROR(__xludf.DUMMYFUNCTION("""COMPUTED_VALUE"""),22.4)</f>
        <v>22.4</v>
      </c>
      <c r="S828" s="112">
        <f ca="1">IFERROR(__xludf.DUMMYFUNCTION("""COMPUTED_VALUE"""),41485.7055555555)</f>
        <v>41485.705555555498</v>
      </c>
      <c r="T828" s="111">
        <f ca="1">IFERROR(__xludf.DUMMYFUNCTION("""COMPUTED_VALUE"""),9.1)</f>
        <v>9.1</v>
      </c>
    </row>
    <row r="829" spans="1:20" x14ac:dyDescent="0.3">
      <c r="A829" s="112">
        <f ca="1">IFERROR(__xludf.DUMMYFUNCTION("""COMPUTED_VALUE"""),41481.7055555555)</f>
        <v>41481.705555555498</v>
      </c>
      <c r="B829" s="111">
        <f ca="1">IFERROR(__xludf.DUMMYFUNCTION("""COMPUTED_VALUE"""),4.91)</f>
        <v>4.91</v>
      </c>
      <c r="C829" s="112">
        <f ca="1">IFERROR(__xludf.DUMMYFUNCTION("""COMPUTED_VALUE"""),41488.7055555555)</f>
        <v>41488.705555555498</v>
      </c>
      <c r="D829" s="111">
        <f ca="1">IFERROR(__xludf.DUMMYFUNCTION("""COMPUTED_VALUE"""),14.98)</f>
        <v>14.98</v>
      </c>
      <c r="E829" s="112">
        <f ca="1">IFERROR(__xludf.DUMMYFUNCTION("""COMPUTED_VALUE"""),41491.7055555555)</f>
        <v>41491.705555555498</v>
      </c>
      <c r="F829" s="111">
        <f ca="1">IFERROR(__xludf.DUMMYFUNCTION("""COMPUTED_VALUE"""),5.56)</f>
        <v>5.56</v>
      </c>
      <c r="G829" s="112">
        <f ca="1">IFERROR(__xludf.DUMMYFUNCTION("""COMPUTED_VALUE"""),41484.7055555555)</f>
        <v>41484.705555555498</v>
      </c>
      <c r="H829" s="111">
        <f ca="1">IFERROR(__xludf.DUMMYFUNCTION("""COMPUTED_VALUE"""),16.68)</f>
        <v>16.68</v>
      </c>
      <c r="K829" s="112">
        <f ca="1">IFERROR(__xludf.DUMMYFUNCTION("""COMPUTED_VALUE"""),41932.7055555555)</f>
        <v>41932.705555555498</v>
      </c>
      <c r="L829" s="111">
        <f ca="1">IFERROR(__xludf.DUMMYFUNCTION("""COMPUTED_VALUE"""),0.24)</f>
        <v>0.24</v>
      </c>
      <c r="M829" s="112">
        <f ca="1">IFERROR(__xludf.DUMMYFUNCTION("""COMPUTED_VALUE"""),41400.7055555555)</f>
        <v>41400.705555555498</v>
      </c>
      <c r="N829" s="111">
        <f ca="1">IFERROR(__xludf.DUMMYFUNCTION("""COMPUTED_VALUE"""),13.98)</f>
        <v>13.98</v>
      </c>
      <c r="O829" s="112">
        <f ca="1">IFERROR(__xludf.DUMMYFUNCTION("""COMPUTED_VALUE"""),41477.7055555555)</f>
        <v>41477.705555555498</v>
      </c>
      <c r="P829" s="111">
        <f ca="1">IFERROR(__xludf.DUMMYFUNCTION("""COMPUTED_VALUE"""),31.41)</f>
        <v>31.41</v>
      </c>
      <c r="Q829" s="112">
        <f ca="1">IFERROR(__xludf.DUMMYFUNCTION("""COMPUTED_VALUE"""),41473.7055555555)</f>
        <v>41473.705555555498</v>
      </c>
      <c r="R829" s="111">
        <f ca="1">IFERROR(__xludf.DUMMYFUNCTION("""COMPUTED_VALUE"""),22.59)</f>
        <v>22.59</v>
      </c>
      <c r="S829" s="112">
        <f ca="1">IFERROR(__xludf.DUMMYFUNCTION("""COMPUTED_VALUE"""),41486.7055555555)</f>
        <v>41486.705555555498</v>
      </c>
      <c r="T829" s="111">
        <f ca="1">IFERROR(__xludf.DUMMYFUNCTION("""COMPUTED_VALUE"""),9.08)</f>
        <v>9.08</v>
      </c>
    </row>
    <row r="830" spans="1:20" x14ac:dyDescent="0.3">
      <c r="A830" s="112">
        <f ca="1">IFERROR(__xludf.DUMMYFUNCTION("""COMPUTED_VALUE"""),41484.7055555555)</f>
        <v>41484.705555555498</v>
      </c>
      <c r="B830" s="111">
        <f ca="1">IFERROR(__xludf.DUMMYFUNCTION("""COMPUTED_VALUE"""),4.83)</f>
        <v>4.83</v>
      </c>
      <c r="C830" s="112">
        <f ca="1">IFERROR(__xludf.DUMMYFUNCTION("""COMPUTED_VALUE"""),41491.7055555555)</f>
        <v>41491.705555555498</v>
      </c>
      <c r="D830" s="111">
        <f ca="1">IFERROR(__xludf.DUMMYFUNCTION("""COMPUTED_VALUE"""),14.74)</f>
        <v>14.74</v>
      </c>
      <c r="E830" s="112">
        <f ca="1">IFERROR(__xludf.DUMMYFUNCTION("""COMPUTED_VALUE"""),41492.7055555555)</f>
        <v>41492.705555555498</v>
      </c>
      <c r="F830" s="111">
        <f ca="1">IFERROR(__xludf.DUMMYFUNCTION("""COMPUTED_VALUE"""),5.34)</f>
        <v>5.34</v>
      </c>
      <c r="G830" s="112">
        <f ca="1">IFERROR(__xludf.DUMMYFUNCTION("""COMPUTED_VALUE"""),41485.7055555555)</f>
        <v>41485.705555555498</v>
      </c>
      <c r="H830" s="111">
        <f ca="1">IFERROR(__xludf.DUMMYFUNCTION("""COMPUTED_VALUE"""),16.46)</f>
        <v>16.46</v>
      </c>
      <c r="K830" s="112">
        <f ca="1">IFERROR(__xludf.DUMMYFUNCTION("""COMPUTED_VALUE"""),41933.7055555555)</f>
        <v>41933.705555555498</v>
      </c>
      <c r="L830" s="111">
        <f ca="1">IFERROR(__xludf.DUMMYFUNCTION("""COMPUTED_VALUE"""),0.24)</f>
        <v>0.24</v>
      </c>
      <c r="M830" s="112">
        <f ca="1">IFERROR(__xludf.DUMMYFUNCTION("""COMPUTED_VALUE"""),41401.7055555555)</f>
        <v>41401.705555555498</v>
      </c>
      <c r="N830" s="111">
        <f ca="1">IFERROR(__xludf.DUMMYFUNCTION("""COMPUTED_VALUE"""),14.4)</f>
        <v>14.4</v>
      </c>
      <c r="O830" s="112">
        <f ca="1">IFERROR(__xludf.DUMMYFUNCTION("""COMPUTED_VALUE"""),41478.7055555555)</f>
        <v>41478.705555555498</v>
      </c>
      <c r="P830" s="111">
        <f ca="1">IFERROR(__xludf.DUMMYFUNCTION("""COMPUTED_VALUE"""),32.02)</f>
        <v>32.020000000000003</v>
      </c>
      <c r="Q830" s="112">
        <f ca="1">IFERROR(__xludf.DUMMYFUNCTION("""COMPUTED_VALUE"""),41474.7055555555)</f>
        <v>41474.705555555498</v>
      </c>
      <c r="R830" s="111">
        <f ca="1">IFERROR(__xludf.DUMMYFUNCTION("""COMPUTED_VALUE"""),22.32)</f>
        <v>22.32</v>
      </c>
      <c r="S830" s="112">
        <f ca="1">IFERROR(__xludf.DUMMYFUNCTION("""COMPUTED_VALUE"""),41487.7055555555)</f>
        <v>41487.705555555498</v>
      </c>
      <c r="T830" s="111">
        <f ca="1">IFERROR(__xludf.DUMMYFUNCTION("""COMPUTED_VALUE"""),9.2)</f>
        <v>9.1999999999999993</v>
      </c>
    </row>
    <row r="831" spans="1:20" x14ac:dyDescent="0.3">
      <c r="A831" s="112">
        <f ca="1">IFERROR(__xludf.DUMMYFUNCTION("""COMPUTED_VALUE"""),41485.7055555555)</f>
        <v>41485.705555555498</v>
      </c>
      <c r="B831" s="111">
        <f ca="1">IFERROR(__xludf.DUMMYFUNCTION("""COMPUTED_VALUE"""),4.66)</f>
        <v>4.66</v>
      </c>
      <c r="C831" s="112">
        <f ca="1">IFERROR(__xludf.DUMMYFUNCTION("""COMPUTED_VALUE"""),41492.7055555555)</f>
        <v>41492.705555555498</v>
      </c>
      <c r="D831" s="111">
        <f ca="1">IFERROR(__xludf.DUMMYFUNCTION("""COMPUTED_VALUE"""),14.26)</f>
        <v>14.26</v>
      </c>
      <c r="E831" s="112">
        <f ca="1">IFERROR(__xludf.DUMMYFUNCTION("""COMPUTED_VALUE"""),41493.7055555555)</f>
        <v>41493.705555555498</v>
      </c>
      <c r="F831" s="111">
        <f ca="1">IFERROR(__xludf.DUMMYFUNCTION("""COMPUTED_VALUE"""),5.34)</f>
        <v>5.34</v>
      </c>
      <c r="G831" s="112">
        <f ca="1">IFERROR(__xludf.DUMMYFUNCTION("""COMPUTED_VALUE"""),41486.7055555555)</f>
        <v>41486.705555555498</v>
      </c>
      <c r="H831" s="111">
        <f ca="1">IFERROR(__xludf.DUMMYFUNCTION("""COMPUTED_VALUE"""),16.29)</f>
        <v>16.29</v>
      </c>
      <c r="K831" s="112">
        <f ca="1">IFERROR(__xludf.DUMMYFUNCTION("""COMPUTED_VALUE"""),41934.7055555555)</f>
        <v>41934.705555555498</v>
      </c>
      <c r="L831" s="111">
        <f ca="1">IFERROR(__xludf.DUMMYFUNCTION("""COMPUTED_VALUE"""),0.24)</f>
        <v>0.24</v>
      </c>
      <c r="M831" s="112">
        <f ca="1">IFERROR(__xludf.DUMMYFUNCTION("""COMPUTED_VALUE"""),41402.7055555555)</f>
        <v>41402.705555555498</v>
      </c>
      <c r="N831" s="111">
        <f ca="1">IFERROR(__xludf.DUMMYFUNCTION("""COMPUTED_VALUE"""),14.53)</f>
        <v>14.53</v>
      </c>
      <c r="O831" s="112">
        <f ca="1">IFERROR(__xludf.DUMMYFUNCTION("""COMPUTED_VALUE"""),41479.7055555555)</f>
        <v>41479.705555555498</v>
      </c>
      <c r="P831" s="111">
        <f ca="1">IFERROR(__xludf.DUMMYFUNCTION("""COMPUTED_VALUE"""),31.91)</f>
        <v>31.91</v>
      </c>
      <c r="Q831" s="112">
        <f ca="1">IFERROR(__xludf.DUMMYFUNCTION("""COMPUTED_VALUE"""),41477.7055555555)</f>
        <v>41477.705555555498</v>
      </c>
      <c r="R831" s="111">
        <f ca="1">IFERROR(__xludf.DUMMYFUNCTION("""COMPUTED_VALUE"""),22.76)</f>
        <v>22.76</v>
      </c>
      <c r="S831" s="112">
        <f ca="1">IFERROR(__xludf.DUMMYFUNCTION("""COMPUTED_VALUE"""),41488.7055555555)</f>
        <v>41488.705555555498</v>
      </c>
      <c r="T831" s="111">
        <f ca="1">IFERROR(__xludf.DUMMYFUNCTION("""COMPUTED_VALUE"""),9.11)</f>
        <v>9.11</v>
      </c>
    </row>
    <row r="832" spans="1:20" x14ac:dyDescent="0.3">
      <c r="A832" s="112">
        <f ca="1">IFERROR(__xludf.DUMMYFUNCTION("""COMPUTED_VALUE"""),41486.7055555555)</f>
        <v>41486.705555555498</v>
      </c>
      <c r="B832" s="111">
        <f ca="1">IFERROR(__xludf.DUMMYFUNCTION("""COMPUTED_VALUE"""),4.53)</f>
        <v>4.53</v>
      </c>
      <c r="C832" s="112">
        <f ca="1">IFERROR(__xludf.DUMMYFUNCTION("""COMPUTED_VALUE"""),41493.7055555555)</f>
        <v>41493.705555555498</v>
      </c>
      <c r="D832" s="111">
        <f ca="1">IFERROR(__xludf.DUMMYFUNCTION("""COMPUTED_VALUE"""),14.23)</f>
        <v>14.23</v>
      </c>
      <c r="E832" s="112">
        <f ca="1">IFERROR(__xludf.DUMMYFUNCTION("""COMPUTED_VALUE"""),41494.7055555555)</f>
        <v>41494.705555555498</v>
      </c>
      <c r="F832" s="111">
        <f ca="1">IFERROR(__xludf.DUMMYFUNCTION("""COMPUTED_VALUE"""),5.47)</f>
        <v>5.47</v>
      </c>
      <c r="G832" s="112">
        <f ca="1">IFERROR(__xludf.DUMMYFUNCTION("""COMPUTED_VALUE"""),41487.7055555555)</f>
        <v>41487.705555555498</v>
      </c>
      <c r="H832" s="111">
        <f ca="1">IFERROR(__xludf.DUMMYFUNCTION("""COMPUTED_VALUE"""),16.94)</f>
        <v>16.940000000000001</v>
      </c>
      <c r="K832" s="112">
        <f ca="1">IFERROR(__xludf.DUMMYFUNCTION("""COMPUTED_VALUE"""),41935.7055555555)</f>
        <v>41935.705555555498</v>
      </c>
      <c r="L832" s="111">
        <f ca="1">IFERROR(__xludf.DUMMYFUNCTION("""COMPUTED_VALUE"""),0.22)</f>
        <v>0.22</v>
      </c>
      <c r="M832" s="112">
        <f ca="1">IFERROR(__xludf.DUMMYFUNCTION("""COMPUTED_VALUE"""),41403.7055555555)</f>
        <v>41403.705555555498</v>
      </c>
      <c r="N832" s="111">
        <f ca="1">IFERROR(__xludf.DUMMYFUNCTION("""COMPUTED_VALUE"""),14.48)</f>
        <v>14.48</v>
      </c>
      <c r="O832" s="112">
        <f ca="1">IFERROR(__xludf.DUMMYFUNCTION("""COMPUTED_VALUE"""),41480.7055555555)</f>
        <v>41480.705555555498</v>
      </c>
      <c r="P832" s="111">
        <f ca="1">IFERROR(__xludf.DUMMYFUNCTION("""COMPUTED_VALUE"""),32.26)</f>
        <v>32.26</v>
      </c>
      <c r="Q832" s="112">
        <f ca="1">IFERROR(__xludf.DUMMYFUNCTION("""COMPUTED_VALUE"""),41478.7055555555)</f>
        <v>41478.705555555498</v>
      </c>
      <c r="R832" s="111">
        <f ca="1">IFERROR(__xludf.DUMMYFUNCTION("""COMPUTED_VALUE"""),23.04)</f>
        <v>23.04</v>
      </c>
      <c r="S832" s="112">
        <f ca="1">IFERROR(__xludf.DUMMYFUNCTION("""COMPUTED_VALUE"""),41491.7055555555)</f>
        <v>41491.705555555498</v>
      </c>
      <c r="T832" s="111">
        <f ca="1">IFERROR(__xludf.DUMMYFUNCTION("""COMPUTED_VALUE"""),9.14)</f>
        <v>9.14</v>
      </c>
    </row>
    <row r="833" spans="1:20" x14ac:dyDescent="0.3">
      <c r="A833" s="112">
        <f ca="1">IFERROR(__xludf.DUMMYFUNCTION("""COMPUTED_VALUE"""),41487.7055555555)</f>
        <v>41487.705555555498</v>
      </c>
      <c r="B833" s="111">
        <f ca="1">IFERROR(__xludf.DUMMYFUNCTION("""COMPUTED_VALUE"""),4.62)</f>
        <v>4.62</v>
      </c>
      <c r="C833" s="112">
        <f ca="1">IFERROR(__xludf.DUMMYFUNCTION("""COMPUTED_VALUE"""),41494.7055555555)</f>
        <v>41494.705555555498</v>
      </c>
      <c r="D833" s="111">
        <f ca="1">IFERROR(__xludf.DUMMYFUNCTION("""COMPUTED_VALUE"""),14.65)</f>
        <v>14.65</v>
      </c>
      <c r="E833" s="112">
        <f ca="1">IFERROR(__xludf.DUMMYFUNCTION("""COMPUTED_VALUE"""),41495.7055555555)</f>
        <v>41495.705555555498</v>
      </c>
      <c r="F833" s="111">
        <f ca="1">IFERROR(__xludf.DUMMYFUNCTION("""COMPUTED_VALUE"""),5.5)</f>
        <v>5.5</v>
      </c>
      <c r="G833" s="112">
        <f ca="1">IFERROR(__xludf.DUMMYFUNCTION("""COMPUTED_VALUE"""),41488.7055555555)</f>
        <v>41488.705555555498</v>
      </c>
      <c r="H833" s="111">
        <f ca="1">IFERROR(__xludf.DUMMYFUNCTION("""COMPUTED_VALUE"""),16.81)</f>
        <v>16.809999999999999</v>
      </c>
      <c r="K833" s="112">
        <f ca="1">IFERROR(__xludf.DUMMYFUNCTION("""COMPUTED_VALUE"""),41936.7055555555)</f>
        <v>41936.705555555498</v>
      </c>
      <c r="L833" s="111">
        <f ca="1">IFERROR(__xludf.DUMMYFUNCTION("""COMPUTED_VALUE"""),0.23)</f>
        <v>0.23</v>
      </c>
      <c r="M833" s="112">
        <f ca="1">IFERROR(__xludf.DUMMYFUNCTION("""COMPUTED_VALUE"""),41404.7055555555)</f>
        <v>41404.705555555498</v>
      </c>
      <c r="N833" s="111">
        <f ca="1">IFERROR(__xludf.DUMMYFUNCTION("""COMPUTED_VALUE"""),14.45)</f>
        <v>14.45</v>
      </c>
      <c r="O833" s="112">
        <f ca="1">IFERROR(__xludf.DUMMYFUNCTION("""COMPUTED_VALUE"""),41481.7055555555)</f>
        <v>41481.705555555498</v>
      </c>
      <c r="P833" s="111">
        <f ca="1">IFERROR(__xludf.DUMMYFUNCTION("""COMPUTED_VALUE"""),32.26)</f>
        <v>32.26</v>
      </c>
      <c r="Q833" s="112">
        <f ca="1">IFERROR(__xludf.DUMMYFUNCTION("""COMPUTED_VALUE"""),41479.7055555555)</f>
        <v>41479.705555555498</v>
      </c>
      <c r="R833" s="111">
        <f ca="1">IFERROR(__xludf.DUMMYFUNCTION("""COMPUTED_VALUE"""),22.86)</f>
        <v>22.86</v>
      </c>
      <c r="S833" s="112">
        <f ca="1">IFERROR(__xludf.DUMMYFUNCTION("""COMPUTED_VALUE"""),41492.7055555555)</f>
        <v>41492.705555555498</v>
      </c>
      <c r="T833" s="111">
        <f ca="1">IFERROR(__xludf.DUMMYFUNCTION("""COMPUTED_VALUE"""),9.13)</f>
        <v>9.1300000000000008</v>
      </c>
    </row>
    <row r="834" spans="1:20" x14ac:dyDescent="0.3">
      <c r="A834" s="112">
        <f ca="1">IFERROR(__xludf.DUMMYFUNCTION("""COMPUTED_VALUE"""),41488.7055555555)</f>
        <v>41488.705555555498</v>
      </c>
      <c r="B834" s="111">
        <f ca="1">IFERROR(__xludf.DUMMYFUNCTION("""COMPUTED_VALUE"""),4.47)</f>
        <v>4.47</v>
      </c>
      <c r="C834" s="112">
        <f ca="1">IFERROR(__xludf.DUMMYFUNCTION("""COMPUTED_VALUE"""),41495.7055555555)</f>
        <v>41495.705555555498</v>
      </c>
      <c r="D834" s="111">
        <f ca="1">IFERROR(__xludf.DUMMYFUNCTION("""COMPUTED_VALUE"""),14.72)</f>
        <v>14.72</v>
      </c>
      <c r="E834" s="112">
        <f ca="1">IFERROR(__xludf.DUMMYFUNCTION("""COMPUTED_VALUE"""),41498.7055555555)</f>
        <v>41498.705555555498</v>
      </c>
      <c r="F834" s="111">
        <f ca="1">IFERROR(__xludf.DUMMYFUNCTION("""COMPUTED_VALUE"""),5.62)</f>
        <v>5.62</v>
      </c>
      <c r="G834" s="112">
        <f ca="1">IFERROR(__xludf.DUMMYFUNCTION("""COMPUTED_VALUE"""),41491.7055555555)</f>
        <v>41491.705555555498</v>
      </c>
      <c r="H834" s="111">
        <f ca="1">IFERROR(__xludf.DUMMYFUNCTION("""COMPUTED_VALUE"""),16.65)</f>
        <v>16.649999999999999</v>
      </c>
      <c r="K834" s="112">
        <f ca="1">IFERROR(__xludf.DUMMYFUNCTION("""COMPUTED_VALUE"""),41939.7055555555)</f>
        <v>41939.705555555498</v>
      </c>
      <c r="L834" s="111">
        <f ca="1">IFERROR(__xludf.DUMMYFUNCTION("""COMPUTED_VALUE"""),0.23)</f>
        <v>0.23</v>
      </c>
      <c r="M834" s="112">
        <f ca="1">IFERROR(__xludf.DUMMYFUNCTION("""COMPUTED_VALUE"""),41407.7055555555)</f>
        <v>41407.705555555498</v>
      </c>
      <c r="N834" s="111">
        <f ca="1">IFERROR(__xludf.DUMMYFUNCTION("""COMPUTED_VALUE"""),14.13)</f>
        <v>14.13</v>
      </c>
      <c r="O834" s="112">
        <f ca="1">IFERROR(__xludf.DUMMYFUNCTION("""COMPUTED_VALUE"""),41484.7055555555)</f>
        <v>41484.705555555498</v>
      </c>
      <c r="P834" s="111">
        <f ca="1">IFERROR(__xludf.DUMMYFUNCTION("""COMPUTED_VALUE"""),31.84)</f>
        <v>31.84</v>
      </c>
      <c r="Q834" s="112">
        <f ca="1">IFERROR(__xludf.DUMMYFUNCTION("""COMPUTED_VALUE"""),41480.7055555555)</f>
        <v>41480.705555555498</v>
      </c>
      <c r="R834" s="111">
        <f ca="1">IFERROR(__xludf.DUMMYFUNCTION("""COMPUTED_VALUE"""),22.59)</f>
        <v>22.59</v>
      </c>
      <c r="S834" s="112">
        <f ca="1">IFERROR(__xludf.DUMMYFUNCTION("""COMPUTED_VALUE"""),41493.7055555555)</f>
        <v>41493.705555555498</v>
      </c>
      <c r="T834" s="111">
        <f ca="1">IFERROR(__xludf.DUMMYFUNCTION("""COMPUTED_VALUE"""),9.13)</f>
        <v>9.1300000000000008</v>
      </c>
    </row>
    <row r="835" spans="1:20" x14ac:dyDescent="0.3">
      <c r="A835" s="112">
        <f ca="1">IFERROR(__xludf.DUMMYFUNCTION("""COMPUTED_VALUE"""),41491.7055555555)</f>
        <v>41491.705555555498</v>
      </c>
      <c r="B835" s="111">
        <f ca="1">IFERROR(__xludf.DUMMYFUNCTION("""COMPUTED_VALUE"""),4.56)</f>
        <v>4.5599999999999996</v>
      </c>
      <c r="C835" s="112">
        <f ca="1">IFERROR(__xludf.DUMMYFUNCTION("""COMPUTED_VALUE"""),41498.7055555555)</f>
        <v>41498.705555555498</v>
      </c>
      <c r="D835" s="111">
        <f ca="1">IFERROR(__xludf.DUMMYFUNCTION("""COMPUTED_VALUE"""),15.1)</f>
        <v>15.1</v>
      </c>
      <c r="E835" s="112">
        <f ca="1">IFERROR(__xludf.DUMMYFUNCTION("""COMPUTED_VALUE"""),41499.7055555555)</f>
        <v>41499.705555555498</v>
      </c>
      <c r="F835" s="111">
        <f ca="1">IFERROR(__xludf.DUMMYFUNCTION("""COMPUTED_VALUE"""),5.67)</f>
        <v>5.67</v>
      </c>
      <c r="G835" s="112">
        <f ca="1">IFERROR(__xludf.DUMMYFUNCTION("""COMPUTED_VALUE"""),41492.7055555555)</f>
        <v>41492.705555555498</v>
      </c>
      <c r="H835" s="111">
        <f ca="1">IFERROR(__xludf.DUMMYFUNCTION("""COMPUTED_VALUE"""),16.28)</f>
        <v>16.28</v>
      </c>
      <c r="K835" s="112">
        <f ca="1">IFERROR(__xludf.DUMMYFUNCTION("""COMPUTED_VALUE"""),41940.7055555555)</f>
        <v>41940.705555555498</v>
      </c>
      <c r="L835" s="111">
        <f ca="1">IFERROR(__xludf.DUMMYFUNCTION("""COMPUTED_VALUE"""),0.24)</f>
        <v>0.24</v>
      </c>
      <c r="M835" s="112">
        <f ca="1">IFERROR(__xludf.DUMMYFUNCTION("""COMPUTED_VALUE"""),41408.7055555555)</f>
        <v>41408.705555555498</v>
      </c>
      <c r="N835" s="111">
        <f ca="1">IFERROR(__xludf.DUMMYFUNCTION("""COMPUTED_VALUE"""),14.29)</f>
        <v>14.29</v>
      </c>
      <c r="O835" s="112">
        <f ca="1">IFERROR(__xludf.DUMMYFUNCTION("""COMPUTED_VALUE"""),41485.7055555555)</f>
        <v>41485.705555555498</v>
      </c>
      <c r="P835" s="111">
        <f ca="1">IFERROR(__xludf.DUMMYFUNCTION("""COMPUTED_VALUE"""),31.06)</f>
        <v>31.06</v>
      </c>
      <c r="Q835" s="112">
        <f ca="1">IFERROR(__xludf.DUMMYFUNCTION("""COMPUTED_VALUE"""),41481.7055555555)</f>
        <v>41481.705555555498</v>
      </c>
      <c r="R835" s="111">
        <f ca="1">IFERROR(__xludf.DUMMYFUNCTION("""COMPUTED_VALUE"""),22.49)</f>
        <v>22.49</v>
      </c>
      <c r="S835" s="112">
        <f ca="1">IFERROR(__xludf.DUMMYFUNCTION("""COMPUTED_VALUE"""),41494.7055555555)</f>
        <v>41494.705555555498</v>
      </c>
      <c r="T835" s="111">
        <f ca="1">IFERROR(__xludf.DUMMYFUNCTION("""COMPUTED_VALUE"""),9.32)</f>
        <v>9.32</v>
      </c>
    </row>
    <row r="836" spans="1:20" x14ac:dyDescent="0.3">
      <c r="A836" s="112">
        <f ca="1">IFERROR(__xludf.DUMMYFUNCTION("""COMPUTED_VALUE"""),41492.7055555555)</f>
        <v>41492.705555555498</v>
      </c>
      <c r="B836" s="111">
        <f ca="1">IFERROR(__xludf.DUMMYFUNCTION("""COMPUTED_VALUE"""),4.4)</f>
        <v>4.4000000000000004</v>
      </c>
      <c r="C836" s="112">
        <f ca="1">IFERROR(__xludf.DUMMYFUNCTION("""COMPUTED_VALUE"""),41499.7055555555)</f>
        <v>41499.705555555498</v>
      </c>
      <c r="D836" s="111">
        <f ca="1">IFERROR(__xludf.DUMMYFUNCTION("""COMPUTED_VALUE"""),15.21)</f>
        <v>15.21</v>
      </c>
      <c r="E836" s="112">
        <f ca="1">IFERROR(__xludf.DUMMYFUNCTION("""COMPUTED_VALUE"""),41500.7055555555)</f>
        <v>41500.705555555498</v>
      </c>
      <c r="F836" s="111">
        <f ca="1">IFERROR(__xludf.DUMMYFUNCTION("""COMPUTED_VALUE"""),5.58)</f>
        <v>5.58</v>
      </c>
      <c r="G836" s="112">
        <f ca="1">IFERROR(__xludf.DUMMYFUNCTION("""COMPUTED_VALUE"""),41493.7055555555)</f>
        <v>41493.705555555498</v>
      </c>
      <c r="H836" s="111">
        <f ca="1">IFERROR(__xludf.DUMMYFUNCTION("""COMPUTED_VALUE"""),16.25)</f>
        <v>16.25</v>
      </c>
      <c r="K836" s="112">
        <f ca="1">IFERROR(__xludf.DUMMYFUNCTION("""COMPUTED_VALUE"""),41941.7055555555)</f>
        <v>41941.705555555498</v>
      </c>
      <c r="L836" s="111">
        <f ca="1">IFERROR(__xludf.DUMMYFUNCTION("""COMPUTED_VALUE"""),0.24)</f>
        <v>0.24</v>
      </c>
      <c r="M836" s="112">
        <f ca="1">IFERROR(__xludf.DUMMYFUNCTION("""COMPUTED_VALUE"""),41409.7055555555)</f>
        <v>41409.705555555498</v>
      </c>
      <c r="N836" s="111">
        <f ca="1">IFERROR(__xludf.DUMMYFUNCTION("""COMPUTED_VALUE"""),14.4)</f>
        <v>14.4</v>
      </c>
      <c r="O836" s="112">
        <f ca="1">IFERROR(__xludf.DUMMYFUNCTION("""COMPUTED_VALUE"""),41486.7055555555)</f>
        <v>41486.705555555498</v>
      </c>
      <c r="P836" s="111">
        <f ca="1">IFERROR(__xludf.DUMMYFUNCTION("""COMPUTED_VALUE"""),31.02)</f>
        <v>31.02</v>
      </c>
      <c r="Q836" s="112">
        <f ca="1">IFERROR(__xludf.DUMMYFUNCTION("""COMPUTED_VALUE"""),41484.7055555555)</f>
        <v>41484.705555555498</v>
      </c>
      <c r="R836" s="111">
        <f ca="1">IFERROR(__xludf.DUMMYFUNCTION("""COMPUTED_VALUE"""),22.69)</f>
        <v>22.69</v>
      </c>
      <c r="S836" s="112">
        <f ca="1">IFERROR(__xludf.DUMMYFUNCTION("""COMPUTED_VALUE"""),41495.7055555555)</f>
        <v>41495.705555555498</v>
      </c>
      <c r="T836" s="111">
        <f ca="1">IFERROR(__xludf.DUMMYFUNCTION("""COMPUTED_VALUE"""),9.69)</f>
        <v>9.69</v>
      </c>
    </row>
    <row r="837" spans="1:20" x14ac:dyDescent="0.3">
      <c r="A837" s="112">
        <f ca="1">IFERROR(__xludf.DUMMYFUNCTION("""COMPUTED_VALUE"""),41493.7055555555)</f>
        <v>41493.705555555498</v>
      </c>
      <c r="B837" s="111">
        <f ca="1">IFERROR(__xludf.DUMMYFUNCTION("""COMPUTED_VALUE"""),4.41)</f>
        <v>4.41</v>
      </c>
      <c r="C837" s="112">
        <f ca="1">IFERROR(__xludf.DUMMYFUNCTION("""COMPUTED_VALUE"""),41500.7055555555)</f>
        <v>41500.705555555498</v>
      </c>
      <c r="D837" s="111">
        <f ca="1">IFERROR(__xludf.DUMMYFUNCTION("""COMPUTED_VALUE"""),15.06)</f>
        <v>15.06</v>
      </c>
      <c r="E837" s="112">
        <f ca="1">IFERROR(__xludf.DUMMYFUNCTION("""COMPUTED_VALUE"""),41501.7055555555)</f>
        <v>41501.705555555498</v>
      </c>
      <c r="F837" s="111">
        <f ca="1">IFERROR(__xludf.DUMMYFUNCTION("""COMPUTED_VALUE"""),5.56)</f>
        <v>5.56</v>
      </c>
      <c r="G837" s="112">
        <f ca="1">IFERROR(__xludf.DUMMYFUNCTION("""COMPUTED_VALUE"""),41494.7055555555)</f>
        <v>41494.705555555498</v>
      </c>
      <c r="H837" s="111">
        <f ca="1">IFERROR(__xludf.DUMMYFUNCTION("""COMPUTED_VALUE"""),16.65)</f>
        <v>16.649999999999999</v>
      </c>
      <c r="K837" s="112">
        <f ca="1">IFERROR(__xludf.DUMMYFUNCTION("""COMPUTED_VALUE"""),41942.7055555555)</f>
        <v>41942.705555555498</v>
      </c>
      <c r="L837" s="111">
        <f ca="1">IFERROR(__xludf.DUMMYFUNCTION("""COMPUTED_VALUE"""),0.25)</f>
        <v>0.25</v>
      </c>
      <c r="M837" s="112">
        <f ca="1">IFERROR(__xludf.DUMMYFUNCTION("""COMPUTED_VALUE"""),41410.7055555555)</f>
        <v>41410.705555555498</v>
      </c>
      <c r="N837" s="111">
        <f ca="1">IFERROR(__xludf.DUMMYFUNCTION("""COMPUTED_VALUE"""),14.44)</f>
        <v>14.44</v>
      </c>
      <c r="O837" s="112">
        <f ca="1">IFERROR(__xludf.DUMMYFUNCTION("""COMPUTED_VALUE"""),41487.7055555555)</f>
        <v>41487.705555555498</v>
      </c>
      <c r="P837" s="111">
        <f ca="1">IFERROR(__xludf.DUMMYFUNCTION("""COMPUTED_VALUE"""),31.33)</f>
        <v>31.33</v>
      </c>
      <c r="Q837" s="112">
        <f ca="1">IFERROR(__xludf.DUMMYFUNCTION("""COMPUTED_VALUE"""),41485.7055555555)</f>
        <v>41485.705555555498</v>
      </c>
      <c r="R837" s="111">
        <f ca="1">IFERROR(__xludf.DUMMYFUNCTION("""COMPUTED_VALUE"""),22.94)</f>
        <v>22.94</v>
      </c>
      <c r="S837" s="112">
        <f ca="1">IFERROR(__xludf.DUMMYFUNCTION("""COMPUTED_VALUE"""),41498.7055555555)</f>
        <v>41498.705555555498</v>
      </c>
      <c r="T837" s="111">
        <f ca="1">IFERROR(__xludf.DUMMYFUNCTION("""COMPUTED_VALUE"""),9.49)</f>
        <v>9.49</v>
      </c>
    </row>
    <row r="838" spans="1:20" x14ac:dyDescent="0.3">
      <c r="A838" s="112">
        <f ca="1">IFERROR(__xludf.DUMMYFUNCTION("""COMPUTED_VALUE"""),41494.7055555555)</f>
        <v>41494.705555555498</v>
      </c>
      <c r="B838" s="111">
        <f ca="1">IFERROR(__xludf.DUMMYFUNCTION("""COMPUTED_VALUE"""),4.59)</f>
        <v>4.59</v>
      </c>
      <c r="C838" s="112">
        <f ca="1">IFERROR(__xludf.DUMMYFUNCTION("""COMPUTED_VALUE"""),41501.7055555555)</f>
        <v>41501.705555555498</v>
      </c>
      <c r="D838" s="111">
        <f ca="1">IFERROR(__xludf.DUMMYFUNCTION("""COMPUTED_VALUE"""),14.93)</f>
        <v>14.93</v>
      </c>
      <c r="E838" s="112">
        <f ca="1">IFERROR(__xludf.DUMMYFUNCTION("""COMPUTED_VALUE"""),41502.7055555555)</f>
        <v>41502.705555555498</v>
      </c>
      <c r="F838" s="111">
        <f ca="1">IFERROR(__xludf.DUMMYFUNCTION("""COMPUTED_VALUE"""),5.46)</f>
        <v>5.46</v>
      </c>
      <c r="G838" s="112">
        <f ca="1">IFERROR(__xludf.DUMMYFUNCTION("""COMPUTED_VALUE"""),41495.7055555555)</f>
        <v>41495.705555555498</v>
      </c>
      <c r="H838" s="111">
        <f ca="1">IFERROR(__xludf.DUMMYFUNCTION("""COMPUTED_VALUE"""),17.08)</f>
        <v>17.079999999999998</v>
      </c>
      <c r="K838" s="112">
        <f ca="1">IFERROR(__xludf.DUMMYFUNCTION("""COMPUTED_VALUE"""),41943.7055555555)</f>
        <v>41943.705555555498</v>
      </c>
      <c r="L838" s="111">
        <f ca="1">IFERROR(__xludf.DUMMYFUNCTION("""COMPUTED_VALUE"""),0.26)</f>
        <v>0.26</v>
      </c>
      <c r="M838" s="112">
        <f ca="1">IFERROR(__xludf.DUMMYFUNCTION("""COMPUTED_VALUE"""),41411.7055555555)</f>
        <v>41411.705555555498</v>
      </c>
      <c r="N838" s="111">
        <f ca="1">IFERROR(__xludf.DUMMYFUNCTION("""COMPUTED_VALUE"""),14.75)</f>
        <v>14.75</v>
      </c>
      <c r="O838" s="112">
        <f ca="1">IFERROR(__xludf.DUMMYFUNCTION("""COMPUTED_VALUE"""),41488.7055555555)</f>
        <v>41488.705555555498</v>
      </c>
      <c r="P838" s="111">
        <f ca="1">IFERROR(__xludf.DUMMYFUNCTION("""COMPUTED_VALUE"""),31.25)</f>
        <v>31.25</v>
      </c>
      <c r="Q838" s="112">
        <f ca="1">IFERROR(__xludf.DUMMYFUNCTION("""COMPUTED_VALUE"""),41486.7055555555)</f>
        <v>41486.705555555498</v>
      </c>
      <c r="R838" s="111">
        <f ca="1">IFERROR(__xludf.DUMMYFUNCTION("""COMPUTED_VALUE"""),22.67)</f>
        <v>22.67</v>
      </c>
      <c r="S838" s="112">
        <f ca="1">IFERROR(__xludf.DUMMYFUNCTION("""COMPUTED_VALUE"""),41499.7055555555)</f>
        <v>41499.705555555498</v>
      </c>
      <c r="T838" s="111">
        <f ca="1">IFERROR(__xludf.DUMMYFUNCTION("""COMPUTED_VALUE"""),9.47)</f>
        <v>9.4700000000000006</v>
      </c>
    </row>
    <row r="839" spans="1:20" x14ac:dyDescent="0.3">
      <c r="A839" s="112">
        <f ca="1">IFERROR(__xludf.DUMMYFUNCTION("""COMPUTED_VALUE"""),41495.7055555555)</f>
        <v>41495.705555555498</v>
      </c>
      <c r="B839" s="111">
        <f ca="1">IFERROR(__xludf.DUMMYFUNCTION("""COMPUTED_VALUE"""),4.77)</f>
        <v>4.7699999999999996</v>
      </c>
      <c r="C839" s="112">
        <f ca="1">IFERROR(__xludf.DUMMYFUNCTION("""COMPUTED_VALUE"""),41502.7055555555)</f>
        <v>41502.705555555498</v>
      </c>
      <c r="D839" s="111">
        <f ca="1">IFERROR(__xludf.DUMMYFUNCTION("""COMPUTED_VALUE"""),14.63)</f>
        <v>14.63</v>
      </c>
      <c r="E839" s="112">
        <f ca="1">IFERROR(__xludf.DUMMYFUNCTION("""COMPUTED_VALUE"""),41505.7055555555)</f>
        <v>41505.705555555498</v>
      </c>
      <c r="F839" s="111">
        <f ca="1">IFERROR(__xludf.DUMMYFUNCTION("""COMPUTED_VALUE"""),5.4)</f>
        <v>5.4</v>
      </c>
      <c r="G839" s="112">
        <f ca="1">IFERROR(__xludf.DUMMYFUNCTION("""COMPUTED_VALUE"""),41498.7055555555)</f>
        <v>41498.705555555498</v>
      </c>
      <c r="H839" s="111">
        <f ca="1">IFERROR(__xludf.DUMMYFUNCTION("""COMPUTED_VALUE"""),16.6)</f>
        <v>16.600000000000001</v>
      </c>
      <c r="K839" s="112">
        <f ca="1">IFERROR(__xludf.DUMMYFUNCTION("""COMPUTED_VALUE"""),41946.7055555555)</f>
        <v>41946.705555555498</v>
      </c>
      <c r="L839" s="111">
        <f ca="1">IFERROR(__xludf.DUMMYFUNCTION("""COMPUTED_VALUE"""),0.27)</f>
        <v>0.27</v>
      </c>
      <c r="M839" s="112">
        <f ca="1">IFERROR(__xludf.DUMMYFUNCTION("""COMPUTED_VALUE"""),41414.7055555555)</f>
        <v>41414.705555555498</v>
      </c>
      <c r="N839" s="111">
        <f ca="1">IFERROR(__xludf.DUMMYFUNCTION("""COMPUTED_VALUE"""),14.98)</f>
        <v>14.98</v>
      </c>
      <c r="O839" s="112">
        <f ca="1">IFERROR(__xludf.DUMMYFUNCTION("""COMPUTED_VALUE"""),41491.7055555555)</f>
        <v>41491.705555555498</v>
      </c>
      <c r="P839" s="111">
        <f ca="1">IFERROR(__xludf.DUMMYFUNCTION("""COMPUTED_VALUE"""),31.55)</f>
        <v>31.55</v>
      </c>
      <c r="Q839" s="112">
        <f ca="1">IFERROR(__xludf.DUMMYFUNCTION("""COMPUTED_VALUE"""),41487.7055555555)</f>
        <v>41487.705555555498</v>
      </c>
      <c r="R839" s="111">
        <f ca="1">IFERROR(__xludf.DUMMYFUNCTION("""COMPUTED_VALUE"""),23.15)</f>
        <v>23.15</v>
      </c>
      <c r="S839" s="112">
        <f ca="1">IFERROR(__xludf.DUMMYFUNCTION("""COMPUTED_VALUE"""),41500.7055555555)</f>
        <v>41500.705555555498</v>
      </c>
      <c r="T839" s="111">
        <f ca="1">IFERROR(__xludf.DUMMYFUNCTION("""COMPUTED_VALUE"""),9.62)</f>
        <v>9.6199999999999992</v>
      </c>
    </row>
    <row r="840" spans="1:20" x14ac:dyDescent="0.3">
      <c r="A840" s="112">
        <f ca="1">IFERROR(__xludf.DUMMYFUNCTION("""COMPUTED_VALUE"""),41498.7055555555)</f>
        <v>41498.705555555498</v>
      </c>
      <c r="B840" s="111">
        <f ca="1">IFERROR(__xludf.DUMMYFUNCTION("""COMPUTED_VALUE"""),4.93)</f>
        <v>4.93</v>
      </c>
      <c r="C840" s="112">
        <f ca="1">IFERROR(__xludf.DUMMYFUNCTION("""COMPUTED_VALUE"""),41505.7055555555)</f>
        <v>41505.705555555498</v>
      </c>
      <c r="D840" s="111">
        <f ca="1">IFERROR(__xludf.DUMMYFUNCTION("""COMPUTED_VALUE"""),14.5)</f>
        <v>14.5</v>
      </c>
      <c r="E840" s="112">
        <f ca="1">IFERROR(__xludf.DUMMYFUNCTION("""COMPUTED_VALUE"""),41506.7055555555)</f>
        <v>41506.705555555498</v>
      </c>
      <c r="F840" s="111">
        <f ca="1">IFERROR(__xludf.DUMMYFUNCTION("""COMPUTED_VALUE"""),5.35)</f>
        <v>5.35</v>
      </c>
      <c r="G840" s="112">
        <f ca="1">IFERROR(__xludf.DUMMYFUNCTION("""COMPUTED_VALUE"""),41499.7055555555)</f>
        <v>41499.705555555498</v>
      </c>
      <c r="H840" s="111">
        <f ca="1">IFERROR(__xludf.DUMMYFUNCTION("""COMPUTED_VALUE"""),16.37)</f>
        <v>16.37</v>
      </c>
      <c r="K840" s="112">
        <f ca="1">IFERROR(__xludf.DUMMYFUNCTION("""COMPUTED_VALUE"""),41947.7055555555)</f>
        <v>41947.705555555498</v>
      </c>
      <c r="L840" s="111">
        <f ca="1">IFERROR(__xludf.DUMMYFUNCTION("""COMPUTED_VALUE"""),0.27)</f>
        <v>0.27</v>
      </c>
      <c r="M840" s="112">
        <f ca="1">IFERROR(__xludf.DUMMYFUNCTION("""COMPUTED_VALUE"""),41415.7055555555)</f>
        <v>41415.705555555498</v>
      </c>
      <c r="N840" s="111">
        <f ca="1">IFERROR(__xludf.DUMMYFUNCTION("""COMPUTED_VALUE"""),15.03)</f>
        <v>15.03</v>
      </c>
      <c r="O840" s="112">
        <f ca="1">IFERROR(__xludf.DUMMYFUNCTION("""COMPUTED_VALUE"""),41492.7055555555)</f>
        <v>41492.705555555498</v>
      </c>
      <c r="P840" s="111">
        <f ca="1">IFERROR(__xludf.DUMMYFUNCTION("""COMPUTED_VALUE"""),31.31)</f>
        <v>31.31</v>
      </c>
      <c r="Q840" s="112">
        <f ca="1">IFERROR(__xludf.DUMMYFUNCTION("""COMPUTED_VALUE"""),41488.7055555555)</f>
        <v>41488.705555555498</v>
      </c>
      <c r="R840" s="111">
        <f ca="1">IFERROR(__xludf.DUMMYFUNCTION("""COMPUTED_VALUE"""),22.81)</f>
        <v>22.81</v>
      </c>
      <c r="S840" s="112">
        <f ca="1">IFERROR(__xludf.DUMMYFUNCTION("""COMPUTED_VALUE"""),41501.7055555555)</f>
        <v>41501.705555555498</v>
      </c>
      <c r="T840" s="111">
        <f ca="1">IFERROR(__xludf.DUMMYFUNCTION("""COMPUTED_VALUE"""),9.47)</f>
        <v>9.4700000000000006</v>
      </c>
    </row>
    <row r="841" spans="1:20" x14ac:dyDescent="0.3">
      <c r="A841" s="112">
        <f ca="1">IFERROR(__xludf.DUMMYFUNCTION("""COMPUTED_VALUE"""),41499.7055555555)</f>
        <v>41499.705555555498</v>
      </c>
      <c r="B841" s="111">
        <f ca="1">IFERROR(__xludf.DUMMYFUNCTION("""COMPUTED_VALUE"""),4.92)</f>
        <v>4.92</v>
      </c>
      <c r="C841" s="112">
        <f ca="1">IFERROR(__xludf.DUMMYFUNCTION("""COMPUTED_VALUE"""),41506.7055555555)</f>
        <v>41506.705555555498</v>
      </c>
      <c r="D841" s="111">
        <f ca="1">IFERROR(__xludf.DUMMYFUNCTION("""COMPUTED_VALUE"""),14.34)</f>
        <v>14.34</v>
      </c>
      <c r="E841" s="112">
        <f ca="1">IFERROR(__xludf.DUMMYFUNCTION("""COMPUTED_VALUE"""),41507.7055555555)</f>
        <v>41507.705555555498</v>
      </c>
      <c r="F841" s="111">
        <f ca="1">IFERROR(__xludf.DUMMYFUNCTION("""COMPUTED_VALUE"""),5.33)</f>
        <v>5.33</v>
      </c>
      <c r="G841" s="112">
        <f ca="1">IFERROR(__xludf.DUMMYFUNCTION("""COMPUTED_VALUE"""),41500.7055555555)</f>
        <v>41500.705555555498</v>
      </c>
      <c r="H841" s="111">
        <f ca="1">IFERROR(__xludf.DUMMYFUNCTION("""COMPUTED_VALUE"""),16.95)</f>
        <v>16.95</v>
      </c>
      <c r="K841" s="112">
        <f ca="1">IFERROR(__xludf.DUMMYFUNCTION("""COMPUTED_VALUE"""),41948.7055555555)</f>
        <v>41948.705555555498</v>
      </c>
      <c r="L841" s="111">
        <f ca="1">IFERROR(__xludf.DUMMYFUNCTION("""COMPUTED_VALUE"""),0.27)</f>
        <v>0.27</v>
      </c>
      <c r="M841" s="112">
        <f ca="1">IFERROR(__xludf.DUMMYFUNCTION("""COMPUTED_VALUE"""),41416.7055555555)</f>
        <v>41416.705555555498</v>
      </c>
      <c r="N841" s="111">
        <f ca="1">IFERROR(__xludf.DUMMYFUNCTION("""COMPUTED_VALUE"""),15.12)</f>
        <v>15.12</v>
      </c>
      <c r="O841" s="112">
        <f ca="1">IFERROR(__xludf.DUMMYFUNCTION("""COMPUTED_VALUE"""),41493.7055555555)</f>
        <v>41493.705555555498</v>
      </c>
      <c r="P841" s="111">
        <f ca="1">IFERROR(__xludf.DUMMYFUNCTION("""COMPUTED_VALUE"""),32)</f>
        <v>32</v>
      </c>
      <c r="Q841" s="112">
        <f ca="1">IFERROR(__xludf.DUMMYFUNCTION("""COMPUTED_VALUE"""),41491.7055555555)</f>
        <v>41491.705555555498</v>
      </c>
      <c r="R841" s="111">
        <f ca="1">IFERROR(__xludf.DUMMYFUNCTION("""COMPUTED_VALUE"""),22.21)</f>
        <v>22.21</v>
      </c>
      <c r="S841" s="112">
        <f ca="1">IFERROR(__xludf.DUMMYFUNCTION("""COMPUTED_VALUE"""),41502.7055555555)</f>
        <v>41502.705555555498</v>
      </c>
      <c r="T841" s="111">
        <f ca="1">IFERROR(__xludf.DUMMYFUNCTION("""COMPUTED_VALUE"""),9.15)</f>
        <v>9.15</v>
      </c>
    </row>
    <row r="842" spans="1:20" x14ac:dyDescent="0.3">
      <c r="A842" s="112">
        <f ca="1">IFERROR(__xludf.DUMMYFUNCTION("""COMPUTED_VALUE"""),41500.7055555555)</f>
        <v>41500.705555555498</v>
      </c>
      <c r="B842" s="111">
        <f ca="1">IFERROR(__xludf.DUMMYFUNCTION("""COMPUTED_VALUE"""),4.95)</f>
        <v>4.95</v>
      </c>
      <c r="C842" s="112">
        <f ca="1">IFERROR(__xludf.DUMMYFUNCTION("""COMPUTED_VALUE"""),41507.7055555555)</f>
        <v>41507.705555555498</v>
      </c>
      <c r="D842" s="111">
        <f ca="1">IFERROR(__xludf.DUMMYFUNCTION("""COMPUTED_VALUE"""),14.23)</f>
        <v>14.23</v>
      </c>
      <c r="E842" s="112">
        <f ca="1">IFERROR(__xludf.DUMMYFUNCTION("""COMPUTED_VALUE"""),41508.7055555555)</f>
        <v>41508.705555555498</v>
      </c>
      <c r="F842" s="111">
        <f ca="1">IFERROR(__xludf.DUMMYFUNCTION("""COMPUTED_VALUE"""),5.33)</f>
        <v>5.33</v>
      </c>
      <c r="G842" s="112">
        <f ca="1">IFERROR(__xludf.DUMMYFUNCTION("""COMPUTED_VALUE"""),41501.7055555555)</f>
        <v>41501.705555555498</v>
      </c>
      <c r="H842" s="111">
        <f ca="1">IFERROR(__xludf.DUMMYFUNCTION("""COMPUTED_VALUE"""),17.83)</f>
        <v>17.829999999999998</v>
      </c>
      <c r="K842" s="112">
        <f ca="1">IFERROR(__xludf.DUMMYFUNCTION("""COMPUTED_VALUE"""),41949.7055555555)</f>
        <v>41949.705555555498</v>
      </c>
      <c r="L842" s="111">
        <f ca="1">IFERROR(__xludf.DUMMYFUNCTION("""COMPUTED_VALUE"""),0.27)</f>
        <v>0.27</v>
      </c>
      <c r="M842" s="112">
        <f ca="1">IFERROR(__xludf.DUMMYFUNCTION("""COMPUTED_VALUE"""),41417.7055555555)</f>
        <v>41417.705555555498</v>
      </c>
      <c r="N842" s="111">
        <f ca="1">IFERROR(__xludf.DUMMYFUNCTION("""COMPUTED_VALUE"""),14.91)</f>
        <v>14.91</v>
      </c>
      <c r="O842" s="112">
        <f ca="1">IFERROR(__xludf.DUMMYFUNCTION("""COMPUTED_VALUE"""),41494.7055555555)</f>
        <v>41494.705555555498</v>
      </c>
      <c r="P842" s="111">
        <f ca="1">IFERROR(__xludf.DUMMYFUNCTION("""COMPUTED_VALUE"""),33.18)</f>
        <v>33.18</v>
      </c>
      <c r="Q842" s="112">
        <f ca="1">IFERROR(__xludf.DUMMYFUNCTION("""COMPUTED_VALUE"""),41492.7055555555)</f>
        <v>41492.705555555498</v>
      </c>
      <c r="R842" s="111">
        <f ca="1">IFERROR(__xludf.DUMMYFUNCTION("""COMPUTED_VALUE"""),21.42)</f>
        <v>21.42</v>
      </c>
      <c r="S842" s="112">
        <f ca="1">IFERROR(__xludf.DUMMYFUNCTION("""COMPUTED_VALUE"""),41505.7055555555)</f>
        <v>41505.705555555498</v>
      </c>
      <c r="T842" s="111">
        <f ca="1">IFERROR(__xludf.DUMMYFUNCTION("""COMPUTED_VALUE"""),8.7)</f>
        <v>8.6999999999999993</v>
      </c>
    </row>
    <row r="843" spans="1:20" x14ac:dyDescent="0.3">
      <c r="A843" s="112">
        <f ca="1">IFERROR(__xludf.DUMMYFUNCTION("""COMPUTED_VALUE"""),41501.7055555555)</f>
        <v>41501.705555555498</v>
      </c>
      <c r="B843" s="111">
        <f ca="1">IFERROR(__xludf.DUMMYFUNCTION("""COMPUTED_VALUE"""),4.92)</f>
        <v>4.92</v>
      </c>
      <c r="C843" s="112">
        <f ca="1">IFERROR(__xludf.DUMMYFUNCTION("""COMPUTED_VALUE"""),41508.7055555555)</f>
        <v>41508.705555555498</v>
      </c>
      <c r="D843" s="111">
        <f ca="1">IFERROR(__xludf.DUMMYFUNCTION("""COMPUTED_VALUE"""),14.24)</f>
        <v>14.24</v>
      </c>
      <c r="E843" s="112">
        <f ca="1">IFERROR(__xludf.DUMMYFUNCTION("""COMPUTED_VALUE"""),41509.7055555555)</f>
        <v>41509.705555555498</v>
      </c>
      <c r="F843" s="111">
        <f ca="1">IFERROR(__xludf.DUMMYFUNCTION("""COMPUTED_VALUE"""),5.52)</f>
        <v>5.52</v>
      </c>
      <c r="G843" s="112">
        <f ca="1">IFERROR(__xludf.DUMMYFUNCTION("""COMPUTED_VALUE"""),41502.7055555555)</f>
        <v>41502.705555555498</v>
      </c>
      <c r="H843" s="111">
        <f ca="1">IFERROR(__xludf.DUMMYFUNCTION("""COMPUTED_VALUE"""),17.78)</f>
        <v>17.78</v>
      </c>
      <c r="K843" s="112">
        <f ca="1">IFERROR(__xludf.DUMMYFUNCTION("""COMPUTED_VALUE"""),41950.7055555555)</f>
        <v>41950.705555555498</v>
      </c>
      <c r="L843" s="111">
        <f ca="1">IFERROR(__xludf.DUMMYFUNCTION("""COMPUTED_VALUE"""),0.27)</f>
        <v>0.27</v>
      </c>
      <c r="M843" s="112">
        <f ca="1">IFERROR(__xludf.DUMMYFUNCTION("""COMPUTED_VALUE"""),41418.7055555555)</f>
        <v>41418.705555555498</v>
      </c>
      <c r="N843" s="111">
        <f ca="1">IFERROR(__xludf.DUMMYFUNCTION("""COMPUTED_VALUE"""),14.81)</f>
        <v>14.81</v>
      </c>
      <c r="O843" s="112">
        <f ca="1">IFERROR(__xludf.DUMMYFUNCTION("""COMPUTED_VALUE"""),41495.7055555555)</f>
        <v>41495.705555555498</v>
      </c>
      <c r="P843" s="111">
        <f ca="1">IFERROR(__xludf.DUMMYFUNCTION("""COMPUTED_VALUE"""),34.75)</f>
        <v>34.75</v>
      </c>
      <c r="Q843" s="112">
        <f ca="1">IFERROR(__xludf.DUMMYFUNCTION("""COMPUTED_VALUE"""),41493.7055555555)</f>
        <v>41493.705555555498</v>
      </c>
      <c r="R843" s="111">
        <f ca="1">IFERROR(__xludf.DUMMYFUNCTION("""COMPUTED_VALUE"""),21.32)</f>
        <v>21.32</v>
      </c>
      <c r="S843" s="112">
        <f ca="1">IFERROR(__xludf.DUMMYFUNCTION("""COMPUTED_VALUE"""),41506.7055555555)</f>
        <v>41506.705555555498</v>
      </c>
      <c r="T843" s="111">
        <f ca="1">IFERROR(__xludf.DUMMYFUNCTION("""COMPUTED_VALUE"""),8.5)</f>
        <v>8.5</v>
      </c>
    </row>
    <row r="844" spans="1:20" x14ac:dyDescent="0.3">
      <c r="A844" s="112">
        <f ca="1">IFERROR(__xludf.DUMMYFUNCTION("""COMPUTED_VALUE"""),41502.7055555555)</f>
        <v>41502.705555555498</v>
      </c>
      <c r="B844" s="111">
        <f ca="1">IFERROR(__xludf.DUMMYFUNCTION("""COMPUTED_VALUE"""),4.99)</f>
        <v>4.99</v>
      </c>
      <c r="C844" s="112">
        <f ca="1">IFERROR(__xludf.DUMMYFUNCTION("""COMPUTED_VALUE"""),41509.7055555555)</f>
        <v>41509.705555555498</v>
      </c>
      <c r="D844" s="111">
        <f ca="1">IFERROR(__xludf.DUMMYFUNCTION("""COMPUTED_VALUE"""),14.73)</f>
        <v>14.73</v>
      </c>
      <c r="E844" s="112">
        <f ca="1">IFERROR(__xludf.DUMMYFUNCTION("""COMPUTED_VALUE"""),41512.7055555555)</f>
        <v>41512.705555555498</v>
      </c>
      <c r="F844" s="111">
        <f ca="1">IFERROR(__xludf.DUMMYFUNCTION("""COMPUTED_VALUE"""),5.36)</f>
        <v>5.36</v>
      </c>
      <c r="G844" s="112">
        <f ca="1">IFERROR(__xludf.DUMMYFUNCTION("""COMPUTED_VALUE"""),41505.7055555555)</f>
        <v>41505.705555555498</v>
      </c>
      <c r="H844" s="111">
        <f ca="1">IFERROR(__xludf.DUMMYFUNCTION("""COMPUTED_VALUE"""),17.83)</f>
        <v>17.829999999999998</v>
      </c>
      <c r="K844" s="112">
        <f ca="1">IFERROR(__xludf.DUMMYFUNCTION("""COMPUTED_VALUE"""),41953.7055555555)</f>
        <v>41953.705555555498</v>
      </c>
      <c r="L844" s="111">
        <f ca="1">IFERROR(__xludf.DUMMYFUNCTION("""COMPUTED_VALUE"""),0.26)</f>
        <v>0.26</v>
      </c>
      <c r="M844" s="112">
        <f ca="1">IFERROR(__xludf.DUMMYFUNCTION("""COMPUTED_VALUE"""),41421.7055555555)</f>
        <v>41421.705555555498</v>
      </c>
      <c r="N844" s="111">
        <f ca="1">IFERROR(__xludf.DUMMYFUNCTION("""COMPUTED_VALUE"""),14.73)</f>
        <v>14.73</v>
      </c>
      <c r="O844" s="112">
        <f ca="1">IFERROR(__xludf.DUMMYFUNCTION("""COMPUTED_VALUE"""),41498.7055555555)</f>
        <v>41498.705555555498</v>
      </c>
      <c r="P844" s="111">
        <f ca="1">IFERROR(__xludf.DUMMYFUNCTION("""COMPUTED_VALUE"""),35.5)</f>
        <v>35.5</v>
      </c>
      <c r="Q844" s="112">
        <f ca="1">IFERROR(__xludf.DUMMYFUNCTION("""COMPUTED_VALUE"""),41494.7055555555)</f>
        <v>41494.705555555498</v>
      </c>
      <c r="R844" s="111">
        <f ca="1">IFERROR(__xludf.DUMMYFUNCTION("""COMPUTED_VALUE"""),22.11)</f>
        <v>22.11</v>
      </c>
      <c r="S844" s="112">
        <f ca="1">IFERROR(__xludf.DUMMYFUNCTION("""COMPUTED_VALUE"""),41507.7055555555)</f>
        <v>41507.705555555498</v>
      </c>
      <c r="T844" s="111">
        <f ca="1">IFERROR(__xludf.DUMMYFUNCTION("""COMPUTED_VALUE"""),8.65)</f>
        <v>8.65</v>
      </c>
    </row>
    <row r="845" spans="1:20" x14ac:dyDescent="0.3">
      <c r="A845" s="112">
        <f ca="1">IFERROR(__xludf.DUMMYFUNCTION("""COMPUTED_VALUE"""),41505.7055555555)</f>
        <v>41505.705555555498</v>
      </c>
      <c r="B845" s="111">
        <f ca="1">IFERROR(__xludf.DUMMYFUNCTION("""COMPUTED_VALUE"""),4.92)</f>
        <v>4.92</v>
      </c>
      <c r="C845" s="112">
        <f ca="1">IFERROR(__xludf.DUMMYFUNCTION("""COMPUTED_VALUE"""),41512.7055555555)</f>
        <v>41512.705555555498</v>
      </c>
      <c r="D845" s="111">
        <f ca="1">IFERROR(__xludf.DUMMYFUNCTION("""COMPUTED_VALUE"""),14.48)</f>
        <v>14.48</v>
      </c>
      <c r="E845" s="112">
        <f ca="1">IFERROR(__xludf.DUMMYFUNCTION("""COMPUTED_VALUE"""),41513.7055555555)</f>
        <v>41513.705555555498</v>
      </c>
      <c r="F845" s="111">
        <f ca="1">IFERROR(__xludf.DUMMYFUNCTION("""COMPUTED_VALUE"""),5.27)</f>
        <v>5.27</v>
      </c>
      <c r="G845" s="112">
        <f ca="1">IFERROR(__xludf.DUMMYFUNCTION("""COMPUTED_VALUE"""),41506.7055555555)</f>
        <v>41506.705555555498</v>
      </c>
      <c r="H845" s="111">
        <f ca="1">IFERROR(__xludf.DUMMYFUNCTION("""COMPUTED_VALUE"""),17.13)</f>
        <v>17.13</v>
      </c>
      <c r="K845" s="112">
        <f ca="1">IFERROR(__xludf.DUMMYFUNCTION("""COMPUTED_VALUE"""),41954.7055555555)</f>
        <v>41954.705555555498</v>
      </c>
      <c r="L845" s="111">
        <f ca="1">IFERROR(__xludf.DUMMYFUNCTION("""COMPUTED_VALUE"""),0.26)</f>
        <v>0.26</v>
      </c>
      <c r="M845" s="112">
        <f ca="1">IFERROR(__xludf.DUMMYFUNCTION("""COMPUTED_VALUE"""),41422.7055555555)</f>
        <v>41422.705555555498</v>
      </c>
      <c r="N845" s="111">
        <f ca="1">IFERROR(__xludf.DUMMYFUNCTION("""COMPUTED_VALUE"""),14.85)</f>
        <v>14.85</v>
      </c>
      <c r="O845" s="112">
        <f ca="1">IFERROR(__xludf.DUMMYFUNCTION("""COMPUTED_VALUE"""),41499.7055555555)</f>
        <v>41499.705555555498</v>
      </c>
      <c r="P845" s="111">
        <f ca="1">IFERROR(__xludf.DUMMYFUNCTION("""COMPUTED_VALUE"""),35.61)</f>
        <v>35.61</v>
      </c>
      <c r="Q845" s="112">
        <f ca="1">IFERROR(__xludf.DUMMYFUNCTION("""COMPUTED_VALUE"""),41495.7055555555)</f>
        <v>41495.705555555498</v>
      </c>
      <c r="R845" s="111">
        <f ca="1">IFERROR(__xludf.DUMMYFUNCTION("""COMPUTED_VALUE"""),22.6)</f>
        <v>22.6</v>
      </c>
      <c r="S845" s="112">
        <f ca="1">IFERROR(__xludf.DUMMYFUNCTION("""COMPUTED_VALUE"""),41508.7055555555)</f>
        <v>41508.705555555498</v>
      </c>
      <c r="T845" s="111">
        <f ca="1">IFERROR(__xludf.DUMMYFUNCTION("""COMPUTED_VALUE"""),8.75)</f>
        <v>8.75</v>
      </c>
    </row>
    <row r="846" spans="1:20" x14ac:dyDescent="0.3">
      <c r="A846" s="112">
        <f ca="1">IFERROR(__xludf.DUMMYFUNCTION("""COMPUTED_VALUE"""),41506.7055555555)</f>
        <v>41506.705555555498</v>
      </c>
      <c r="B846" s="111">
        <f ca="1">IFERROR(__xludf.DUMMYFUNCTION("""COMPUTED_VALUE"""),4.8)</f>
        <v>4.8</v>
      </c>
      <c r="C846" s="112">
        <f ca="1">IFERROR(__xludf.DUMMYFUNCTION("""COMPUTED_VALUE"""),41513.7055555555)</f>
        <v>41513.705555555498</v>
      </c>
      <c r="D846" s="111">
        <f ca="1">IFERROR(__xludf.DUMMYFUNCTION("""COMPUTED_VALUE"""),14.07)</f>
        <v>14.07</v>
      </c>
      <c r="E846" s="112">
        <f ca="1">IFERROR(__xludf.DUMMYFUNCTION("""COMPUTED_VALUE"""),41514.7055555555)</f>
        <v>41514.705555555498</v>
      </c>
      <c r="F846" s="111">
        <f ca="1">IFERROR(__xludf.DUMMYFUNCTION("""COMPUTED_VALUE"""),5.28)</f>
        <v>5.28</v>
      </c>
      <c r="G846" s="112">
        <f ca="1">IFERROR(__xludf.DUMMYFUNCTION("""COMPUTED_VALUE"""),41507.7055555555)</f>
        <v>41507.705555555498</v>
      </c>
      <c r="H846" s="111">
        <f ca="1">IFERROR(__xludf.DUMMYFUNCTION("""COMPUTED_VALUE"""),17.34)</f>
        <v>17.34</v>
      </c>
      <c r="K846" s="112">
        <f ca="1">IFERROR(__xludf.DUMMYFUNCTION("""COMPUTED_VALUE"""),41955.7055555555)</f>
        <v>41955.705555555498</v>
      </c>
      <c r="L846" s="111">
        <f ca="1">IFERROR(__xludf.DUMMYFUNCTION("""COMPUTED_VALUE"""),0.25)</f>
        <v>0.25</v>
      </c>
      <c r="M846" s="112">
        <f ca="1">IFERROR(__xludf.DUMMYFUNCTION("""COMPUTED_VALUE"""),41423.7055555555)</f>
        <v>41423.705555555498</v>
      </c>
      <c r="N846" s="111">
        <f ca="1">IFERROR(__xludf.DUMMYFUNCTION("""COMPUTED_VALUE"""),14.52)</f>
        <v>14.52</v>
      </c>
      <c r="O846" s="112">
        <f ca="1">IFERROR(__xludf.DUMMYFUNCTION("""COMPUTED_VALUE"""),41500.7055555555)</f>
        <v>41500.705555555498</v>
      </c>
      <c r="P846" s="111">
        <f ca="1">IFERROR(__xludf.DUMMYFUNCTION("""COMPUTED_VALUE"""),35.78)</f>
        <v>35.78</v>
      </c>
      <c r="Q846" s="112">
        <f ca="1">IFERROR(__xludf.DUMMYFUNCTION("""COMPUTED_VALUE"""),41498.7055555555)</f>
        <v>41498.705555555498</v>
      </c>
      <c r="R846" s="111">
        <f ca="1">IFERROR(__xludf.DUMMYFUNCTION("""COMPUTED_VALUE"""),22.95)</f>
        <v>22.95</v>
      </c>
      <c r="S846" s="112">
        <f ca="1">IFERROR(__xludf.DUMMYFUNCTION("""COMPUTED_VALUE"""),41509.7055555555)</f>
        <v>41509.705555555498</v>
      </c>
      <c r="T846" s="111">
        <f ca="1">IFERROR(__xludf.DUMMYFUNCTION("""COMPUTED_VALUE"""),9.11)</f>
        <v>9.11</v>
      </c>
    </row>
    <row r="847" spans="1:20" x14ac:dyDescent="0.3">
      <c r="A847" s="112">
        <f ca="1">IFERROR(__xludf.DUMMYFUNCTION("""COMPUTED_VALUE"""),41507.7055555555)</f>
        <v>41507.705555555498</v>
      </c>
      <c r="B847" s="111">
        <f ca="1">IFERROR(__xludf.DUMMYFUNCTION("""COMPUTED_VALUE"""),4.85)</f>
        <v>4.8499999999999996</v>
      </c>
      <c r="C847" s="112">
        <f ca="1">IFERROR(__xludf.DUMMYFUNCTION("""COMPUTED_VALUE"""),41514.7055555555)</f>
        <v>41514.705555555498</v>
      </c>
      <c r="D847" s="111">
        <f ca="1">IFERROR(__xludf.DUMMYFUNCTION("""COMPUTED_VALUE"""),14.12)</f>
        <v>14.12</v>
      </c>
      <c r="E847" s="112">
        <f ca="1">IFERROR(__xludf.DUMMYFUNCTION("""COMPUTED_VALUE"""),41515.7055555555)</f>
        <v>41515.705555555498</v>
      </c>
      <c r="F847" s="111">
        <f ca="1">IFERROR(__xludf.DUMMYFUNCTION("""COMPUTED_VALUE"""),5.32)</f>
        <v>5.32</v>
      </c>
      <c r="G847" s="112">
        <f ca="1">IFERROR(__xludf.DUMMYFUNCTION("""COMPUTED_VALUE"""),41508.7055555555)</f>
        <v>41508.705555555498</v>
      </c>
      <c r="H847" s="111">
        <f ca="1">IFERROR(__xludf.DUMMYFUNCTION("""COMPUTED_VALUE"""),18.26)</f>
        <v>18.260000000000002</v>
      </c>
      <c r="K847" s="112">
        <f ca="1">IFERROR(__xludf.DUMMYFUNCTION("""COMPUTED_VALUE"""),41956.7055555555)</f>
        <v>41956.705555555498</v>
      </c>
      <c r="L847" s="111">
        <f ca="1">IFERROR(__xludf.DUMMYFUNCTION("""COMPUTED_VALUE"""),0.25)</f>
        <v>0.25</v>
      </c>
      <c r="M847" s="112">
        <f ca="1">IFERROR(__xludf.DUMMYFUNCTION("""COMPUTED_VALUE"""),41425.7055555555)</f>
        <v>41425.705555555498</v>
      </c>
      <c r="N847" s="111">
        <f ca="1">IFERROR(__xludf.DUMMYFUNCTION("""COMPUTED_VALUE"""),14.8)</f>
        <v>14.8</v>
      </c>
      <c r="O847" s="112">
        <f ca="1">IFERROR(__xludf.DUMMYFUNCTION("""COMPUTED_VALUE"""),41501.7055555555)</f>
        <v>41501.705555555498</v>
      </c>
      <c r="P847" s="111">
        <f ca="1">IFERROR(__xludf.DUMMYFUNCTION("""COMPUTED_VALUE"""),36.15)</f>
        <v>36.15</v>
      </c>
      <c r="Q847" s="112">
        <f ca="1">IFERROR(__xludf.DUMMYFUNCTION("""COMPUTED_VALUE"""),41499.7055555555)</f>
        <v>41499.705555555498</v>
      </c>
      <c r="R847" s="111">
        <f ca="1">IFERROR(__xludf.DUMMYFUNCTION("""COMPUTED_VALUE"""),23.34)</f>
        <v>23.34</v>
      </c>
      <c r="S847" s="112">
        <f ca="1">IFERROR(__xludf.DUMMYFUNCTION("""COMPUTED_VALUE"""),41512.7055555555)</f>
        <v>41512.705555555498</v>
      </c>
      <c r="T847" s="111">
        <f ca="1">IFERROR(__xludf.DUMMYFUNCTION("""COMPUTED_VALUE"""),8.94)</f>
        <v>8.94</v>
      </c>
    </row>
    <row r="848" spans="1:20" x14ac:dyDescent="0.3">
      <c r="A848" s="112">
        <f ca="1">IFERROR(__xludf.DUMMYFUNCTION("""COMPUTED_VALUE"""),41508.7055555555)</f>
        <v>41508.705555555498</v>
      </c>
      <c r="B848" s="111">
        <f ca="1">IFERROR(__xludf.DUMMYFUNCTION("""COMPUTED_VALUE"""),4.94)</f>
        <v>4.9400000000000004</v>
      </c>
      <c r="C848" s="112">
        <f ca="1">IFERROR(__xludf.DUMMYFUNCTION("""COMPUTED_VALUE"""),41515.7055555555)</f>
        <v>41515.705555555498</v>
      </c>
      <c r="D848" s="111">
        <f ca="1">IFERROR(__xludf.DUMMYFUNCTION("""COMPUTED_VALUE"""),14.24)</f>
        <v>14.24</v>
      </c>
      <c r="E848" s="112">
        <f ca="1">IFERROR(__xludf.DUMMYFUNCTION("""COMPUTED_VALUE"""),41516.7055555555)</f>
        <v>41516.705555555498</v>
      </c>
      <c r="F848" s="111">
        <f ca="1">IFERROR(__xludf.DUMMYFUNCTION("""COMPUTED_VALUE"""),5.44)</f>
        <v>5.44</v>
      </c>
      <c r="G848" s="112">
        <f ca="1">IFERROR(__xludf.DUMMYFUNCTION("""COMPUTED_VALUE"""),41509.7055555555)</f>
        <v>41509.705555555498</v>
      </c>
      <c r="H848" s="111">
        <f ca="1">IFERROR(__xludf.DUMMYFUNCTION("""COMPUTED_VALUE"""),18.55)</f>
        <v>18.55</v>
      </c>
      <c r="K848" s="112">
        <f ca="1">IFERROR(__xludf.DUMMYFUNCTION("""COMPUTED_VALUE"""),41957.7055555555)</f>
        <v>41957.705555555498</v>
      </c>
      <c r="L848" s="111">
        <f ca="1">IFERROR(__xludf.DUMMYFUNCTION("""COMPUTED_VALUE"""),0.25)</f>
        <v>0.25</v>
      </c>
      <c r="M848" s="112">
        <f ca="1">IFERROR(__xludf.DUMMYFUNCTION("""COMPUTED_VALUE"""),41428.7055555555)</f>
        <v>41428.705555555498</v>
      </c>
      <c r="N848" s="111">
        <f ca="1">IFERROR(__xludf.DUMMYFUNCTION("""COMPUTED_VALUE"""),14.39)</f>
        <v>14.39</v>
      </c>
      <c r="O848" s="112">
        <f ca="1">IFERROR(__xludf.DUMMYFUNCTION("""COMPUTED_VALUE"""),41502.7055555555)</f>
        <v>41502.705555555498</v>
      </c>
      <c r="P848" s="111">
        <f ca="1">IFERROR(__xludf.DUMMYFUNCTION("""COMPUTED_VALUE"""),36.6)</f>
        <v>36.6</v>
      </c>
      <c r="Q848" s="112">
        <f ca="1">IFERROR(__xludf.DUMMYFUNCTION("""COMPUTED_VALUE"""),41500.7055555555)</f>
        <v>41500.705555555498</v>
      </c>
      <c r="R848" s="111">
        <f ca="1">IFERROR(__xludf.DUMMYFUNCTION("""COMPUTED_VALUE"""),23.47)</f>
        <v>23.47</v>
      </c>
      <c r="S848" s="112">
        <f ca="1">IFERROR(__xludf.DUMMYFUNCTION("""COMPUTED_VALUE"""),41513.7055555555)</f>
        <v>41513.705555555498</v>
      </c>
      <c r="T848" s="111">
        <f ca="1">IFERROR(__xludf.DUMMYFUNCTION("""COMPUTED_VALUE"""),8.75)</f>
        <v>8.75</v>
      </c>
    </row>
    <row r="849" spans="1:20" x14ac:dyDescent="0.3">
      <c r="A849" s="112">
        <f ca="1">IFERROR(__xludf.DUMMYFUNCTION("""COMPUTED_VALUE"""),41509.7055555555)</f>
        <v>41509.705555555498</v>
      </c>
      <c r="B849" s="111">
        <f ca="1">IFERROR(__xludf.DUMMYFUNCTION("""COMPUTED_VALUE"""),4.99)</f>
        <v>4.99</v>
      </c>
      <c r="C849" s="112">
        <f ca="1">IFERROR(__xludf.DUMMYFUNCTION("""COMPUTED_VALUE"""),41516.7055555555)</f>
        <v>41516.705555555498</v>
      </c>
      <c r="D849" s="111">
        <f ca="1">IFERROR(__xludf.DUMMYFUNCTION("""COMPUTED_VALUE"""),14.53)</f>
        <v>14.53</v>
      </c>
      <c r="E849" s="112">
        <f ca="1">IFERROR(__xludf.DUMMYFUNCTION("""COMPUTED_VALUE"""),41519.7055555555)</f>
        <v>41519.705555555498</v>
      </c>
      <c r="F849" s="111">
        <f ca="1">IFERROR(__xludf.DUMMYFUNCTION("""COMPUTED_VALUE"""),5.49)</f>
        <v>5.49</v>
      </c>
      <c r="G849" s="112">
        <f ca="1">IFERROR(__xludf.DUMMYFUNCTION("""COMPUTED_VALUE"""),41512.7055555555)</f>
        <v>41512.705555555498</v>
      </c>
      <c r="H849" s="111">
        <f ca="1">IFERROR(__xludf.DUMMYFUNCTION("""COMPUTED_VALUE"""),18.19)</f>
        <v>18.190000000000001</v>
      </c>
      <c r="K849" s="112">
        <f ca="1">IFERROR(__xludf.DUMMYFUNCTION("""COMPUTED_VALUE"""),41960.7055555555)</f>
        <v>41960.705555555498</v>
      </c>
      <c r="L849" s="111">
        <f ca="1">IFERROR(__xludf.DUMMYFUNCTION("""COMPUTED_VALUE"""),0.24)</f>
        <v>0.24</v>
      </c>
      <c r="M849" s="112">
        <f ca="1">IFERROR(__xludf.DUMMYFUNCTION("""COMPUTED_VALUE"""),41429.7055555555)</f>
        <v>41429.705555555498</v>
      </c>
      <c r="N849" s="111">
        <f ca="1">IFERROR(__xludf.DUMMYFUNCTION("""COMPUTED_VALUE"""),14.18)</f>
        <v>14.18</v>
      </c>
      <c r="O849" s="112">
        <f ca="1">IFERROR(__xludf.DUMMYFUNCTION("""COMPUTED_VALUE"""),41505.7055555555)</f>
        <v>41505.705555555498</v>
      </c>
      <c r="P849" s="111">
        <f ca="1">IFERROR(__xludf.DUMMYFUNCTION("""COMPUTED_VALUE"""),36.41)</f>
        <v>36.409999999999997</v>
      </c>
      <c r="Q849" s="112">
        <f ca="1">IFERROR(__xludf.DUMMYFUNCTION("""COMPUTED_VALUE"""),41501.7055555555)</f>
        <v>41501.705555555498</v>
      </c>
      <c r="R849" s="111">
        <f ca="1">IFERROR(__xludf.DUMMYFUNCTION("""COMPUTED_VALUE"""),23.2)</f>
        <v>23.2</v>
      </c>
      <c r="S849" s="112">
        <f ca="1">IFERROR(__xludf.DUMMYFUNCTION("""COMPUTED_VALUE"""),41514.7055555555)</f>
        <v>41514.705555555498</v>
      </c>
      <c r="T849" s="111">
        <f ca="1">IFERROR(__xludf.DUMMYFUNCTION("""COMPUTED_VALUE"""),8.66)</f>
        <v>8.66</v>
      </c>
    </row>
    <row r="850" spans="1:20" x14ac:dyDescent="0.3">
      <c r="A850" s="112">
        <f ca="1">IFERROR(__xludf.DUMMYFUNCTION("""COMPUTED_VALUE"""),41512.7055555555)</f>
        <v>41512.705555555498</v>
      </c>
      <c r="B850" s="111">
        <f ca="1">IFERROR(__xludf.DUMMYFUNCTION("""COMPUTED_VALUE"""),4.85)</f>
        <v>4.8499999999999996</v>
      </c>
      <c r="C850" s="112">
        <f ca="1">IFERROR(__xludf.DUMMYFUNCTION("""COMPUTED_VALUE"""),41519.7055555555)</f>
        <v>41519.705555555498</v>
      </c>
      <c r="D850" s="111">
        <f ca="1">IFERROR(__xludf.DUMMYFUNCTION("""COMPUTED_VALUE"""),14.73)</f>
        <v>14.73</v>
      </c>
      <c r="E850" s="112">
        <f ca="1">IFERROR(__xludf.DUMMYFUNCTION("""COMPUTED_VALUE"""),41520.7055555555)</f>
        <v>41520.705555555498</v>
      </c>
      <c r="F850" s="111">
        <f ca="1">IFERROR(__xludf.DUMMYFUNCTION("""COMPUTED_VALUE"""),5.37)</f>
        <v>5.37</v>
      </c>
      <c r="G850" s="112">
        <f ca="1">IFERROR(__xludf.DUMMYFUNCTION("""COMPUTED_VALUE"""),41513.7055555555)</f>
        <v>41513.705555555498</v>
      </c>
      <c r="H850" s="111">
        <f ca="1">IFERROR(__xludf.DUMMYFUNCTION("""COMPUTED_VALUE"""),17.45)</f>
        <v>17.45</v>
      </c>
      <c r="K850" s="112">
        <f ca="1">IFERROR(__xludf.DUMMYFUNCTION("""COMPUTED_VALUE"""),41961.7055555555)</f>
        <v>41961.705555555498</v>
      </c>
      <c r="L850" s="111">
        <f ca="1">IFERROR(__xludf.DUMMYFUNCTION("""COMPUTED_VALUE"""),0.25)</f>
        <v>0.25</v>
      </c>
      <c r="M850" s="112">
        <f ca="1">IFERROR(__xludf.DUMMYFUNCTION("""COMPUTED_VALUE"""),41430.7055555555)</f>
        <v>41430.705555555498</v>
      </c>
      <c r="N850" s="111">
        <f ca="1">IFERROR(__xludf.DUMMYFUNCTION("""COMPUTED_VALUE"""),13.78)</f>
        <v>13.78</v>
      </c>
      <c r="O850" s="112">
        <f ca="1">IFERROR(__xludf.DUMMYFUNCTION("""COMPUTED_VALUE"""),41506.7055555555)</f>
        <v>41506.705555555498</v>
      </c>
      <c r="P850" s="111">
        <f ca="1">IFERROR(__xludf.DUMMYFUNCTION("""COMPUTED_VALUE"""),35.38)</f>
        <v>35.380000000000003</v>
      </c>
      <c r="Q850" s="112">
        <f ca="1">IFERROR(__xludf.DUMMYFUNCTION("""COMPUTED_VALUE"""),41502.7055555555)</f>
        <v>41502.705555555498</v>
      </c>
      <c r="R850" s="111">
        <f ca="1">IFERROR(__xludf.DUMMYFUNCTION("""COMPUTED_VALUE"""),23.15)</f>
        <v>23.15</v>
      </c>
      <c r="S850" s="112">
        <f ca="1">IFERROR(__xludf.DUMMYFUNCTION("""COMPUTED_VALUE"""),41515.7055555555)</f>
        <v>41515.705555555498</v>
      </c>
      <c r="T850" s="111">
        <f ca="1">IFERROR(__xludf.DUMMYFUNCTION("""COMPUTED_VALUE"""),8.63)</f>
        <v>8.6300000000000008</v>
      </c>
    </row>
    <row r="851" spans="1:20" x14ac:dyDescent="0.3">
      <c r="A851" s="112">
        <f ca="1">IFERROR(__xludf.DUMMYFUNCTION("""COMPUTED_VALUE"""),41513.7055555555)</f>
        <v>41513.705555555498</v>
      </c>
      <c r="B851" s="111">
        <f ca="1">IFERROR(__xludf.DUMMYFUNCTION("""COMPUTED_VALUE"""),4.82)</f>
        <v>4.82</v>
      </c>
      <c r="C851" s="112">
        <f ca="1">IFERROR(__xludf.DUMMYFUNCTION("""COMPUTED_VALUE"""),41520.7055555555)</f>
        <v>41520.705555555498</v>
      </c>
      <c r="D851" s="111">
        <f ca="1">IFERROR(__xludf.DUMMYFUNCTION("""COMPUTED_VALUE"""),14.53)</f>
        <v>14.53</v>
      </c>
      <c r="E851" s="112">
        <f ca="1">IFERROR(__xludf.DUMMYFUNCTION("""COMPUTED_VALUE"""),41521.7055555555)</f>
        <v>41521.705555555498</v>
      </c>
      <c r="F851" s="111">
        <f ca="1">IFERROR(__xludf.DUMMYFUNCTION("""COMPUTED_VALUE"""),5.39)</f>
        <v>5.39</v>
      </c>
      <c r="G851" s="112">
        <f ca="1">IFERROR(__xludf.DUMMYFUNCTION("""COMPUTED_VALUE"""),41514.7055555555)</f>
        <v>41514.705555555498</v>
      </c>
      <c r="H851" s="111">
        <f ca="1">IFERROR(__xludf.DUMMYFUNCTION("""COMPUTED_VALUE"""),17.16)</f>
        <v>17.16</v>
      </c>
      <c r="K851" s="112">
        <f ca="1">IFERROR(__xludf.DUMMYFUNCTION("""COMPUTED_VALUE"""),41962.7055555555)</f>
        <v>41962.705555555498</v>
      </c>
      <c r="L851" s="111">
        <f ca="1">IFERROR(__xludf.DUMMYFUNCTION("""COMPUTED_VALUE"""),0.26)</f>
        <v>0.26</v>
      </c>
      <c r="M851" s="112">
        <f ca="1">IFERROR(__xludf.DUMMYFUNCTION("""COMPUTED_VALUE"""),41431.7055555555)</f>
        <v>41431.705555555498</v>
      </c>
      <c r="N851" s="111">
        <f ca="1">IFERROR(__xludf.DUMMYFUNCTION("""COMPUTED_VALUE"""),13.79)</f>
        <v>13.79</v>
      </c>
      <c r="O851" s="112">
        <f ca="1">IFERROR(__xludf.DUMMYFUNCTION("""COMPUTED_VALUE"""),41507.7055555555)</f>
        <v>41507.705555555498</v>
      </c>
      <c r="P851" s="111">
        <f ca="1">IFERROR(__xludf.DUMMYFUNCTION("""COMPUTED_VALUE"""),35.01)</f>
        <v>35.01</v>
      </c>
      <c r="Q851" s="112">
        <f ca="1">IFERROR(__xludf.DUMMYFUNCTION("""COMPUTED_VALUE"""),41505.7055555555)</f>
        <v>41505.705555555498</v>
      </c>
      <c r="R851" s="111">
        <f ca="1">IFERROR(__xludf.DUMMYFUNCTION("""COMPUTED_VALUE"""),22.52)</f>
        <v>22.52</v>
      </c>
      <c r="S851" s="112">
        <f ca="1">IFERROR(__xludf.DUMMYFUNCTION("""COMPUTED_VALUE"""),41516.7055555555)</f>
        <v>41516.705555555498</v>
      </c>
      <c r="T851" s="111">
        <f ca="1">IFERROR(__xludf.DUMMYFUNCTION("""COMPUTED_VALUE"""),8.62)</f>
        <v>8.6199999999999992</v>
      </c>
    </row>
    <row r="852" spans="1:20" x14ac:dyDescent="0.3">
      <c r="A852" s="112">
        <f ca="1">IFERROR(__xludf.DUMMYFUNCTION("""COMPUTED_VALUE"""),41514.7055555555)</f>
        <v>41514.705555555498</v>
      </c>
      <c r="B852" s="111">
        <f ca="1">IFERROR(__xludf.DUMMYFUNCTION("""COMPUTED_VALUE"""),4.85)</f>
        <v>4.8499999999999996</v>
      </c>
      <c r="C852" s="112">
        <f ca="1">IFERROR(__xludf.DUMMYFUNCTION("""COMPUTED_VALUE"""),41521.7055555555)</f>
        <v>41521.705555555498</v>
      </c>
      <c r="D852" s="111">
        <f ca="1">IFERROR(__xludf.DUMMYFUNCTION("""COMPUTED_VALUE"""),14.57)</f>
        <v>14.57</v>
      </c>
      <c r="E852" s="112">
        <f ca="1">IFERROR(__xludf.DUMMYFUNCTION("""COMPUTED_VALUE"""),41522.7055555555)</f>
        <v>41522.705555555498</v>
      </c>
      <c r="F852" s="111">
        <f ca="1">IFERROR(__xludf.DUMMYFUNCTION("""COMPUTED_VALUE"""),5.46)</f>
        <v>5.46</v>
      </c>
      <c r="G852" s="112">
        <f ca="1">IFERROR(__xludf.DUMMYFUNCTION("""COMPUTED_VALUE"""),41515.7055555555)</f>
        <v>41515.705555555498</v>
      </c>
      <c r="H852" s="111">
        <f ca="1">IFERROR(__xludf.DUMMYFUNCTION("""COMPUTED_VALUE"""),16.9)</f>
        <v>16.899999999999999</v>
      </c>
      <c r="K852" s="112">
        <f ca="1">IFERROR(__xludf.DUMMYFUNCTION("""COMPUTED_VALUE"""),41964.7055555555)</f>
        <v>41964.705555555498</v>
      </c>
      <c r="L852" s="111">
        <f ca="1">IFERROR(__xludf.DUMMYFUNCTION("""COMPUTED_VALUE"""),0.26)</f>
        <v>0.26</v>
      </c>
      <c r="M852" s="112">
        <f ca="1">IFERROR(__xludf.DUMMYFUNCTION("""COMPUTED_VALUE"""),41432.7055555555)</f>
        <v>41432.705555555498</v>
      </c>
      <c r="N852" s="111">
        <f ca="1">IFERROR(__xludf.DUMMYFUNCTION("""COMPUTED_VALUE"""),13.68)</f>
        <v>13.68</v>
      </c>
      <c r="O852" s="112">
        <f ca="1">IFERROR(__xludf.DUMMYFUNCTION("""COMPUTED_VALUE"""),41508.7055555555)</f>
        <v>41508.705555555498</v>
      </c>
      <c r="P852" s="111">
        <f ca="1">IFERROR(__xludf.DUMMYFUNCTION("""COMPUTED_VALUE"""),36.26)</f>
        <v>36.26</v>
      </c>
      <c r="Q852" s="112">
        <f ca="1">IFERROR(__xludf.DUMMYFUNCTION("""COMPUTED_VALUE"""),41506.7055555555)</f>
        <v>41506.705555555498</v>
      </c>
      <c r="R852" s="111">
        <f ca="1">IFERROR(__xludf.DUMMYFUNCTION("""COMPUTED_VALUE"""),22.3)</f>
        <v>22.3</v>
      </c>
      <c r="S852" s="112">
        <f ca="1">IFERROR(__xludf.DUMMYFUNCTION("""COMPUTED_VALUE"""),41519.7055555555)</f>
        <v>41519.705555555498</v>
      </c>
      <c r="T852" s="111">
        <f ca="1">IFERROR(__xludf.DUMMYFUNCTION("""COMPUTED_VALUE"""),9.1)</f>
        <v>9.1</v>
      </c>
    </row>
    <row r="853" spans="1:20" x14ac:dyDescent="0.3">
      <c r="A853" s="112">
        <f ca="1">IFERROR(__xludf.DUMMYFUNCTION("""COMPUTED_VALUE"""),41515.7055555555)</f>
        <v>41515.705555555498</v>
      </c>
      <c r="B853" s="111">
        <f ca="1">IFERROR(__xludf.DUMMYFUNCTION("""COMPUTED_VALUE"""),4.92)</f>
        <v>4.92</v>
      </c>
      <c r="C853" s="112">
        <f ca="1">IFERROR(__xludf.DUMMYFUNCTION("""COMPUTED_VALUE"""),41522.7055555555)</f>
        <v>41522.705555555498</v>
      </c>
      <c r="D853" s="111">
        <f ca="1">IFERROR(__xludf.DUMMYFUNCTION("""COMPUTED_VALUE"""),14.72)</f>
        <v>14.72</v>
      </c>
      <c r="E853" s="112">
        <f ca="1">IFERROR(__xludf.DUMMYFUNCTION("""COMPUTED_VALUE"""),41523.7055555555)</f>
        <v>41523.705555555498</v>
      </c>
      <c r="F853" s="111">
        <f ca="1">IFERROR(__xludf.DUMMYFUNCTION("""COMPUTED_VALUE"""),5.56)</f>
        <v>5.56</v>
      </c>
      <c r="G853" s="112">
        <f ca="1">IFERROR(__xludf.DUMMYFUNCTION("""COMPUTED_VALUE"""),41516.7055555555)</f>
        <v>41516.705555555498</v>
      </c>
      <c r="H853" s="111">
        <f ca="1">IFERROR(__xludf.DUMMYFUNCTION("""COMPUTED_VALUE"""),16.99)</f>
        <v>16.989999999999998</v>
      </c>
      <c r="K853" s="112">
        <f ca="1">IFERROR(__xludf.DUMMYFUNCTION("""COMPUTED_VALUE"""),41967.7055555555)</f>
        <v>41967.705555555498</v>
      </c>
      <c r="L853" s="111">
        <f ca="1">IFERROR(__xludf.DUMMYFUNCTION("""COMPUTED_VALUE"""),0.27)</f>
        <v>0.27</v>
      </c>
      <c r="M853" s="112">
        <f ca="1">IFERROR(__xludf.DUMMYFUNCTION("""COMPUTED_VALUE"""),41435.7055555555)</f>
        <v>41435.705555555498</v>
      </c>
      <c r="N853" s="111">
        <f ca="1">IFERROR(__xludf.DUMMYFUNCTION("""COMPUTED_VALUE"""),13.75)</f>
        <v>13.75</v>
      </c>
      <c r="O853" s="112">
        <f ca="1">IFERROR(__xludf.DUMMYFUNCTION("""COMPUTED_VALUE"""),41509.7055555555)</f>
        <v>41509.705555555498</v>
      </c>
      <c r="P853" s="111">
        <f ca="1">IFERROR(__xludf.DUMMYFUNCTION("""COMPUTED_VALUE"""),36.12)</f>
        <v>36.119999999999997</v>
      </c>
      <c r="Q853" s="112">
        <f ca="1">IFERROR(__xludf.DUMMYFUNCTION("""COMPUTED_VALUE"""),41507.7055555555)</f>
        <v>41507.705555555498</v>
      </c>
      <c r="R853" s="111">
        <f ca="1">IFERROR(__xludf.DUMMYFUNCTION("""COMPUTED_VALUE"""),21.98)</f>
        <v>21.98</v>
      </c>
      <c r="S853" s="112">
        <f ca="1">IFERROR(__xludf.DUMMYFUNCTION("""COMPUTED_VALUE"""),41520.7055555555)</f>
        <v>41520.705555555498</v>
      </c>
      <c r="T853" s="111">
        <f ca="1">IFERROR(__xludf.DUMMYFUNCTION("""COMPUTED_VALUE"""),8.8)</f>
        <v>8.8000000000000007</v>
      </c>
    </row>
    <row r="854" spans="1:20" x14ac:dyDescent="0.3">
      <c r="A854" s="112">
        <f ca="1">IFERROR(__xludf.DUMMYFUNCTION("""COMPUTED_VALUE"""),41516.7055555555)</f>
        <v>41516.705555555498</v>
      </c>
      <c r="B854" s="111">
        <f ca="1">IFERROR(__xludf.DUMMYFUNCTION("""COMPUTED_VALUE"""),4.92)</f>
        <v>4.92</v>
      </c>
      <c r="C854" s="112">
        <f ca="1">IFERROR(__xludf.DUMMYFUNCTION("""COMPUTED_VALUE"""),41523.7055555555)</f>
        <v>41523.705555555498</v>
      </c>
      <c r="D854" s="111">
        <f ca="1">IFERROR(__xludf.DUMMYFUNCTION("""COMPUTED_VALUE"""),15.02)</f>
        <v>15.02</v>
      </c>
      <c r="E854" s="112">
        <f ca="1">IFERROR(__xludf.DUMMYFUNCTION("""COMPUTED_VALUE"""),41526.7055555555)</f>
        <v>41526.705555555498</v>
      </c>
      <c r="F854" s="111">
        <f ca="1">IFERROR(__xludf.DUMMYFUNCTION("""COMPUTED_VALUE"""),5.67)</f>
        <v>5.67</v>
      </c>
      <c r="G854" s="112">
        <f ca="1">IFERROR(__xludf.DUMMYFUNCTION("""COMPUTED_VALUE"""),41519.7055555555)</f>
        <v>41519.705555555498</v>
      </c>
      <c r="H854" s="111">
        <f ca="1">IFERROR(__xludf.DUMMYFUNCTION("""COMPUTED_VALUE"""),16.9)</f>
        <v>16.899999999999999</v>
      </c>
      <c r="K854" s="112">
        <f ca="1">IFERROR(__xludf.DUMMYFUNCTION("""COMPUTED_VALUE"""),41968.7055555555)</f>
        <v>41968.705555555498</v>
      </c>
      <c r="L854" s="111">
        <f ca="1">IFERROR(__xludf.DUMMYFUNCTION("""COMPUTED_VALUE"""),0.25)</f>
        <v>0.25</v>
      </c>
      <c r="M854" s="112">
        <f ca="1">IFERROR(__xludf.DUMMYFUNCTION("""COMPUTED_VALUE"""),41436.7055555555)</f>
        <v>41436.705555555498</v>
      </c>
      <c r="N854" s="111">
        <f ca="1">IFERROR(__xludf.DUMMYFUNCTION("""COMPUTED_VALUE"""),13.22)</f>
        <v>13.22</v>
      </c>
      <c r="O854" s="112">
        <f ca="1">IFERROR(__xludf.DUMMYFUNCTION("""COMPUTED_VALUE"""),41512.7055555555)</f>
        <v>41512.705555555498</v>
      </c>
      <c r="P854" s="111">
        <f ca="1">IFERROR(__xludf.DUMMYFUNCTION("""COMPUTED_VALUE"""),35.9)</f>
        <v>35.9</v>
      </c>
      <c r="Q854" s="112">
        <f ca="1">IFERROR(__xludf.DUMMYFUNCTION("""COMPUTED_VALUE"""),41508.7055555555)</f>
        <v>41508.705555555498</v>
      </c>
      <c r="R854" s="111">
        <f ca="1">IFERROR(__xludf.DUMMYFUNCTION("""COMPUTED_VALUE"""),21.95)</f>
        <v>21.95</v>
      </c>
      <c r="S854" s="112">
        <f ca="1">IFERROR(__xludf.DUMMYFUNCTION("""COMPUTED_VALUE"""),41521.7055555555)</f>
        <v>41521.705555555498</v>
      </c>
      <c r="T854" s="111">
        <f ca="1">IFERROR(__xludf.DUMMYFUNCTION("""COMPUTED_VALUE"""),8.87)</f>
        <v>8.8699999999999992</v>
      </c>
    </row>
    <row r="855" spans="1:20" x14ac:dyDescent="0.3">
      <c r="A855" s="112">
        <f ca="1">IFERROR(__xludf.DUMMYFUNCTION("""COMPUTED_VALUE"""),41519.7055555555)</f>
        <v>41519.705555555498</v>
      </c>
      <c r="B855" s="111">
        <f ca="1">IFERROR(__xludf.DUMMYFUNCTION("""COMPUTED_VALUE"""),5.18)</f>
        <v>5.18</v>
      </c>
      <c r="C855" s="112">
        <f ca="1">IFERROR(__xludf.DUMMYFUNCTION("""COMPUTED_VALUE"""),41526.7055555555)</f>
        <v>41526.705555555498</v>
      </c>
      <c r="D855" s="111">
        <f ca="1">IFERROR(__xludf.DUMMYFUNCTION("""COMPUTED_VALUE"""),15.44)</f>
        <v>15.44</v>
      </c>
      <c r="E855" s="112">
        <f ca="1">IFERROR(__xludf.DUMMYFUNCTION("""COMPUTED_VALUE"""),41527.7055555555)</f>
        <v>41527.705555555498</v>
      </c>
      <c r="F855" s="111">
        <f ca="1">IFERROR(__xludf.DUMMYFUNCTION("""COMPUTED_VALUE"""),5.69)</f>
        <v>5.69</v>
      </c>
      <c r="G855" s="112">
        <f ca="1">IFERROR(__xludf.DUMMYFUNCTION("""COMPUTED_VALUE"""),41520.7055555555)</f>
        <v>41520.705555555498</v>
      </c>
      <c r="H855" s="111">
        <f ca="1">IFERROR(__xludf.DUMMYFUNCTION("""COMPUTED_VALUE"""),16.78)</f>
        <v>16.78</v>
      </c>
      <c r="K855" s="112">
        <f ca="1">IFERROR(__xludf.DUMMYFUNCTION("""COMPUTED_VALUE"""),41969.7055555555)</f>
        <v>41969.705555555498</v>
      </c>
      <c r="L855" s="111">
        <f ca="1">IFERROR(__xludf.DUMMYFUNCTION("""COMPUTED_VALUE"""),0.25)</f>
        <v>0.25</v>
      </c>
      <c r="M855" s="112">
        <f ca="1">IFERROR(__xludf.DUMMYFUNCTION("""COMPUTED_VALUE"""),41437.7055555555)</f>
        <v>41437.705555555498</v>
      </c>
      <c r="N855" s="111">
        <f ca="1">IFERROR(__xludf.DUMMYFUNCTION("""COMPUTED_VALUE"""),13.17)</f>
        <v>13.17</v>
      </c>
      <c r="O855" s="112">
        <f ca="1">IFERROR(__xludf.DUMMYFUNCTION("""COMPUTED_VALUE"""),41513.7055555555)</f>
        <v>41513.705555555498</v>
      </c>
      <c r="P855" s="111">
        <f ca="1">IFERROR(__xludf.DUMMYFUNCTION("""COMPUTED_VALUE"""),35.27)</f>
        <v>35.270000000000003</v>
      </c>
      <c r="Q855" s="112">
        <f ca="1">IFERROR(__xludf.DUMMYFUNCTION("""COMPUTED_VALUE"""),41509.7055555555)</f>
        <v>41509.705555555498</v>
      </c>
      <c r="R855" s="111">
        <f ca="1">IFERROR(__xludf.DUMMYFUNCTION("""COMPUTED_VALUE"""),22.24)</f>
        <v>22.24</v>
      </c>
      <c r="S855" s="112">
        <f ca="1">IFERROR(__xludf.DUMMYFUNCTION("""COMPUTED_VALUE"""),41522.7055555555)</f>
        <v>41522.705555555498</v>
      </c>
      <c r="T855" s="111">
        <f ca="1">IFERROR(__xludf.DUMMYFUNCTION("""COMPUTED_VALUE"""),9.06)</f>
        <v>9.06</v>
      </c>
    </row>
    <row r="856" spans="1:20" x14ac:dyDescent="0.3">
      <c r="A856" s="112">
        <f ca="1">IFERROR(__xludf.DUMMYFUNCTION("""COMPUTED_VALUE"""),41520.7055555555)</f>
        <v>41520.705555555498</v>
      </c>
      <c r="B856" s="111">
        <f ca="1">IFERROR(__xludf.DUMMYFUNCTION("""COMPUTED_VALUE"""),5.21)</f>
        <v>5.21</v>
      </c>
      <c r="C856" s="112">
        <f ca="1">IFERROR(__xludf.DUMMYFUNCTION("""COMPUTED_VALUE"""),41527.7055555555)</f>
        <v>41527.705555555498</v>
      </c>
      <c r="D856" s="111">
        <f ca="1">IFERROR(__xludf.DUMMYFUNCTION("""COMPUTED_VALUE"""),15.55)</f>
        <v>15.55</v>
      </c>
      <c r="E856" s="112">
        <f ca="1">IFERROR(__xludf.DUMMYFUNCTION("""COMPUTED_VALUE"""),41528.7055555555)</f>
        <v>41528.705555555498</v>
      </c>
      <c r="F856" s="111">
        <f ca="1">IFERROR(__xludf.DUMMYFUNCTION("""COMPUTED_VALUE"""),5.69)</f>
        <v>5.69</v>
      </c>
      <c r="G856" s="112">
        <f ca="1">IFERROR(__xludf.DUMMYFUNCTION("""COMPUTED_VALUE"""),41521.7055555555)</f>
        <v>41521.705555555498</v>
      </c>
      <c r="H856" s="111">
        <f ca="1">IFERROR(__xludf.DUMMYFUNCTION("""COMPUTED_VALUE"""),16.85)</f>
        <v>16.850000000000001</v>
      </c>
      <c r="K856" s="112">
        <f ca="1">IFERROR(__xludf.DUMMYFUNCTION("""COMPUTED_VALUE"""),41970.7055555555)</f>
        <v>41970.705555555498</v>
      </c>
      <c r="L856" s="111">
        <f ca="1">IFERROR(__xludf.DUMMYFUNCTION("""COMPUTED_VALUE"""),0.26)</f>
        <v>0.26</v>
      </c>
      <c r="M856" s="112">
        <f ca="1">IFERROR(__xludf.DUMMYFUNCTION("""COMPUTED_VALUE"""),41438.7055555555)</f>
        <v>41438.705555555498</v>
      </c>
      <c r="N856" s="111">
        <f ca="1">IFERROR(__xludf.DUMMYFUNCTION("""COMPUTED_VALUE"""),12.99)</f>
        <v>12.99</v>
      </c>
      <c r="O856" s="112">
        <f ca="1">IFERROR(__xludf.DUMMYFUNCTION("""COMPUTED_VALUE"""),41514.7055555555)</f>
        <v>41514.705555555498</v>
      </c>
      <c r="P856" s="111">
        <f ca="1">IFERROR(__xludf.DUMMYFUNCTION("""COMPUTED_VALUE"""),34.84)</f>
        <v>34.840000000000003</v>
      </c>
      <c r="Q856" s="112">
        <f ca="1">IFERROR(__xludf.DUMMYFUNCTION("""COMPUTED_VALUE"""),41512.7055555555)</f>
        <v>41512.705555555498</v>
      </c>
      <c r="R856" s="111">
        <f ca="1">IFERROR(__xludf.DUMMYFUNCTION("""COMPUTED_VALUE"""),21.8)</f>
        <v>21.8</v>
      </c>
      <c r="S856" s="112">
        <f ca="1">IFERROR(__xludf.DUMMYFUNCTION("""COMPUTED_VALUE"""),41523.7055555555)</f>
        <v>41523.705555555498</v>
      </c>
      <c r="T856" s="111">
        <f ca="1">IFERROR(__xludf.DUMMYFUNCTION("""COMPUTED_VALUE"""),9.41)</f>
        <v>9.41</v>
      </c>
    </row>
    <row r="857" spans="1:20" x14ac:dyDescent="0.3">
      <c r="A857" s="112">
        <f ca="1">IFERROR(__xludf.DUMMYFUNCTION("""COMPUTED_VALUE"""),41521.7055555555)</f>
        <v>41521.705555555498</v>
      </c>
      <c r="B857" s="111">
        <f ca="1">IFERROR(__xludf.DUMMYFUNCTION("""COMPUTED_VALUE"""),5.2)</f>
        <v>5.2</v>
      </c>
      <c r="C857" s="112">
        <f ca="1">IFERROR(__xludf.DUMMYFUNCTION("""COMPUTED_VALUE"""),41528.7055555555)</f>
        <v>41528.705555555498</v>
      </c>
      <c r="D857" s="111">
        <f ca="1">IFERROR(__xludf.DUMMYFUNCTION("""COMPUTED_VALUE"""),15.48)</f>
        <v>15.48</v>
      </c>
      <c r="E857" s="112">
        <f ca="1">IFERROR(__xludf.DUMMYFUNCTION("""COMPUTED_VALUE"""),41529.7055555555)</f>
        <v>41529.705555555498</v>
      </c>
      <c r="F857" s="111">
        <f ca="1">IFERROR(__xludf.DUMMYFUNCTION("""COMPUTED_VALUE"""),5.67)</f>
        <v>5.67</v>
      </c>
      <c r="G857" s="112">
        <f ca="1">IFERROR(__xludf.DUMMYFUNCTION("""COMPUTED_VALUE"""),41522.7055555555)</f>
        <v>41522.705555555498</v>
      </c>
      <c r="H857" s="111">
        <f ca="1">IFERROR(__xludf.DUMMYFUNCTION("""COMPUTED_VALUE"""),17.54)</f>
        <v>17.54</v>
      </c>
      <c r="K857" s="112">
        <f ca="1">IFERROR(__xludf.DUMMYFUNCTION("""COMPUTED_VALUE"""),41971.7055555555)</f>
        <v>41971.705555555498</v>
      </c>
      <c r="L857" s="111">
        <f ca="1">IFERROR(__xludf.DUMMYFUNCTION("""COMPUTED_VALUE"""),0.25)</f>
        <v>0.25</v>
      </c>
      <c r="M857" s="112">
        <f ca="1">IFERROR(__xludf.DUMMYFUNCTION("""COMPUTED_VALUE"""),41439.7055555555)</f>
        <v>41439.705555555498</v>
      </c>
      <c r="N857" s="111">
        <f ca="1">IFERROR(__xludf.DUMMYFUNCTION("""COMPUTED_VALUE"""),12.72)</f>
        <v>12.72</v>
      </c>
      <c r="O857" s="112">
        <f ca="1">IFERROR(__xludf.DUMMYFUNCTION("""COMPUTED_VALUE"""),41515.7055555555)</f>
        <v>41515.705555555498</v>
      </c>
      <c r="P857" s="111">
        <f ca="1">IFERROR(__xludf.DUMMYFUNCTION("""COMPUTED_VALUE"""),34.02)</f>
        <v>34.020000000000003</v>
      </c>
      <c r="Q857" s="112">
        <f ca="1">IFERROR(__xludf.DUMMYFUNCTION("""COMPUTED_VALUE"""),41513.7055555555)</f>
        <v>41513.705555555498</v>
      </c>
      <c r="R857" s="111">
        <f ca="1">IFERROR(__xludf.DUMMYFUNCTION("""COMPUTED_VALUE"""),21.8)</f>
        <v>21.8</v>
      </c>
      <c r="S857" s="112">
        <f ca="1">IFERROR(__xludf.DUMMYFUNCTION("""COMPUTED_VALUE"""),41526.7055555555)</f>
        <v>41526.705555555498</v>
      </c>
      <c r="T857" s="111">
        <f ca="1">IFERROR(__xludf.DUMMYFUNCTION("""COMPUTED_VALUE"""),9.83)</f>
        <v>9.83</v>
      </c>
    </row>
    <row r="858" spans="1:20" x14ac:dyDescent="0.3">
      <c r="A858" s="112">
        <f ca="1">IFERROR(__xludf.DUMMYFUNCTION("""COMPUTED_VALUE"""),41522.7055555555)</f>
        <v>41522.705555555498</v>
      </c>
      <c r="B858" s="111">
        <f ca="1">IFERROR(__xludf.DUMMYFUNCTION("""COMPUTED_VALUE"""),5.39)</f>
        <v>5.39</v>
      </c>
      <c r="C858" s="112">
        <f ca="1">IFERROR(__xludf.DUMMYFUNCTION("""COMPUTED_VALUE"""),41529.7055555555)</f>
        <v>41529.705555555498</v>
      </c>
      <c r="D858" s="111">
        <f ca="1">IFERROR(__xludf.DUMMYFUNCTION("""COMPUTED_VALUE"""),15.44)</f>
        <v>15.44</v>
      </c>
      <c r="E858" s="112">
        <f ca="1">IFERROR(__xludf.DUMMYFUNCTION("""COMPUTED_VALUE"""),41530.7055555555)</f>
        <v>41530.705555555498</v>
      </c>
      <c r="F858" s="111">
        <f ca="1">IFERROR(__xludf.DUMMYFUNCTION("""COMPUTED_VALUE"""),5.71)</f>
        <v>5.71</v>
      </c>
      <c r="G858" s="112">
        <f ca="1">IFERROR(__xludf.DUMMYFUNCTION("""COMPUTED_VALUE"""),41523.7055555555)</f>
        <v>41523.705555555498</v>
      </c>
      <c r="H858" s="111">
        <f ca="1">IFERROR(__xludf.DUMMYFUNCTION("""COMPUTED_VALUE"""),17.76)</f>
        <v>17.760000000000002</v>
      </c>
      <c r="K858" s="112">
        <f ca="1">IFERROR(__xludf.DUMMYFUNCTION("""COMPUTED_VALUE"""),41974.7055555555)</f>
        <v>41974.705555555498</v>
      </c>
      <c r="L858" s="111">
        <f ca="1">IFERROR(__xludf.DUMMYFUNCTION("""COMPUTED_VALUE"""),0.24)</f>
        <v>0.24</v>
      </c>
      <c r="M858" s="112">
        <f ca="1">IFERROR(__xludf.DUMMYFUNCTION("""COMPUTED_VALUE"""),41442.7055555555)</f>
        <v>41442.705555555498</v>
      </c>
      <c r="N858" s="111">
        <f ca="1">IFERROR(__xludf.DUMMYFUNCTION("""COMPUTED_VALUE"""),12.84)</f>
        <v>12.84</v>
      </c>
      <c r="O858" s="112">
        <f ca="1">IFERROR(__xludf.DUMMYFUNCTION("""COMPUTED_VALUE"""),41516.7055555555)</f>
        <v>41516.705555555498</v>
      </c>
      <c r="P858" s="111">
        <f ca="1">IFERROR(__xludf.DUMMYFUNCTION("""COMPUTED_VALUE"""),34.34)</f>
        <v>34.340000000000003</v>
      </c>
      <c r="Q858" s="112">
        <f ca="1">IFERROR(__xludf.DUMMYFUNCTION("""COMPUTED_VALUE"""),41514.7055555555)</f>
        <v>41514.705555555498</v>
      </c>
      <c r="R858" s="111">
        <f ca="1">IFERROR(__xludf.DUMMYFUNCTION("""COMPUTED_VALUE"""),22.1)</f>
        <v>22.1</v>
      </c>
      <c r="S858" s="112">
        <f ca="1">IFERROR(__xludf.DUMMYFUNCTION("""COMPUTED_VALUE"""),41527.7055555555)</f>
        <v>41527.705555555498</v>
      </c>
      <c r="T858" s="111">
        <f ca="1">IFERROR(__xludf.DUMMYFUNCTION("""COMPUTED_VALUE"""),9.81)</f>
        <v>9.81</v>
      </c>
    </row>
    <row r="859" spans="1:20" x14ac:dyDescent="0.3">
      <c r="A859" s="112">
        <f ca="1">IFERROR(__xludf.DUMMYFUNCTION("""COMPUTED_VALUE"""),41523.7055555555)</f>
        <v>41523.705555555498</v>
      </c>
      <c r="B859" s="111">
        <f ca="1">IFERROR(__xludf.DUMMYFUNCTION("""COMPUTED_VALUE"""),5.55)</f>
        <v>5.55</v>
      </c>
      <c r="C859" s="112">
        <f ca="1">IFERROR(__xludf.DUMMYFUNCTION("""COMPUTED_VALUE"""),41530.7055555555)</f>
        <v>41530.705555555498</v>
      </c>
      <c r="D859" s="111">
        <f ca="1">IFERROR(__xludf.DUMMYFUNCTION("""COMPUTED_VALUE"""),15.68)</f>
        <v>15.68</v>
      </c>
      <c r="E859" s="112">
        <f ca="1">IFERROR(__xludf.DUMMYFUNCTION("""COMPUTED_VALUE"""),41533.7055555555)</f>
        <v>41533.705555555498</v>
      </c>
      <c r="F859" s="111">
        <f ca="1">IFERROR(__xludf.DUMMYFUNCTION("""COMPUTED_VALUE"""),5.7)</f>
        <v>5.7</v>
      </c>
      <c r="G859" s="112">
        <f ca="1">IFERROR(__xludf.DUMMYFUNCTION("""COMPUTED_VALUE"""),41526.7055555555)</f>
        <v>41526.705555555498</v>
      </c>
      <c r="H859" s="111">
        <f ca="1">IFERROR(__xludf.DUMMYFUNCTION("""COMPUTED_VALUE"""),18.17)</f>
        <v>18.170000000000002</v>
      </c>
      <c r="K859" s="112">
        <f ca="1">IFERROR(__xludf.DUMMYFUNCTION("""COMPUTED_VALUE"""),41975.7055555555)</f>
        <v>41975.705555555498</v>
      </c>
      <c r="L859" s="111">
        <f ca="1">IFERROR(__xludf.DUMMYFUNCTION("""COMPUTED_VALUE"""),0.25)</f>
        <v>0.25</v>
      </c>
      <c r="M859" s="112">
        <f ca="1">IFERROR(__xludf.DUMMYFUNCTION("""COMPUTED_VALUE"""),41443.7055555555)</f>
        <v>41443.705555555498</v>
      </c>
      <c r="N859" s="111">
        <f ca="1">IFERROR(__xludf.DUMMYFUNCTION("""COMPUTED_VALUE"""),12.75)</f>
        <v>12.75</v>
      </c>
      <c r="O859" s="112">
        <f ca="1">IFERROR(__xludf.DUMMYFUNCTION("""COMPUTED_VALUE"""),41519.7055555555)</f>
        <v>41519.705555555498</v>
      </c>
      <c r="P859" s="111">
        <f ca="1">IFERROR(__xludf.DUMMYFUNCTION("""COMPUTED_VALUE"""),35.62)</f>
        <v>35.619999999999997</v>
      </c>
      <c r="Q859" s="112">
        <f ca="1">IFERROR(__xludf.DUMMYFUNCTION("""COMPUTED_VALUE"""),41515.7055555555)</f>
        <v>41515.705555555498</v>
      </c>
      <c r="R859" s="111">
        <f ca="1">IFERROR(__xludf.DUMMYFUNCTION("""COMPUTED_VALUE"""),22.62)</f>
        <v>22.62</v>
      </c>
      <c r="S859" s="112">
        <f ca="1">IFERROR(__xludf.DUMMYFUNCTION("""COMPUTED_VALUE"""),41528.7055555555)</f>
        <v>41528.705555555498</v>
      </c>
      <c r="T859" s="111">
        <f ca="1">IFERROR(__xludf.DUMMYFUNCTION("""COMPUTED_VALUE"""),9.68)</f>
        <v>9.68</v>
      </c>
    </row>
    <row r="860" spans="1:20" x14ac:dyDescent="0.3">
      <c r="A860" s="112">
        <f ca="1">IFERROR(__xludf.DUMMYFUNCTION("""COMPUTED_VALUE"""),41526.7055555555)</f>
        <v>41526.705555555498</v>
      </c>
      <c r="B860" s="111">
        <f ca="1">IFERROR(__xludf.DUMMYFUNCTION("""COMPUTED_VALUE"""),6.05)</f>
        <v>6.05</v>
      </c>
      <c r="C860" s="112">
        <f ca="1">IFERROR(__xludf.DUMMYFUNCTION("""COMPUTED_VALUE"""),41533.7055555555)</f>
        <v>41533.705555555498</v>
      </c>
      <c r="D860" s="111">
        <f ca="1">IFERROR(__xludf.DUMMYFUNCTION("""COMPUTED_VALUE"""),15.57)</f>
        <v>15.57</v>
      </c>
      <c r="E860" s="112">
        <f ca="1">IFERROR(__xludf.DUMMYFUNCTION("""COMPUTED_VALUE"""),41534.7055555555)</f>
        <v>41534.705555555498</v>
      </c>
      <c r="F860" s="111">
        <f ca="1">IFERROR(__xludf.DUMMYFUNCTION("""COMPUTED_VALUE"""),5.81)</f>
        <v>5.81</v>
      </c>
      <c r="G860" s="112">
        <f ca="1">IFERROR(__xludf.DUMMYFUNCTION("""COMPUTED_VALUE"""),41527.7055555555)</f>
        <v>41527.705555555498</v>
      </c>
      <c r="H860" s="111">
        <f ca="1">IFERROR(__xludf.DUMMYFUNCTION("""COMPUTED_VALUE"""),18.34)</f>
        <v>18.34</v>
      </c>
      <c r="K860" s="112">
        <f ca="1">IFERROR(__xludf.DUMMYFUNCTION("""COMPUTED_VALUE"""),41976.7055555555)</f>
        <v>41976.705555555498</v>
      </c>
      <c r="L860" s="111">
        <f ca="1">IFERROR(__xludf.DUMMYFUNCTION("""COMPUTED_VALUE"""),0.25)</f>
        <v>0.25</v>
      </c>
      <c r="M860" s="112">
        <f ca="1">IFERROR(__xludf.DUMMYFUNCTION("""COMPUTED_VALUE"""),41444.7055555555)</f>
        <v>41444.705555555498</v>
      </c>
      <c r="N860" s="111">
        <f ca="1">IFERROR(__xludf.DUMMYFUNCTION("""COMPUTED_VALUE"""),12.46)</f>
        <v>12.46</v>
      </c>
      <c r="O860" s="112">
        <f ca="1">IFERROR(__xludf.DUMMYFUNCTION("""COMPUTED_VALUE"""),41520.7055555555)</f>
        <v>41520.705555555498</v>
      </c>
      <c r="P860" s="111">
        <f ca="1">IFERROR(__xludf.DUMMYFUNCTION("""COMPUTED_VALUE"""),35.85)</f>
        <v>35.85</v>
      </c>
      <c r="Q860" s="112">
        <f ca="1">IFERROR(__xludf.DUMMYFUNCTION("""COMPUTED_VALUE"""),41516.7055555555)</f>
        <v>41516.705555555498</v>
      </c>
      <c r="R860" s="111">
        <f ca="1">IFERROR(__xludf.DUMMYFUNCTION("""COMPUTED_VALUE"""),23.05)</f>
        <v>23.05</v>
      </c>
      <c r="S860" s="112">
        <f ca="1">IFERROR(__xludf.DUMMYFUNCTION("""COMPUTED_VALUE"""),41529.7055555555)</f>
        <v>41529.705555555498</v>
      </c>
      <c r="T860" s="111">
        <f ca="1">IFERROR(__xludf.DUMMYFUNCTION("""COMPUTED_VALUE"""),9.79)</f>
        <v>9.7899999999999991</v>
      </c>
    </row>
    <row r="861" spans="1:20" x14ac:dyDescent="0.3">
      <c r="A861" s="112">
        <f ca="1">IFERROR(__xludf.DUMMYFUNCTION("""COMPUTED_VALUE"""),41527.7055555555)</f>
        <v>41527.705555555498</v>
      </c>
      <c r="B861" s="111">
        <f ca="1">IFERROR(__xludf.DUMMYFUNCTION("""COMPUTED_VALUE"""),6.08)</f>
        <v>6.08</v>
      </c>
      <c r="C861" s="112">
        <f ca="1">IFERROR(__xludf.DUMMYFUNCTION("""COMPUTED_VALUE"""),41534.7055555555)</f>
        <v>41534.705555555498</v>
      </c>
      <c r="D861" s="111">
        <f ca="1">IFERROR(__xludf.DUMMYFUNCTION("""COMPUTED_VALUE"""),15.82)</f>
        <v>15.82</v>
      </c>
      <c r="E861" s="112">
        <f ca="1">IFERROR(__xludf.DUMMYFUNCTION("""COMPUTED_VALUE"""),41535.7055555555)</f>
        <v>41535.705555555498</v>
      </c>
      <c r="F861" s="111">
        <f ca="1">IFERROR(__xludf.DUMMYFUNCTION("""COMPUTED_VALUE"""),5.97)</f>
        <v>5.97</v>
      </c>
      <c r="G861" s="112">
        <f ca="1">IFERROR(__xludf.DUMMYFUNCTION("""COMPUTED_VALUE"""),41528.7055555555)</f>
        <v>41528.705555555498</v>
      </c>
      <c r="H861" s="111">
        <f ca="1">IFERROR(__xludf.DUMMYFUNCTION("""COMPUTED_VALUE"""),18.25)</f>
        <v>18.25</v>
      </c>
      <c r="K861" s="112">
        <f ca="1">IFERROR(__xludf.DUMMYFUNCTION("""COMPUTED_VALUE"""),41977.7055555555)</f>
        <v>41977.705555555498</v>
      </c>
      <c r="L861" s="111">
        <f ca="1">IFERROR(__xludf.DUMMYFUNCTION("""COMPUTED_VALUE"""),0.24)</f>
        <v>0.24</v>
      </c>
      <c r="M861" s="112">
        <f ca="1">IFERROR(__xludf.DUMMYFUNCTION("""COMPUTED_VALUE"""),41445.7055555555)</f>
        <v>41445.705555555498</v>
      </c>
      <c r="N861" s="111">
        <f ca="1">IFERROR(__xludf.DUMMYFUNCTION("""COMPUTED_VALUE"""),12.55)</f>
        <v>12.55</v>
      </c>
      <c r="O861" s="112">
        <f ca="1">IFERROR(__xludf.DUMMYFUNCTION("""COMPUTED_VALUE"""),41521.7055555555)</f>
        <v>41521.705555555498</v>
      </c>
      <c r="P861" s="111">
        <f ca="1">IFERROR(__xludf.DUMMYFUNCTION("""COMPUTED_VALUE"""),36)</f>
        <v>36</v>
      </c>
      <c r="Q861" s="112">
        <f ca="1">IFERROR(__xludf.DUMMYFUNCTION("""COMPUTED_VALUE"""),41519.7055555555)</f>
        <v>41519.705555555498</v>
      </c>
      <c r="R861" s="111">
        <f ca="1">IFERROR(__xludf.DUMMYFUNCTION("""COMPUTED_VALUE"""),23.26)</f>
        <v>23.26</v>
      </c>
      <c r="S861" s="112">
        <f ca="1">IFERROR(__xludf.DUMMYFUNCTION("""COMPUTED_VALUE"""),41530.7055555555)</f>
        <v>41530.705555555498</v>
      </c>
      <c r="T861" s="111">
        <f ca="1">IFERROR(__xludf.DUMMYFUNCTION("""COMPUTED_VALUE"""),9.99)</f>
        <v>9.99</v>
      </c>
    </row>
    <row r="862" spans="1:20" x14ac:dyDescent="0.3">
      <c r="A862" s="112">
        <f ca="1">IFERROR(__xludf.DUMMYFUNCTION("""COMPUTED_VALUE"""),41528.7055555555)</f>
        <v>41528.705555555498</v>
      </c>
      <c r="B862" s="111">
        <f ca="1">IFERROR(__xludf.DUMMYFUNCTION("""COMPUTED_VALUE"""),6.03)</f>
        <v>6.03</v>
      </c>
      <c r="C862" s="112">
        <f ca="1">IFERROR(__xludf.DUMMYFUNCTION("""COMPUTED_VALUE"""),41535.7055555555)</f>
        <v>41535.705555555498</v>
      </c>
      <c r="D862" s="111">
        <f ca="1">IFERROR(__xludf.DUMMYFUNCTION("""COMPUTED_VALUE"""),16.28)</f>
        <v>16.28</v>
      </c>
      <c r="E862" s="112">
        <f ca="1">IFERROR(__xludf.DUMMYFUNCTION("""COMPUTED_VALUE"""),41536.7055555555)</f>
        <v>41536.705555555498</v>
      </c>
      <c r="F862" s="111">
        <f ca="1">IFERROR(__xludf.DUMMYFUNCTION("""COMPUTED_VALUE"""),5.95)</f>
        <v>5.95</v>
      </c>
      <c r="G862" s="112">
        <f ca="1">IFERROR(__xludf.DUMMYFUNCTION("""COMPUTED_VALUE"""),41529.7055555555)</f>
        <v>41529.705555555498</v>
      </c>
      <c r="H862" s="111">
        <f ca="1">IFERROR(__xludf.DUMMYFUNCTION("""COMPUTED_VALUE"""),17.85)</f>
        <v>17.850000000000001</v>
      </c>
      <c r="K862" s="112">
        <f ca="1">IFERROR(__xludf.DUMMYFUNCTION("""COMPUTED_VALUE"""),41978.7055555555)</f>
        <v>41978.705555555498</v>
      </c>
      <c r="L862" s="111">
        <f ca="1">IFERROR(__xludf.DUMMYFUNCTION("""COMPUTED_VALUE"""),0.25)</f>
        <v>0.25</v>
      </c>
      <c r="M862" s="112">
        <f ca="1">IFERROR(__xludf.DUMMYFUNCTION("""COMPUTED_VALUE"""),41446.7055555555)</f>
        <v>41446.705555555498</v>
      </c>
      <c r="N862" s="111">
        <f ca="1">IFERROR(__xludf.DUMMYFUNCTION("""COMPUTED_VALUE"""),12.25)</f>
        <v>12.25</v>
      </c>
      <c r="O862" s="112">
        <f ca="1">IFERROR(__xludf.DUMMYFUNCTION("""COMPUTED_VALUE"""),41522.7055555555)</f>
        <v>41522.705555555498</v>
      </c>
      <c r="P862" s="111">
        <f ca="1">IFERROR(__xludf.DUMMYFUNCTION("""COMPUTED_VALUE"""),35.99)</f>
        <v>35.99</v>
      </c>
      <c r="Q862" s="112">
        <f ca="1">IFERROR(__xludf.DUMMYFUNCTION("""COMPUTED_VALUE"""),41520.7055555555)</f>
        <v>41520.705555555498</v>
      </c>
      <c r="R862" s="111">
        <f ca="1">IFERROR(__xludf.DUMMYFUNCTION("""COMPUTED_VALUE"""),23.03)</f>
        <v>23.03</v>
      </c>
      <c r="S862" s="112">
        <f ca="1">IFERROR(__xludf.DUMMYFUNCTION("""COMPUTED_VALUE"""),41533.7055555555)</f>
        <v>41533.705555555498</v>
      </c>
      <c r="T862" s="111">
        <f ca="1">IFERROR(__xludf.DUMMYFUNCTION("""COMPUTED_VALUE"""),10.07)</f>
        <v>10.07</v>
      </c>
    </row>
    <row r="863" spans="1:20" x14ac:dyDescent="0.3">
      <c r="A863" s="112">
        <f ca="1">IFERROR(__xludf.DUMMYFUNCTION("""COMPUTED_VALUE"""),41529.7055555555)</f>
        <v>41529.705555555498</v>
      </c>
      <c r="B863" s="111">
        <f ca="1">IFERROR(__xludf.DUMMYFUNCTION("""COMPUTED_VALUE"""),5.94)</f>
        <v>5.94</v>
      </c>
      <c r="C863" s="112">
        <f ca="1">IFERROR(__xludf.DUMMYFUNCTION("""COMPUTED_VALUE"""),41536.7055555555)</f>
        <v>41536.705555555498</v>
      </c>
      <c r="D863" s="111">
        <f ca="1">IFERROR(__xludf.DUMMYFUNCTION("""COMPUTED_VALUE"""),16.18)</f>
        <v>16.18</v>
      </c>
      <c r="E863" s="112">
        <f ca="1">IFERROR(__xludf.DUMMYFUNCTION("""COMPUTED_VALUE"""),41537.7055555555)</f>
        <v>41537.705555555498</v>
      </c>
      <c r="F863" s="111">
        <f ca="1">IFERROR(__xludf.DUMMYFUNCTION("""COMPUTED_VALUE"""),5.77)</f>
        <v>5.77</v>
      </c>
      <c r="G863" s="112">
        <f ca="1">IFERROR(__xludf.DUMMYFUNCTION("""COMPUTED_VALUE"""),41530.7055555555)</f>
        <v>41530.705555555498</v>
      </c>
      <c r="H863" s="111">
        <f ca="1">IFERROR(__xludf.DUMMYFUNCTION("""COMPUTED_VALUE"""),18.13)</f>
        <v>18.13</v>
      </c>
      <c r="K863" s="112">
        <f ca="1">IFERROR(__xludf.DUMMYFUNCTION("""COMPUTED_VALUE"""),41981.7055555555)</f>
        <v>41981.705555555498</v>
      </c>
      <c r="L863" s="111">
        <f ca="1">IFERROR(__xludf.DUMMYFUNCTION("""COMPUTED_VALUE"""),0.24)</f>
        <v>0.24</v>
      </c>
      <c r="M863" s="112">
        <f ca="1">IFERROR(__xludf.DUMMYFUNCTION("""COMPUTED_VALUE"""),41449.7055555555)</f>
        <v>41449.705555555498</v>
      </c>
      <c r="N863" s="111">
        <f ca="1">IFERROR(__xludf.DUMMYFUNCTION("""COMPUTED_VALUE"""),12.01)</f>
        <v>12.01</v>
      </c>
      <c r="O863" s="112">
        <f ca="1">IFERROR(__xludf.DUMMYFUNCTION("""COMPUTED_VALUE"""),41523.7055555555)</f>
        <v>41523.705555555498</v>
      </c>
      <c r="P863" s="111">
        <f ca="1">IFERROR(__xludf.DUMMYFUNCTION("""COMPUTED_VALUE"""),35.88)</f>
        <v>35.880000000000003</v>
      </c>
      <c r="Q863" s="112">
        <f ca="1">IFERROR(__xludf.DUMMYFUNCTION("""COMPUTED_VALUE"""),41521.7055555555)</f>
        <v>41521.705555555498</v>
      </c>
      <c r="R863" s="111">
        <f ca="1">IFERROR(__xludf.DUMMYFUNCTION("""COMPUTED_VALUE"""),23.21)</f>
        <v>23.21</v>
      </c>
      <c r="S863" s="112">
        <f ca="1">IFERROR(__xludf.DUMMYFUNCTION("""COMPUTED_VALUE"""),41534.7055555555)</f>
        <v>41534.705555555498</v>
      </c>
      <c r="T863" s="111">
        <f ca="1">IFERROR(__xludf.DUMMYFUNCTION("""COMPUTED_VALUE"""),10.16)</f>
        <v>10.16</v>
      </c>
    </row>
    <row r="864" spans="1:20" x14ac:dyDescent="0.3">
      <c r="A864" s="112">
        <f ca="1">IFERROR(__xludf.DUMMYFUNCTION("""COMPUTED_VALUE"""),41530.7055555555)</f>
        <v>41530.705555555498</v>
      </c>
      <c r="B864" s="111">
        <f ca="1">IFERROR(__xludf.DUMMYFUNCTION("""COMPUTED_VALUE"""),6.01)</f>
        <v>6.01</v>
      </c>
      <c r="C864" s="112">
        <f ca="1">IFERROR(__xludf.DUMMYFUNCTION("""COMPUTED_VALUE"""),41537.7055555555)</f>
        <v>41537.705555555498</v>
      </c>
      <c r="D864" s="111">
        <f ca="1">IFERROR(__xludf.DUMMYFUNCTION("""COMPUTED_VALUE"""),15.69)</f>
        <v>15.69</v>
      </c>
      <c r="E864" s="112">
        <f ca="1">IFERROR(__xludf.DUMMYFUNCTION("""COMPUTED_VALUE"""),41540.7055555555)</f>
        <v>41540.705555555498</v>
      </c>
      <c r="F864" s="111">
        <f ca="1">IFERROR(__xludf.DUMMYFUNCTION("""COMPUTED_VALUE"""),5.88)</f>
        <v>5.88</v>
      </c>
      <c r="G864" s="112">
        <f ca="1">IFERROR(__xludf.DUMMYFUNCTION("""COMPUTED_VALUE"""),41533.7055555555)</f>
        <v>41533.705555555498</v>
      </c>
      <c r="H864" s="111">
        <f ca="1">IFERROR(__xludf.DUMMYFUNCTION("""COMPUTED_VALUE"""),18.45)</f>
        <v>18.45</v>
      </c>
      <c r="K864" s="112">
        <f ca="1">IFERROR(__xludf.DUMMYFUNCTION("""COMPUTED_VALUE"""),41982.7055555555)</f>
        <v>41982.705555555498</v>
      </c>
      <c r="L864" s="111">
        <f ca="1">IFERROR(__xludf.DUMMYFUNCTION("""COMPUTED_VALUE"""),0.24)</f>
        <v>0.24</v>
      </c>
      <c r="M864" s="112">
        <f ca="1">IFERROR(__xludf.DUMMYFUNCTION("""COMPUTED_VALUE"""),41450.7055555555)</f>
        <v>41450.705555555498</v>
      </c>
      <c r="N864" s="111">
        <f ca="1">IFERROR(__xludf.DUMMYFUNCTION("""COMPUTED_VALUE"""),12.07)</f>
        <v>12.07</v>
      </c>
      <c r="O864" s="112">
        <f ca="1">IFERROR(__xludf.DUMMYFUNCTION("""COMPUTED_VALUE"""),41526.7055555555)</f>
        <v>41526.705555555498</v>
      </c>
      <c r="P864" s="111">
        <f ca="1">IFERROR(__xludf.DUMMYFUNCTION("""COMPUTED_VALUE"""),36.95)</f>
        <v>36.950000000000003</v>
      </c>
      <c r="Q864" s="112">
        <f ca="1">IFERROR(__xludf.DUMMYFUNCTION("""COMPUTED_VALUE"""),41522.7055555555)</f>
        <v>41522.705555555498</v>
      </c>
      <c r="R864" s="111">
        <f ca="1">IFERROR(__xludf.DUMMYFUNCTION("""COMPUTED_VALUE"""),23.57)</f>
        <v>23.57</v>
      </c>
      <c r="S864" s="112">
        <f ca="1">IFERROR(__xludf.DUMMYFUNCTION("""COMPUTED_VALUE"""),41535.7055555555)</f>
        <v>41535.705555555498</v>
      </c>
      <c r="T864" s="111">
        <f ca="1">IFERROR(__xludf.DUMMYFUNCTION("""COMPUTED_VALUE"""),10.57)</f>
        <v>10.57</v>
      </c>
    </row>
    <row r="865" spans="1:20" x14ac:dyDescent="0.3">
      <c r="A865" s="112">
        <f ca="1">IFERROR(__xludf.DUMMYFUNCTION("""COMPUTED_VALUE"""),41533.7055555555)</f>
        <v>41533.705555555498</v>
      </c>
      <c r="B865" s="111">
        <f ca="1">IFERROR(__xludf.DUMMYFUNCTION("""COMPUTED_VALUE"""),5.93)</f>
        <v>5.93</v>
      </c>
      <c r="C865" s="112">
        <f ca="1">IFERROR(__xludf.DUMMYFUNCTION("""COMPUTED_VALUE"""),41540.7055555555)</f>
        <v>41540.705555555498</v>
      </c>
      <c r="D865" s="111">
        <f ca="1">IFERROR(__xludf.DUMMYFUNCTION("""COMPUTED_VALUE"""),15.83)</f>
        <v>15.83</v>
      </c>
      <c r="E865" s="112">
        <f ca="1">IFERROR(__xludf.DUMMYFUNCTION("""COMPUTED_VALUE"""),41541.7055555555)</f>
        <v>41541.705555555498</v>
      </c>
      <c r="F865" s="111">
        <f ca="1">IFERROR(__xludf.DUMMYFUNCTION("""COMPUTED_VALUE"""),5.86)</f>
        <v>5.86</v>
      </c>
      <c r="G865" s="112">
        <f ca="1">IFERROR(__xludf.DUMMYFUNCTION("""COMPUTED_VALUE"""),41534.7055555555)</f>
        <v>41534.705555555498</v>
      </c>
      <c r="H865" s="111">
        <f ca="1">IFERROR(__xludf.DUMMYFUNCTION("""COMPUTED_VALUE"""),18.53)</f>
        <v>18.53</v>
      </c>
      <c r="K865" s="112">
        <f ca="1">IFERROR(__xludf.DUMMYFUNCTION("""COMPUTED_VALUE"""),41983.7055555555)</f>
        <v>41983.705555555498</v>
      </c>
      <c r="L865" s="111">
        <f ca="1">IFERROR(__xludf.DUMMYFUNCTION("""COMPUTED_VALUE"""),0.24)</f>
        <v>0.24</v>
      </c>
      <c r="M865" s="112">
        <f ca="1">IFERROR(__xludf.DUMMYFUNCTION("""COMPUTED_VALUE"""),41451.7055555555)</f>
        <v>41451.705555555498</v>
      </c>
      <c r="N865" s="111">
        <f ca="1">IFERROR(__xludf.DUMMYFUNCTION("""COMPUTED_VALUE"""),12.18)</f>
        <v>12.18</v>
      </c>
      <c r="O865" s="112">
        <f ca="1">IFERROR(__xludf.DUMMYFUNCTION("""COMPUTED_VALUE"""),41527.7055555555)</f>
        <v>41527.705555555498</v>
      </c>
      <c r="P865" s="111">
        <f ca="1">IFERROR(__xludf.DUMMYFUNCTION("""COMPUTED_VALUE"""),37.85)</f>
        <v>37.85</v>
      </c>
      <c r="Q865" s="112">
        <f ca="1">IFERROR(__xludf.DUMMYFUNCTION("""COMPUTED_VALUE"""),41523.7055555555)</f>
        <v>41523.705555555498</v>
      </c>
      <c r="R865" s="111">
        <f ca="1">IFERROR(__xludf.DUMMYFUNCTION("""COMPUTED_VALUE"""),23.75)</f>
        <v>23.75</v>
      </c>
      <c r="S865" s="112">
        <f ca="1">IFERROR(__xludf.DUMMYFUNCTION("""COMPUTED_VALUE"""),41536.7055555555)</f>
        <v>41536.705555555498</v>
      </c>
      <c r="T865" s="111">
        <f ca="1">IFERROR(__xludf.DUMMYFUNCTION("""COMPUTED_VALUE"""),10.3)</f>
        <v>10.3</v>
      </c>
    </row>
    <row r="866" spans="1:20" x14ac:dyDescent="0.3">
      <c r="A866" s="112">
        <f ca="1">IFERROR(__xludf.DUMMYFUNCTION("""COMPUTED_VALUE"""),41534.7055555555)</f>
        <v>41534.705555555498</v>
      </c>
      <c r="B866" s="111">
        <f ca="1">IFERROR(__xludf.DUMMYFUNCTION("""COMPUTED_VALUE"""),6.15)</f>
        <v>6.15</v>
      </c>
      <c r="C866" s="112">
        <f ca="1">IFERROR(__xludf.DUMMYFUNCTION("""COMPUTED_VALUE"""),41541.7055555555)</f>
        <v>41541.705555555498</v>
      </c>
      <c r="D866" s="111">
        <f ca="1">IFERROR(__xludf.DUMMYFUNCTION("""COMPUTED_VALUE"""),15.77)</f>
        <v>15.77</v>
      </c>
      <c r="E866" s="112">
        <f ca="1">IFERROR(__xludf.DUMMYFUNCTION("""COMPUTED_VALUE"""),41542.7055555555)</f>
        <v>41542.705555555498</v>
      </c>
      <c r="F866" s="111">
        <f ca="1">IFERROR(__xludf.DUMMYFUNCTION("""COMPUTED_VALUE"""),5.86)</f>
        <v>5.86</v>
      </c>
      <c r="G866" s="112">
        <f ca="1">IFERROR(__xludf.DUMMYFUNCTION("""COMPUTED_VALUE"""),41535.7055555555)</f>
        <v>41535.705555555498</v>
      </c>
      <c r="H866" s="111">
        <f ca="1">IFERROR(__xludf.DUMMYFUNCTION("""COMPUTED_VALUE"""),18.9)</f>
        <v>18.899999999999999</v>
      </c>
      <c r="K866" s="112">
        <f ca="1">IFERROR(__xludf.DUMMYFUNCTION("""COMPUTED_VALUE"""),41984.7055555555)</f>
        <v>41984.705555555498</v>
      </c>
      <c r="L866" s="111">
        <f ca="1">IFERROR(__xludf.DUMMYFUNCTION("""COMPUTED_VALUE"""),0.24)</f>
        <v>0.24</v>
      </c>
      <c r="M866" s="112">
        <f ca="1">IFERROR(__xludf.DUMMYFUNCTION("""COMPUTED_VALUE"""),41452.7055555555)</f>
        <v>41452.705555555498</v>
      </c>
      <c r="N866" s="111">
        <f ca="1">IFERROR(__xludf.DUMMYFUNCTION("""COMPUTED_VALUE"""),12.31)</f>
        <v>12.31</v>
      </c>
      <c r="O866" s="112">
        <f ca="1">IFERROR(__xludf.DUMMYFUNCTION("""COMPUTED_VALUE"""),41528.7055555555)</f>
        <v>41528.705555555498</v>
      </c>
      <c r="P866" s="111">
        <f ca="1">IFERROR(__xludf.DUMMYFUNCTION("""COMPUTED_VALUE"""),37.14)</f>
        <v>37.14</v>
      </c>
      <c r="Q866" s="112">
        <f ca="1">IFERROR(__xludf.DUMMYFUNCTION("""COMPUTED_VALUE"""),41526.7055555555)</f>
        <v>41526.705555555498</v>
      </c>
      <c r="R866" s="111">
        <f ca="1">IFERROR(__xludf.DUMMYFUNCTION("""COMPUTED_VALUE"""),24.24)</f>
        <v>24.24</v>
      </c>
      <c r="S866" s="112">
        <f ca="1">IFERROR(__xludf.DUMMYFUNCTION("""COMPUTED_VALUE"""),41537.7055555555)</f>
        <v>41537.705555555498</v>
      </c>
      <c r="T866" s="111">
        <f ca="1">IFERROR(__xludf.DUMMYFUNCTION("""COMPUTED_VALUE"""),10.05)</f>
        <v>10.050000000000001</v>
      </c>
    </row>
    <row r="867" spans="1:20" x14ac:dyDescent="0.3">
      <c r="A867" s="112">
        <f ca="1">IFERROR(__xludf.DUMMYFUNCTION("""COMPUTED_VALUE"""),41535.7055555555)</f>
        <v>41535.705555555498</v>
      </c>
      <c r="B867" s="111">
        <f ca="1">IFERROR(__xludf.DUMMYFUNCTION("""COMPUTED_VALUE"""),6.27)</f>
        <v>6.27</v>
      </c>
      <c r="C867" s="112">
        <f ca="1">IFERROR(__xludf.DUMMYFUNCTION("""COMPUTED_VALUE"""),41542.7055555555)</f>
        <v>41542.705555555498</v>
      </c>
      <c r="D867" s="111">
        <f ca="1">IFERROR(__xludf.DUMMYFUNCTION("""COMPUTED_VALUE"""),15.78)</f>
        <v>15.78</v>
      </c>
      <c r="E867" s="112">
        <f ca="1">IFERROR(__xludf.DUMMYFUNCTION("""COMPUTED_VALUE"""),41543.7055555555)</f>
        <v>41543.705555555498</v>
      </c>
      <c r="F867" s="111">
        <f ca="1">IFERROR(__xludf.DUMMYFUNCTION("""COMPUTED_VALUE"""),5.84)</f>
        <v>5.84</v>
      </c>
      <c r="G867" s="112">
        <f ca="1">IFERROR(__xludf.DUMMYFUNCTION("""COMPUTED_VALUE"""),41536.7055555555)</f>
        <v>41536.705555555498</v>
      </c>
      <c r="H867" s="111">
        <f ca="1">IFERROR(__xludf.DUMMYFUNCTION("""COMPUTED_VALUE"""),19.16)</f>
        <v>19.16</v>
      </c>
      <c r="K867" s="112">
        <f ca="1">IFERROR(__xludf.DUMMYFUNCTION("""COMPUTED_VALUE"""),41985.7055555555)</f>
        <v>41985.705555555498</v>
      </c>
      <c r="L867" s="111">
        <f ca="1">IFERROR(__xludf.DUMMYFUNCTION("""COMPUTED_VALUE"""),0.23)</f>
        <v>0.23</v>
      </c>
      <c r="M867" s="112">
        <f ca="1">IFERROR(__xludf.DUMMYFUNCTION("""COMPUTED_VALUE"""),41453.7055555555)</f>
        <v>41453.705555555498</v>
      </c>
      <c r="N867" s="111">
        <f ca="1">IFERROR(__xludf.DUMMYFUNCTION("""COMPUTED_VALUE"""),12.42)</f>
        <v>12.42</v>
      </c>
      <c r="O867" s="112">
        <f ca="1">IFERROR(__xludf.DUMMYFUNCTION("""COMPUTED_VALUE"""),41529.7055555555)</f>
        <v>41529.705555555498</v>
      </c>
      <c r="P867" s="111">
        <f ca="1">IFERROR(__xludf.DUMMYFUNCTION("""COMPUTED_VALUE"""),36.95)</f>
        <v>36.950000000000003</v>
      </c>
      <c r="Q867" s="112">
        <f ca="1">IFERROR(__xludf.DUMMYFUNCTION("""COMPUTED_VALUE"""),41527.7055555555)</f>
        <v>41527.705555555498</v>
      </c>
      <c r="R867" s="111">
        <f ca="1">IFERROR(__xludf.DUMMYFUNCTION("""COMPUTED_VALUE"""),24.65)</f>
        <v>24.65</v>
      </c>
      <c r="S867" s="112">
        <f ca="1">IFERROR(__xludf.DUMMYFUNCTION("""COMPUTED_VALUE"""),41540.7055555555)</f>
        <v>41540.705555555498</v>
      </c>
      <c r="T867" s="111">
        <f ca="1">IFERROR(__xludf.DUMMYFUNCTION("""COMPUTED_VALUE"""),10.29)</f>
        <v>10.29</v>
      </c>
    </row>
    <row r="868" spans="1:20" x14ac:dyDescent="0.3">
      <c r="A868" s="112">
        <f ca="1">IFERROR(__xludf.DUMMYFUNCTION("""COMPUTED_VALUE"""),41536.7055555555)</f>
        <v>41536.705555555498</v>
      </c>
      <c r="B868" s="111">
        <f ca="1">IFERROR(__xludf.DUMMYFUNCTION("""COMPUTED_VALUE"""),6.08)</f>
        <v>6.08</v>
      </c>
      <c r="C868" s="112">
        <f ca="1">IFERROR(__xludf.DUMMYFUNCTION("""COMPUTED_VALUE"""),41543.7055555555)</f>
        <v>41543.705555555498</v>
      </c>
      <c r="D868" s="111">
        <f ca="1">IFERROR(__xludf.DUMMYFUNCTION("""COMPUTED_VALUE"""),15.78)</f>
        <v>15.78</v>
      </c>
      <c r="E868" s="112">
        <f ca="1">IFERROR(__xludf.DUMMYFUNCTION("""COMPUTED_VALUE"""),41544.7055555555)</f>
        <v>41544.705555555498</v>
      </c>
      <c r="F868" s="111">
        <f ca="1">IFERROR(__xludf.DUMMYFUNCTION("""COMPUTED_VALUE"""),5.98)</f>
        <v>5.98</v>
      </c>
      <c r="G868" s="112">
        <f ca="1">IFERROR(__xludf.DUMMYFUNCTION("""COMPUTED_VALUE"""),41537.7055555555)</f>
        <v>41537.705555555498</v>
      </c>
      <c r="H868" s="111">
        <f ca="1">IFERROR(__xludf.DUMMYFUNCTION("""COMPUTED_VALUE"""),18.94)</f>
        <v>18.940000000000001</v>
      </c>
      <c r="K868" s="112">
        <f ca="1">IFERROR(__xludf.DUMMYFUNCTION("""COMPUTED_VALUE"""),41988.7055555555)</f>
        <v>41988.705555555498</v>
      </c>
      <c r="L868" s="111">
        <f ca="1">IFERROR(__xludf.DUMMYFUNCTION("""COMPUTED_VALUE"""),0.22)</f>
        <v>0.22</v>
      </c>
      <c r="M868" s="112">
        <f ca="1">IFERROR(__xludf.DUMMYFUNCTION("""COMPUTED_VALUE"""),41456.7055555555)</f>
        <v>41456.705555555498</v>
      </c>
      <c r="N868" s="111">
        <f ca="1">IFERROR(__xludf.DUMMYFUNCTION("""COMPUTED_VALUE"""),12.42)</f>
        <v>12.42</v>
      </c>
      <c r="O868" s="112">
        <f ca="1">IFERROR(__xludf.DUMMYFUNCTION("""COMPUTED_VALUE"""),41530.7055555555)</f>
        <v>41530.705555555498</v>
      </c>
      <c r="P868" s="111">
        <f ca="1">IFERROR(__xludf.DUMMYFUNCTION("""COMPUTED_VALUE"""),36.59)</f>
        <v>36.590000000000003</v>
      </c>
      <c r="Q868" s="112">
        <f ca="1">IFERROR(__xludf.DUMMYFUNCTION("""COMPUTED_VALUE"""),41528.7055555555)</f>
        <v>41528.705555555498</v>
      </c>
      <c r="R868" s="111">
        <f ca="1">IFERROR(__xludf.DUMMYFUNCTION("""COMPUTED_VALUE"""),24.19)</f>
        <v>24.19</v>
      </c>
      <c r="S868" s="112">
        <f ca="1">IFERROR(__xludf.DUMMYFUNCTION("""COMPUTED_VALUE"""),41541.7055555555)</f>
        <v>41541.705555555498</v>
      </c>
      <c r="T868" s="111">
        <f ca="1">IFERROR(__xludf.DUMMYFUNCTION("""COMPUTED_VALUE"""),10.2)</f>
        <v>10.199999999999999</v>
      </c>
    </row>
    <row r="869" spans="1:20" x14ac:dyDescent="0.3">
      <c r="A869" s="112">
        <f ca="1">IFERROR(__xludf.DUMMYFUNCTION("""COMPUTED_VALUE"""),41537.7055555555)</f>
        <v>41537.705555555498</v>
      </c>
      <c r="B869" s="111">
        <f ca="1">IFERROR(__xludf.DUMMYFUNCTION("""COMPUTED_VALUE"""),6.13)</f>
        <v>6.13</v>
      </c>
      <c r="C869" s="112">
        <f ca="1">IFERROR(__xludf.DUMMYFUNCTION("""COMPUTED_VALUE"""),41544.7055555555)</f>
        <v>41544.705555555498</v>
      </c>
      <c r="D869" s="111">
        <f ca="1">IFERROR(__xludf.DUMMYFUNCTION("""COMPUTED_VALUE"""),16.13)</f>
        <v>16.13</v>
      </c>
      <c r="E869" s="112">
        <f ca="1">IFERROR(__xludf.DUMMYFUNCTION("""COMPUTED_VALUE"""),41547.7055555555)</f>
        <v>41547.705555555498</v>
      </c>
      <c r="F869" s="111">
        <f ca="1">IFERROR(__xludf.DUMMYFUNCTION("""COMPUTED_VALUE"""),5.85)</f>
        <v>5.85</v>
      </c>
      <c r="G869" s="112">
        <f ca="1">IFERROR(__xludf.DUMMYFUNCTION("""COMPUTED_VALUE"""),41540.7055555555)</f>
        <v>41540.705555555498</v>
      </c>
      <c r="H869" s="111">
        <f ca="1">IFERROR(__xludf.DUMMYFUNCTION("""COMPUTED_VALUE"""),19.15)</f>
        <v>19.149999999999999</v>
      </c>
      <c r="K869" s="112">
        <f ca="1">IFERROR(__xludf.DUMMYFUNCTION("""COMPUTED_VALUE"""),41989.7055555555)</f>
        <v>41989.705555555498</v>
      </c>
      <c r="L869" s="111">
        <f ca="1">IFERROR(__xludf.DUMMYFUNCTION("""COMPUTED_VALUE"""),0.23)</f>
        <v>0.23</v>
      </c>
      <c r="M869" s="112">
        <f ca="1">IFERROR(__xludf.DUMMYFUNCTION("""COMPUTED_VALUE"""),41457.7055555555)</f>
        <v>41457.705555555498</v>
      </c>
      <c r="N869" s="111">
        <f ca="1">IFERROR(__xludf.DUMMYFUNCTION("""COMPUTED_VALUE"""),11.78)</f>
        <v>11.78</v>
      </c>
      <c r="O869" s="112">
        <f ca="1">IFERROR(__xludf.DUMMYFUNCTION("""COMPUTED_VALUE"""),41533.7055555555)</f>
        <v>41533.705555555498</v>
      </c>
      <c r="P869" s="111">
        <f ca="1">IFERROR(__xludf.DUMMYFUNCTION("""COMPUTED_VALUE"""),36.39)</f>
        <v>36.39</v>
      </c>
      <c r="Q869" s="112">
        <f ca="1">IFERROR(__xludf.DUMMYFUNCTION("""COMPUTED_VALUE"""),41529.7055555555)</f>
        <v>41529.705555555498</v>
      </c>
      <c r="R869" s="111">
        <f ca="1">IFERROR(__xludf.DUMMYFUNCTION("""COMPUTED_VALUE"""),23.78)</f>
        <v>23.78</v>
      </c>
      <c r="S869" s="112">
        <f ca="1">IFERROR(__xludf.DUMMYFUNCTION("""COMPUTED_VALUE"""),41542.7055555555)</f>
        <v>41542.705555555498</v>
      </c>
      <c r="T869" s="111">
        <f ca="1">IFERROR(__xludf.DUMMYFUNCTION("""COMPUTED_VALUE"""),10.08)</f>
        <v>10.08</v>
      </c>
    </row>
    <row r="870" spans="1:20" x14ac:dyDescent="0.3">
      <c r="A870" s="112">
        <f ca="1">IFERROR(__xludf.DUMMYFUNCTION("""COMPUTED_VALUE"""),41540.7055555555)</f>
        <v>41540.705555555498</v>
      </c>
      <c r="B870" s="111">
        <f ca="1">IFERROR(__xludf.DUMMYFUNCTION("""COMPUTED_VALUE"""),6.18)</f>
        <v>6.18</v>
      </c>
      <c r="C870" s="112">
        <f ca="1">IFERROR(__xludf.DUMMYFUNCTION("""COMPUTED_VALUE"""),41547.7055555555)</f>
        <v>41547.705555555498</v>
      </c>
      <c r="D870" s="111">
        <f ca="1">IFERROR(__xludf.DUMMYFUNCTION("""COMPUTED_VALUE"""),15.75)</f>
        <v>15.75</v>
      </c>
      <c r="E870" s="112">
        <f ca="1">IFERROR(__xludf.DUMMYFUNCTION("""COMPUTED_VALUE"""),41548.7055555555)</f>
        <v>41548.705555555498</v>
      </c>
      <c r="F870" s="111">
        <f ca="1">IFERROR(__xludf.DUMMYFUNCTION("""COMPUTED_VALUE"""),5.89)</f>
        <v>5.89</v>
      </c>
      <c r="G870" s="112">
        <f ca="1">IFERROR(__xludf.DUMMYFUNCTION("""COMPUTED_VALUE"""),41541.7055555555)</f>
        <v>41541.705555555498</v>
      </c>
      <c r="H870" s="111">
        <f ca="1">IFERROR(__xludf.DUMMYFUNCTION("""COMPUTED_VALUE"""),18.77)</f>
        <v>18.77</v>
      </c>
      <c r="K870" s="112">
        <f ca="1">IFERROR(__xludf.DUMMYFUNCTION("""COMPUTED_VALUE"""),41990.7055555555)</f>
        <v>41990.705555555498</v>
      </c>
      <c r="L870" s="111">
        <f ca="1">IFERROR(__xludf.DUMMYFUNCTION("""COMPUTED_VALUE"""),0.23)</f>
        <v>0.23</v>
      </c>
      <c r="M870" s="112">
        <f ca="1">IFERROR(__xludf.DUMMYFUNCTION("""COMPUTED_VALUE"""),41458.7055555555)</f>
        <v>41458.705555555498</v>
      </c>
      <c r="N870" s="111">
        <f ca="1">IFERROR(__xludf.DUMMYFUNCTION("""COMPUTED_VALUE"""),11.68)</f>
        <v>11.68</v>
      </c>
      <c r="O870" s="112">
        <f ca="1">IFERROR(__xludf.DUMMYFUNCTION("""COMPUTED_VALUE"""),41534.7055555555)</f>
        <v>41534.705555555498</v>
      </c>
      <c r="P870" s="111">
        <f ca="1">IFERROR(__xludf.DUMMYFUNCTION("""COMPUTED_VALUE"""),36.49)</f>
        <v>36.49</v>
      </c>
      <c r="Q870" s="112">
        <f ca="1">IFERROR(__xludf.DUMMYFUNCTION("""COMPUTED_VALUE"""),41530.7055555555)</f>
        <v>41530.705555555498</v>
      </c>
      <c r="R870" s="111">
        <f ca="1">IFERROR(__xludf.DUMMYFUNCTION("""COMPUTED_VALUE"""),24.1)</f>
        <v>24.1</v>
      </c>
      <c r="S870" s="112">
        <f ca="1">IFERROR(__xludf.DUMMYFUNCTION("""COMPUTED_VALUE"""),41543.7055555555)</f>
        <v>41543.705555555498</v>
      </c>
      <c r="T870" s="111">
        <f ca="1">IFERROR(__xludf.DUMMYFUNCTION("""COMPUTED_VALUE"""),9.99)</f>
        <v>9.99</v>
      </c>
    </row>
    <row r="871" spans="1:20" x14ac:dyDescent="0.3">
      <c r="A871" s="112">
        <f ca="1">IFERROR(__xludf.DUMMYFUNCTION("""COMPUTED_VALUE"""),41541.7055555555)</f>
        <v>41541.705555555498</v>
      </c>
      <c r="B871" s="111">
        <f ca="1">IFERROR(__xludf.DUMMYFUNCTION("""COMPUTED_VALUE"""),6.13)</f>
        <v>6.13</v>
      </c>
      <c r="C871" s="112">
        <f ca="1">IFERROR(__xludf.DUMMYFUNCTION("""COMPUTED_VALUE"""),41548.7055555555)</f>
        <v>41548.705555555498</v>
      </c>
      <c r="D871" s="111">
        <f ca="1">IFERROR(__xludf.DUMMYFUNCTION("""COMPUTED_VALUE"""),15.91)</f>
        <v>15.91</v>
      </c>
      <c r="E871" s="112">
        <f ca="1">IFERROR(__xludf.DUMMYFUNCTION("""COMPUTED_VALUE"""),41549.7055555555)</f>
        <v>41549.705555555498</v>
      </c>
      <c r="F871" s="111">
        <f ca="1">IFERROR(__xludf.DUMMYFUNCTION("""COMPUTED_VALUE"""),5.87)</f>
        <v>5.87</v>
      </c>
      <c r="G871" s="112">
        <f ca="1">IFERROR(__xludf.DUMMYFUNCTION("""COMPUTED_VALUE"""),41542.7055555555)</f>
        <v>41542.705555555498</v>
      </c>
      <c r="H871" s="111">
        <f ca="1">IFERROR(__xludf.DUMMYFUNCTION("""COMPUTED_VALUE"""),18.8)</f>
        <v>18.8</v>
      </c>
      <c r="K871" s="112">
        <f ca="1">IFERROR(__xludf.DUMMYFUNCTION("""COMPUTED_VALUE"""),41991.7055555555)</f>
        <v>41991.705555555498</v>
      </c>
      <c r="L871" s="111">
        <f ca="1">IFERROR(__xludf.DUMMYFUNCTION("""COMPUTED_VALUE"""),0.23)</f>
        <v>0.23</v>
      </c>
      <c r="M871" s="112">
        <f ca="1">IFERROR(__xludf.DUMMYFUNCTION("""COMPUTED_VALUE"""),41459.7055555555)</f>
        <v>41459.705555555498</v>
      </c>
      <c r="N871" s="111">
        <f ca="1">IFERROR(__xludf.DUMMYFUNCTION("""COMPUTED_VALUE"""),11.66)</f>
        <v>11.66</v>
      </c>
      <c r="O871" s="112">
        <f ca="1">IFERROR(__xludf.DUMMYFUNCTION("""COMPUTED_VALUE"""),41535.7055555555)</f>
        <v>41535.705555555498</v>
      </c>
      <c r="P871" s="111">
        <f ca="1">IFERROR(__xludf.DUMMYFUNCTION("""COMPUTED_VALUE"""),36.53)</f>
        <v>36.53</v>
      </c>
      <c r="Q871" s="112">
        <f ca="1">IFERROR(__xludf.DUMMYFUNCTION("""COMPUTED_VALUE"""),41533.7055555555)</f>
        <v>41533.705555555498</v>
      </c>
      <c r="R871" s="111">
        <f ca="1">IFERROR(__xludf.DUMMYFUNCTION("""COMPUTED_VALUE"""),24.14)</f>
        <v>24.14</v>
      </c>
      <c r="S871" s="112">
        <f ca="1">IFERROR(__xludf.DUMMYFUNCTION("""COMPUTED_VALUE"""),41544.7055555555)</f>
        <v>41544.705555555498</v>
      </c>
      <c r="T871" s="111">
        <f ca="1">IFERROR(__xludf.DUMMYFUNCTION("""COMPUTED_VALUE"""),9.71)</f>
        <v>9.7100000000000009</v>
      </c>
    </row>
    <row r="872" spans="1:20" x14ac:dyDescent="0.3">
      <c r="A872" s="112">
        <f ca="1">IFERROR(__xludf.DUMMYFUNCTION("""COMPUTED_VALUE"""),41542.7055555555)</f>
        <v>41542.705555555498</v>
      </c>
      <c r="B872" s="111">
        <f ca="1">IFERROR(__xludf.DUMMYFUNCTION("""COMPUTED_VALUE"""),6.14)</f>
        <v>6.14</v>
      </c>
      <c r="C872" s="112">
        <f ca="1">IFERROR(__xludf.DUMMYFUNCTION("""COMPUTED_VALUE"""),41549.7055555555)</f>
        <v>41549.705555555498</v>
      </c>
      <c r="D872" s="111">
        <f ca="1">IFERROR(__xludf.DUMMYFUNCTION("""COMPUTED_VALUE"""),15.84)</f>
        <v>15.84</v>
      </c>
      <c r="E872" s="112">
        <f ca="1">IFERROR(__xludf.DUMMYFUNCTION("""COMPUTED_VALUE"""),41550.7055555555)</f>
        <v>41550.705555555498</v>
      </c>
      <c r="F872" s="111">
        <f ca="1">IFERROR(__xludf.DUMMYFUNCTION("""COMPUTED_VALUE"""),5.85)</f>
        <v>5.85</v>
      </c>
      <c r="G872" s="112">
        <f ca="1">IFERROR(__xludf.DUMMYFUNCTION("""COMPUTED_VALUE"""),41543.7055555555)</f>
        <v>41543.705555555498</v>
      </c>
      <c r="H872" s="111">
        <f ca="1">IFERROR(__xludf.DUMMYFUNCTION("""COMPUTED_VALUE"""),18.59)</f>
        <v>18.59</v>
      </c>
      <c r="K872" s="112">
        <f ca="1">IFERROR(__xludf.DUMMYFUNCTION("""COMPUTED_VALUE"""),41992.7055555555)</f>
        <v>41992.705555555498</v>
      </c>
      <c r="L872" s="111">
        <f ca="1">IFERROR(__xludf.DUMMYFUNCTION("""COMPUTED_VALUE"""),0.24)</f>
        <v>0.24</v>
      </c>
      <c r="M872" s="112">
        <f ca="1">IFERROR(__xludf.DUMMYFUNCTION("""COMPUTED_VALUE"""),41460.7055555555)</f>
        <v>41460.705555555498</v>
      </c>
      <c r="N872" s="111">
        <f ca="1">IFERROR(__xludf.DUMMYFUNCTION("""COMPUTED_VALUE"""),11.26)</f>
        <v>11.26</v>
      </c>
      <c r="O872" s="112">
        <f ca="1">IFERROR(__xludf.DUMMYFUNCTION("""COMPUTED_VALUE"""),41536.7055555555)</f>
        <v>41536.705555555498</v>
      </c>
      <c r="P872" s="111">
        <f ca="1">IFERROR(__xludf.DUMMYFUNCTION("""COMPUTED_VALUE"""),36.38)</f>
        <v>36.380000000000003</v>
      </c>
      <c r="Q872" s="112">
        <f ca="1">IFERROR(__xludf.DUMMYFUNCTION("""COMPUTED_VALUE"""),41534.7055555555)</f>
        <v>41534.705555555498</v>
      </c>
      <c r="R872" s="111">
        <f ca="1">IFERROR(__xludf.DUMMYFUNCTION("""COMPUTED_VALUE"""),24.53)</f>
        <v>24.53</v>
      </c>
      <c r="S872" s="112">
        <f ca="1">IFERROR(__xludf.DUMMYFUNCTION("""COMPUTED_VALUE"""),41547.7055555555)</f>
        <v>41547.705555555498</v>
      </c>
      <c r="T872" s="111">
        <f ca="1">IFERROR(__xludf.DUMMYFUNCTION("""COMPUTED_VALUE"""),9.55)</f>
        <v>9.5500000000000007</v>
      </c>
    </row>
    <row r="873" spans="1:20" x14ac:dyDescent="0.3">
      <c r="A873" s="112">
        <f ca="1">IFERROR(__xludf.DUMMYFUNCTION("""COMPUTED_VALUE"""),41543.7055555555)</f>
        <v>41543.705555555498</v>
      </c>
      <c r="B873" s="111">
        <f ca="1">IFERROR(__xludf.DUMMYFUNCTION("""COMPUTED_VALUE"""),6.13)</f>
        <v>6.13</v>
      </c>
      <c r="C873" s="112">
        <f ca="1">IFERROR(__xludf.DUMMYFUNCTION("""COMPUTED_VALUE"""),41550.7055555555)</f>
        <v>41550.705555555498</v>
      </c>
      <c r="D873" s="111">
        <f ca="1">IFERROR(__xludf.DUMMYFUNCTION("""COMPUTED_VALUE"""),15.88)</f>
        <v>15.88</v>
      </c>
      <c r="E873" s="112">
        <f ca="1">IFERROR(__xludf.DUMMYFUNCTION("""COMPUTED_VALUE"""),41551.7055555555)</f>
        <v>41551.705555555498</v>
      </c>
      <c r="F873" s="111">
        <f ca="1">IFERROR(__xludf.DUMMYFUNCTION("""COMPUTED_VALUE"""),5.85)</f>
        <v>5.85</v>
      </c>
      <c r="G873" s="112">
        <f ca="1">IFERROR(__xludf.DUMMYFUNCTION("""COMPUTED_VALUE"""),41544.7055555555)</f>
        <v>41544.705555555498</v>
      </c>
      <c r="H873" s="111">
        <f ca="1">IFERROR(__xludf.DUMMYFUNCTION("""COMPUTED_VALUE"""),18.48)</f>
        <v>18.48</v>
      </c>
      <c r="K873" s="112">
        <f ca="1">IFERROR(__xludf.DUMMYFUNCTION("""COMPUTED_VALUE"""),41995.7055555555)</f>
        <v>41995.705555555498</v>
      </c>
      <c r="L873" s="111">
        <f ca="1">IFERROR(__xludf.DUMMYFUNCTION("""COMPUTED_VALUE"""),0.24)</f>
        <v>0.24</v>
      </c>
      <c r="M873" s="112">
        <f ca="1">IFERROR(__xludf.DUMMYFUNCTION("""COMPUTED_VALUE"""),41463.7055555555)</f>
        <v>41463.705555555498</v>
      </c>
      <c r="N873" s="111">
        <f ca="1">IFERROR(__xludf.DUMMYFUNCTION("""COMPUTED_VALUE"""),11.21)</f>
        <v>11.21</v>
      </c>
      <c r="O873" s="112">
        <f ca="1">IFERROR(__xludf.DUMMYFUNCTION("""COMPUTED_VALUE"""),41537.7055555555)</f>
        <v>41537.705555555498</v>
      </c>
      <c r="P873" s="111">
        <f ca="1">IFERROR(__xludf.DUMMYFUNCTION("""COMPUTED_VALUE"""),35.77)</f>
        <v>35.770000000000003</v>
      </c>
      <c r="Q873" s="112">
        <f ca="1">IFERROR(__xludf.DUMMYFUNCTION("""COMPUTED_VALUE"""),41535.7055555555)</f>
        <v>41535.705555555498</v>
      </c>
      <c r="R873" s="111">
        <f ca="1">IFERROR(__xludf.DUMMYFUNCTION("""COMPUTED_VALUE"""),25.35)</f>
        <v>25.35</v>
      </c>
      <c r="S873" s="112">
        <f ca="1">IFERROR(__xludf.DUMMYFUNCTION("""COMPUTED_VALUE"""),41548.7055555555)</f>
        <v>41548.705555555498</v>
      </c>
      <c r="T873" s="111">
        <f ca="1">IFERROR(__xludf.DUMMYFUNCTION("""COMPUTED_VALUE"""),9.89)</f>
        <v>9.89</v>
      </c>
    </row>
    <row r="874" spans="1:20" x14ac:dyDescent="0.3">
      <c r="A874" s="112">
        <f ca="1">IFERROR(__xludf.DUMMYFUNCTION("""COMPUTED_VALUE"""),41544.7055555555)</f>
        <v>41544.705555555498</v>
      </c>
      <c r="B874" s="111">
        <f ca="1">IFERROR(__xludf.DUMMYFUNCTION("""COMPUTED_VALUE"""),6.22)</f>
        <v>6.22</v>
      </c>
      <c r="C874" s="112">
        <f ca="1">IFERROR(__xludf.DUMMYFUNCTION("""COMPUTED_VALUE"""),41551.7055555555)</f>
        <v>41551.705555555498</v>
      </c>
      <c r="D874" s="111">
        <f ca="1">IFERROR(__xludf.DUMMYFUNCTION("""COMPUTED_VALUE"""),15.9)</f>
        <v>15.9</v>
      </c>
      <c r="E874" s="112">
        <f ca="1">IFERROR(__xludf.DUMMYFUNCTION("""COMPUTED_VALUE"""),41554.7055555555)</f>
        <v>41554.705555555498</v>
      </c>
      <c r="F874" s="111">
        <f ca="1">IFERROR(__xludf.DUMMYFUNCTION("""COMPUTED_VALUE"""),5.87)</f>
        <v>5.87</v>
      </c>
      <c r="G874" s="112">
        <f ca="1">IFERROR(__xludf.DUMMYFUNCTION("""COMPUTED_VALUE"""),41547.7055555555)</f>
        <v>41547.705555555498</v>
      </c>
      <c r="H874" s="111">
        <f ca="1">IFERROR(__xludf.DUMMYFUNCTION("""COMPUTED_VALUE"""),18.36)</f>
        <v>18.36</v>
      </c>
      <c r="K874" s="112">
        <f ca="1">IFERROR(__xludf.DUMMYFUNCTION("""COMPUTED_VALUE"""),41996.7055555555)</f>
        <v>41996.705555555498</v>
      </c>
      <c r="L874" s="111">
        <f ca="1">IFERROR(__xludf.DUMMYFUNCTION("""COMPUTED_VALUE"""),0.24)</f>
        <v>0.24</v>
      </c>
      <c r="M874" s="112">
        <f ca="1">IFERROR(__xludf.DUMMYFUNCTION("""COMPUTED_VALUE"""),41465.7055555555)</f>
        <v>41465.705555555498</v>
      </c>
      <c r="N874" s="111">
        <f ca="1">IFERROR(__xludf.DUMMYFUNCTION("""COMPUTED_VALUE"""),11.25)</f>
        <v>11.25</v>
      </c>
      <c r="O874" s="112">
        <f ca="1">IFERROR(__xludf.DUMMYFUNCTION("""COMPUTED_VALUE"""),41540.7055555555)</f>
        <v>41540.705555555498</v>
      </c>
      <c r="P874" s="111">
        <f ca="1">IFERROR(__xludf.DUMMYFUNCTION("""COMPUTED_VALUE"""),36.01)</f>
        <v>36.01</v>
      </c>
      <c r="Q874" s="112">
        <f ca="1">IFERROR(__xludf.DUMMYFUNCTION("""COMPUTED_VALUE"""),41536.7055555555)</f>
        <v>41536.705555555498</v>
      </c>
      <c r="R874" s="111">
        <f ca="1">IFERROR(__xludf.DUMMYFUNCTION("""COMPUTED_VALUE"""),25.6)</f>
        <v>25.6</v>
      </c>
      <c r="S874" s="112">
        <f ca="1">IFERROR(__xludf.DUMMYFUNCTION("""COMPUTED_VALUE"""),41549.7055555555)</f>
        <v>41549.705555555498</v>
      </c>
      <c r="T874" s="111">
        <f ca="1">IFERROR(__xludf.DUMMYFUNCTION("""COMPUTED_VALUE"""),9.77)</f>
        <v>9.77</v>
      </c>
    </row>
    <row r="875" spans="1:20" x14ac:dyDescent="0.3">
      <c r="A875" s="112">
        <f ca="1">IFERROR(__xludf.DUMMYFUNCTION("""COMPUTED_VALUE"""),41547.7055555555)</f>
        <v>41547.705555555498</v>
      </c>
      <c r="B875" s="111">
        <f ca="1">IFERROR(__xludf.DUMMYFUNCTION("""COMPUTED_VALUE"""),6.18)</f>
        <v>6.18</v>
      </c>
      <c r="C875" s="112">
        <f ca="1">IFERROR(__xludf.DUMMYFUNCTION("""COMPUTED_VALUE"""),41554.7055555555)</f>
        <v>41554.705555555498</v>
      </c>
      <c r="D875" s="111">
        <f ca="1">IFERROR(__xludf.DUMMYFUNCTION("""COMPUTED_VALUE"""),15.83)</f>
        <v>15.83</v>
      </c>
      <c r="E875" s="112">
        <f ca="1">IFERROR(__xludf.DUMMYFUNCTION("""COMPUTED_VALUE"""),41555.7055555555)</f>
        <v>41555.705555555498</v>
      </c>
      <c r="F875" s="111">
        <f ca="1">IFERROR(__xludf.DUMMYFUNCTION("""COMPUTED_VALUE"""),5.85)</f>
        <v>5.85</v>
      </c>
      <c r="G875" s="112">
        <f ca="1">IFERROR(__xludf.DUMMYFUNCTION("""COMPUTED_VALUE"""),41548.7055555555)</f>
        <v>41548.705555555498</v>
      </c>
      <c r="H875" s="111">
        <f ca="1">IFERROR(__xludf.DUMMYFUNCTION("""COMPUTED_VALUE"""),18.66)</f>
        <v>18.66</v>
      </c>
      <c r="K875" s="112">
        <f ca="1">IFERROR(__xludf.DUMMYFUNCTION("""COMPUTED_VALUE"""),41999.7055555555)</f>
        <v>41999.705555555498</v>
      </c>
      <c r="L875" s="111">
        <f ca="1">IFERROR(__xludf.DUMMYFUNCTION("""COMPUTED_VALUE"""),0.24)</f>
        <v>0.24</v>
      </c>
      <c r="M875" s="112">
        <f ca="1">IFERROR(__xludf.DUMMYFUNCTION("""COMPUTED_VALUE"""),41466.7055555555)</f>
        <v>41466.705555555498</v>
      </c>
      <c r="N875" s="111">
        <f ca="1">IFERROR(__xludf.DUMMYFUNCTION("""COMPUTED_VALUE"""),11.8)</f>
        <v>11.8</v>
      </c>
      <c r="O875" s="112">
        <f ca="1">IFERROR(__xludf.DUMMYFUNCTION("""COMPUTED_VALUE"""),41541.7055555555)</f>
        <v>41541.705555555498</v>
      </c>
      <c r="P875" s="111">
        <f ca="1">IFERROR(__xludf.DUMMYFUNCTION("""COMPUTED_VALUE"""),35.45)</f>
        <v>35.450000000000003</v>
      </c>
      <c r="Q875" s="112">
        <f ca="1">IFERROR(__xludf.DUMMYFUNCTION("""COMPUTED_VALUE"""),41537.7055555555)</f>
        <v>41537.705555555498</v>
      </c>
      <c r="R875" s="111">
        <f ca="1">IFERROR(__xludf.DUMMYFUNCTION("""COMPUTED_VALUE"""),25.52)</f>
        <v>25.52</v>
      </c>
      <c r="S875" s="112">
        <f ca="1">IFERROR(__xludf.DUMMYFUNCTION("""COMPUTED_VALUE"""),41550.7055555555)</f>
        <v>41550.705555555498</v>
      </c>
      <c r="T875" s="111">
        <f ca="1">IFERROR(__xludf.DUMMYFUNCTION("""COMPUTED_VALUE"""),9.52)</f>
        <v>9.52</v>
      </c>
    </row>
    <row r="876" spans="1:20" x14ac:dyDescent="0.3">
      <c r="A876" s="112">
        <f ca="1">IFERROR(__xludf.DUMMYFUNCTION("""COMPUTED_VALUE"""),41548.7055555555)</f>
        <v>41548.705555555498</v>
      </c>
      <c r="B876" s="111">
        <f ca="1">IFERROR(__xludf.DUMMYFUNCTION("""COMPUTED_VALUE"""),6.32)</f>
        <v>6.32</v>
      </c>
      <c r="C876" s="112">
        <f ca="1">IFERROR(__xludf.DUMMYFUNCTION("""COMPUTED_VALUE"""),41555.7055555555)</f>
        <v>41555.705555555498</v>
      </c>
      <c r="D876" s="111">
        <f ca="1">IFERROR(__xludf.DUMMYFUNCTION("""COMPUTED_VALUE"""),15.78)</f>
        <v>15.78</v>
      </c>
      <c r="E876" s="112">
        <f ca="1">IFERROR(__xludf.DUMMYFUNCTION("""COMPUTED_VALUE"""),41556.7055555555)</f>
        <v>41556.705555555498</v>
      </c>
      <c r="F876" s="111">
        <f ca="1">IFERROR(__xludf.DUMMYFUNCTION("""COMPUTED_VALUE"""),5.91)</f>
        <v>5.91</v>
      </c>
      <c r="G876" s="112">
        <f ca="1">IFERROR(__xludf.DUMMYFUNCTION("""COMPUTED_VALUE"""),41549.7055555555)</f>
        <v>41549.705555555498</v>
      </c>
      <c r="H876" s="111">
        <f ca="1">IFERROR(__xludf.DUMMYFUNCTION("""COMPUTED_VALUE"""),18.78)</f>
        <v>18.78</v>
      </c>
      <c r="K876" s="112">
        <f ca="1">IFERROR(__xludf.DUMMYFUNCTION("""COMPUTED_VALUE"""),42002.7055555555)</f>
        <v>42002.705555555498</v>
      </c>
      <c r="L876" s="111">
        <f ca="1">IFERROR(__xludf.DUMMYFUNCTION("""COMPUTED_VALUE"""),0.24)</f>
        <v>0.24</v>
      </c>
      <c r="M876" s="112">
        <f ca="1">IFERROR(__xludf.DUMMYFUNCTION("""COMPUTED_VALUE"""),41467.7055555555)</f>
        <v>41467.705555555498</v>
      </c>
      <c r="N876" s="111">
        <f ca="1">IFERROR(__xludf.DUMMYFUNCTION("""COMPUTED_VALUE"""),11.77)</f>
        <v>11.77</v>
      </c>
      <c r="O876" s="112">
        <f ca="1">IFERROR(__xludf.DUMMYFUNCTION("""COMPUTED_VALUE"""),41542.7055555555)</f>
        <v>41542.705555555498</v>
      </c>
      <c r="P876" s="111">
        <f ca="1">IFERROR(__xludf.DUMMYFUNCTION("""COMPUTED_VALUE"""),35.75)</f>
        <v>35.75</v>
      </c>
      <c r="Q876" s="112">
        <f ca="1">IFERROR(__xludf.DUMMYFUNCTION("""COMPUTED_VALUE"""),41540.7055555555)</f>
        <v>41540.705555555498</v>
      </c>
      <c r="R876" s="111">
        <f ca="1">IFERROR(__xludf.DUMMYFUNCTION("""COMPUTED_VALUE"""),26.13)</f>
        <v>26.13</v>
      </c>
      <c r="S876" s="112">
        <f ca="1">IFERROR(__xludf.DUMMYFUNCTION("""COMPUTED_VALUE"""),41551.7055555555)</f>
        <v>41551.705555555498</v>
      </c>
      <c r="T876" s="111">
        <f ca="1">IFERROR(__xludf.DUMMYFUNCTION("""COMPUTED_VALUE"""),9.45)</f>
        <v>9.4499999999999993</v>
      </c>
    </row>
    <row r="877" spans="1:20" x14ac:dyDescent="0.3">
      <c r="A877" s="112">
        <f ca="1">IFERROR(__xludf.DUMMYFUNCTION("""COMPUTED_VALUE"""),41549.7055555555)</f>
        <v>41549.705555555498</v>
      </c>
      <c r="B877" s="111">
        <f ca="1">IFERROR(__xludf.DUMMYFUNCTION("""COMPUTED_VALUE"""),6.42)</f>
        <v>6.42</v>
      </c>
      <c r="C877" s="112">
        <f ca="1">IFERROR(__xludf.DUMMYFUNCTION("""COMPUTED_VALUE"""),41556.7055555555)</f>
        <v>41556.705555555498</v>
      </c>
      <c r="D877" s="111">
        <f ca="1">IFERROR(__xludf.DUMMYFUNCTION("""COMPUTED_VALUE"""),15.95)</f>
        <v>15.95</v>
      </c>
      <c r="E877" s="112">
        <f ca="1">IFERROR(__xludf.DUMMYFUNCTION("""COMPUTED_VALUE"""),41557.7055555555)</f>
        <v>41557.705555555498</v>
      </c>
      <c r="F877" s="111">
        <f ca="1">IFERROR(__xludf.DUMMYFUNCTION("""COMPUTED_VALUE"""),5.96)</f>
        <v>5.96</v>
      </c>
      <c r="G877" s="112">
        <f ca="1">IFERROR(__xludf.DUMMYFUNCTION("""COMPUTED_VALUE"""),41550.7055555555)</f>
        <v>41550.705555555498</v>
      </c>
      <c r="H877" s="111">
        <f ca="1">IFERROR(__xludf.DUMMYFUNCTION("""COMPUTED_VALUE"""),18.54)</f>
        <v>18.54</v>
      </c>
      <c r="K877" s="112">
        <f ca="1">IFERROR(__xludf.DUMMYFUNCTION("""COMPUTED_VALUE"""),42003.7055555555)</f>
        <v>42003.705555555498</v>
      </c>
      <c r="L877" s="111">
        <f ca="1">IFERROR(__xludf.DUMMYFUNCTION("""COMPUTED_VALUE"""),0.24)</f>
        <v>0.24</v>
      </c>
      <c r="M877" s="112">
        <f ca="1">IFERROR(__xludf.DUMMYFUNCTION("""COMPUTED_VALUE"""),41470.7055555555)</f>
        <v>41470.705555555498</v>
      </c>
      <c r="N877" s="111">
        <f ca="1">IFERROR(__xludf.DUMMYFUNCTION("""COMPUTED_VALUE"""),12.06)</f>
        <v>12.06</v>
      </c>
      <c r="O877" s="112">
        <f ca="1">IFERROR(__xludf.DUMMYFUNCTION("""COMPUTED_VALUE"""),41543.7055555555)</f>
        <v>41543.705555555498</v>
      </c>
      <c r="P877" s="111">
        <f ca="1">IFERROR(__xludf.DUMMYFUNCTION("""COMPUTED_VALUE"""),36)</f>
        <v>36</v>
      </c>
      <c r="Q877" s="112">
        <f ca="1">IFERROR(__xludf.DUMMYFUNCTION("""COMPUTED_VALUE"""),41541.7055555555)</f>
        <v>41541.705555555498</v>
      </c>
      <c r="R877" s="111">
        <f ca="1">IFERROR(__xludf.DUMMYFUNCTION("""COMPUTED_VALUE"""),25.94)</f>
        <v>25.94</v>
      </c>
      <c r="S877" s="112">
        <f ca="1">IFERROR(__xludf.DUMMYFUNCTION("""COMPUTED_VALUE"""),41554.7055555555)</f>
        <v>41554.705555555498</v>
      </c>
      <c r="T877" s="111">
        <f ca="1">IFERROR(__xludf.DUMMYFUNCTION("""COMPUTED_VALUE"""),9.63)</f>
        <v>9.6300000000000008</v>
      </c>
    </row>
    <row r="878" spans="1:20" x14ac:dyDescent="0.3">
      <c r="A878" s="112">
        <f ca="1">IFERROR(__xludf.DUMMYFUNCTION("""COMPUTED_VALUE"""),41550.7055555555)</f>
        <v>41550.705555555498</v>
      </c>
      <c r="B878" s="111">
        <f ca="1">IFERROR(__xludf.DUMMYFUNCTION("""COMPUTED_VALUE"""),6.6)</f>
        <v>6.6</v>
      </c>
      <c r="C878" s="112">
        <f ca="1">IFERROR(__xludf.DUMMYFUNCTION("""COMPUTED_VALUE"""),41557.7055555555)</f>
        <v>41557.705555555498</v>
      </c>
      <c r="D878" s="111">
        <f ca="1">IFERROR(__xludf.DUMMYFUNCTION("""COMPUTED_VALUE"""),16.23)</f>
        <v>16.23</v>
      </c>
      <c r="E878" s="112">
        <f ca="1">IFERROR(__xludf.DUMMYFUNCTION("""COMPUTED_VALUE"""),41558.7055555555)</f>
        <v>41558.705555555498</v>
      </c>
      <c r="F878" s="111">
        <f ca="1">IFERROR(__xludf.DUMMYFUNCTION("""COMPUTED_VALUE"""),5.91)</f>
        <v>5.91</v>
      </c>
      <c r="G878" s="112">
        <f ca="1">IFERROR(__xludf.DUMMYFUNCTION("""COMPUTED_VALUE"""),41551.7055555555)</f>
        <v>41551.705555555498</v>
      </c>
      <c r="H878" s="111">
        <f ca="1">IFERROR(__xludf.DUMMYFUNCTION("""COMPUTED_VALUE"""),18.67)</f>
        <v>18.670000000000002</v>
      </c>
      <c r="K878" s="112">
        <f ca="1">IFERROR(__xludf.DUMMYFUNCTION("""COMPUTED_VALUE"""),42006.7055555555)</f>
        <v>42006.705555555498</v>
      </c>
      <c r="L878" s="111">
        <f ca="1">IFERROR(__xludf.DUMMYFUNCTION("""COMPUTED_VALUE"""),0.23)</f>
        <v>0.23</v>
      </c>
      <c r="M878" s="112">
        <f ca="1">IFERROR(__xludf.DUMMYFUNCTION("""COMPUTED_VALUE"""),41471.7055555555)</f>
        <v>41471.705555555498</v>
      </c>
      <c r="N878" s="111">
        <f ca="1">IFERROR(__xludf.DUMMYFUNCTION("""COMPUTED_VALUE"""),12.05)</f>
        <v>12.05</v>
      </c>
      <c r="O878" s="112">
        <f ca="1">IFERROR(__xludf.DUMMYFUNCTION("""COMPUTED_VALUE"""),41544.7055555555)</f>
        <v>41544.705555555498</v>
      </c>
      <c r="P878" s="111">
        <f ca="1">IFERROR(__xludf.DUMMYFUNCTION("""COMPUTED_VALUE"""),35.16)</f>
        <v>35.159999999999997</v>
      </c>
      <c r="Q878" s="112">
        <f ca="1">IFERROR(__xludf.DUMMYFUNCTION("""COMPUTED_VALUE"""),41542.7055555555)</f>
        <v>41542.705555555498</v>
      </c>
      <c r="R878" s="111">
        <f ca="1">IFERROR(__xludf.DUMMYFUNCTION("""COMPUTED_VALUE"""),25.75)</f>
        <v>25.75</v>
      </c>
      <c r="S878" s="112">
        <f ca="1">IFERROR(__xludf.DUMMYFUNCTION("""COMPUTED_VALUE"""),41555.7055555555)</f>
        <v>41555.705555555498</v>
      </c>
      <c r="T878" s="111">
        <f ca="1">IFERROR(__xludf.DUMMYFUNCTION("""COMPUTED_VALUE"""),9.66)</f>
        <v>9.66</v>
      </c>
    </row>
    <row r="879" spans="1:20" x14ac:dyDescent="0.3">
      <c r="A879" s="112">
        <f ca="1">IFERROR(__xludf.DUMMYFUNCTION("""COMPUTED_VALUE"""),41551.7055555555)</f>
        <v>41551.705555555498</v>
      </c>
      <c r="B879" s="111">
        <f ca="1">IFERROR(__xludf.DUMMYFUNCTION("""COMPUTED_VALUE"""),6.56)</f>
        <v>6.56</v>
      </c>
      <c r="C879" s="112">
        <f ca="1">IFERROR(__xludf.DUMMYFUNCTION("""COMPUTED_VALUE"""),41558.7055555555)</f>
        <v>41558.705555555498</v>
      </c>
      <c r="D879" s="111">
        <f ca="1">IFERROR(__xludf.DUMMYFUNCTION("""COMPUTED_VALUE"""),16.07)</f>
        <v>16.07</v>
      </c>
      <c r="E879" s="112">
        <f ca="1">IFERROR(__xludf.DUMMYFUNCTION("""COMPUTED_VALUE"""),41561.7055555555)</f>
        <v>41561.705555555498</v>
      </c>
      <c r="F879" s="111">
        <f ca="1">IFERROR(__xludf.DUMMYFUNCTION("""COMPUTED_VALUE"""),5.93)</f>
        <v>5.93</v>
      </c>
      <c r="G879" s="112">
        <f ca="1">IFERROR(__xludf.DUMMYFUNCTION("""COMPUTED_VALUE"""),41554.7055555555)</f>
        <v>41554.705555555498</v>
      </c>
      <c r="H879" s="111">
        <f ca="1">IFERROR(__xludf.DUMMYFUNCTION("""COMPUTED_VALUE"""),18.62)</f>
        <v>18.62</v>
      </c>
      <c r="K879" s="112">
        <f ca="1">IFERROR(__xludf.DUMMYFUNCTION("""COMPUTED_VALUE"""),42009.7055555555)</f>
        <v>42009.705555555498</v>
      </c>
      <c r="L879" s="111">
        <f ca="1">IFERROR(__xludf.DUMMYFUNCTION("""COMPUTED_VALUE"""),0.24)</f>
        <v>0.24</v>
      </c>
      <c r="M879" s="112">
        <f ca="1">IFERROR(__xludf.DUMMYFUNCTION("""COMPUTED_VALUE"""),41472.7055555555)</f>
        <v>41472.705555555498</v>
      </c>
      <c r="N879" s="111">
        <f ca="1">IFERROR(__xludf.DUMMYFUNCTION("""COMPUTED_VALUE"""),12.34)</f>
        <v>12.34</v>
      </c>
      <c r="O879" s="112">
        <f ca="1">IFERROR(__xludf.DUMMYFUNCTION("""COMPUTED_VALUE"""),41547.7055555555)</f>
        <v>41547.705555555498</v>
      </c>
      <c r="P879" s="111">
        <f ca="1">IFERROR(__xludf.DUMMYFUNCTION("""COMPUTED_VALUE"""),34.46)</f>
        <v>34.46</v>
      </c>
      <c r="Q879" s="112">
        <f ca="1">IFERROR(__xludf.DUMMYFUNCTION("""COMPUTED_VALUE"""),41543.7055555555)</f>
        <v>41543.705555555498</v>
      </c>
      <c r="R879" s="111">
        <f ca="1">IFERROR(__xludf.DUMMYFUNCTION("""COMPUTED_VALUE"""),25.7)</f>
        <v>25.7</v>
      </c>
      <c r="S879" s="112">
        <f ca="1">IFERROR(__xludf.DUMMYFUNCTION("""COMPUTED_VALUE"""),41556.7055555555)</f>
        <v>41556.705555555498</v>
      </c>
      <c r="T879" s="111">
        <f ca="1">IFERROR(__xludf.DUMMYFUNCTION("""COMPUTED_VALUE"""),9.85)</f>
        <v>9.85</v>
      </c>
    </row>
    <row r="880" spans="1:20" x14ac:dyDescent="0.3">
      <c r="A880" s="112">
        <f ca="1">IFERROR(__xludf.DUMMYFUNCTION("""COMPUTED_VALUE"""),41554.7055555555)</f>
        <v>41554.705555555498</v>
      </c>
      <c r="B880" s="111">
        <f ca="1">IFERROR(__xludf.DUMMYFUNCTION("""COMPUTED_VALUE"""),6.65)</f>
        <v>6.65</v>
      </c>
      <c r="C880" s="112">
        <f ca="1">IFERROR(__xludf.DUMMYFUNCTION("""COMPUTED_VALUE"""),41561.7055555555)</f>
        <v>41561.705555555498</v>
      </c>
      <c r="D880" s="111">
        <f ca="1">IFERROR(__xludf.DUMMYFUNCTION("""COMPUTED_VALUE"""),16.19)</f>
        <v>16.190000000000001</v>
      </c>
      <c r="E880" s="112">
        <f ca="1">IFERROR(__xludf.DUMMYFUNCTION("""COMPUTED_VALUE"""),41562.7055555555)</f>
        <v>41562.705555555498</v>
      </c>
      <c r="F880" s="111">
        <f ca="1">IFERROR(__xludf.DUMMYFUNCTION("""COMPUTED_VALUE"""),5.97)</f>
        <v>5.97</v>
      </c>
      <c r="G880" s="112">
        <f ca="1">IFERROR(__xludf.DUMMYFUNCTION("""COMPUTED_VALUE"""),41555.7055555555)</f>
        <v>41555.705555555498</v>
      </c>
      <c r="H880" s="111">
        <f ca="1">IFERROR(__xludf.DUMMYFUNCTION("""COMPUTED_VALUE"""),18.31)</f>
        <v>18.309999999999999</v>
      </c>
      <c r="K880" s="112">
        <f ca="1">IFERROR(__xludf.DUMMYFUNCTION("""COMPUTED_VALUE"""),42010.7055555555)</f>
        <v>42010.705555555498</v>
      </c>
      <c r="L880" s="111">
        <f ca="1">IFERROR(__xludf.DUMMYFUNCTION("""COMPUTED_VALUE"""),0.23)</f>
        <v>0.23</v>
      </c>
      <c r="M880" s="112">
        <f ca="1">IFERROR(__xludf.DUMMYFUNCTION("""COMPUTED_VALUE"""),41473.7055555555)</f>
        <v>41473.705555555498</v>
      </c>
      <c r="N880" s="111">
        <f ca="1">IFERROR(__xludf.DUMMYFUNCTION("""COMPUTED_VALUE"""),12.17)</f>
        <v>12.17</v>
      </c>
      <c r="O880" s="112">
        <f ca="1">IFERROR(__xludf.DUMMYFUNCTION("""COMPUTED_VALUE"""),41548.7055555555)</f>
        <v>41548.705555555498</v>
      </c>
      <c r="P880" s="111">
        <f ca="1">IFERROR(__xludf.DUMMYFUNCTION("""COMPUTED_VALUE"""),34.46)</f>
        <v>34.46</v>
      </c>
      <c r="Q880" s="112">
        <f ca="1">IFERROR(__xludf.DUMMYFUNCTION("""COMPUTED_VALUE"""),41544.7055555555)</f>
        <v>41544.705555555498</v>
      </c>
      <c r="R880" s="111">
        <f ca="1">IFERROR(__xludf.DUMMYFUNCTION("""COMPUTED_VALUE"""),26.38)</f>
        <v>26.38</v>
      </c>
      <c r="S880" s="112">
        <f ca="1">IFERROR(__xludf.DUMMYFUNCTION("""COMPUTED_VALUE"""),41557.7055555555)</f>
        <v>41557.705555555498</v>
      </c>
      <c r="T880" s="111">
        <f ca="1">IFERROR(__xludf.DUMMYFUNCTION("""COMPUTED_VALUE"""),9.96)</f>
        <v>9.9600000000000009</v>
      </c>
    </row>
    <row r="881" spans="1:20" x14ac:dyDescent="0.3">
      <c r="A881" s="112">
        <f ca="1">IFERROR(__xludf.DUMMYFUNCTION("""COMPUTED_VALUE"""),41555.7055555555)</f>
        <v>41555.705555555498</v>
      </c>
      <c r="B881" s="111">
        <f ca="1">IFERROR(__xludf.DUMMYFUNCTION("""COMPUTED_VALUE"""),6.53)</f>
        <v>6.53</v>
      </c>
      <c r="C881" s="112">
        <f ca="1">IFERROR(__xludf.DUMMYFUNCTION("""COMPUTED_VALUE"""),41562.7055555555)</f>
        <v>41562.705555555498</v>
      </c>
      <c r="D881" s="111">
        <f ca="1">IFERROR(__xludf.DUMMYFUNCTION("""COMPUTED_VALUE"""),16.25)</f>
        <v>16.25</v>
      </c>
      <c r="E881" s="112">
        <f ca="1">IFERROR(__xludf.DUMMYFUNCTION("""COMPUTED_VALUE"""),41563.7055555555)</f>
        <v>41563.705555555498</v>
      </c>
      <c r="F881" s="111">
        <f ca="1">IFERROR(__xludf.DUMMYFUNCTION("""COMPUTED_VALUE"""),6)</f>
        <v>6</v>
      </c>
      <c r="G881" s="112">
        <f ca="1">IFERROR(__xludf.DUMMYFUNCTION("""COMPUTED_VALUE"""),41556.7055555555)</f>
        <v>41556.705555555498</v>
      </c>
      <c r="H881" s="111">
        <f ca="1">IFERROR(__xludf.DUMMYFUNCTION("""COMPUTED_VALUE"""),18.07)</f>
        <v>18.07</v>
      </c>
      <c r="K881" s="112">
        <f ca="1">IFERROR(__xludf.DUMMYFUNCTION("""COMPUTED_VALUE"""),42011.7055555555)</f>
        <v>42011.705555555498</v>
      </c>
      <c r="L881" s="111">
        <f ca="1">IFERROR(__xludf.DUMMYFUNCTION("""COMPUTED_VALUE"""),0.24)</f>
        <v>0.24</v>
      </c>
      <c r="M881" s="112">
        <f ca="1">IFERROR(__xludf.DUMMYFUNCTION("""COMPUTED_VALUE"""),41474.7055555555)</f>
        <v>41474.705555555498</v>
      </c>
      <c r="N881" s="111">
        <f ca="1">IFERROR(__xludf.DUMMYFUNCTION("""COMPUTED_VALUE"""),11.97)</f>
        <v>11.97</v>
      </c>
      <c r="O881" s="112">
        <f ca="1">IFERROR(__xludf.DUMMYFUNCTION("""COMPUTED_VALUE"""),41549.7055555555)</f>
        <v>41549.705555555498</v>
      </c>
      <c r="P881" s="111">
        <f ca="1">IFERROR(__xludf.DUMMYFUNCTION("""COMPUTED_VALUE"""),34.51)</f>
        <v>34.51</v>
      </c>
      <c r="Q881" s="112">
        <f ca="1">IFERROR(__xludf.DUMMYFUNCTION("""COMPUTED_VALUE"""),41547.7055555555)</f>
        <v>41547.705555555498</v>
      </c>
      <c r="R881" s="111">
        <f ca="1">IFERROR(__xludf.DUMMYFUNCTION("""COMPUTED_VALUE"""),25.85)</f>
        <v>25.85</v>
      </c>
      <c r="S881" s="112">
        <f ca="1">IFERROR(__xludf.DUMMYFUNCTION("""COMPUTED_VALUE"""),41558.7055555555)</f>
        <v>41558.705555555498</v>
      </c>
      <c r="T881" s="111">
        <f ca="1">IFERROR(__xludf.DUMMYFUNCTION("""COMPUTED_VALUE"""),10.14)</f>
        <v>10.14</v>
      </c>
    </row>
    <row r="882" spans="1:20" x14ac:dyDescent="0.3">
      <c r="A882" s="112">
        <f ca="1">IFERROR(__xludf.DUMMYFUNCTION("""COMPUTED_VALUE"""),41556.7055555555)</f>
        <v>41556.705555555498</v>
      </c>
      <c r="B882" s="111">
        <f ca="1">IFERROR(__xludf.DUMMYFUNCTION("""COMPUTED_VALUE"""),6.36)</f>
        <v>6.36</v>
      </c>
      <c r="C882" s="112">
        <f ca="1">IFERROR(__xludf.DUMMYFUNCTION("""COMPUTED_VALUE"""),41563.7055555555)</f>
        <v>41563.705555555498</v>
      </c>
      <c r="D882" s="111">
        <f ca="1">IFERROR(__xludf.DUMMYFUNCTION("""COMPUTED_VALUE"""),16.44)</f>
        <v>16.440000000000001</v>
      </c>
      <c r="E882" s="112">
        <f ca="1">IFERROR(__xludf.DUMMYFUNCTION("""COMPUTED_VALUE"""),41564.7055555555)</f>
        <v>41564.705555555498</v>
      </c>
      <c r="F882" s="111">
        <f ca="1">IFERROR(__xludf.DUMMYFUNCTION("""COMPUTED_VALUE"""),6.04)</f>
        <v>6.04</v>
      </c>
      <c r="G882" s="112">
        <f ca="1">IFERROR(__xludf.DUMMYFUNCTION("""COMPUTED_VALUE"""),41557.7055555555)</f>
        <v>41557.705555555498</v>
      </c>
      <c r="H882" s="111">
        <f ca="1">IFERROR(__xludf.DUMMYFUNCTION("""COMPUTED_VALUE"""),18.15)</f>
        <v>18.149999999999999</v>
      </c>
      <c r="K882" s="112">
        <f ca="1">IFERROR(__xludf.DUMMYFUNCTION("""COMPUTED_VALUE"""),42012.7055555555)</f>
        <v>42012.705555555498</v>
      </c>
      <c r="L882" s="111">
        <f ca="1">IFERROR(__xludf.DUMMYFUNCTION("""COMPUTED_VALUE"""),0.24)</f>
        <v>0.24</v>
      </c>
      <c r="M882" s="112">
        <f ca="1">IFERROR(__xludf.DUMMYFUNCTION("""COMPUTED_VALUE"""),41477.7055555555)</f>
        <v>41477.705555555498</v>
      </c>
      <c r="N882" s="111">
        <f ca="1">IFERROR(__xludf.DUMMYFUNCTION("""COMPUTED_VALUE"""),12.42)</f>
        <v>12.42</v>
      </c>
      <c r="O882" s="112">
        <f ca="1">IFERROR(__xludf.DUMMYFUNCTION("""COMPUTED_VALUE"""),41550.7055555555)</f>
        <v>41550.705555555498</v>
      </c>
      <c r="P882" s="111">
        <f ca="1">IFERROR(__xludf.DUMMYFUNCTION("""COMPUTED_VALUE"""),34.04)</f>
        <v>34.04</v>
      </c>
      <c r="Q882" s="112">
        <f ca="1">IFERROR(__xludf.DUMMYFUNCTION("""COMPUTED_VALUE"""),41548.7055555555)</f>
        <v>41548.705555555498</v>
      </c>
      <c r="R882" s="111">
        <f ca="1">IFERROR(__xludf.DUMMYFUNCTION("""COMPUTED_VALUE"""),26.05)</f>
        <v>26.05</v>
      </c>
      <c r="S882" s="112">
        <f ca="1">IFERROR(__xludf.DUMMYFUNCTION("""COMPUTED_VALUE"""),41561.7055555555)</f>
        <v>41561.705555555498</v>
      </c>
      <c r="T882" s="111">
        <f ca="1">IFERROR(__xludf.DUMMYFUNCTION("""COMPUTED_VALUE"""),10.17)</f>
        <v>10.17</v>
      </c>
    </row>
    <row r="883" spans="1:20" x14ac:dyDescent="0.3">
      <c r="A883" s="112">
        <f ca="1">IFERROR(__xludf.DUMMYFUNCTION("""COMPUTED_VALUE"""),41557.7055555555)</f>
        <v>41557.705555555498</v>
      </c>
      <c r="B883" s="111">
        <f ca="1">IFERROR(__xludf.DUMMYFUNCTION("""COMPUTED_VALUE"""),6.7)</f>
        <v>6.7</v>
      </c>
      <c r="C883" s="112">
        <f ca="1">IFERROR(__xludf.DUMMYFUNCTION("""COMPUTED_VALUE"""),41564.7055555555)</f>
        <v>41564.705555555498</v>
      </c>
      <c r="D883" s="111">
        <f ca="1">IFERROR(__xludf.DUMMYFUNCTION("""COMPUTED_VALUE"""),16.58)</f>
        <v>16.579999999999998</v>
      </c>
      <c r="E883" s="112">
        <f ca="1">IFERROR(__xludf.DUMMYFUNCTION("""COMPUTED_VALUE"""),41565.7055555555)</f>
        <v>41565.705555555498</v>
      </c>
      <c r="F883" s="111">
        <f ca="1">IFERROR(__xludf.DUMMYFUNCTION("""COMPUTED_VALUE"""),6.11)</f>
        <v>6.11</v>
      </c>
      <c r="G883" s="112">
        <f ca="1">IFERROR(__xludf.DUMMYFUNCTION("""COMPUTED_VALUE"""),41558.7055555555)</f>
        <v>41558.705555555498</v>
      </c>
      <c r="H883" s="111">
        <f ca="1">IFERROR(__xludf.DUMMYFUNCTION("""COMPUTED_VALUE"""),18.1)</f>
        <v>18.100000000000001</v>
      </c>
      <c r="K883" s="112">
        <f ca="1">IFERROR(__xludf.DUMMYFUNCTION("""COMPUTED_VALUE"""),42013.7055555555)</f>
        <v>42013.705555555498</v>
      </c>
      <c r="L883" s="111">
        <f ca="1">IFERROR(__xludf.DUMMYFUNCTION("""COMPUTED_VALUE"""),0.23)</f>
        <v>0.23</v>
      </c>
      <c r="M883" s="112">
        <f ca="1">IFERROR(__xludf.DUMMYFUNCTION("""COMPUTED_VALUE"""),41478.7055555555)</f>
        <v>41478.705555555498</v>
      </c>
      <c r="N883" s="111">
        <f ca="1">IFERROR(__xludf.DUMMYFUNCTION("""COMPUTED_VALUE"""),12.59)</f>
        <v>12.59</v>
      </c>
      <c r="O883" s="112">
        <f ca="1">IFERROR(__xludf.DUMMYFUNCTION("""COMPUTED_VALUE"""),41551.7055555555)</f>
        <v>41551.705555555498</v>
      </c>
      <c r="P883" s="111">
        <f ca="1">IFERROR(__xludf.DUMMYFUNCTION("""COMPUTED_VALUE"""),34.39)</f>
        <v>34.39</v>
      </c>
      <c r="Q883" s="112">
        <f ca="1">IFERROR(__xludf.DUMMYFUNCTION("""COMPUTED_VALUE"""),41549.7055555555)</f>
        <v>41549.705555555498</v>
      </c>
      <c r="R883" s="111">
        <f ca="1">IFERROR(__xludf.DUMMYFUNCTION("""COMPUTED_VALUE"""),26.14)</f>
        <v>26.14</v>
      </c>
      <c r="S883" s="112">
        <f ca="1">IFERROR(__xludf.DUMMYFUNCTION("""COMPUTED_VALUE"""),41562.7055555555)</f>
        <v>41562.705555555498</v>
      </c>
      <c r="T883" s="111">
        <f ca="1">IFERROR(__xludf.DUMMYFUNCTION("""COMPUTED_VALUE"""),10.23)</f>
        <v>10.23</v>
      </c>
    </row>
    <row r="884" spans="1:20" x14ac:dyDescent="0.3">
      <c r="A884" s="112">
        <f ca="1">IFERROR(__xludf.DUMMYFUNCTION("""COMPUTED_VALUE"""),41558.7055555555)</f>
        <v>41558.705555555498</v>
      </c>
      <c r="B884" s="111">
        <f ca="1">IFERROR(__xludf.DUMMYFUNCTION("""COMPUTED_VALUE"""),6.66)</f>
        <v>6.66</v>
      </c>
      <c r="C884" s="112">
        <f ca="1">IFERROR(__xludf.DUMMYFUNCTION("""COMPUTED_VALUE"""),41565.7055555555)</f>
        <v>41565.705555555498</v>
      </c>
      <c r="D884" s="111">
        <f ca="1">IFERROR(__xludf.DUMMYFUNCTION("""COMPUTED_VALUE"""),16.92)</f>
        <v>16.920000000000002</v>
      </c>
      <c r="E884" s="112">
        <f ca="1">IFERROR(__xludf.DUMMYFUNCTION("""COMPUTED_VALUE"""),41568.7055555555)</f>
        <v>41568.705555555498</v>
      </c>
      <c r="F884" s="111">
        <f ca="1">IFERROR(__xludf.DUMMYFUNCTION("""COMPUTED_VALUE"""),6.05)</f>
        <v>6.05</v>
      </c>
      <c r="G884" s="112">
        <f ca="1">IFERROR(__xludf.DUMMYFUNCTION("""COMPUTED_VALUE"""),41561.7055555555)</f>
        <v>41561.705555555498</v>
      </c>
      <c r="H884" s="111">
        <f ca="1">IFERROR(__xludf.DUMMYFUNCTION("""COMPUTED_VALUE"""),18.27)</f>
        <v>18.27</v>
      </c>
      <c r="K884" s="112">
        <f ca="1">IFERROR(__xludf.DUMMYFUNCTION("""COMPUTED_VALUE"""),42016.7055555555)</f>
        <v>42016.705555555498</v>
      </c>
      <c r="L884" s="111">
        <f ca="1">IFERROR(__xludf.DUMMYFUNCTION("""COMPUTED_VALUE"""),0.23)</f>
        <v>0.23</v>
      </c>
      <c r="M884" s="112">
        <f ca="1">IFERROR(__xludf.DUMMYFUNCTION("""COMPUTED_VALUE"""),41479.7055555555)</f>
        <v>41479.705555555498</v>
      </c>
      <c r="N884" s="111">
        <f ca="1">IFERROR(__xludf.DUMMYFUNCTION("""COMPUTED_VALUE"""),12.41)</f>
        <v>12.41</v>
      </c>
      <c r="O884" s="112">
        <f ca="1">IFERROR(__xludf.DUMMYFUNCTION("""COMPUTED_VALUE"""),41554.7055555555)</f>
        <v>41554.705555555498</v>
      </c>
      <c r="P884" s="111">
        <f ca="1">IFERROR(__xludf.DUMMYFUNCTION("""COMPUTED_VALUE"""),34.09)</f>
        <v>34.090000000000003</v>
      </c>
      <c r="Q884" s="112">
        <f ca="1">IFERROR(__xludf.DUMMYFUNCTION("""COMPUTED_VALUE"""),41550.7055555555)</f>
        <v>41550.705555555498</v>
      </c>
      <c r="R884" s="111">
        <f ca="1">IFERROR(__xludf.DUMMYFUNCTION("""COMPUTED_VALUE"""),26.15)</f>
        <v>26.15</v>
      </c>
      <c r="S884" s="112">
        <f ca="1">IFERROR(__xludf.DUMMYFUNCTION("""COMPUTED_VALUE"""),41563.7055555555)</f>
        <v>41563.705555555498</v>
      </c>
      <c r="T884" s="111">
        <f ca="1">IFERROR(__xludf.DUMMYFUNCTION("""COMPUTED_VALUE"""),10.2)</f>
        <v>10.199999999999999</v>
      </c>
    </row>
    <row r="885" spans="1:20" x14ac:dyDescent="0.3">
      <c r="A885" s="112">
        <f ca="1">IFERROR(__xludf.DUMMYFUNCTION("""COMPUTED_VALUE"""),41561.7055555555)</f>
        <v>41561.705555555498</v>
      </c>
      <c r="B885" s="111">
        <f ca="1">IFERROR(__xludf.DUMMYFUNCTION("""COMPUTED_VALUE"""),6.95)</f>
        <v>6.95</v>
      </c>
      <c r="C885" s="112">
        <f ca="1">IFERROR(__xludf.DUMMYFUNCTION("""COMPUTED_VALUE"""),41568.7055555555)</f>
        <v>41568.705555555498</v>
      </c>
      <c r="D885" s="111">
        <f ca="1">IFERROR(__xludf.DUMMYFUNCTION("""COMPUTED_VALUE"""),16.83)</f>
        <v>16.829999999999998</v>
      </c>
      <c r="E885" s="112">
        <f ca="1">IFERROR(__xludf.DUMMYFUNCTION("""COMPUTED_VALUE"""),41569.7055555555)</f>
        <v>41569.705555555498</v>
      </c>
      <c r="F885" s="111">
        <f ca="1">IFERROR(__xludf.DUMMYFUNCTION("""COMPUTED_VALUE"""),6.08)</f>
        <v>6.08</v>
      </c>
      <c r="G885" s="112">
        <f ca="1">IFERROR(__xludf.DUMMYFUNCTION("""COMPUTED_VALUE"""),41562.7055555555)</f>
        <v>41562.705555555498</v>
      </c>
      <c r="H885" s="111">
        <f ca="1">IFERROR(__xludf.DUMMYFUNCTION("""COMPUTED_VALUE"""),18.42)</f>
        <v>18.420000000000002</v>
      </c>
      <c r="K885" s="112">
        <f ca="1">IFERROR(__xludf.DUMMYFUNCTION("""COMPUTED_VALUE"""),42017.7055555555)</f>
        <v>42017.705555555498</v>
      </c>
      <c r="L885" s="111">
        <f ca="1">IFERROR(__xludf.DUMMYFUNCTION("""COMPUTED_VALUE"""),0.23)</f>
        <v>0.23</v>
      </c>
      <c r="M885" s="112">
        <f ca="1">IFERROR(__xludf.DUMMYFUNCTION("""COMPUTED_VALUE"""),41480.7055555555)</f>
        <v>41480.705555555498</v>
      </c>
      <c r="N885" s="111">
        <f ca="1">IFERROR(__xludf.DUMMYFUNCTION("""COMPUTED_VALUE"""),12.43)</f>
        <v>12.43</v>
      </c>
      <c r="O885" s="112">
        <f ca="1">IFERROR(__xludf.DUMMYFUNCTION("""COMPUTED_VALUE"""),41555.7055555555)</f>
        <v>41555.705555555498</v>
      </c>
      <c r="P885" s="111">
        <f ca="1">IFERROR(__xludf.DUMMYFUNCTION("""COMPUTED_VALUE"""),33.61)</f>
        <v>33.61</v>
      </c>
      <c r="Q885" s="112">
        <f ca="1">IFERROR(__xludf.DUMMYFUNCTION("""COMPUTED_VALUE"""),41551.7055555555)</f>
        <v>41551.705555555498</v>
      </c>
      <c r="R885" s="111">
        <f ca="1">IFERROR(__xludf.DUMMYFUNCTION("""COMPUTED_VALUE"""),26.25)</f>
        <v>26.25</v>
      </c>
      <c r="S885" s="112">
        <f ca="1">IFERROR(__xludf.DUMMYFUNCTION("""COMPUTED_VALUE"""),41564.7055555555)</f>
        <v>41564.705555555498</v>
      </c>
      <c r="T885" s="111">
        <f ca="1">IFERROR(__xludf.DUMMYFUNCTION("""COMPUTED_VALUE"""),10.29)</f>
        <v>10.29</v>
      </c>
    </row>
    <row r="886" spans="1:20" x14ac:dyDescent="0.3">
      <c r="A886" s="112">
        <f ca="1">IFERROR(__xludf.DUMMYFUNCTION("""COMPUTED_VALUE"""),41562.7055555555)</f>
        <v>41562.705555555498</v>
      </c>
      <c r="B886" s="111">
        <f ca="1">IFERROR(__xludf.DUMMYFUNCTION("""COMPUTED_VALUE"""),7.09)</f>
        <v>7.09</v>
      </c>
      <c r="C886" s="112">
        <f ca="1">IFERROR(__xludf.DUMMYFUNCTION("""COMPUTED_VALUE"""),41569.7055555555)</f>
        <v>41569.705555555498</v>
      </c>
      <c r="D886" s="111">
        <f ca="1">IFERROR(__xludf.DUMMYFUNCTION("""COMPUTED_VALUE"""),16.92)</f>
        <v>16.920000000000002</v>
      </c>
      <c r="E886" s="112">
        <f ca="1">IFERROR(__xludf.DUMMYFUNCTION("""COMPUTED_VALUE"""),41570.7055555555)</f>
        <v>41570.705555555498</v>
      </c>
      <c r="F886" s="111">
        <f ca="1">IFERROR(__xludf.DUMMYFUNCTION("""COMPUTED_VALUE"""),5.98)</f>
        <v>5.98</v>
      </c>
      <c r="G886" s="112">
        <f ca="1">IFERROR(__xludf.DUMMYFUNCTION("""COMPUTED_VALUE"""),41563.7055555555)</f>
        <v>41563.705555555498</v>
      </c>
      <c r="H886" s="111">
        <f ca="1">IFERROR(__xludf.DUMMYFUNCTION("""COMPUTED_VALUE"""),18.35)</f>
        <v>18.350000000000001</v>
      </c>
      <c r="K886" s="112">
        <f ca="1">IFERROR(__xludf.DUMMYFUNCTION("""COMPUTED_VALUE"""),42018.7055555555)</f>
        <v>42018.705555555498</v>
      </c>
      <c r="L886" s="111">
        <f ca="1">IFERROR(__xludf.DUMMYFUNCTION("""COMPUTED_VALUE"""),0.23)</f>
        <v>0.23</v>
      </c>
      <c r="M886" s="112">
        <f ca="1">IFERROR(__xludf.DUMMYFUNCTION("""COMPUTED_VALUE"""),41481.7055555555)</f>
        <v>41481.705555555498</v>
      </c>
      <c r="N886" s="111">
        <f ca="1">IFERROR(__xludf.DUMMYFUNCTION("""COMPUTED_VALUE"""),12.2)</f>
        <v>12.2</v>
      </c>
      <c r="O886" s="112">
        <f ca="1">IFERROR(__xludf.DUMMYFUNCTION("""COMPUTED_VALUE"""),41556.7055555555)</f>
        <v>41556.705555555498</v>
      </c>
      <c r="P886" s="111">
        <f ca="1">IFERROR(__xludf.DUMMYFUNCTION("""COMPUTED_VALUE"""),33.2)</f>
        <v>33.200000000000003</v>
      </c>
      <c r="Q886" s="112">
        <f ca="1">IFERROR(__xludf.DUMMYFUNCTION("""COMPUTED_VALUE"""),41554.7055555555)</f>
        <v>41554.705555555498</v>
      </c>
      <c r="R886" s="111">
        <f ca="1">IFERROR(__xludf.DUMMYFUNCTION("""COMPUTED_VALUE"""),26.32)</f>
        <v>26.32</v>
      </c>
      <c r="S886" s="112">
        <f ca="1">IFERROR(__xludf.DUMMYFUNCTION("""COMPUTED_VALUE"""),41565.7055555555)</f>
        <v>41565.705555555498</v>
      </c>
      <c r="T886" s="111">
        <f ca="1">IFERROR(__xludf.DUMMYFUNCTION("""COMPUTED_VALUE"""),10.38)</f>
        <v>10.38</v>
      </c>
    </row>
    <row r="887" spans="1:20" x14ac:dyDescent="0.3">
      <c r="A887" s="112">
        <f ca="1">IFERROR(__xludf.DUMMYFUNCTION("""COMPUTED_VALUE"""),41563.7055555555)</f>
        <v>41563.705555555498</v>
      </c>
      <c r="B887" s="111">
        <f ca="1">IFERROR(__xludf.DUMMYFUNCTION("""COMPUTED_VALUE"""),7.09)</f>
        <v>7.09</v>
      </c>
      <c r="C887" s="112">
        <f ca="1">IFERROR(__xludf.DUMMYFUNCTION("""COMPUTED_VALUE"""),41570.7055555555)</f>
        <v>41570.705555555498</v>
      </c>
      <c r="D887" s="111">
        <f ca="1">IFERROR(__xludf.DUMMYFUNCTION("""COMPUTED_VALUE"""),16.69)</f>
        <v>16.690000000000001</v>
      </c>
      <c r="E887" s="112">
        <f ca="1">IFERROR(__xludf.DUMMYFUNCTION("""COMPUTED_VALUE"""),41571.7055555555)</f>
        <v>41571.705555555498</v>
      </c>
      <c r="F887" s="111">
        <f ca="1">IFERROR(__xludf.DUMMYFUNCTION("""COMPUTED_VALUE"""),5.97)</f>
        <v>5.97</v>
      </c>
      <c r="G887" s="112">
        <f ca="1">IFERROR(__xludf.DUMMYFUNCTION("""COMPUTED_VALUE"""),41564.7055555555)</f>
        <v>41564.705555555498</v>
      </c>
      <c r="H887" s="111">
        <f ca="1">IFERROR(__xludf.DUMMYFUNCTION("""COMPUTED_VALUE"""),18.21)</f>
        <v>18.21</v>
      </c>
      <c r="K887" s="112">
        <f ca="1">IFERROR(__xludf.DUMMYFUNCTION("""COMPUTED_VALUE"""),42019.7055555555)</f>
        <v>42019.705555555498</v>
      </c>
      <c r="L887" s="111">
        <f ca="1">IFERROR(__xludf.DUMMYFUNCTION("""COMPUTED_VALUE"""),0.23)</f>
        <v>0.23</v>
      </c>
      <c r="M887" s="112">
        <f ca="1">IFERROR(__xludf.DUMMYFUNCTION("""COMPUTED_VALUE"""),41484.7055555555)</f>
        <v>41484.705555555498</v>
      </c>
      <c r="N887" s="111">
        <f ca="1">IFERROR(__xludf.DUMMYFUNCTION("""COMPUTED_VALUE"""),12.18)</f>
        <v>12.18</v>
      </c>
      <c r="O887" s="112">
        <f ca="1">IFERROR(__xludf.DUMMYFUNCTION("""COMPUTED_VALUE"""),41557.7055555555)</f>
        <v>41557.705555555498</v>
      </c>
      <c r="P887" s="111">
        <f ca="1">IFERROR(__xludf.DUMMYFUNCTION("""COMPUTED_VALUE"""),33.45)</f>
        <v>33.450000000000003</v>
      </c>
      <c r="Q887" s="112">
        <f ca="1">IFERROR(__xludf.DUMMYFUNCTION("""COMPUTED_VALUE"""),41555.7055555555)</f>
        <v>41555.705555555498</v>
      </c>
      <c r="R887" s="111">
        <f ca="1">IFERROR(__xludf.DUMMYFUNCTION("""COMPUTED_VALUE"""),26.03)</f>
        <v>26.03</v>
      </c>
      <c r="S887" s="112">
        <f ca="1">IFERROR(__xludf.DUMMYFUNCTION("""COMPUTED_VALUE"""),41568.7055555555)</f>
        <v>41568.705555555498</v>
      </c>
      <c r="T887" s="111">
        <f ca="1">IFERROR(__xludf.DUMMYFUNCTION("""COMPUTED_VALUE"""),10.39)</f>
        <v>10.39</v>
      </c>
    </row>
    <row r="888" spans="1:20" x14ac:dyDescent="0.3">
      <c r="A888" s="112">
        <f ca="1">IFERROR(__xludf.DUMMYFUNCTION("""COMPUTED_VALUE"""),41564.7055555555)</f>
        <v>41564.705555555498</v>
      </c>
      <c r="B888" s="111">
        <f ca="1">IFERROR(__xludf.DUMMYFUNCTION("""COMPUTED_VALUE"""),7.1)</f>
        <v>7.1</v>
      </c>
      <c r="C888" s="112">
        <f ca="1">IFERROR(__xludf.DUMMYFUNCTION("""COMPUTED_VALUE"""),41571.7055555555)</f>
        <v>41571.705555555498</v>
      </c>
      <c r="D888" s="111">
        <f ca="1">IFERROR(__xludf.DUMMYFUNCTION("""COMPUTED_VALUE"""),16.61)</f>
        <v>16.61</v>
      </c>
      <c r="E888" s="112">
        <f ca="1">IFERROR(__xludf.DUMMYFUNCTION("""COMPUTED_VALUE"""),41572.7055555555)</f>
        <v>41572.705555555498</v>
      </c>
      <c r="F888" s="111">
        <f ca="1">IFERROR(__xludf.DUMMYFUNCTION("""COMPUTED_VALUE"""),5.95)</f>
        <v>5.95</v>
      </c>
      <c r="G888" s="112">
        <f ca="1">IFERROR(__xludf.DUMMYFUNCTION("""COMPUTED_VALUE"""),41565.7055555555)</f>
        <v>41565.705555555498</v>
      </c>
      <c r="H888" s="111">
        <f ca="1">IFERROR(__xludf.DUMMYFUNCTION("""COMPUTED_VALUE"""),17.94)</f>
        <v>17.940000000000001</v>
      </c>
      <c r="K888" s="112">
        <f ca="1">IFERROR(__xludf.DUMMYFUNCTION("""COMPUTED_VALUE"""),42020.7055555555)</f>
        <v>42020.705555555498</v>
      </c>
      <c r="L888" s="111">
        <f ca="1">IFERROR(__xludf.DUMMYFUNCTION("""COMPUTED_VALUE"""),0.23)</f>
        <v>0.23</v>
      </c>
      <c r="M888" s="112">
        <f ca="1">IFERROR(__xludf.DUMMYFUNCTION("""COMPUTED_VALUE"""),41485.7055555555)</f>
        <v>41485.705555555498</v>
      </c>
      <c r="N888" s="111">
        <f ca="1">IFERROR(__xludf.DUMMYFUNCTION("""COMPUTED_VALUE"""),12.14)</f>
        <v>12.14</v>
      </c>
      <c r="O888" s="112">
        <f ca="1">IFERROR(__xludf.DUMMYFUNCTION("""COMPUTED_VALUE"""),41558.7055555555)</f>
        <v>41558.705555555498</v>
      </c>
      <c r="P888" s="111">
        <f ca="1">IFERROR(__xludf.DUMMYFUNCTION("""COMPUTED_VALUE"""),33.77)</f>
        <v>33.770000000000003</v>
      </c>
      <c r="Q888" s="112">
        <f ca="1">IFERROR(__xludf.DUMMYFUNCTION("""COMPUTED_VALUE"""),41556.7055555555)</f>
        <v>41556.705555555498</v>
      </c>
      <c r="R888" s="111">
        <f ca="1">IFERROR(__xludf.DUMMYFUNCTION("""COMPUTED_VALUE"""),26.48)</f>
        <v>26.48</v>
      </c>
      <c r="S888" s="112">
        <f ca="1">IFERROR(__xludf.DUMMYFUNCTION("""COMPUTED_VALUE"""),41569.7055555555)</f>
        <v>41569.705555555498</v>
      </c>
      <c r="T888" s="111">
        <f ca="1">IFERROR(__xludf.DUMMYFUNCTION("""COMPUTED_VALUE"""),10.46)</f>
        <v>10.46</v>
      </c>
    </row>
    <row r="889" spans="1:20" x14ac:dyDescent="0.3">
      <c r="A889" s="112">
        <f ca="1">IFERROR(__xludf.DUMMYFUNCTION("""COMPUTED_VALUE"""),41565.7055555555)</f>
        <v>41565.705555555498</v>
      </c>
      <c r="B889" s="111">
        <f ca="1">IFERROR(__xludf.DUMMYFUNCTION("""COMPUTED_VALUE"""),7.22)</f>
        <v>7.22</v>
      </c>
      <c r="C889" s="112">
        <f ca="1">IFERROR(__xludf.DUMMYFUNCTION("""COMPUTED_VALUE"""),41572.7055555555)</f>
        <v>41572.705555555498</v>
      </c>
      <c r="D889" s="111">
        <f ca="1">IFERROR(__xludf.DUMMYFUNCTION("""COMPUTED_VALUE"""),16.53)</f>
        <v>16.53</v>
      </c>
      <c r="E889" s="112">
        <f ca="1">IFERROR(__xludf.DUMMYFUNCTION("""COMPUTED_VALUE"""),41575.7055555555)</f>
        <v>41575.705555555498</v>
      </c>
      <c r="F889" s="111">
        <f ca="1">IFERROR(__xludf.DUMMYFUNCTION("""COMPUTED_VALUE"""),6.04)</f>
        <v>6.04</v>
      </c>
      <c r="G889" s="112">
        <f ca="1">IFERROR(__xludf.DUMMYFUNCTION("""COMPUTED_VALUE"""),41568.7055555555)</f>
        <v>41568.705555555498</v>
      </c>
      <c r="H889" s="111">
        <f ca="1">IFERROR(__xludf.DUMMYFUNCTION("""COMPUTED_VALUE"""),18.88)</f>
        <v>18.88</v>
      </c>
      <c r="K889" s="112">
        <f ca="1">IFERROR(__xludf.DUMMYFUNCTION("""COMPUTED_VALUE"""),42023.7055555555)</f>
        <v>42023.705555555498</v>
      </c>
      <c r="L889" s="111">
        <f ca="1">IFERROR(__xludf.DUMMYFUNCTION("""COMPUTED_VALUE"""),0.23)</f>
        <v>0.23</v>
      </c>
      <c r="M889" s="112">
        <f ca="1">IFERROR(__xludf.DUMMYFUNCTION("""COMPUTED_VALUE"""),41486.7055555555)</f>
        <v>41486.705555555498</v>
      </c>
      <c r="N889" s="111">
        <f ca="1">IFERROR(__xludf.DUMMYFUNCTION("""COMPUTED_VALUE"""),11.95)</f>
        <v>11.95</v>
      </c>
      <c r="O889" s="112">
        <f ca="1">IFERROR(__xludf.DUMMYFUNCTION("""COMPUTED_VALUE"""),41561.7055555555)</f>
        <v>41561.705555555498</v>
      </c>
      <c r="P889" s="111">
        <f ca="1">IFERROR(__xludf.DUMMYFUNCTION("""COMPUTED_VALUE"""),35.34)</f>
        <v>35.340000000000003</v>
      </c>
      <c r="Q889" s="112">
        <f ca="1">IFERROR(__xludf.DUMMYFUNCTION("""COMPUTED_VALUE"""),41557.7055555555)</f>
        <v>41557.705555555498</v>
      </c>
      <c r="R889" s="111">
        <f ca="1">IFERROR(__xludf.DUMMYFUNCTION("""COMPUTED_VALUE"""),26.8)</f>
        <v>26.8</v>
      </c>
      <c r="S889" s="112">
        <f ca="1">IFERROR(__xludf.DUMMYFUNCTION("""COMPUTED_VALUE"""),41570.7055555555)</f>
        <v>41570.705555555498</v>
      </c>
      <c r="T889" s="111">
        <f ca="1">IFERROR(__xludf.DUMMYFUNCTION("""COMPUTED_VALUE"""),10.2)</f>
        <v>10.199999999999999</v>
      </c>
    </row>
    <row r="890" spans="1:20" x14ac:dyDescent="0.3">
      <c r="A890" s="112">
        <f ca="1">IFERROR(__xludf.DUMMYFUNCTION("""COMPUTED_VALUE"""),41568.7055555555)</f>
        <v>41568.705555555498</v>
      </c>
      <c r="B890" s="111">
        <f ca="1">IFERROR(__xludf.DUMMYFUNCTION("""COMPUTED_VALUE"""),7.32)</f>
        <v>7.32</v>
      </c>
      <c r="C890" s="112">
        <f ca="1">IFERROR(__xludf.DUMMYFUNCTION("""COMPUTED_VALUE"""),41575.7055555555)</f>
        <v>41575.705555555498</v>
      </c>
      <c r="D890" s="111">
        <f ca="1">IFERROR(__xludf.DUMMYFUNCTION("""COMPUTED_VALUE"""),16.72)</f>
        <v>16.72</v>
      </c>
      <c r="E890" s="112">
        <f ca="1">IFERROR(__xludf.DUMMYFUNCTION("""COMPUTED_VALUE"""),41576.7055555555)</f>
        <v>41576.705555555498</v>
      </c>
      <c r="F890" s="111">
        <f ca="1">IFERROR(__xludf.DUMMYFUNCTION("""COMPUTED_VALUE"""),6.26)</f>
        <v>6.26</v>
      </c>
      <c r="G890" s="112">
        <f ca="1">IFERROR(__xludf.DUMMYFUNCTION("""COMPUTED_VALUE"""),41569.7055555555)</f>
        <v>41569.705555555498</v>
      </c>
      <c r="H890" s="111">
        <f ca="1">IFERROR(__xludf.DUMMYFUNCTION("""COMPUTED_VALUE"""),18.55)</f>
        <v>18.55</v>
      </c>
      <c r="K890" s="112">
        <f ca="1">IFERROR(__xludf.DUMMYFUNCTION("""COMPUTED_VALUE"""),42024.7055555555)</f>
        <v>42024.705555555498</v>
      </c>
      <c r="L890" s="111">
        <f ca="1">IFERROR(__xludf.DUMMYFUNCTION("""COMPUTED_VALUE"""),0.22)</f>
        <v>0.22</v>
      </c>
      <c r="M890" s="112">
        <f ca="1">IFERROR(__xludf.DUMMYFUNCTION("""COMPUTED_VALUE"""),41487.7055555555)</f>
        <v>41487.705555555498</v>
      </c>
      <c r="N890" s="111">
        <f ca="1">IFERROR(__xludf.DUMMYFUNCTION("""COMPUTED_VALUE"""),12.27)</f>
        <v>12.27</v>
      </c>
      <c r="O890" s="112">
        <f ca="1">IFERROR(__xludf.DUMMYFUNCTION("""COMPUTED_VALUE"""),41562.7055555555)</f>
        <v>41562.705555555498</v>
      </c>
      <c r="P890" s="111">
        <f ca="1">IFERROR(__xludf.DUMMYFUNCTION("""COMPUTED_VALUE"""),35.63)</f>
        <v>35.630000000000003</v>
      </c>
      <c r="Q890" s="112">
        <f ca="1">IFERROR(__xludf.DUMMYFUNCTION("""COMPUTED_VALUE"""),41558.7055555555)</f>
        <v>41558.705555555498</v>
      </c>
      <c r="R890" s="111">
        <f ca="1">IFERROR(__xludf.DUMMYFUNCTION("""COMPUTED_VALUE"""),26.68)</f>
        <v>26.68</v>
      </c>
      <c r="S890" s="112">
        <f ca="1">IFERROR(__xludf.DUMMYFUNCTION("""COMPUTED_VALUE"""),41571.7055555555)</f>
        <v>41571.705555555498</v>
      </c>
      <c r="T890" s="111">
        <f ca="1">IFERROR(__xludf.DUMMYFUNCTION("""COMPUTED_VALUE"""),10.25)</f>
        <v>10.25</v>
      </c>
    </row>
    <row r="891" spans="1:20" x14ac:dyDescent="0.3">
      <c r="A891" s="112">
        <f ca="1">IFERROR(__xludf.DUMMYFUNCTION("""COMPUTED_VALUE"""),41569.7055555555)</f>
        <v>41569.705555555498</v>
      </c>
      <c r="B891" s="111">
        <f ca="1">IFERROR(__xludf.DUMMYFUNCTION("""COMPUTED_VALUE"""),7.47)</f>
        <v>7.47</v>
      </c>
      <c r="C891" s="112">
        <f ca="1">IFERROR(__xludf.DUMMYFUNCTION("""COMPUTED_VALUE"""),41576.7055555555)</f>
        <v>41576.705555555498</v>
      </c>
      <c r="D891" s="111">
        <f ca="1">IFERROR(__xludf.DUMMYFUNCTION("""COMPUTED_VALUE"""),17.34)</f>
        <v>17.34</v>
      </c>
      <c r="E891" s="112">
        <f ca="1">IFERROR(__xludf.DUMMYFUNCTION("""COMPUTED_VALUE"""),41577.7055555555)</f>
        <v>41577.705555555498</v>
      </c>
      <c r="F891" s="111">
        <f ca="1">IFERROR(__xludf.DUMMYFUNCTION("""COMPUTED_VALUE"""),6.25)</f>
        <v>6.25</v>
      </c>
      <c r="G891" s="112">
        <f ca="1">IFERROR(__xludf.DUMMYFUNCTION("""COMPUTED_VALUE"""),41570.7055555555)</f>
        <v>41570.705555555498</v>
      </c>
      <c r="H891" s="111">
        <f ca="1">IFERROR(__xludf.DUMMYFUNCTION("""COMPUTED_VALUE"""),18.33)</f>
        <v>18.329999999999998</v>
      </c>
      <c r="K891" s="112">
        <f ca="1">IFERROR(__xludf.DUMMYFUNCTION("""COMPUTED_VALUE"""),42025.7055555555)</f>
        <v>42025.705555555498</v>
      </c>
      <c r="L891" s="111">
        <f ca="1">IFERROR(__xludf.DUMMYFUNCTION("""COMPUTED_VALUE"""),0.22)</f>
        <v>0.22</v>
      </c>
      <c r="M891" s="112">
        <f ca="1">IFERROR(__xludf.DUMMYFUNCTION("""COMPUTED_VALUE"""),41488.7055555555)</f>
        <v>41488.705555555498</v>
      </c>
      <c r="N891" s="111">
        <f ca="1">IFERROR(__xludf.DUMMYFUNCTION("""COMPUTED_VALUE"""),12.16)</f>
        <v>12.16</v>
      </c>
      <c r="O891" s="112">
        <f ca="1">IFERROR(__xludf.DUMMYFUNCTION("""COMPUTED_VALUE"""),41563.7055555555)</f>
        <v>41563.705555555498</v>
      </c>
      <c r="P891" s="111">
        <f ca="1">IFERROR(__xludf.DUMMYFUNCTION("""COMPUTED_VALUE"""),35.44)</f>
        <v>35.44</v>
      </c>
      <c r="Q891" s="112">
        <f ca="1">IFERROR(__xludf.DUMMYFUNCTION("""COMPUTED_VALUE"""),41561.7055555555)</f>
        <v>41561.705555555498</v>
      </c>
      <c r="R891" s="111">
        <f ca="1">IFERROR(__xludf.DUMMYFUNCTION("""COMPUTED_VALUE"""),27.06)</f>
        <v>27.06</v>
      </c>
      <c r="S891" s="112">
        <f ca="1">IFERROR(__xludf.DUMMYFUNCTION("""COMPUTED_VALUE"""),41572.7055555555)</f>
        <v>41572.705555555498</v>
      </c>
      <c r="T891" s="111">
        <f ca="1">IFERROR(__xludf.DUMMYFUNCTION("""COMPUTED_VALUE"""),10.43)</f>
        <v>10.43</v>
      </c>
    </row>
    <row r="892" spans="1:20" x14ac:dyDescent="0.3">
      <c r="A892" s="112">
        <f ca="1">IFERROR(__xludf.DUMMYFUNCTION("""COMPUTED_VALUE"""),41570.7055555555)</f>
        <v>41570.705555555498</v>
      </c>
      <c r="B892" s="111">
        <f ca="1">IFERROR(__xludf.DUMMYFUNCTION("""COMPUTED_VALUE"""),7.29)</f>
        <v>7.29</v>
      </c>
      <c r="C892" s="112">
        <f ca="1">IFERROR(__xludf.DUMMYFUNCTION("""COMPUTED_VALUE"""),41577.7055555555)</f>
        <v>41577.705555555498</v>
      </c>
      <c r="D892" s="111">
        <f ca="1">IFERROR(__xludf.DUMMYFUNCTION("""COMPUTED_VALUE"""),17.28)</f>
        <v>17.28</v>
      </c>
      <c r="E892" s="112">
        <f ca="1">IFERROR(__xludf.DUMMYFUNCTION("""COMPUTED_VALUE"""),41578.7055555555)</f>
        <v>41578.705555555498</v>
      </c>
      <c r="F892" s="111">
        <f ca="1">IFERROR(__xludf.DUMMYFUNCTION("""COMPUTED_VALUE"""),6.28)</f>
        <v>6.28</v>
      </c>
      <c r="G892" s="112">
        <f ca="1">IFERROR(__xludf.DUMMYFUNCTION("""COMPUTED_VALUE"""),41571.7055555555)</f>
        <v>41571.705555555498</v>
      </c>
      <c r="H892" s="111">
        <f ca="1">IFERROR(__xludf.DUMMYFUNCTION("""COMPUTED_VALUE"""),18.24)</f>
        <v>18.239999999999998</v>
      </c>
      <c r="K892" s="112">
        <f ca="1">IFERROR(__xludf.DUMMYFUNCTION("""COMPUTED_VALUE"""),42026.7055555555)</f>
        <v>42026.705555555498</v>
      </c>
      <c r="L892" s="111">
        <f ca="1">IFERROR(__xludf.DUMMYFUNCTION("""COMPUTED_VALUE"""),0.22)</f>
        <v>0.22</v>
      </c>
      <c r="M892" s="112">
        <f ca="1">IFERROR(__xludf.DUMMYFUNCTION("""COMPUTED_VALUE"""),41491.7055555555)</f>
        <v>41491.705555555498</v>
      </c>
      <c r="N892" s="111">
        <f ca="1">IFERROR(__xludf.DUMMYFUNCTION("""COMPUTED_VALUE"""),11.91)</f>
        <v>11.91</v>
      </c>
      <c r="O892" s="112">
        <f ca="1">IFERROR(__xludf.DUMMYFUNCTION("""COMPUTED_VALUE"""),41564.7055555555)</f>
        <v>41564.705555555498</v>
      </c>
      <c r="P892" s="111">
        <f ca="1">IFERROR(__xludf.DUMMYFUNCTION("""COMPUTED_VALUE"""),34.91)</f>
        <v>34.909999999999997</v>
      </c>
      <c r="Q892" s="112">
        <f ca="1">IFERROR(__xludf.DUMMYFUNCTION("""COMPUTED_VALUE"""),41562.7055555555)</f>
        <v>41562.705555555498</v>
      </c>
      <c r="R892" s="111">
        <f ca="1">IFERROR(__xludf.DUMMYFUNCTION("""COMPUTED_VALUE"""),27.05)</f>
        <v>27.05</v>
      </c>
      <c r="S892" s="112">
        <f ca="1">IFERROR(__xludf.DUMMYFUNCTION("""COMPUTED_VALUE"""),41575.7055555555)</f>
        <v>41575.705555555498</v>
      </c>
      <c r="T892" s="111">
        <f ca="1">IFERROR(__xludf.DUMMYFUNCTION("""COMPUTED_VALUE"""),10.37)</f>
        <v>10.37</v>
      </c>
    </row>
    <row r="893" spans="1:20" x14ac:dyDescent="0.3">
      <c r="A893" s="112">
        <f ca="1">IFERROR(__xludf.DUMMYFUNCTION("""COMPUTED_VALUE"""),41571.7055555555)</f>
        <v>41571.705555555498</v>
      </c>
      <c r="B893" s="111">
        <f ca="1">IFERROR(__xludf.DUMMYFUNCTION("""COMPUTED_VALUE"""),7.08)</f>
        <v>7.08</v>
      </c>
      <c r="C893" s="112">
        <f ca="1">IFERROR(__xludf.DUMMYFUNCTION("""COMPUTED_VALUE"""),41578.7055555555)</f>
        <v>41578.705555555498</v>
      </c>
      <c r="D893" s="111">
        <f ca="1">IFERROR(__xludf.DUMMYFUNCTION("""COMPUTED_VALUE"""),17.33)</f>
        <v>17.329999999999998</v>
      </c>
      <c r="E893" s="112">
        <f ca="1">IFERROR(__xludf.DUMMYFUNCTION("""COMPUTED_VALUE"""),41579.7055555555)</f>
        <v>41579.705555555498</v>
      </c>
      <c r="F893" s="111">
        <f ca="1">IFERROR(__xludf.DUMMYFUNCTION("""COMPUTED_VALUE"""),6.21)</f>
        <v>6.21</v>
      </c>
      <c r="G893" s="112">
        <f ca="1">IFERROR(__xludf.DUMMYFUNCTION("""COMPUTED_VALUE"""),41572.7055555555)</f>
        <v>41572.705555555498</v>
      </c>
      <c r="H893" s="111">
        <f ca="1">IFERROR(__xludf.DUMMYFUNCTION("""COMPUTED_VALUE"""),18.49)</f>
        <v>18.489999999999998</v>
      </c>
      <c r="K893" s="112">
        <f ca="1">IFERROR(__xludf.DUMMYFUNCTION("""COMPUTED_VALUE"""),42027.7055555555)</f>
        <v>42027.705555555498</v>
      </c>
      <c r="L893" s="111">
        <f ca="1">IFERROR(__xludf.DUMMYFUNCTION("""COMPUTED_VALUE"""),0.22)</f>
        <v>0.22</v>
      </c>
      <c r="M893" s="112">
        <f ca="1">IFERROR(__xludf.DUMMYFUNCTION("""COMPUTED_VALUE"""),41492.7055555555)</f>
        <v>41492.705555555498</v>
      </c>
      <c r="N893" s="111">
        <f ca="1">IFERROR(__xludf.DUMMYFUNCTION("""COMPUTED_VALUE"""),11.66)</f>
        <v>11.66</v>
      </c>
      <c r="O893" s="112">
        <f ca="1">IFERROR(__xludf.DUMMYFUNCTION("""COMPUTED_VALUE"""),41565.7055555555)</f>
        <v>41565.705555555498</v>
      </c>
      <c r="P893" s="111">
        <f ca="1">IFERROR(__xludf.DUMMYFUNCTION("""COMPUTED_VALUE"""),34.89)</f>
        <v>34.89</v>
      </c>
      <c r="Q893" s="112">
        <f ca="1">IFERROR(__xludf.DUMMYFUNCTION("""COMPUTED_VALUE"""),41563.7055555555)</f>
        <v>41563.705555555498</v>
      </c>
      <c r="R893" s="111">
        <f ca="1">IFERROR(__xludf.DUMMYFUNCTION("""COMPUTED_VALUE"""),27.65)</f>
        <v>27.65</v>
      </c>
      <c r="S893" s="112">
        <f ca="1">IFERROR(__xludf.DUMMYFUNCTION("""COMPUTED_VALUE"""),41576.7055555555)</f>
        <v>41576.705555555498</v>
      </c>
      <c r="T893" s="111">
        <f ca="1">IFERROR(__xludf.DUMMYFUNCTION("""COMPUTED_VALUE"""),10.19)</f>
        <v>10.19</v>
      </c>
    </row>
    <row r="894" spans="1:20" x14ac:dyDescent="0.3">
      <c r="A894" s="112">
        <f ca="1">IFERROR(__xludf.DUMMYFUNCTION("""COMPUTED_VALUE"""),41572.7055555555)</f>
        <v>41572.705555555498</v>
      </c>
      <c r="B894" s="111">
        <f ca="1">IFERROR(__xludf.DUMMYFUNCTION("""COMPUTED_VALUE"""),7.08)</f>
        <v>7.08</v>
      </c>
      <c r="C894" s="112">
        <f ca="1">IFERROR(__xludf.DUMMYFUNCTION("""COMPUTED_VALUE"""),41579.7055555555)</f>
        <v>41579.705555555498</v>
      </c>
      <c r="D894" s="111">
        <f ca="1">IFERROR(__xludf.DUMMYFUNCTION("""COMPUTED_VALUE"""),17.16)</f>
        <v>17.16</v>
      </c>
      <c r="E894" s="112">
        <f ca="1">IFERROR(__xludf.DUMMYFUNCTION("""COMPUTED_VALUE"""),41582.7055555555)</f>
        <v>41582.705555555498</v>
      </c>
      <c r="F894" s="111">
        <f ca="1">IFERROR(__xludf.DUMMYFUNCTION("""COMPUTED_VALUE"""),6.23)</f>
        <v>6.23</v>
      </c>
      <c r="G894" s="112">
        <f ca="1">IFERROR(__xludf.DUMMYFUNCTION("""COMPUTED_VALUE"""),41575.7055555555)</f>
        <v>41575.705555555498</v>
      </c>
      <c r="H894" s="111">
        <f ca="1">IFERROR(__xludf.DUMMYFUNCTION("""COMPUTED_VALUE"""),19.89)</f>
        <v>19.89</v>
      </c>
      <c r="K894" s="112">
        <f ca="1">IFERROR(__xludf.DUMMYFUNCTION("""COMPUTED_VALUE"""),42030.7055555555)</f>
        <v>42030.705555555498</v>
      </c>
      <c r="L894" s="111">
        <f ca="1">IFERROR(__xludf.DUMMYFUNCTION("""COMPUTED_VALUE"""),0.22)</f>
        <v>0.22</v>
      </c>
      <c r="M894" s="112">
        <f ca="1">IFERROR(__xludf.DUMMYFUNCTION("""COMPUTED_VALUE"""),41493.7055555555)</f>
        <v>41493.705555555498</v>
      </c>
      <c r="N894" s="111">
        <f ca="1">IFERROR(__xludf.DUMMYFUNCTION("""COMPUTED_VALUE"""),11.7)</f>
        <v>11.7</v>
      </c>
      <c r="O894" s="112">
        <f ca="1">IFERROR(__xludf.DUMMYFUNCTION("""COMPUTED_VALUE"""),41568.7055555555)</f>
        <v>41568.705555555498</v>
      </c>
      <c r="P894" s="111">
        <f ca="1">IFERROR(__xludf.DUMMYFUNCTION("""COMPUTED_VALUE"""),35.38)</f>
        <v>35.380000000000003</v>
      </c>
      <c r="Q894" s="112">
        <f ca="1">IFERROR(__xludf.DUMMYFUNCTION("""COMPUTED_VALUE"""),41564.7055555555)</f>
        <v>41564.705555555498</v>
      </c>
      <c r="R894" s="111">
        <f ca="1">IFERROR(__xludf.DUMMYFUNCTION("""COMPUTED_VALUE"""),27.78)</f>
        <v>27.78</v>
      </c>
      <c r="S894" s="112">
        <f ca="1">IFERROR(__xludf.DUMMYFUNCTION("""COMPUTED_VALUE"""),41577.7055555555)</f>
        <v>41577.705555555498</v>
      </c>
      <c r="T894" s="111">
        <f ca="1">IFERROR(__xludf.DUMMYFUNCTION("""COMPUTED_VALUE"""),10.31)</f>
        <v>10.31</v>
      </c>
    </row>
    <row r="895" spans="1:20" x14ac:dyDescent="0.3">
      <c r="A895" s="112">
        <f ca="1">IFERROR(__xludf.DUMMYFUNCTION("""COMPUTED_VALUE"""),41575.7055555555)</f>
        <v>41575.705555555498</v>
      </c>
      <c r="B895" s="111">
        <f ca="1">IFERROR(__xludf.DUMMYFUNCTION("""COMPUTED_VALUE"""),7.26)</f>
        <v>7.26</v>
      </c>
      <c r="C895" s="112">
        <f ca="1">IFERROR(__xludf.DUMMYFUNCTION("""COMPUTED_VALUE"""),41582.7055555555)</f>
        <v>41582.705555555498</v>
      </c>
      <c r="D895" s="111">
        <f ca="1">IFERROR(__xludf.DUMMYFUNCTION("""COMPUTED_VALUE"""),17.29)</f>
        <v>17.29</v>
      </c>
      <c r="E895" s="112">
        <f ca="1">IFERROR(__xludf.DUMMYFUNCTION("""COMPUTED_VALUE"""),41583.7055555555)</f>
        <v>41583.705555555498</v>
      </c>
      <c r="F895" s="111">
        <f ca="1">IFERROR(__xludf.DUMMYFUNCTION("""COMPUTED_VALUE"""),6.18)</f>
        <v>6.18</v>
      </c>
      <c r="G895" s="112">
        <f ca="1">IFERROR(__xludf.DUMMYFUNCTION("""COMPUTED_VALUE"""),41576.7055555555)</f>
        <v>41576.705555555498</v>
      </c>
      <c r="H895" s="111">
        <f ca="1">IFERROR(__xludf.DUMMYFUNCTION("""COMPUTED_VALUE"""),19.7)</f>
        <v>19.7</v>
      </c>
      <c r="K895" s="112">
        <f ca="1">IFERROR(__xludf.DUMMYFUNCTION("""COMPUTED_VALUE"""),42031.7055555555)</f>
        <v>42031.705555555498</v>
      </c>
      <c r="L895" s="111">
        <f ca="1">IFERROR(__xludf.DUMMYFUNCTION("""COMPUTED_VALUE"""),0.21)</f>
        <v>0.21</v>
      </c>
      <c r="M895" s="112">
        <f ca="1">IFERROR(__xludf.DUMMYFUNCTION("""COMPUTED_VALUE"""),41494.7055555555)</f>
        <v>41494.705555555498</v>
      </c>
      <c r="N895" s="111">
        <f ca="1">IFERROR(__xludf.DUMMYFUNCTION("""COMPUTED_VALUE"""),12.08)</f>
        <v>12.08</v>
      </c>
      <c r="O895" s="112">
        <f ca="1">IFERROR(__xludf.DUMMYFUNCTION("""COMPUTED_VALUE"""),41569.7055555555)</f>
        <v>41569.705555555498</v>
      </c>
      <c r="P895" s="111">
        <f ca="1">IFERROR(__xludf.DUMMYFUNCTION("""COMPUTED_VALUE"""),35.89)</f>
        <v>35.89</v>
      </c>
      <c r="Q895" s="112">
        <f ca="1">IFERROR(__xludf.DUMMYFUNCTION("""COMPUTED_VALUE"""),41565.7055555555)</f>
        <v>41565.705555555498</v>
      </c>
      <c r="R895" s="111">
        <f ca="1">IFERROR(__xludf.DUMMYFUNCTION("""COMPUTED_VALUE"""),28.37)</f>
        <v>28.37</v>
      </c>
      <c r="S895" s="112">
        <f ca="1">IFERROR(__xludf.DUMMYFUNCTION("""COMPUTED_VALUE"""),41578.7055555555)</f>
        <v>41578.705555555498</v>
      </c>
      <c r="T895" s="111">
        <f ca="1">IFERROR(__xludf.DUMMYFUNCTION("""COMPUTED_VALUE"""),10.12)</f>
        <v>10.119999999999999</v>
      </c>
    </row>
    <row r="896" spans="1:20" x14ac:dyDescent="0.3">
      <c r="A896" s="112">
        <f ca="1">IFERROR(__xludf.DUMMYFUNCTION("""COMPUTED_VALUE"""),41576.7055555555)</f>
        <v>41576.705555555498</v>
      </c>
      <c r="B896" s="111">
        <f ca="1">IFERROR(__xludf.DUMMYFUNCTION("""COMPUTED_VALUE"""),7.26)</f>
        <v>7.26</v>
      </c>
      <c r="C896" s="112">
        <f ca="1">IFERROR(__xludf.DUMMYFUNCTION("""COMPUTED_VALUE"""),41583.7055555555)</f>
        <v>41583.705555555498</v>
      </c>
      <c r="D896" s="111">
        <f ca="1">IFERROR(__xludf.DUMMYFUNCTION("""COMPUTED_VALUE"""),17)</f>
        <v>17</v>
      </c>
      <c r="E896" s="112">
        <f ca="1">IFERROR(__xludf.DUMMYFUNCTION("""COMPUTED_VALUE"""),41584.7055555555)</f>
        <v>41584.705555555498</v>
      </c>
      <c r="F896" s="111">
        <f ca="1">IFERROR(__xludf.DUMMYFUNCTION("""COMPUTED_VALUE"""),6.11)</f>
        <v>6.11</v>
      </c>
      <c r="G896" s="112">
        <f ca="1">IFERROR(__xludf.DUMMYFUNCTION("""COMPUTED_VALUE"""),41577.7055555555)</f>
        <v>41577.705555555498</v>
      </c>
      <c r="H896" s="111">
        <f ca="1">IFERROR(__xludf.DUMMYFUNCTION("""COMPUTED_VALUE"""),19.95)</f>
        <v>19.95</v>
      </c>
      <c r="K896" s="112">
        <f ca="1">IFERROR(__xludf.DUMMYFUNCTION("""COMPUTED_VALUE"""),42032.7055555555)</f>
        <v>42032.705555555498</v>
      </c>
      <c r="L896" s="111">
        <f ca="1">IFERROR(__xludf.DUMMYFUNCTION("""COMPUTED_VALUE"""),0.21)</f>
        <v>0.21</v>
      </c>
      <c r="M896" s="112">
        <f ca="1">IFERROR(__xludf.DUMMYFUNCTION("""COMPUTED_VALUE"""),41495.7055555555)</f>
        <v>41495.705555555498</v>
      </c>
      <c r="N896" s="111">
        <f ca="1">IFERROR(__xludf.DUMMYFUNCTION("""COMPUTED_VALUE"""),12.21)</f>
        <v>12.21</v>
      </c>
      <c r="O896" s="112">
        <f ca="1">IFERROR(__xludf.DUMMYFUNCTION("""COMPUTED_VALUE"""),41570.7055555555)</f>
        <v>41570.705555555498</v>
      </c>
      <c r="P896" s="111">
        <f ca="1">IFERROR(__xludf.DUMMYFUNCTION("""COMPUTED_VALUE"""),35.05)</f>
        <v>35.049999999999997</v>
      </c>
      <c r="Q896" s="112">
        <f ca="1">IFERROR(__xludf.DUMMYFUNCTION("""COMPUTED_VALUE"""),41568.7055555555)</f>
        <v>41568.705555555498</v>
      </c>
      <c r="R896" s="111">
        <f ca="1">IFERROR(__xludf.DUMMYFUNCTION("""COMPUTED_VALUE"""),28.1)</f>
        <v>28.1</v>
      </c>
      <c r="S896" s="112">
        <f ca="1">IFERROR(__xludf.DUMMYFUNCTION("""COMPUTED_VALUE"""),41579.7055555555)</f>
        <v>41579.705555555498</v>
      </c>
      <c r="T896" s="111">
        <f ca="1">IFERROR(__xludf.DUMMYFUNCTION("""COMPUTED_VALUE"""),10.07)</f>
        <v>10.07</v>
      </c>
    </row>
    <row r="897" spans="1:20" x14ac:dyDescent="0.3">
      <c r="A897" s="112">
        <f ca="1">IFERROR(__xludf.DUMMYFUNCTION("""COMPUTED_VALUE"""),41577.7055555555)</f>
        <v>41577.705555555498</v>
      </c>
      <c r="B897" s="111">
        <f ca="1">IFERROR(__xludf.DUMMYFUNCTION("""COMPUTED_VALUE"""),7.02)</f>
        <v>7.02</v>
      </c>
      <c r="C897" s="112">
        <f ca="1">IFERROR(__xludf.DUMMYFUNCTION("""COMPUTED_VALUE"""),41584.7055555555)</f>
        <v>41584.705555555498</v>
      </c>
      <c r="D897" s="111">
        <f ca="1">IFERROR(__xludf.DUMMYFUNCTION("""COMPUTED_VALUE"""),16.79)</f>
        <v>16.79</v>
      </c>
      <c r="E897" s="112">
        <f ca="1">IFERROR(__xludf.DUMMYFUNCTION("""COMPUTED_VALUE"""),41585.7055555555)</f>
        <v>41585.705555555498</v>
      </c>
      <c r="F897" s="111">
        <f ca="1">IFERROR(__xludf.DUMMYFUNCTION("""COMPUTED_VALUE"""),6.02)</f>
        <v>6.02</v>
      </c>
      <c r="G897" s="112">
        <f ca="1">IFERROR(__xludf.DUMMYFUNCTION("""COMPUTED_VALUE"""),41578.7055555555)</f>
        <v>41578.705555555498</v>
      </c>
      <c r="H897" s="111">
        <f ca="1">IFERROR(__xludf.DUMMYFUNCTION("""COMPUTED_VALUE"""),20.29)</f>
        <v>20.29</v>
      </c>
      <c r="K897" s="112">
        <f ca="1">IFERROR(__xludf.DUMMYFUNCTION("""COMPUTED_VALUE"""),42033.7055555555)</f>
        <v>42033.705555555498</v>
      </c>
      <c r="L897" s="111">
        <f ca="1">IFERROR(__xludf.DUMMYFUNCTION("""COMPUTED_VALUE"""),0.21)</f>
        <v>0.21</v>
      </c>
      <c r="M897" s="112">
        <f ca="1">IFERROR(__xludf.DUMMYFUNCTION("""COMPUTED_VALUE"""),41498.7055555555)</f>
        <v>41498.705555555498</v>
      </c>
      <c r="N897" s="111">
        <f ca="1">IFERROR(__xludf.DUMMYFUNCTION("""COMPUTED_VALUE"""),12.4)</f>
        <v>12.4</v>
      </c>
      <c r="O897" s="112">
        <f ca="1">IFERROR(__xludf.DUMMYFUNCTION("""COMPUTED_VALUE"""),41571.7055555555)</f>
        <v>41571.705555555498</v>
      </c>
      <c r="P897" s="111">
        <f ca="1">IFERROR(__xludf.DUMMYFUNCTION("""COMPUTED_VALUE"""),35.05)</f>
        <v>35.049999999999997</v>
      </c>
      <c r="Q897" s="112">
        <f ca="1">IFERROR(__xludf.DUMMYFUNCTION("""COMPUTED_VALUE"""),41569.7055555555)</f>
        <v>41569.705555555498</v>
      </c>
      <c r="R897" s="111">
        <f ca="1">IFERROR(__xludf.DUMMYFUNCTION("""COMPUTED_VALUE"""),28.15)</f>
        <v>28.15</v>
      </c>
      <c r="S897" s="112">
        <f ca="1">IFERROR(__xludf.DUMMYFUNCTION("""COMPUTED_VALUE"""),41582.7055555555)</f>
        <v>41582.705555555498</v>
      </c>
      <c r="T897" s="111">
        <f ca="1">IFERROR(__xludf.DUMMYFUNCTION("""COMPUTED_VALUE"""),10.01)</f>
        <v>10.01</v>
      </c>
    </row>
    <row r="898" spans="1:20" x14ac:dyDescent="0.3">
      <c r="A898" s="112">
        <f ca="1">IFERROR(__xludf.DUMMYFUNCTION("""COMPUTED_VALUE"""),41578.7055555555)</f>
        <v>41578.705555555498</v>
      </c>
      <c r="B898" s="111">
        <f ca="1">IFERROR(__xludf.DUMMYFUNCTION("""COMPUTED_VALUE"""),7.01)</f>
        <v>7.01</v>
      </c>
      <c r="C898" s="112">
        <f ca="1">IFERROR(__xludf.DUMMYFUNCTION("""COMPUTED_VALUE"""),41585.7055555555)</f>
        <v>41585.705555555498</v>
      </c>
      <c r="D898" s="111">
        <f ca="1">IFERROR(__xludf.DUMMYFUNCTION("""COMPUTED_VALUE"""),16.54)</f>
        <v>16.54</v>
      </c>
      <c r="E898" s="112">
        <f ca="1">IFERROR(__xludf.DUMMYFUNCTION("""COMPUTED_VALUE"""),41586.7055555555)</f>
        <v>41586.705555555498</v>
      </c>
      <c r="F898" s="111">
        <f ca="1">IFERROR(__xludf.DUMMYFUNCTION("""COMPUTED_VALUE"""),5.88)</f>
        <v>5.88</v>
      </c>
      <c r="G898" s="112">
        <f ca="1">IFERROR(__xludf.DUMMYFUNCTION("""COMPUTED_VALUE"""),41579.7055555555)</f>
        <v>41579.705555555498</v>
      </c>
      <c r="H898" s="111">
        <f ca="1">IFERROR(__xludf.DUMMYFUNCTION("""COMPUTED_VALUE"""),19.86)</f>
        <v>19.86</v>
      </c>
      <c r="K898" s="112">
        <f ca="1">IFERROR(__xludf.DUMMYFUNCTION("""COMPUTED_VALUE"""),42034.7055555555)</f>
        <v>42034.705555555498</v>
      </c>
      <c r="L898" s="111">
        <f ca="1">IFERROR(__xludf.DUMMYFUNCTION("""COMPUTED_VALUE"""),0.21)</f>
        <v>0.21</v>
      </c>
      <c r="M898" s="112">
        <f ca="1">IFERROR(__xludf.DUMMYFUNCTION("""COMPUTED_VALUE"""),41499.7055555555)</f>
        <v>41499.705555555498</v>
      </c>
      <c r="N898" s="111">
        <f ca="1">IFERROR(__xludf.DUMMYFUNCTION("""COMPUTED_VALUE"""),12.7)</f>
        <v>12.7</v>
      </c>
      <c r="O898" s="112">
        <f ca="1">IFERROR(__xludf.DUMMYFUNCTION("""COMPUTED_VALUE"""),41572.7055555555)</f>
        <v>41572.705555555498</v>
      </c>
      <c r="P898" s="111">
        <f ca="1">IFERROR(__xludf.DUMMYFUNCTION("""COMPUTED_VALUE"""),35.07)</f>
        <v>35.07</v>
      </c>
      <c r="Q898" s="112">
        <f ca="1">IFERROR(__xludf.DUMMYFUNCTION("""COMPUTED_VALUE"""),41570.7055555555)</f>
        <v>41570.705555555498</v>
      </c>
      <c r="R898" s="111">
        <f ca="1">IFERROR(__xludf.DUMMYFUNCTION("""COMPUTED_VALUE"""),28)</f>
        <v>28</v>
      </c>
      <c r="S898" s="112">
        <f ca="1">IFERROR(__xludf.DUMMYFUNCTION("""COMPUTED_VALUE"""),41583.7055555555)</f>
        <v>41583.705555555498</v>
      </c>
      <c r="T898" s="111">
        <f ca="1">IFERROR(__xludf.DUMMYFUNCTION("""COMPUTED_VALUE"""),9.83)</f>
        <v>9.83</v>
      </c>
    </row>
    <row r="899" spans="1:20" x14ac:dyDescent="0.3">
      <c r="A899" s="112">
        <f ca="1">IFERROR(__xludf.DUMMYFUNCTION("""COMPUTED_VALUE"""),41579.7055555555)</f>
        <v>41579.705555555498</v>
      </c>
      <c r="B899" s="111">
        <f ca="1">IFERROR(__xludf.DUMMYFUNCTION("""COMPUTED_VALUE"""),6.68)</f>
        <v>6.68</v>
      </c>
      <c r="C899" s="112">
        <f ca="1">IFERROR(__xludf.DUMMYFUNCTION("""COMPUTED_VALUE"""),41586.7055555555)</f>
        <v>41586.705555555498</v>
      </c>
      <c r="D899" s="111">
        <f ca="1">IFERROR(__xludf.DUMMYFUNCTION("""COMPUTED_VALUE"""),16.11)</f>
        <v>16.11</v>
      </c>
      <c r="E899" s="112">
        <f ca="1">IFERROR(__xludf.DUMMYFUNCTION("""COMPUTED_VALUE"""),41589.7055555555)</f>
        <v>41589.705555555498</v>
      </c>
      <c r="F899" s="111">
        <f ca="1">IFERROR(__xludf.DUMMYFUNCTION("""COMPUTED_VALUE"""),5.91)</f>
        <v>5.91</v>
      </c>
      <c r="G899" s="112">
        <f ca="1">IFERROR(__xludf.DUMMYFUNCTION("""COMPUTED_VALUE"""),41582.7055555555)</f>
        <v>41582.705555555498</v>
      </c>
      <c r="H899" s="111">
        <f ca="1">IFERROR(__xludf.DUMMYFUNCTION("""COMPUTED_VALUE"""),20.22)</f>
        <v>20.22</v>
      </c>
      <c r="K899" s="112">
        <f ca="1">IFERROR(__xludf.DUMMYFUNCTION("""COMPUTED_VALUE"""),42037.7055555555)</f>
        <v>42037.705555555498</v>
      </c>
      <c r="L899" s="111">
        <f ca="1">IFERROR(__xludf.DUMMYFUNCTION("""COMPUTED_VALUE"""),0.21)</f>
        <v>0.21</v>
      </c>
      <c r="M899" s="112">
        <f ca="1">IFERROR(__xludf.DUMMYFUNCTION("""COMPUTED_VALUE"""),41500.7055555555)</f>
        <v>41500.705555555498</v>
      </c>
      <c r="N899" s="111">
        <f ca="1">IFERROR(__xludf.DUMMYFUNCTION("""COMPUTED_VALUE"""),12.57)</f>
        <v>12.57</v>
      </c>
      <c r="O899" s="112">
        <f ca="1">IFERROR(__xludf.DUMMYFUNCTION("""COMPUTED_VALUE"""),41575.7055555555)</f>
        <v>41575.705555555498</v>
      </c>
      <c r="P899" s="111">
        <f ca="1">IFERROR(__xludf.DUMMYFUNCTION("""COMPUTED_VALUE"""),35.31)</f>
        <v>35.31</v>
      </c>
      <c r="Q899" s="112">
        <f ca="1">IFERROR(__xludf.DUMMYFUNCTION("""COMPUTED_VALUE"""),41571.7055555555)</f>
        <v>41571.705555555498</v>
      </c>
      <c r="R899" s="111">
        <f ca="1">IFERROR(__xludf.DUMMYFUNCTION("""COMPUTED_VALUE"""),28.34)</f>
        <v>28.34</v>
      </c>
      <c r="S899" s="112">
        <f ca="1">IFERROR(__xludf.DUMMYFUNCTION("""COMPUTED_VALUE"""),41584.7055555555)</f>
        <v>41584.705555555498</v>
      </c>
      <c r="T899" s="111">
        <f ca="1">IFERROR(__xludf.DUMMYFUNCTION("""COMPUTED_VALUE"""),9.64)</f>
        <v>9.64</v>
      </c>
    </row>
    <row r="900" spans="1:20" x14ac:dyDescent="0.3">
      <c r="A900" s="112">
        <f ca="1">IFERROR(__xludf.DUMMYFUNCTION("""COMPUTED_VALUE"""),41582.7055555555)</f>
        <v>41582.705555555498</v>
      </c>
      <c r="B900" s="111">
        <f ca="1">IFERROR(__xludf.DUMMYFUNCTION("""COMPUTED_VALUE"""),6.68)</f>
        <v>6.68</v>
      </c>
      <c r="C900" s="112">
        <f ca="1">IFERROR(__xludf.DUMMYFUNCTION("""COMPUTED_VALUE"""),41589.7055555555)</f>
        <v>41589.705555555498</v>
      </c>
      <c r="D900" s="111">
        <f ca="1">IFERROR(__xludf.DUMMYFUNCTION("""COMPUTED_VALUE"""),16.18)</f>
        <v>16.18</v>
      </c>
      <c r="E900" s="112">
        <f ca="1">IFERROR(__xludf.DUMMYFUNCTION("""COMPUTED_VALUE"""),41590.7055555555)</f>
        <v>41590.705555555498</v>
      </c>
      <c r="F900" s="111">
        <f ca="1">IFERROR(__xludf.DUMMYFUNCTION("""COMPUTED_VALUE"""),5.91)</f>
        <v>5.91</v>
      </c>
      <c r="G900" s="112">
        <f ca="1">IFERROR(__xludf.DUMMYFUNCTION("""COMPUTED_VALUE"""),41583.7055555555)</f>
        <v>41583.705555555498</v>
      </c>
      <c r="H900" s="111">
        <f ca="1">IFERROR(__xludf.DUMMYFUNCTION("""COMPUTED_VALUE"""),20.25)</f>
        <v>20.25</v>
      </c>
      <c r="K900" s="112">
        <f ca="1">IFERROR(__xludf.DUMMYFUNCTION("""COMPUTED_VALUE"""),42038.7055555555)</f>
        <v>42038.705555555498</v>
      </c>
      <c r="L900" s="111">
        <f ca="1">IFERROR(__xludf.DUMMYFUNCTION("""COMPUTED_VALUE"""),0.21)</f>
        <v>0.21</v>
      </c>
      <c r="M900" s="112">
        <f ca="1">IFERROR(__xludf.DUMMYFUNCTION("""COMPUTED_VALUE"""),41501.7055555555)</f>
        <v>41501.705555555498</v>
      </c>
      <c r="N900" s="111">
        <f ca="1">IFERROR(__xludf.DUMMYFUNCTION("""COMPUTED_VALUE"""),12.41)</f>
        <v>12.41</v>
      </c>
      <c r="O900" s="112">
        <f ca="1">IFERROR(__xludf.DUMMYFUNCTION("""COMPUTED_VALUE"""),41576.7055555555)</f>
        <v>41576.705555555498</v>
      </c>
      <c r="P900" s="111">
        <f ca="1">IFERROR(__xludf.DUMMYFUNCTION("""COMPUTED_VALUE"""),35.14)</f>
        <v>35.14</v>
      </c>
      <c r="Q900" s="112">
        <f ca="1">IFERROR(__xludf.DUMMYFUNCTION("""COMPUTED_VALUE"""),41572.7055555555)</f>
        <v>41572.705555555498</v>
      </c>
      <c r="R900" s="111">
        <f ca="1">IFERROR(__xludf.DUMMYFUNCTION("""COMPUTED_VALUE"""),28.67)</f>
        <v>28.67</v>
      </c>
      <c r="S900" s="112">
        <f ca="1">IFERROR(__xludf.DUMMYFUNCTION("""COMPUTED_VALUE"""),41585.7055555555)</f>
        <v>41585.705555555498</v>
      </c>
      <c r="T900" s="111">
        <f ca="1">IFERROR(__xludf.DUMMYFUNCTION("""COMPUTED_VALUE"""),9.47)</f>
        <v>9.4700000000000006</v>
      </c>
    </row>
    <row r="901" spans="1:20" x14ac:dyDescent="0.3">
      <c r="A901" s="112">
        <f ca="1">IFERROR(__xludf.DUMMYFUNCTION("""COMPUTED_VALUE"""),41583.7055555555)</f>
        <v>41583.705555555498</v>
      </c>
      <c r="B901" s="111">
        <f ca="1">IFERROR(__xludf.DUMMYFUNCTION("""COMPUTED_VALUE"""),6.33)</f>
        <v>6.33</v>
      </c>
      <c r="C901" s="112">
        <f ca="1">IFERROR(__xludf.DUMMYFUNCTION("""COMPUTED_VALUE"""),41590.7055555555)</f>
        <v>41590.705555555498</v>
      </c>
      <c r="D901" s="111">
        <f ca="1">IFERROR(__xludf.DUMMYFUNCTION("""COMPUTED_VALUE"""),16.15)</f>
        <v>16.149999999999999</v>
      </c>
      <c r="E901" s="112">
        <f ca="1">IFERROR(__xludf.DUMMYFUNCTION("""COMPUTED_VALUE"""),41591.7055555555)</f>
        <v>41591.705555555498</v>
      </c>
      <c r="F901" s="111">
        <f ca="1">IFERROR(__xludf.DUMMYFUNCTION("""COMPUTED_VALUE"""),6)</f>
        <v>6</v>
      </c>
      <c r="G901" s="112">
        <f ca="1">IFERROR(__xludf.DUMMYFUNCTION("""COMPUTED_VALUE"""),41584.7055555555)</f>
        <v>41584.705555555498</v>
      </c>
      <c r="H901" s="111">
        <f ca="1">IFERROR(__xludf.DUMMYFUNCTION("""COMPUTED_VALUE"""),20.41)</f>
        <v>20.41</v>
      </c>
      <c r="K901" s="112">
        <f ca="1">IFERROR(__xludf.DUMMYFUNCTION("""COMPUTED_VALUE"""),42039.7055555555)</f>
        <v>42039.705555555498</v>
      </c>
      <c r="L901" s="111">
        <f ca="1">IFERROR(__xludf.DUMMYFUNCTION("""COMPUTED_VALUE"""),0.2)</f>
        <v>0.2</v>
      </c>
      <c r="M901" s="112">
        <f ca="1">IFERROR(__xludf.DUMMYFUNCTION("""COMPUTED_VALUE"""),41502.7055555555)</f>
        <v>41502.705555555498</v>
      </c>
      <c r="N901" s="111">
        <f ca="1">IFERROR(__xludf.DUMMYFUNCTION("""COMPUTED_VALUE"""),12.29)</f>
        <v>12.29</v>
      </c>
      <c r="O901" s="112">
        <f ca="1">IFERROR(__xludf.DUMMYFUNCTION("""COMPUTED_VALUE"""),41577.7055555555)</f>
        <v>41577.705555555498</v>
      </c>
      <c r="P901" s="111">
        <f ca="1">IFERROR(__xludf.DUMMYFUNCTION("""COMPUTED_VALUE"""),35.02)</f>
        <v>35.020000000000003</v>
      </c>
      <c r="Q901" s="112">
        <f ca="1">IFERROR(__xludf.DUMMYFUNCTION("""COMPUTED_VALUE"""),41575.7055555555)</f>
        <v>41575.705555555498</v>
      </c>
      <c r="R901" s="111">
        <f ca="1">IFERROR(__xludf.DUMMYFUNCTION("""COMPUTED_VALUE"""),28.56)</f>
        <v>28.56</v>
      </c>
      <c r="S901" s="112">
        <f ca="1">IFERROR(__xludf.DUMMYFUNCTION("""COMPUTED_VALUE"""),41586.7055555555)</f>
        <v>41586.705555555498</v>
      </c>
      <c r="T901" s="111">
        <f ca="1">IFERROR(__xludf.DUMMYFUNCTION("""COMPUTED_VALUE"""),9.38)</f>
        <v>9.3800000000000008</v>
      </c>
    </row>
    <row r="902" spans="1:20" x14ac:dyDescent="0.3">
      <c r="A902" s="112">
        <f ca="1">IFERROR(__xludf.DUMMYFUNCTION("""COMPUTED_VALUE"""),41584.7055555555)</f>
        <v>41584.705555555498</v>
      </c>
      <c r="B902" s="111">
        <f ca="1">IFERROR(__xludf.DUMMYFUNCTION("""COMPUTED_VALUE"""),6.05)</f>
        <v>6.05</v>
      </c>
      <c r="C902" s="112">
        <f ca="1">IFERROR(__xludf.DUMMYFUNCTION("""COMPUTED_VALUE"""),41591.7055555555)</f>
        <v>41591.705555555498</v>
      </c>
      <c r="D902" s="111">
        <f ca="1">IFERROR(__xludf.DUMMYFUNCTION("""COMPUTED_VALUE"""),16.48)</f>
        <v>16.48</v>
      </c>
      <c r="E902" s="112">
        <f ca="1">IFERROR(__xludf.DUMMYFUNCTION("""COMPUTED_VALUE"""),41592.7055555555)</f>
        <v>41592.705555555498</v>
      </c>
      <c r="F902" s="111">
        <f ca="1">IFERROR(__xludf.DUMMYFUNCTION("""COMPUTED_VALUE"""),6.14)</f>
        <v>6.14</v>
      </c>
      <c r="G902" s="112">
        <f ca="1">IFERROR(__xludf.DUMMYFUNCTION("""COMPUTED_VALUE"""),41585.7055555555)</f>
        <v>41585.705555555498</v>
      </c>
      <c r="H902" s="111">
        <f ca="1">IFERROR(__xludf.DUMMYFUNCTION("""COMPUTED_VALUE"""),20)</f>
        <v>20</v>
      </c>
      <c r="K902" s="112">
        <f ca="1">IFERROR(__xludf.DUMMYFUNCTION("""COMPUTED_VALUE"""),42040.7055555555)</f>
        <v>42040.705555555498</v>
      </c>
      <c r="L902" s="111">
        <f ca="1">IFERROR(__xludf.DUMMYFUNCTION("""COMPUTED_VALUE"""),0.2)</f>
        <v>0.2</v>
      </c>
      <c r="M902" s="112">
        <f ca="1">IFERROR(__xludf.DUMMYFUNCTION("""COMPUTED_VALUE"""),41505.7055555555)</f>
        <v>41505.705555555498</v>
      </c>
      <c r="N902" s="111">
        <f ca="1">IFERROR(__xludf.DUMMYFUNCTION("""COMPUTED_VALUE"""),12.26)</f>
        <v>12.26</v>
      </c>
      <c r="O902" s="112">
        <f ca="1">IFERROR(__xludf.DUMMYFUNCTION("""COMPUTED_VALUE"""),41578.7055555555)</f>
        <v>41578.705555555498</v>
      </c>
      <c r="P902" s="111">
        <f ca="1">IFERROR(__xludf.DUMMYFUNCTION("""COMPUTED_VALUE"""),35.81)</f>
        <v>35.81</v>
      </c>
      <c r="Q902" s="112">
        <f ca="1">IFERROR(__xludf.DUMMYFUNCTION("""COMPUTED_VALUE"""),41576.7055555555)</f>
        <v>41576.705555555498</v>
      </c>
      <c r="R902" s="111">
        <f ca="1">IFERROR(__xludf.DUMMYFUNCTION("""COMPUTED_VALUE"""),28.65)</f>
        <v>28.65</v>
      </c>
      <c r="S902" s="112">
        <f ca="1">IFERROR(__xludf.DUMMYFUNCTION("""COMPUTED_VALUE"""),41589.7055555555)</f>
        <v>41589.705555555498</v>
      </c>
      <c r="T902" s="111">
        <f ca="1">IFERROR(__xludf.DUMMYFUNCTION("""COMPUTED_VALUE"""),9.32)</f>
        <v>9.32</v>
      </c>
    </row>
    <row r="903" spans="1:20" x14ac:dyDescent="0.3">
      <c r="A903" s="112">
        <f ca="1">IFERROR(__xludf.DUMMYFUNCTION("""COMPUTED_VALUE"""),41585.7055555555)</f>
        <v>41585.705555555498</v>
      </c>
      <c r="B903" s="111">
        <f ca="1">IFERROR(__xludf.DUMMYFUNCTION("""COMPUTED_VALUE"""),6.03)</f>
        <v>6.03</v>
      </c>
      <c r="C903" s="112">
        <f ca="1">IFERROR(__xludf.DUMMYFUNCTION("""COMPUTED_VALUE"""),41592.7055555555)</f>
        <v>41592.705555555498</v>
      </c>
      <c r="D903" s="111">
        <f ca="1">IFERROR(__xludf.DUMMYFUNCTION("""COMPUTED_VALUE"""),16.83)</f>
        <v>16.829999999999998</v>
      </c>
      <c r="E903" s="112">
        <f ca="1">IFERROR(__xludf.DUMMYFUNCTION("""COMPUTED_VALUE"""),41596.7055555555)</f>
        <v>41596.705555555498</v>
      </c>
      <c r="F903" s="111">
        <f ca="1">IFERROR(__xludf.DUMMYFUNCTION("""COMPUTED_VALUE"""),6.23)</f>
        <v>6.23</v>
      </c>
      <c r="G903" s="112">
        <f ca="1">IFERROR(__xludf.DUMMYFUNCTION("""COMPUTED_VALUE"""),41586.7055555555)</f>
        <v>41586.705555555498</v>
      </c>
      <c r="H903" s="111">
        <f ca="1">IFERROR(__xludf.DUMMYFUNCTION("""COMPUTED_VALUE"""),19.64)</f>
        <v>19.64</v>
      </c>
      <c r="K903" s="112">
        <f ca="1">IFERROR(__xludf.DUMMYFUNCTION("""COMPUTED_VALUE"""),42041.7055555555)</f>
        <v>42041.705555555498</v>
      </c>
      <c r="L903" s="111">
        <f ca="1">IFERROR(__xludf.DUMMYFUNCTION("""COMPUTED_VALUE"""),0.19)</f>
        <v>0.19</v>
      </c>
      <c r="M903" s="112">
        <f ca="1">IFERROR(__xludf.DUMMYFUNCTION("""COMPUTED_VALUE"""),41506.7055555555)</f>
        <v>41506.705555555498</v>
      </c>
      <c r="N903" s="111">
        <f ca="1">IFERROR(__xludf.DUMMYFUNCTION("""COMPUTED_VALUE"""),12.1)</f>
        <v>12.1</v>
      </c>
      <c r="O903" s="112">
        <f ca="1">IFERROR(__xludf.DUMMYFUNCTION("""COMPUTED_VALUE"""),41579.7055555555)</f>
        <v>41579.705555555498</v>
      </c>
      <c r="P903" s="111">
        <f ca="1">IFERROR(__xludf.DUMMYFUNCTION("""COMPUTED_VALUE"""),36.9)</f>
        <v>36.9</v>
      </c>
      <c r="Q903" s="112">
        <f ca="1">IFERROR(__xludf.DUMMYFUNCTION("""COMPUTED_VALUE"""),41577.7055555555)</f>
        <v>41577.705555555498</v>
      </c>
      <c r="R903" s="111">
        <f ca="1">IFERROR(__xludf.DUMMYFUNCTION("""COMPUTED_VALUE"""),29.26)</f>
        <v>29.26</v>
      </c>
      <c r="S903" s="112">
        <f ca="1">IFERROR(__xludf.DUMMYFUNCTION("""COMPUTED_VALUE"""),41590.7055555555)</f>
        <v>41590.705555555498</v>
      </c>
      <c r="T903" s="111">
        <f ca="1">IFERROR(__xludf.DUMMYFUNCTION("""COMPUTED_VALUE"""),9.18)</f>
        <v>9.18</v>
      </c>
    </row>
    <row r="904" spans="1:20" x14ac:dyDescent="0.3">
      <c r="A904" s="112">
        <f ca="1">IFERROR(__xludf.DUMMYFUNCTION("""COMPUTED_VALUE"""),41586.7055555555)</f>
        <v>41586.705555555498</v>
      </c>
      <c r="B904" s="111">
        <f ca="1">IFERROR(__xludf.DUMMYFUNCTION("""COMPUTED_VALUE"""),5.93)</f>
        <v>5.93</v>
      </c>
      <c r="C904" s="112">
        <f ca="1">IFERROR(__xludf.DUMMYFUNCTION("""COMPUTED_VALUE"""),41596.7055555555)</f>
        <v>41596.705555555498</v>
      </c>
      <c r="D904" s="111">
        <f ca="1">IFERROR(__xludf.DUMMYFUNCTION("""COMPUTED_VALUE"""),17.06)</f>
        <v>17.059999999999999</v>
      </c>
      <c r="E904" s="112">
        <f ca="1">IFERROR(__xludf.DUMMYFUNCTION("""COMPUTED_VALUE"""),41597.7055555555)</f>
        <v>41597.705555555498</v>
      </c>
      <c r="F904" s="111">
        <f ca="1">IFERROR(__xludf.DUMMYFUNCTION("""COMPUTED_VALUE"""),6.07)</f>
        <v>6.07</v>
      </c>
      <c r="G904" s="112">
        <f ca="1">IFERROR(__xludf.DUMMYFUNCTION("""COMPUTED_VALUE"""),41589.7055555555)</f>
        <v>41589.705555555498</v>
      </c>
      <c r="H904" s="111">
        <f ca="1">IFERROR(__xludf.DUMMYFUNCTION("""COMPUTED_VALUE"""),20.09)</f>
        <v>20.09</v>
      </c>
      <c r="K904" s="112">
        <f ca="1">IFERROR(__xludf.DUMMYFUNCTION("""COMPUTED_VALUE"""),42044.7055555555)</f>
        <v>42044.705555555498</v>
      </c>
      <c r="L904" s="111">
        <f ca="1">IFERROR(__xludf.DUMMYFUNCTION("""COMPUTED_VALUE"""),0.19)</f>
        <v>0.19</v>
      </c>
      <c r="M904" s="112">
        <f ca="1">IFERROR(__xludf.DUMMYFUNCTION("""COMPUTED_VALUE"""),41507.7055555555)</f>
        <v>41507.705555555498</v>
      </c>
      <c r="N904" s="111">
        <f ca="1">IFERROR(__xludf.DUMMYFUNCTION("""COMPUTED_VALUE"""),11.9)</f>
        <v>11.9</v>
      </c>
      <c r="O904" s="112">
        <f ca="1">IFERROR(__xludf.DUMMYFUNCTION("""COMPUTED_VALUE"""),41582.7055555555)</f>
        <v>41582.705555555498</v>
      </c>
      <c r="P904" s="111">
        <f ca="1">IFERROR(__xludf.DUMMYFUNCTION("""COMPUTED_VALUE"""),37.9)</f>
        <v>37.9</v>
      </c>
      <c r="Q904" s="112">
        <f ca="1">IFERROR(__xludf.DUMMYFUNCTION("""COMPUTED_VALUE"""),41578.7055555555)</f>
        <v>41578.705555555498</v>
      </c>
      <c r="R904" s="111">
        <f ca="1">IFERROR(__xludf.DUMMYFUNCTION("""COMPUTED_VALUE"""),29.78)</f>
        <v>29.78</v>
      </c>
      <c r="S904" s="112">
        <f ca="1">IFERROR(__xludf.DUMMYFUNCTION("""COMPUTED_VALUE"""),41591.7055555555)</f>
        <v>41591.705555555498</v>
      </c>
      <c r="T904" s="111">
        <f ca="1">IFERROR(__xludf.DUMMYFUNCTION("""COMPUTED_VALUE"""),9.14)</f>
        <v>9.14</v>
      </c>
    </row>
    <row r="905" spans="1:20" x14ac:dyDescent="0.3">
      <c r="A905" s="112">
        <f ca="1">IFERROR(__xludf.DUMMYFUNCTION("""COMPUTED_VALUE"""),41589.7055555555)</f>
        <v>41589.705555555498</v>
      </c>
      <c r="B905" s="111">
        <f ca="1">IFERROR(__xludf.DUMMYFUNCTION("""COMPUTED_VALUE"""),5.89)</f>
        <v>5.89</v>
      </c>
      <c r="C905" s="112">
        <f ca="1">IFERROR(__xludf.DUMMYFUNCTION("""COMPUTED_VALUE"""),41597.7055555555)</f>
        <v>41597.705555555498</v>
      </c>
      <c r="D905" s="111">
        <f ca="1">IFERROR(__xludf.DUMMYFUNCTION("""COMPUTED_VALUE"""),16.6)</f>
        <v>16.600000000000001</v>
      </c>
      <c r="E905" s="112">
        <f ca="1">IFERROR(__xludf.DUMMYFUNCTION("""COMPUTED_VALUE"""),41599.7055555555)</f>
        <v>41599.705555555498</v>
      </c>
      <c r="F905" s="111">
        <f ca="1">IFERROR(__xludf.DUMMYFUNCTION("""COMPUTED_VALUE"""),6)</f>
        <v>6</v>
      </c>
      <c r="G905" s="112">
        <f ca="1">IFERROR(__xludf.DUMMYFUNCTION("""COMPUTED_VALUE"""),41590.7055555555)</f>
        <v>41590.705555555498</v>
      </c>
      <c r="H905" s="111">
        <f ca="1">IFERROR(__xludf.DUMMYFUNCTION("""COMPUTED_VALUE"""),19.55)</f>
        <v>19.55</v>
      </c>
      <c r="K905" s="112">
        <f ca="1">IFERROR(__xludf.DUMMYFUNCTION("""COMPUTED_VALUE"""),42045.7055555555)</f>
        <v>42045.705555555498</v>
      </c>
      <c r="L905" s="111">
        <f ca="1">IFERROR(__xludf.DUMMYFUNCTION("""COMPUTED_VALUE"""),0.19)</f>
        <v>0.19</v>
      </c>
      <c r="M905" s="112">
        <f ca="1">IFERROR(__xludf.DUMMYFUNCTION("""COMPUTED_VALUE"""),41508.7055555555)</f>
        <v>41508.705555555498</v>
      </c>
      <c r="N905" s="111">
        <f ca="1">IFERROR(__xludf.DUMMYFUNCTION("""COMPUTED_VALUE"""),11.85)</f>
        <v>11.85</v>
      </c>
      <c r="O905" s="112">
        <f ca="1">IFERROR(__xludf.DUMMYFUNCTION("""COMPUTED_VALUE"""),41583.7055555555)</f>
        <v>41583.705555555498</v>
      </c>
      <c r="P905" s="111">
        <f ca="1">IFERROR(__xludf.DUMMYFUNCTION("""COMPUTED_VALUE"""),37.83)</f>
        <v>37.83</v>
      </c>
      <c r="Q905" s="112">
        <f ca="1">IFERROR(__xludf.DUMMYFUNCTION("""COMPUTED_VALUE"""),41579.7055555555)</f>
        <v>41579.705555555498</v>
      </c>
      <c r="R905" s="111">
        <f ca="1">IFERROR(__xludf.DUMMYFUNCTION("""COMPUTED_VALUE"""),29.7)</f>
        <v>29.7</v>
      </c>
      <c r="S905" s="112">
        <f ca="1">IFERROR(__xludf.DUMMYFUNCTION("""COMPUTED_VALUE"""),41592.7055555555)</f>
        <v>41592.705555555498</v>
      </c>
      <c r="T905" s="111">
        <f ca="1">IFERROR(__xludf.DUMMYFUNCTION("""COMPUTED_VALUE"""),9.61)</f>
        <v>9.61</v>
      </c>
    </row>
    <row r="906" spans="1:20" x14ac:dyDescent="0.3">
      <c r="A906" s="112">
        <f ca="1">IFERROR(__xludf.DUMMYFUNCTION("""COMPUTED_VALUE"""),41590.7055555555)</f>
        <v>41590.705555555498</v>
      </c>
      <c r="B906" s="111">
        <f ca="1">IFERROR(__xludf.DUMMYFUNCTION("""COMPUTED_VALUE"""),5.95)</f>
        <v>5.95</v>
      </c>
      <c r="C906" s="112">
        <f ca="1">IFERROR(__xludf.DUMMYFUNCTION("""COMPUTED_VALUE"""),41599.7055555555)</f>
        <v>41599.705555555498</v>
      </c>
      <c r="D906" s="111">
        <f ca="1">IFERROR(__xludf.DUMMYFUNCTION("""COMPUTED_VALUE"""),16.43)</f>
        <v>16.43</v>
      </c>
      <c r="E906" s="112">
        <f ca="1">IFERROR(__xludf.DUMMYFUNCTION("""COMPUTED_VALUE"""),41600.7055555555)</f>
        <v>41600.705555555498</v>
      </c>
      <c r="F906" s="111">
        <f ca="1">IFERROR(__xludf.DUMMYFUNCTION("""COMPUTED_VALUE"""),5.91)</f>
        <v>5.91</v>
      </c>
      <c r="G906" s="112">
        <f ca="1">IFERROR(__xludf.DUMMYFUNCTION("""COMPUTED_VALUE"""),41591.7055555555)</f>
        <v>41591.705555555498</v>
      </c>
      <c r="H906" s="111">
        <f ca="1">IFERROR(__xludf.DUMMYFUNCTION("""COMPUTED_VALUE"""),19.94)</f>
        <v>19.940000000000001</v>
      </c>
      <c r="K906" s="112">
        <f ca="1">IFERROR(__xludf.DUMMYFUNCTION("""COMPUTED_VALUE"""),42046.7055555555)</f>
        <v>42046.705555555498</v>
      </c>
      <c r="L906" s="111">
        <f ca="1">IFERROR(__xludf.DUMMYFUNCTION("""COMPUTED_VALUE"""),0.18)</f>
        <v>0.18</v>
      </c>
      <c r="M906" s="112">
        <f ca="1">IFERROR(__xludf.DUMMYFUNCTION("""COMPUTED_VALUE"""),41509.7055555555)</f>
        <v>41509.705555555498</v>
      </c>
      <c r="N906" s="111">
        <f ca="1">IFERROR(__xludf.DUMMYFUNCTION("""COMPUTED_VALUE"""),12.09)</f>
        <v>12.09</v>
      </c>
      <c r="O906" s="112">
        <f ca="1">IFERROR(__xludf.DUMMYFUNCTION("""COMPUTED_VALUE"""),41584.7055555555)</f>
        <v>41584.705555555498</v>
      </c>
      <c r="P906" s="111">
        <f ca="1">IFERROR(__xludf.DUMMYFUNCTION("""COMPUTED_VALUE"""),38.47)</f>
        <v>38.47</v>
      </c>
      <c r="Q906" s="112">
        <f ca="1">IFERROR(__xludf.DUMMYFUNCTION("""COMPUTED_VALUE"""),41582.7055555555)</f>
        <v>41582.705555555498</v>
      </c>
      <c r="R906" s="111">
        <f ca="1">IFERROR(__xludf.DUMMYFUNCTION("""COMPUTED_VALUE"""),29.89)</f>
        <v>29.89</v>
      </c>
      <c r="S906" s="112">
        <f ca="1">IFERROR(__xludf.DUMMYFUNCTION("""COMPUTED_VALUE"""),41596.7055555555)</f>
        <v>41596.705555555498</v>
      </c>
      <c r="T906" s="111">
        <f ca="1">IFERROR(__xludf.DUMMYFUNCTION("""COMPUTED_VALUE"""),9.84)</f>
        <v>9.84</v>
      </c>
    </row>
    <row r="907" spans="1:20" x14ac:dyDescent="0.3">
      <c r="A907" s="112">
        <f ca="1">IFERROR(__xludf.DUMMYFUNCTION("""COMPUTED_VALUE"""),41591.7055555555)</f>
        <v>41591.705555555498</v>
      </c>
      <c r="B907" s="111">
        <f ca="1">IFERROR(__xludf.DUMMYFUNCTION("""COMPUTED_VALUE"""),6.08)</f>
        <v>6.08</v>
      </c>
      <c r="C907" s="112">
        <f ca="1">IFERROR(__xludf.DUMMYFUNCTION("""COMPUTED_VALUE"""),41600.7055555555)</f>
        <v>41600.705555555498</v>
      </c>
      <c r="D907" s="111">
        <f ca="1">IFERROR(__xludf.DUMMYFUNCTION("""COMPUTED_VALUE"""),16.19)</f>
        <v>16.190000000000001</v>
      </c>
      <c r="E907" s="112">
        <f ca="1">IFERROR(__xludf.DUMMYFUNCTION("""COMPUTED_VALUE"""),41603.7055555555)</f>
        <v>41603.705555555498</v>
      </c>
      <c r="F907" s="111">
        <f ca="1">IFERROR(__xludf.DUMMYFUNCTION("""COMPUTED_VALUE"""),5.82)</f>
        <v>5.82</v>
      </c>
      <c r="G907" s="112">
        <f ca="1">IFERROR(__xludf.DUMMYFUNCTION("""COMPUTED_VALUE"""),41592.7055555555)</f>
        <v>41592.705555555498</v>
      </c>
      <c r="H907" s="111">
        <f ca="1">IFERROR(__xludf.DUMMYFUNCTION("""COMPUTED_VALUE"""),20.45)</f>
        <v>20.45</v>
      </c>
      <c r="K907" s="112">
        <f ca="1">IFERROR(__xludf.DUMMYFUNCTION("""COMPUTED_VALUE"""),42047.7055555555)</f>
        <v>42047.705555555498</v>
      </c>
      <c r="L907" s="111">
        <f ca="1">IFERROR(__xludf.DUMMYFUNCTION("""COMPUTED_VALUE"""),0.18)</f>
        <v>0.18</v>
      </c>
      <c r="M907" s="112">
        <f ca="1">IFERROR(__xludf.DUMMYFUNCTION("""COMPUTED_VALUE"""),41512.7055555555)</f>
        <v>41512.705555555498</v>
      </c>
      <c r="N907" s="111">
        <f ca="1">IFERROR(__xludf.DUMMYFUNCTION("""COMPUTED_VALUE"""),11.95)</f>
        <v>11.95</v>
      </c>
      <c r="O907" s="112">
        <f ca="1">IFERROR(__xludf.DUMMYFUNCTION("""COMPUTED_VALUE"""),41585.7055555555)</f>
        <v>41585.705555555498</v>
      </c>
      <c r="P907" s="111">
        <f ca="1">IFERROR(__xludf.DUMMYFUNCTION("""COMPUTED_VALUE"""),37.23)</f>
        <v>37.229999999999997</v>
      </c>
      <c r="Q907" s="112">
        <f ca="1">IFERROR(__xludf.DUMMYFUNCTION("""COMPUTED_VALUE"""),41583.7055555555)</f>
        <v>41583.705555555498</v>
      </c>
      <c r="R907" s="111">
        <f ca="1">IFERROR(__xludf.DUMMYFUNCTION("""COMPUTED_VALUE"""),29.46)</f>
        <v>29.46</v>
      </c>
      <c r="S907" s="112">
        <f ca="1">IFERROR(__xludf.DUMMYFUNCTION("""COMPUTED_VALUE"""),41597.7055555555)</f>
        <v>41597.705555555498</v>
      </c>
      <c r="T907" s="111">
        <f ca="1">IFERROR(__xludf.DUMMYFUNCTION("""COMPUTED_VALUE"""),9.62)</f>
        <v>9.6199999999999992</v>
      </c>
    </row>
    <row r="908" spans="1:20" x14ac:dyDescent="0.3">
      <c r="A908" s="112">
        <f ca="1">IFERROR(__xludf.DUMMYFUNCTION("""COMPUTED_VALUE"""),41592.7055555555)</f>
        <v>41592.705555555498</v>
      </c>
      <c r="B908" s="111">
        <f ca="1">IFERROR(__xludf.DUMMYFUNCTION("""COMPUTED_VALUE"""),6.11)</f>
        <v>6.11</v>
      </c>
      <c r="C908" s="112">
        <f ca="1">IFERROR(__xludf.DUMMYFUNCTION("""COMPUTED_VALUE"""),41603.7055555555)</f>
        <v>41603.705555555498</v>
      </c>
      <c r="D908" s="111">
        <f ca="1">IFERROR(__xludf.DUMMYFUNCTION("""COMPUTED_VALUE"""),15.95)</f>
        <v>15.95</v>
      </c>
      <c r="E908" s="112">
        <f ca="1">IFERROR(__xludf.DUMMYFUNCTION("""COMPUTED_VALUE"""),41604.7055555555)</f>
        <v>41604.705555555498</v>
      </c>
      <c r="F908" s="111">
        <f ca="1">IFERROR(__xludf.DUMMYFUNCTION("""COMPUTED_VALUE"""),5.86)</f>
        <v>5.86</v>
      </c>
      <c r="G908" s="112">
        <f ca="1">IFERROR(__xludf.DUMMYFUNCTION("""COMPUTED_VALUE"""),41596.7055555555)</f>
        <v>41596.705555555498</v>
      </c>
      <c r="H908" s="111">
        <f ca="1">IFERROR(__xludf.DUMMYFUNCTION("""COMPUTED_VALUE"""),21.44)</f>
        <v>21.44</v>
      </c>
      <c r="K908" s="112">
        <f ca="1">IFERROR(__xludf.DUMMYFUNCTION("""COMPUTED_VALUE"""),42048.7055555555)</f>
        <v>42048.705555555498</v>
      </c>
      <c r="L908" s="111">
        <f ca="1">IFERROR(__xludf.DUMMYFUNCTION("""COMPUTED_VALUE"""),0.19)</f>
        <v>0.19</v>
      </c>
      <c r="M908" s="112">
        <f ca="1">IFERROR(__xludf.DUMMYFUNCTION("""COMPUTED_VALUE"""),41513.7055555555)</f>
        <v>41513.705555555498</v>
      </c>
      <c r="N908" s="111">
        <f ca="1">IFERROR(__xludf.DUMMYFUNCTION("""COMPUTED_VALUE"""),11.6)</f>
        <v>11.6</v>
      </c>
      <c r="O908" s="112">
        <f ca="1">IFERROR(__xludf.DUMMYFUNCTION("""COMPUTED_VALUE"""),41586.7055555555)</f>
        <v>41586.705555555498</v>
      </c>
      <c r="P908" s="111">
        <f ca="1">IFERROR(__xludf.DUMMYFUNCTION("""COMPUTED_VALUE"""),36.75)</f>
        <v>36.75</v>
      </c>
      <c r="Q908" s="112">
        <f ca="1">IFERROR(__xludf.DUMMYFUNCTION("""COMPUTED_VALUE"""),41584.7055555555)</f>
        <v>41584.705555555498</v>
      </c>
      <c r="R908" s="111">
        <f ca="1">IFERROR(__xludf.DUMMYFUNCTION("""COMPUTED_VALUE"""),28.73)</f>
        <v>28.73</v>
      </c>
      <c r="S908" s="112">
        <f ca="1">IFERROR(__xludf.DUMMYFUNCTION("""COMPUTED_VALUE"""),41599.7055555555)</f>
        <v>41599.705555555498</v>
      </c>
      <c r="T908" s="111">
        <f ca="1">IFERROR(__xludf.DUMMYFUNCTION("""COMPUTED_VALUE"""),9.53)</f>
        <v>9.5299999999999994</v>
      </c>
    </row>
    <row r="909" spans="1:20" x14ac:dyDescent="0.3">
      <c r="A909" s="112">
        <f ca="1">IFERROR(__xludf.DUMMYFUNCTION("""COMPUTED_VALUE"""),41596.7055555555)</f>
        <v>41596.705555555498</v>
      </c>
      <c r="B909" s="111">
        <f ca="1">IFERROR(__xludf.DUMMYFUNCTION("""COMPUTED_VALUE"""),6.18)</f>
        <v>6.18</v>
      </c>
      <c r="C909" s="112">
        <f ca="1">IFERROR(__xludf.DUMMYFUNCTION("""COMPUTED_VALUE"""),41604.7055555555)</f>
        <v>41604.705555555498</v>
      </c>
      <c r="D909" s="111">
        <f ca="1">IFERROR(__xludf.DUMMYFUNCTION("""COMPUTED_VALUE"""),16.03)</f>
        <v>16.03</v>
      </c>
      <c r="E909" s="112">
        <f ca="1">IFERROR(__xludf.DUMMYFUNCTION("""COMPUTED_VALUE"""),41605.7055555555)</f>
        <v>41605.705555555498</v>
      </c>
      <c r="F909" s="111">
        <f ca="1">IFERROR(__xludf.DUMMYFUNCTION("""COMPUTED_VALUE"""),6.02)</f>
        <v>6.02</v>
      </c>
      <c r="G909" s="112">
        <f ca="1">IFERROR(__xludf.DUMMYFUNCTION("""COMPUTED_VALUE"""),41597.7055555555)</f>
        <v>41597.705555555498</v>
      </c>
      <c r="H909" s="111">
        <f ca="1">IFERROR(__xludf.DUMMYFUNCTION("""COMPUTED_VALUE"""),21.11)</f>
        <v>21.11</v>
      </c>
      <c r="K909" s="112">
        <f ca="1">IFERROR(__xludf.DUMMYFUNCTION("""COMPUTED_VALUE"""),42053.7055555555)</f>
        <v>42053.705555555498</v>
      </c>
      <c r="L909" s="111">
        <f ca="1">IFERROR(__xludf.DUMMYFUNCTION("""COMPUTED_VALUE"""),0.19)</f>
        <v>0.19</v>
      </c>
      <c r="M909" s="112">
        <f ca="1">IFERROR(__xludf.DUMMYFUNCTION("""COMPUTED_VALUE"""),41514.7055555555)</f>
        <v>41514.705555555498</v>
      </c>
      <c r="N909" s="111">
        <f ca="1">IFERROR(__xludf.DUMMYFUNCTION("""COMPUTED_VALUE"""),11.54)</f>
        <v>11.54</v>
      </c>
      <c r="O909" s="112">
        <f ca="1">IFERROR(__xludf.DUMMYFUNCTION("""COMPUTED_VALUE"""),41589.7055555555)</f>
        <v>41589.705555555498</v>
      </c>
      <c r="P909" s="111">
        <f ca="1">IFERROR(__xludf.DUMMYFUNCTION("""COMPUTED_VALUE"""),36.95)</f>
        <v>36.950000000000003</v>
      </c>
      <c r="Q909" s="112">
        <f ca="1">IFERROR(__xludf.DUMMYFUNCTION("""COMPUTED_VALUE"""),41585.7055555555)</f>
        <v>41585.705555555498</v>
      </c>
      <c r="R909" s="111">
        <f ca="1">IFERROR(__xludf.DUMMYFUNCTION("""COMPUTED_VALUE"""),28.59)</f>
        <v>28.59</v>
      </c>
      <c r="S909" s="112">
        <f ca="1">IFERROR(__xludf.DUMMYFUNCTION("""COMPUTED_VALUE"""),41600.7055555555)</f>
        <v>41600.705555555498</v>
      </c>
      <c r="T909" s="111">
        <f ca="1">IFERROR(__xludf.DUMMYFUNCTION("""COMPUTED_VALUE"""),9.63)</f>
        <v>9.6300000000000008</v>
      </c>
    </row>
    <row r="910" spans="1:20" x14ac:dyDescent="0.3">
      <c r="A910" s="112">
        <f ca="1">IFERROR(__xludf.DUMMYFUNCTION("""COMPUTED_VALUE"""),41597.7055555555)</f>
        <v>41597.705555555498</v>
      </c>
      <c r="B910" s="111">
        <f ca="1">IFERROR(__xludf.DUMMYFUNCTION("""COMPUTED_VALUE"""),5.83)</f>
        <v>5.83</v>
      </c>
      <c r="C910" s="112">
        <f ca="1">IFERROR(__xludf.DUMMYFUNCTION("""COMPUTED_VALUE"""),41605.7055555555)</f>
        <v>41605.705555555498</v>
      </c>
      <c r="D910" s="111">
        <f ca="1">IFERROR(__xludf.DUMMYFUNCTION("""COMPUTED_VALUE"""),16.45)</f>
        <v>16.45</v>
      </c>
      <c r="E910" s="112">
        <f ca="1">IFERROR(__xludf.DUMMYFUNCTION("""COMPUTED_VALUE"""),41606.7055555555)</f>
        <v>41606.705555555498</v>
      </c>
      <c r="F910" s="111">
        <f ca="1">IFERROR(__xludf.DUMMYFUNCTION("""COMPUTED_VALUE"""),5.98)</f>
        <v>5.98</v>
      </c>
      <c r="G910" s="112">
        <f ca="1">IFERROR(__xludf.DUMMYFUNCTION("""COMPUTED_VALUE"""),41599.7055555555)</f>
        <v>41599.705555555498</v>
      </c>
      <c r="H910" s="111">
        <f ca="1">IFERROR(__xludf.DUMMYFUNCTION("""COMPUTED_VALUE"""),20.9)</f>
        <v>20.9</v>
      </c>
      <c r="K910" s="112">
        <f ca="1">IFERROR(__xludf.DUMMYFUNCTION("""COMPUTED_VALUE"""),42054.7055555555)</f>
        <v>42054.705555555498</v>
      </c>
      <c r="L910" s="111">
        <f ca="1">IFERROR(__xludf.DUMMYFUNCTION("""COMPUTED_VALUE"""),0.2)</f>
        <v>0.2</v>
      </c>
      <c r="M910" s="112">
        <f ca="1">IFERROR(__xludf.DUMMYFUNCTION("""COMPUTED_VALUE"""),41515.7055555555)</f>
        <v>41515.705555555498</v>
      </c>
      <c r="N910" s="111">
        <f ca="1">IFERROR(__xludf.DUMMYFUNCTION("""COMPUTED_VALUE"""),11.71)</f>
        <v>11.71</v>
      </c>
      <c r="O910" s="112">
        <f ca="1">IFERROR(__xludf.DUMMYFUNCTION("""COMPUTED_VALUE"""),41590.7055555555)</f>
        <v>41590.705555555498</v>
      </c>
      <c r="P910" s="111">
        <f ca="1">IFERROR(__xludf.DUMMYFUNCTION("""COMPUTED_VALUE"""),35.79)</f>
        <v>35.79</v>
      </c>
      <c r="Q910" s="112">
        <f ca="1">IFERROR(__xludf.DUMMYFUNCTION("""COMPUTED_VALUE"""),41586.7055555555)</f>
        <v>41586.705555555498</v>
      </c>
      <c r="R910" s="111">
        <f ca="1">IFERROR(__xludf.DUMMYFUNCTION("""COMPUTED_VALUE"""),27.84)</f>
        <v>27.84</v>
      </c>
      <c r="S910" s="112">
        <f ca="1">IFERROR(__xludf.DUMMYFUNCTION("""COMPUTED_VALUE"""),41603.7055555555)</f>
        <v>41603.705555555498</v>
      </c>
      <c r="T910" s="111">
        <f ca="1">IFERROR(__xludf.DUMMYFUNCTION("""COMPUTED_VALUE"""),9.44)</f>
        <v>9.44</v>
      </c>
    </row>
    <row r="911" spans="1:20" x14ac:dyDescent="0.3">
      <c r="A911" s="112">
        <f ca="1">IFERROR(__xludf.DUMMYFUNCTION("""COMPUTED_VALUE"""),41599.7055555555)</f>
        <v>41599.705555555498</v>
      </c>
      <c r="B911" s="111">
        <f ca="1">IFERROR(__xludf.DUMMYFUNCTION("""COMPUTED_VALUE"""),5.93)</f>
        <v>5.93</v>
      </c>
      <c r="C911" s="112">
        <f ca="1">IFERROR(__xludf.DUMMYFUNCTION("""COMPUTED_VALUE"""),41606.7055555555)</f>
        <v>41606.705555555498</v>
      </c>
      <c r="D911" s="111">
        <f ca="1">IFERROR(__xludf.DUMMYFUNCTION("""COMPUTED_VALUE"""),16.3)</f>
        <v>16.3</v>
      </c>
      <c r="E911" s="112">
        <f ca="1">IFERROR(__xludf.DUMMYFUNCTION("""COMPUTED_VALUE"""),41607.7055555555)</f>
        <v>41607.705555555498</v>
      </c>
      <c r="F911" s="111">
        <f ca="1">IFERROR(__xludf.DUMMYFUNCTION("""COMPUTED_VALUE"""),6.04)</f>
        <v>6.04</v>
      </c>
      <c r="G911" s="112">
        <f ca="1">IFERROR(__xludf.DUMMYFUNCTION("""COMPUTED_VALUE"""),41600.7055555555)</f>
        <v>41600.705555555498</v>
      </c>
      <c r="H911" s="111">
        <f ca="1">IFERROR(__xludf.DUMMYFUNCTION("""COMPUTED_VALUE"""),20.67)</f>
        <v>20.67</v>
      </c>
      <c r="K911" s="112">
        <f ca="1">IFERROR(__xludf.DUMMYFUNCTION("""COMPUTED_VALUE"""),42055.7055555555)</f>
        <v>42055.705555555498</v>
      </c>
      <c r="L911" s="111">
        <f ca="1">IFERROR(__xludf.DUMMYFUNCTION("""COMPUTED_VALUE"""),0.2)</f>
        <v>0.2</v>
      </c>
      <c r="M911" s="112">
        <f ca="1">IFERROR(__xludf.DUMMYFUNCTION("""COMPUTED_VALUE"""),41516.7055555555)</f>
        <v>41516.705555555498</v>
      </c>
      <c r="N911" s="111">
        <f ca="1">IFERROR(__xludf.DUMMYFUNCTION("""COMPUTED_VALUE"""),11.95)</f>
        <v>11.95</v>
      </c>
      <c r="O911" s="112">
        <f ca="1">IFERROR(__xludf.DUMMYFUNCTION("""COMPUTED_VALUE"""),41591.7055555555)</f>
        <v>41591.705555555498</v>
      </c>
      <c r="P911" s="111">
        <f ca="1">IFERROR(__xludf.DUMMYFUNCTION("""COMPUTED_VALUE"""),35.53)</f>
        <v>35.53</v>
      </c>
      <c r="Q911" s="112">
        <f ca="1">IFERROR(__xludf.DUMMYFUNCTION("""COMPUTED_VALUE"""),41589.7055555555)</f>
        <v>41589.705555555498</v>
      </c>
      <c r="R911" s="111">
        <f ca="1">IFERROR(__xludf.DUMMYFUNCTION("""COMPUTED_VALUE"""),28.09)</f>
        <v>28.09</v>
      </c>
      <c r="S911" s="112">
        <f ca="1">IFERROR(__xludf.DUMMYFUNCTION("""COMPUTED_VALUE"""),41604.7055555555)</f>
        <v>41604.705555555498</v>
      </c>
      <c r="T911" s="111">
        <f ca="1">IFERROR(__xludf.DUMMYFUNCTION("""COMPUTED_VALUE"""),9.35)</f>
        <v>9.35</v>
      </c>
    </row>
    <row r="912" spans="1:20" x14ac:dyDescent="0.3">
      <c r="A912" s="112">
        <f ca="1">IFERROR(__xludf.DUMMYFUNCTION("""COMPUTED_VALUE"""),41600.7055555555)</f>
        <v>41600.705555555498</v>
      </c>
      <c r="B912" s="111">
        <f ca="1">IFERROR(__xludf.DUMMYFUNCTION("""COMPUTED_VALUE"""),6)</f>
        <v>6</v>
      </c>
      <c r="C912" s="112">
        <f ca="1">IFERROR(__xludf.DUMMYFUNCTION("""COMPUTED_VALUE"""),41607.7055555555)</f>
        <v>41607.705555555498</v>
      </c>
      <c r="D912" s="111">
        <f ca="1">IFERROR(__xludf.DUMMYFUNCTION("""COMPUTED_VALUE"""),16.5)</f>
        <v>16.5</v>
      </c>
      <c r="E912" s="112">
        <f ca="1">IFERROR(__xludf.DUMMYFUNCTION("""COMPUTED_VALUE"""),41610.7055555555)</f>
        <v>41610.705555555498</v>
      </c>
      <c r="F912" s="111">
        <f ca="1">IFERROR(__xludf.DUMMYFUNCTION("""COMPUTED_VALUE"""),5.92)</f>
        <v>5.92</v>
      </c>
      <c r="G912" s="112">
        <f ca="1">IFERROR(__xludf.DUMMYFUNCTION("""COMPUTED_VALUE"""),41603.7055555555)</f>
        <v>41603.705555555498</v>
      </c>
      <c r="H912" s="111">
        <f ca="1">IFERROR(__xludf.DUMMYFUNCTION("""COMPUTED_VALUE"""),20.36)</f>
        <v>20.36</v>
      </c>
      <c r="K912" s="112">
        <f ca="1">IFERROR(__xludf.DUMMYFUNCTION("""COMPUTED_VALUE"""),42058.7055555555)</f>
        <v>42058.705555555498</v>
      </c>
      <c r="L912" s="111">
        <f ca="1">IFERROR(__xludf.DUMMYFUNCTION("""COMPUTED_VALUE"""),0.2)</f>
        <v>0.2</v>
      </c>
      <c r="M912" s="112">
        <f ca="1">IFERROR(__xludf.DUMMYFUNCTION("""COMPUTED_VALUE"""),41519.7055555555)</f>
        <v>41519.705555555498</v>
      </c>
      <c r="N912" s="111">
        <f ca="1">IFERROR(__xludf.DUMMYFUNCTION("""COMPUTED_VALUE"""),12.06)</f>
        <v>12.06</v>
      </c>
      <c r="O912" s="112">
        <f ca="1">IFERROR(__xludf.DUMMYFUNCTION("""COMPUTED_VALUE"""),41592.7055555555)</f>
        <v>41592.705555555498</v>
      </c>
      <c r="P912" s="111">
        <f ca="1">IFERROR(__xludf.DUMMYFUNCTION("""COMPUTED_VALUE"""),35.88)</f>
        <v>35.880000000000003</v>
      </c>
      <c r="Q912" s="112">
        <f ca="1">IFERROR(__xludf.DUMMYFUNCTION("""COMPUTED_VALUE"""),41590.7055555555)</f>
        <v>41590.705555555498</v>
      </c>
      <c r="R912" s="111">
        <f ca="1">IFERROR(__xludf.DUMMYFUNCTION("""COMPUTED_VALUE"""),26.6)</f>
        <v>26.6</v>
      </c>
      <c r="S912" s="112">
        <f ca="1">IFERROR(__xludf.DUMMYFUNCTION("""COMPUTED_VALUE"""),41605.7055555555)</f>
        <v>41605.705555555498</v>
      </c>
      <c r="T912" s="111">
        <f ca="1">IFERROR(__xludf.DUMMYFUNCTION("""COMPUTED_VALUE"""),9.41)</f>
        <v>9.41</v>
      </c>
    </row>
    <row r="913" spans="1:20" x14ac:dyDescent="0.3">
      <c r="A913" s="112">
        <f ca="1">IFERROR(__xludf.DUMMYFUNCTION("""COMPUTED_VALUE"""),41603.7055555555)</f>
        <v>41603.705555555498</v>
      </c>
      <c r="B913" s="111">
        <f ca="1">IFERROR(__xludf.DUMMYFUNCTION("""COMPUTED_VALUE"""),6.04)</f>
        <v>6.04</v>
      </c>
      <c r="C913" s="112">
        <f ca="1">IFERROR(__xludf.DUMMYFUNCTION("""COMPUTED_VALUE"""),41610.7055555555)</f>
        <v>41610.705555555498</v>
      </c>
      <c r="D913" s="111">
        <f ca="1">IFERROR(__xludf.DUMMYFUNCTION("""COMPUTED_VALUE"""),16.14)</f>
        <v>16.14</v>
      </c>
      <c r="E913" s="112">
        <f ca="1">IFERROR(__xludf.DUMMYFUNCTION("""COMPUTED_VALUE"""),41611.7055555555)</f>
        <v>41611.705555555498</v>
      </c>
      <c r="F913" s="111">
        <f ca="1">IFERROR(__xludf.DUMMYFUNCTION("""COMPUTED_VALUE"""),5.79)</f>
        <v>5.79</v>
      </c>
      <c r="G913" s="112">
        <f ca="1">IFERROR(__xludf.DUMMYFUNCTION("""COMPUTED_VALUE"""),41604.7055555555)</f>
        <v>41604.705555555498</v>
      </c>
      <c r="H913" s="111">
        <f ca="1">IFERROR(__xludf.DUMMYFUNCTION("""COMPUTED_VALUE"""),19.08)</f>
        <v>19.079999999999998</v>
      </c>
      <c r="K913" s="112">
        <f ca="1">IFERROR(__xludf.DUMMYFUNCTION("""COMPUTED_VALUE"""),42059.7055555555)</f>
        <v>42059.705555555498</v>
      </c>
      <c r="L913" s="111">
        <f ca="1">IFERROR(__xludf.DUMMYFUNCTION("""COMPUTED_VALUE"""),0.21)</f>
        <v>0.21</v>
      </c>
      <c r="M913" s="112">
        <f ca="1">IFERROR(__xludf.DUMMYFUNCTION("""COMPUTED_VALUE"""),41520.7055555555)</f>
        <v>41520.705555555498</v>
      </c>
      <c r="N913" s="111">
        <f ca="1">IFERROR(__xludf.DUMMYFUNCTION("""COMPUTED_VALUE"""),11.92)</f>
        <v>11.92</v>
      </c>
      <c r="O913" s="112">
        <f ca="1">IFERROR(__xludf.DUMMYFUNCTION("""COMPUTED_VALUE"""),41596.7055555555)</f>
        <v>41596.705555555498</v>
      </c>
      <c r="P913" s="111">
        <f ca="1">IFERROR(__xludf.DUMMYFUNCTION("""COMPUTED_VALUE"""),36.25)</f>
        <v>36.25</v>
      </c>
      <c r="Q913" s="112">
        <f ca="1">IFERROR(__xludf.DUMMYFUNCTION("""COMPUTED_VALUE"""),41591.7055555555)</f>
        <v>41591.705555555498</v>
      </c>
      <c r="R913" s="111">
        <f ca="1">IFERROR(__xludf.DUMMYFUNCTION("""COMPUTED_VALUE"""),26.43)</f>
        <v>26.43</v>
      </c>
      <c r="S913" s="112">
        <f ca="1">IFERROR(__xludf.DUMMYFUNCTION("""COMPUTED_VALUE"""),41606.7055555555)</f>
        <v>41606.705555555498</v>
      </c>
      <c r="T913" s="111">
        <f ca="1">IFERROR(__xludf.DUMMYFUNCTION("""COMPUTED_VALUE"""),9.44)</f>
        <v>9.44</v>
      </c>
    </row>
    <row r="914" spans="1:20" x14ac:dyDescent="0.3">
      <c r="A914" s="112">
        <f ca="1">IFERROR(__xludf.DUMMYFUNCTION("""COMPUTED_VALUE"""),41604.7055555555)</f>
        <v>41604.705555555498</v>
      </c>
      <c r="B914" s="111">
        <f ca="1">IFERROR(__xludf.DUMMYFUNCTION("""COMPUTED_VALUE"""),5.87)</f>
        <v>5.87</v>
      </c>
      <c r="C914" s="112">
        <f ca="1">IFERROR(__xludf.DUMMYFUNCTION("""COMPUTED_VALUE"""),41611.7055555555)</f>
        <v>41611.705555555498</v>
      </c>
      <c r="D914" s="111">
        <f ca="1">IFERROR(__xludf.DUMMYFUNCTION("""COMPUTED_VALUE"""),15.78)</f>
        <v>15.78</v>
      </c>
      <c r="E914" s="112">
        <f ca="1">IFERROR(__xludf.DUMMYFUNCTION("""COMPUTED_VALUE"""),41612.7055555555)</f>
        <v>41612.705555555498</v>
      </c>
      <c r="F914" s="111">
        <f ca="1">IFERROR(__xludf.DUMMYFUNCTION("""COMPUTED_VALUE"""),5.74)</f>
        <v>5.74</v>
      </c>
      <c r="G914" s="112">
        <f ca="1">IFERROR(__xludf.DUMMYFUNCTION("""COMPUTED_VALUE"""),41605.7055555555)</f>
        <v>41605.705555555498</v>
      </c>
      <c r="H914" s="111">
        <f ca="1">IFERROR(__xludf.DUMMYFUNCTION("""COMPUTED_VALUE"""),18.97)</f>
        <v>18.97</v>
      </c>
      <c r="K914" s="112">
        <f ca="1">IFERROR(__xludf.DUMMYFUNCTION("""COMPUTED_VALUE"""),42060.7055555555)</f>
        <v>42060.705555555498</v>
      </c>
      <c r="L914" s="111">
        <f ca="1">IFERROR(__xludf.DUMMYFUNCTION("""COMPUTED_VALUE"""),0.2)</f>
        <v>0.2</v>
      </c>
      <c r="M914" s="112">
        <f ca="1">IFERROR(__xludf.DUMMYFUNCTION("""COMPUTED_VALUE"""),41521.7055555555)</f>
        <v>41521.705555555498</v>
      </c>
      <c r="N914" s="111">
        <f ca="1">IFERROR(__xludf.DUMMYFUNCTION("""COMPUTED_VALUE"""),11.98)</f>
        <v>11.98</v>
      </c>
      <c r="O914" s="112">
        <f ca="1">IFERROR(__xludf.DUMMYFUNCTION("""COMPUTED_VALUE"""),41597.7055555555)</f>
        <v>41597.705555555498</v>
      </c>
      <c r="P914" s="111">
        <f ca="1">IFERROR(__xludf.DUMMYFUNCTION("""COMPUTED_VALUE"""),35.6)</f>
        <v>35.6</v>
      </c>
      <c r="Q914" s="112">
        <f ca="1">IFERROR(__xludf.DUMMYFUNCTION("""COMPUTED_VALUE"""),41592.7055555555)</f>
        <v>41592.705555555498</v>
      </c>
      <c r="R914" s="111">
        <f ca="1">IFERROR(__xludf.DUMMYFUNCTION("""COMPUTED_VALUE"""),26.88)</f>
        <v>26.88</v>
      </c>
      <c r="S914" s="112">
        <f ca="1">IFERROR(__xludf.DUMMYFUNCTION("""COMPUTED_VALUE"""),41607.7055555555)</f>
        <v>41607.705555555498</v>
      </c>
      <c r="T914" s="111">
        <f ca="1">IFERROR(__xludf.DUMMYFUNCTION("""COMPUTED_VALUE"""),9.39)</f>
        <v>9.39</v>
      </c>
    </row>
    <row r="915" spans="1:20" x14ac:dyDescent="0.3">
      <c r="A915" s="112">
        <f ca="1">IFERROR(__xludf.DUMMYFUNCTION("""COMPUTED_VALUE"""),41605.7055555555)</f>
        <v>41605.705555555498</v>
      </c>
      <c r="B915" s="111">
        <f ca="1">IFERROR(__xludf.DUMMYFUNCTION("""COMPUTED_VALUE"""),5.84)</f>
        <v>5.84</v>
      </c>
      <c r="C915" s="112">
        <f ca="1">IFERROR(__xludf.DUMMYFUNCTION("""COMPUTED_VALUE"""),41612.7055555555)</f>
        <v>41612.705555555498</v>
      </c>
      <c r="D915" s="111">
        <f ca="1">IFERROR(__xludf.DUMMYFUNCTION("""COMPUTED_VALUE"""),15.71)</f>
        <v>15.71</v>
      </c>
      <c r="E915" s="112">
        <f ca="1">IFERROR(__xludf.DUMMYFUNCTION("""COMPUTED_VALUE"""),41613.7055555555)</f>
        <v>41613.705555555498</v>
      </c>
      <c r="F915" s="111">
        <f ca="1">IFERROR(__xludf.DUMMYFUNCTION("""COMPUTED_VALUE"""),5.7)</f>
        <v>5.7</v>
      </c>
      <c r="G915" s="112">
        <f ca="1">IFERROR(__xludf.DUMMYFUNCTION("""COMPUTED_VALUE"""),41606.7055555555)</f>
        <v>41606.705555555498</v>
      </c>
      <c r="H915" s="111">
        <f ca="1">IFERROR(__xludf.DUMMYFUNCTION("""COMPUTED_VALUE"""),18.66)</f>
        <v>18.66</v>
      </c>
      <c r="K915" s="112">
        <f ca="1">IFERROR(__xludf.DUMMYFUNCTION("""COMPUTED_VALUE"""),42061.7055555555)</f>
        <v>42061.705555555498</v>
      </c>
      <c r="L915" s="111">
        <f ca="1">IFERROR(__xludf.DUMMYFUNCTION("""COMPUTED_VALUE"""),0.21)</f>
        <v>0.21</v>
      </c>
      <c r="M915" s="112">
        <f ca="1">IFERROR(__xludf.DUMMYFUNCTION("""COMPUTED_VALUE"""),41522.7055555555)</f>
        <v>41522.705555555498</v>
      </c>
      <c r="N915" s="111">
        <f ca="1">IFERROR(__xludf.DUMMYFUNCTION("""COMPUTED_VALUE"""),12.12)</f>
        <v>12.12</v>
      </c>
      <c r="O915" s="112">
        <f ca="1">IFERROR(__xludf.DUMMYFUNCTION("""COMPUTED_VALUE"""),41599.7055555555)</f>
        <v>41599.705555555498</v>
      </c>
      <c r="P915" s="111">
        <f ca="1">IFERROR(__xludf.DUMMYFUNCTION("""COMPUTED_VALUE"""),35.02)</f>
        <v>35.020000000000003</v>
      </c>
      <c r="Q915" s="112">
        <f ca="1">IFERROR(__xludf.DUMMYFUNCTION("""COMPUTED_VALUE"""),41596.7055555555)</f>
        <v>41596.705555555498</v>
      </c>
      <c r="R915" s="111">
        <f ca="1">IFERROR(__xludf.DUMMYFUNCTION("""COMPUTED_VALUE"""),27.01)</f>
        <v>27.01</v>
      </c>
      <c r="S915" s="112">
        <f ca="1">IFERROR(__xludf.DUMMYFUNCTION("""COMPUTED_VALUE"""),41610.7055555555)</f>
        <v>41610.705555555498</v>
      </c>
      <c r="T915" s="111">
        <f ca="1">IFERROR(__xludf.DUMMYFUNCTION("""COMPUTED_VALUE"""),9.18)</f>
        <v>9.18</v>
      </c>
    </row>
    <row r="916" spans="1:20" x14ac:dyDescent="0.3">
      <c r="A916" s="112">
        <f ca="1">IFERROR(__xludf.DUMMYFUNCTION("""COMPUTED_VALUE"""),41606.7055555555)</f>
        <v>41606.705555555498</v>
      </c>
      <c r="B916" s="111">
        <f ca="1">IFERROR(__xludf.DUMMYFUNCTION("""COMPUTED_VALUE"""),5.75)</f>
        <v>5.75</v>
      </c>
      <c r="C916" s="112">
        <f ca="1">IFERROR(__xludf.DUMMYFUNCTION("""COMPUTED_VALUE"""),41613.7055555555)</f>
        <v>41613.705555555498</v>
      </c>
      <c r="D916" s="111">
        <f ca="1">IFERROR(__xludf.DUMMYFUNCTION("""COMPUTED_VALUE"""),15.58)</f>
        <v>15.58</v>
      </c>
      <c r="E916" s="112">
        <f ca="1">IFERROR(__xludf.DUMMYFUNCTION("""COMPUTED_VALUE"""),41614.7055555555)</f>
        <v>41614.705555555498</v>
      </c>
      <c r="F916" s="111">
        <f ca="1">IFERROR(__xludf.DUMMYFUNCTION("""COMPUTED_VALUE"""),5.79)</f>
        <v>5.79</v>
      </c>
      <c r="G916" s="112">
        <f ca="1">IFERROR(__xludf.DUMMYFUNCTION("""COMPUTED_VALUE"""),41607.7055555555)</f>
        <v>41607.705555555498</v>
      </c>
      <c r="H916" s="111">
        <f ca="1">IFERROR(__xludf.DUMMYFUNCTION("""COMPUTED_VALUE"""),19.12)</f>
        <v>19.12</v>
      </c>
      <c r="K916" s="112">
        <f ca="1">IFERROR(__xludf.DUMMYFUNCTION("""COMPUTED_VALUE"""),42062.7055555555)</f>
        <v>42062.705555555498</v>
      </c>
      <c r="L916" s="111">
        <f ca="1">IFERROR(__xludf.DUMMYFUNCTION("""COMPUTED_VALUE"""),0.19)</f>
        <v>0.19</v>
      </c>
      <c r="M916" s="112">
        <f ca="1">IFERROR(__xludf.DUMMYFUNCTION("""COMPUTED_VALUE"""),41523.7055555555)</f>
        <v>41523.705555555498</v>
      </c>
      <c r="N916" s="111">
        <f ca="1">IFERROR(__xludf.DUMMYFUNCTION("""COMPUTED_VALUE"""),12.35)</f>
        <v>12.35</v>
      </c>
      <c r="O916" s="112">
        <f ca="1">IFERROR(__xludf.DUMMYFUNCTION("""COMPUTED_VALUE"""),41600.7055555555)</f>
        <v>41600.705555555498</v>
      </c>
      <c r="P916" s="111">
        <f ca="1">IFERROR(__xludf.DUMMYFUNCTION("""COMPUTED_VALUE"""),35.33)</f>
        <v>35.33</v>
      </c>
      <c r="Q916" s="112">
        <f ca="1">IFERROR(__xludf.DUMMYFUNCTION("""COMPUTED_VALUE"""),41597.7055555555)</f>
        <v>41597.705555555498</v>
      </c>
      <c r="R916" s="111">
        <f ca="1">IFERROR(__xludf.DUMMYFUNCTION("""COMPUTED_VALUE"""),26.1)</f>
        <v>26.1</v>
      </c>
      <c r="S916" s="112">
        <f ca="1">IFERROR(__xludf.DUMMYFUNCTION("""COMPUTED_VALUE"""),41611.7055555555)</f>
        <v>41611.705555555498</v>
      </c>
      <c r="T916" s="111">
        <f ca="1">IFERROR(__xludf.DUMMYFUNCTION("""COMPUTED_VALUE"""),8.94)</f>
        <v>8.94</v>
      </c>
    </row>
    <row r="917" spans="1:20" x14ac:dyDescent="0.3">
      <c r="A917" s="112">
        <f ca="1">IFERROR(__xludf.DUMMYFUNCTION("""COMPUTED_VALUE"""),41607.7055555555)</f>
        <v>41607.705555555498</v>
      </c>
      <c r="B917" s="111">
        <f ca="1">IFERROR(__xludf.DUMMYFUNCTION("""COMPUTED_VALUE"""),5.85)</f>
        <v>5.85</v>
      </c>
      <c r="C917" s="112">
        <f ca="1">IFERROR(__xludf.DUMMYFUNCTION("""COMPUTED_VALUE"""),41614.7055555555)</f>
        <v>41614.705555555498</v>
      </c>
      <c r="D917" s="111">
        <f ca="1">IFERROR(__xludf.DUMMYFUNCTION("""COMPUTED_VALUE"""),15.74)</f>
        <v>15.74</v>
      </c>
      <c r="E917" s="112">
        <f ca="1">IFERROR(__xludf.DUMMYFUNCTION("""COMPUTED_VALUE"""),41617.7055555555)</f>
        <v>41617.705555555498</v>
      </c>
      <c r="F917" s="111">
        <f ca="1">IFERROR(__xludf.DUMMYFUNCTION("""COMPUTED_VALUE"""),5.86)</f>
        <v>5.86</v>
      </c>
      <c r="G917" s="112">
        <f ca="1">IFERROR(__xludf.DUMMYFUNCTION("""COMPUTED_VALUE"""),41610.7055555555)</f>
        <v>41610.705555555498</v>
      </c>
      <c r="H917" s="111">
        <f ca="1">IFERROR(__xludf.DUMMYFUNCTION("""COMPUTED_VALUE"""),17.36)</f>
        <v>17.36</v>
      </c>
      <c r="K917" s="112">
        <f ca="1">IFERROR(__xludf.DUMMYFUNCTION("""COMPUTED_VALUE"""),42065.7055555555)</f>
        <v>42065.705555555498</v>
      </c>
      <c r="L917" s="111">
        <f ca="1">IFERROR(__xludf.DUMMYFUNCTION("""COMPUTED_VALUE"""),0.19)</f>
        <v>0.19</v>
      </c>
      <c r="M917" s="112">
        <f ca="1">IFERROR(__xludf.DUMMYFUNCTION("""COMPUTED_VALUE"""),41526.7055555555)</f>
        <v>41526.705555555498</v>
      </c>
      <c r="N917" s="111">
        <f ca="1">IFERROR(__xludf.DUMMYFUNCTION("""COMPUTED_VALUE"""),12.72)</f>
        <v>12.72</v>
      </c>
      <c r="O917" s="112">
        <f ca="1">IFERROR(__xludf.DUMMYFUNCTION("""COMPUTED_VALUE"""),41603.7055555555)</f>
        <v>41603.705555555498</v>
      </c>
      <c r="P917" s="111">
        <f ca="1">IFERROR(__xludf.DUMMYFUNCTION("""COMPUTED_VALUE"""),34.65)</f>
        <v>34.65</v>
      </c>
      <c r="Q917" s="112">
        <f ca="1">IFERROR(__xludf.DUMMYFUNCTION("""COMPUTED_VALUE"""),41599.7055555555)</f>
        <v>41599.705555555498</v>
      </c>
      <c r="R917" s="111">
        <f ca="1">IFERROR(__xludf.DUMMYFUNCTION("""COMPUTED_VALUE"""),25.5)</f>
        <v>25.5</v>
      </c>
      <c r="S917" s="112">
        <f ca="1">IFERROR(__xludf.DUMMYFUNCTION("""COMPUTED_VALUE"""),41612.7055555555)</f>
        <v>41612.705555555498</v>
      </c>
      <c r="T917" s="111">
        <f ca="1">IFERROR(__xludf.DUMMYFUNCTION("""COMPUTED_VALUE"""),9.02)</f>
        <v>9.02</v>
      </c>
    </row>
    <row r="918" spans="1:20" x14ac:dyDescent="0.3">
      <c r="A918" s="112">
        <f ca="1">IFERROR(__xludf.DUMMYFUNCTION("""COMPUTED_VALUE"""),41610.7055555555)</f>
        <v>41610.705555555498</v>
      </c>
      <c r="B918" s="111">
        <f ca="1">IFERROR(__xludf.DUMMYFUNCTION("""COMPUTED_VALUE"""),5.74)</f>
        <v>5.74</v>
      </c>
      <c r="C918" s="112">
        <f ca="1">IFERROR(__xludf.DUMMYFUNCTION("""COMPUTED_VALUE"""),41617.7055555555)</f>
        <v>41617.705555555498</v>
      </c>
      <c r="D918" s="111">
        <f ca="1">IFERROR(__xludf.DUMMYFUNCTION("""COMPUTED_VALUE"""),15.89)</f>
        <v>15.89</v>
      </c>
      <c r="E918" s="112">
        <f ca="1">IFERROR(__xludf.DUMMYFUNCTION("""COMPUTED_VALUE"""),41618.7055555555)</f>
        <v>41618.705555555498</v>
      </c>
      <c r="F918" s="111">
        <f ca="1">IFERROR(__xludf.DUMMYFUNCTION("""COMPUTED_VALUE"""),5.82)</f>
        <v>5.82</v>
      </c>
      <c r="G918" s="112">
        <f ca="1">IFERROR(__xludf.DUMMYFUNCTION("""COMPUTED_VALUE"""),41611.7055555555)</f>
        <v>41611.705555555498</v>
      </c>
      <c r="H918" s="111">
        <f ca="1">IFERROR(__xludf.DUMMYFUNCTION("""COMPUTED_VALUE"""),17.51)</f>
        <v>17.510000000000002</v>
      </c>
      <c r="K918" s="112">
        <f ca="1">IFERROR(__xludf.DUMMYFUNCTION("""COMPUTED_VALUE"""),42066.7055555555)</f>
        <v>42066.705555555498</v>
      </c>
      <c r="L918" s="111">
        <f ca="1">IFERROR(__xludf.DUMMYFUNCTION("""COMPUTED_VALUE"""),0.18)</f>
        <v>0.18</v>
      </c>
      <c r="M918" s="112">
        <f ca="1">IFERROR(__xludf.DUMMYFUNCTION("""COMPUTED_VALUE"""),41527.7055555555)</f>
        <v>41527.705555555498</v>
      </c>
      <c r="N918" s="111">
        <f ca="1">IFERROR(__xludf.DUMMYFUNCTION("""COMPUTED_VALUE"""),12.87)</f>
        <v>12.87</v>
      </c>
      <c r="O918" s="112">
        <f ca="1">IFERROR(__xludf.DUMMYFUNCTION("""COMPUTED_VALUE"""),41604.7055555555)</f>
        <v>41604.705555555498</v>
      </c>
      <c r="P918" s="111">
        <f ca="1">IFERROR(__xludf.DUMMYFUNCTION("""COMPUTED_VALUE"""),33.54)</f>
        <v>33.54</v>
      </c>
      <c r="Q918" s="112">
        <f ca="1">IFERROR(__xludf.DUMMYFUNCTION("""COMPUTED_VALUE"""),41600.7055555555)</f>
        <v>41600.705555555498</v>
      </c>
      <c r="R918" s="111">
        <f ca="1">IFERROR(__xludf.DUMMYFUNCTION("""COMPUTED_VALUE"""),24.65)</f>
        <v>24.65</v>
      </c>
      <c r="S918" s="112">
        <f ca="1">IFERROR(__xludf.DUMMYFUNCTION("""COMPUTED_VALUE"""),41613.7055555555)</f>
        <v>41613.705555555498</v>
      </c>
      <c r="T918" s="111">
        <f ca="1">IFERROR(__xludf.DUMMYFUNCTION("""COMPUTED_VALUE"""),9.39)</f>
        <v>9.39</v>
      </c>
    </row>
    <row r="919" spans="1:20" x14ac:dyDescent="0.3">
      <c r="A919" s="112">
        <f ca="1">IFERROR(__xludf.DUMMYFUNCTION("""COMPUTED_VALUE"""),41611.7055555555)</f>
        <v>41611.705555555498</v>
      </c>
      <c r="B919" s="111">
        <f ca="1">IFERROR(__xludf.DUMMYFUNCTION("""COMPUTED_VALUE"""),5.66)</f>
        <v>5.66</v>
      </c>
      <c r="C919" s="112">
        <f ca="1">IFERROR(__xludf.DUMMYFUNCTION("""COMPUTED_VALUE"""),41618.7055555555)</f>
        <v>41618.705555555498</v>
      </c>
      <c r="D919" s="111">
        <f ca="1">IFERROR(__xludf.DUMMYFUNCTION("""COMPUTED_VALUE"""),15.79)</f>
        <v>15.79</v>
      </c>
      <c r="E919" s="112">
        <f ca="1">IFERROR(__xludf.DUMMYFUNCTION("""COMPUTED_VALUE"""),41619.7055555555)</f>
        <v>41619.705555555498</v>
      </c>
      <c r="F919" s="111">
        <f ca="1">IFERROR(__xludf.DUMMYFUNCTION("""COMPUTED_VALUE"""),5.72)</f>
        <v>5.72</v>
      </c>
      <c r="G919" s="112">
        <f ca="1">IFERROR(__xludf.DUMMYFUNCTION("""COMPUTED_VALUE"""),41612.7055555555)</f>
        <v>41612.705555555498</v>
      </c>
      <c r="H919" s="111">
        <f ca="1">IFERROR(__xludf.DUMMYFUNCTION("""COMPUTED_VALUE"""),17.46)</f>
        <v>17.46</v>
      </c>
      <c r="K919" s="112">
        <f ca="1">IFERROR(__xludf.DUMMYFUNCTION("""COMPUTED_VALUE"""),42067.7055555555)</f>
        <v>42067.705555555498</v>
      </c>
      <c r="L919" s="111">
        <f ca="1">IFERROR(__xludf.DUMMYFUNCTION("""COMPUTED_VALUE"""),0.17)</f>
        <v>0.17</v>
      </c>
      <c r="M919" s="112">
        <f ca="1">IFERROR(__xludf.DUMMYFUNCTION("""COMPUTED_VALUE"""),41528.7055555555)</f>
        <v>41528.705555555498</v>
      </c>
      <c r="N919" s="111">
        <f ca="1">IFERROR(__xludf.DUMMYFUNCTION("""COMPUTED_VALUE"""),13)</f>
        <v>13</v>
      </c>
      <c r="O919" s="112">
        <f ca="1">IFERROR(__xludf.DUMMYFUNCTION("""COMPUTED_VALUE"""),41605.7055555555)</f>
        <v>41605.705555555498</v>
      </c>
      <c r="P919" s="111">
        <f ca="1">IFERROR(__xludf.DUMMYFUNCTION("""COMPUTED_VALUE"""),34.24)</f>
        <v>34.24</v>
      </c>
      <c r="Q919" s="112">
        <f ca="1">IFERROR(__xludf.DUMMYFUNCTION("""COMPUTED_VALUE"""),41603.7055555555)</f>
        <v>41603.705555555498</v>
      </c>
      <c r="R919" s="111">
        <f ca="1">IFERROR(__xludf.DUMMYFUNCTION("""COMPUTED_VALUE"""),24)</f>
        <v>24</v>
      </c>
      <c r="S919" s="112">
        <f ca="1">IFERROR(__xludf.DUMMYFUNCTION("""COMPUTED_VALUE"""),41614.7055555555)</f>
        <v>41614.705555555498</v>
      </c>
      <c r="T919" s="111">
        <f ca="1">IFERROR(__xludf.DUMMYFUNCTION("""COMPUTED_VALUE"""),9.54)</f>
        <v>9.5399999999999991</v>
      </c>
    </row>
    <row r="920" spans="1:20" x14ac:dyDescent="0.3">
      <c r="A920" s="112">
        <f ca="1">IFERROR(__xludf.DUMMYFUNCTION("""COMPUTED_VALUE"""),41612.7055555555)</f>
        <v>41612.705555555498</v>
      </c>
      <c r="B920" s="111">
        <f ca="1">IFERROR(__xludf.DUMMYFUNCTION("""COMPUTED_VALUE"""),5.65)</f>
        <v>5.65</v>
      </c>
      <c r="C920" s="112">
        <f ca="1">IFERROR(__xludf.DUMMYFUNCTION("""COMPUTED_VALUE"""),41619.7055555555)</f>
        <v>41619.705555555498</v>
      </c>
      <c r="D920" s="111">
        <f ca="1">IFERROR(__xludf.DUMMYFUNCTION("""COMPUTED_VALUE"""),15.37)</f>
        <v>15.37</v>
      </c>
      <c r="E920" s="112">
        <f ca="1">IFERROR(__xludf.DUMMYFUNCTION("""COMPUTED_VALUE"""),41620.7055555555)</f>
        <v>41620.705555555498</v>
      </c>
      <c r="F920" s="111">
        <f ca="1">IFERROR(__xludf.DUMMYFUNCTION("""COMPUTED_VALUE"""),5.74)</f>
        <v>5.74</v>
      </c>
      <c r="G920" s="112">
        <f ca="1">IFERROR(__xludf.DUMMYFUNCTION("""COMPUTED_VALUE"""),41613.7055555555)</f>
        <v>41613.705555555498</v>
      </c>
      <c r="H920" s="111">
        <f ca="1">IFERROR(__xludf.DUMMYFUNCTION("""COMPUTED_VALUE"""),17.63)</f>
        <v>17.63</v>
      </c>
      <c r="K920" s="112">
        <f ca="1">IFERROR(__xludf.DUMMYFUNCTION("""COMPUTED_VALUE"""),42068.7055555555)</f>
        <v>42068.705555555498</v>
      </c>
      <c r="L920" s="111">
        <f ca="1">IFERROR(__xludf.DUMMYFUNCTION("""COMPUTED_VALUE"""),0.17)</f>
        <v>0.17</v>
      </c>
      <c r="M920" s="112">
        <f ca="1">IFERROR(__xludf.DUMMYFUNCTION("""COMPUTED_VALUE"""),41529.7055555555)</f>
        <v>41529.705555555498</v>
      </c>
      <c r="N920" s="111">
        <f ca="1">IFERROR(__xludf.DUMMYFUNCTION("""COMPUTED_VALUE"""),12.75)</f>
        <v>12.75</v>
      </c>
      <c r="O920" s="112">
        <f ca="1">IFERROR(__xludf.DUMMYFUNCTION("""COMPUTED_VALUE"""),41606.7055555555)</f>
        <v>41606.705555555498</v>
      </c>
      <c r="P920" s="111">
        <f ca="1">IFERROR(__xludf.DUMMYFUNCTION("""COMPUTED_VALUE"""),35.2)</f>
        <v>35.200000000000003</v>
      </c>
      <c r="Q920" s="112">
        <f ca="1">IFERROR(__xludf.DUMMYFUNCTION("""COMPUTED_VALUE"""),41604.7055555555)</f>
        <v>41604.705555555498</v>
      </c>
      <c r="R920" s="111">
        <f ca="1">IFERROR(__xludf.DUMMYFUNCTION("""COMPUTED_VALUE"""),24.75)</f>
        <v>24.75</v>
      </c>
      <c r="S920" s="112">
        <f ca="1">IFERROR(__xludf.DUMMYFUNCTION("""COMPUTED_VALUE"""),41617.7055555555)</f>
        <v>41617.705555555498</v>
      </c>
      <c r="T920" s="111">
        <f ca="1">IFERROR(__xludf.DUMMYFUNCTION("""COMPUTED_VALUE"""),9.52)</f>
        <v>9.52</v>
      </c>
    </row>
    <row r="921" spans="1:20" x14ac:dyDescent="0.3">
      <c r="A921" s="112">
        <f ca="1">IFERROR(__xludf.DUMMYFUNCTION("""COMPUTED_VALUE"""),41613.7055555555)</f>
        <v>41613.705555555498</v>
      </c>
      <c r="B921" s="111">
        <f ca="1">IFERROR(__xludf.DUMMYFUNCTION("""COMPUTED_VALUE"""),5.76)</f>
        <v>5.76</v>
      </c>
      <c r="C921" s="112">
        <f ca="1">IFERROR(__xludf.DUMMYFUNCTION("""COMPUTED_VALUE"""),41620.7055555555)</f>
        <v>41620.705555555498</v>
      </c>
      <c r="D921" s="111">
        <f ca="1">IFERROR(__xludf.DUMMYFUNCTION("""COMPUTED_VALUE"""),15.5)</f>
        <v>15.5</v>
      </c>
      <c r="E921" s="112">
        <f ca="1">IFERROR(__xludf.DUMMYFUNCTION("""COMPUTED_VALUE"""),41621.7055555555)</f>
        <v>41621.705555555498</v>
      </c>
      <c r="F921" s="111">
        <f ca="1">IFERROR(__xludf.DUMMYFUNCTION("""COMPUTED_VALUE"""),5.72)</f>
        <v>5.72</v>
      </c>
      <c r="G921" s="112">
        <f ca="1">IFERROR(__xludf.DUMMYFUNCTION("""COMPUTED_VALUE"""),41614.7055555555)</f>
        <v>41614.705555555498</v>
      </c>
      <c r="H921" s="111">
        <f ca="1">IFERROR(__xludf.DUMMYFUNCTION("""COMPUTED_VALUE"""),17.23)</f>
        <v>17.23</v>
      </c>
      <c r="K921" s="112">
        <f ca="1">IFERROR(__xludf.DUMMYFUNCTION("""COMPUTED_VALUE"""),42069.7055555555)</f>
        <v>42069.705555555498</v>
      </c>
      <c r="L921" s="111">
        <f ca="1">IFERROR(__xludf.DUMMYFUNCTION("""COMPUTED_VALUE"""),0.17)</f>
        <v>0.17</v>
      </c>
      <c r="M921" s="112">
        <f ca="1">IFERROR(__xludf.DUMMYFUNCTION("""COMPUTED_VALUE"""),41530.7055555555)</f>
        <v>41530.705555555498</v>
      </c>
      <c r="N921" s="111">
        <f ca="1">IFERROR(__xludf.DUMMYFUNCTION("""COMPUTED_VALUE"""),12.85)</f>
        <v>12.85</v>
      </c>
      <c r="O921" s="112">
        <f ca="1">IFERROR(__xludf.DUMMYFUNCTION("""COMPUTED_VALUE"""),41607.7055555555)</f>
        <v>41607.705555555498</v>
      </c>
      <c r="P921" s="111">
        <f ca="1">IFERROR(__xludf.DUMMYFUNCTION("""COMPUTED_VALUE"""),35.87)</f>
        <v>35.869999999999997</v>
      </c>
      <c r="Q921" s="112">
        <f ca="1">IFERROR(__xludf.DUMMYFUNCTION("""COMPUTED_VALUE"""),41605.7055555555)</f>
        <v>41605.705555555498</v>
      </c>
      <c r="R921" s="111">
        <f ca="1">IFERROR(__xludf.DUMMYFUNCTION("""COMPUTED_VALUE"""),25.4)</f>
        <v>25.4</v>
      </c>
      <c r="S921" s="112">
        <f ca="1">IFERROR(__xludf.DUMMYFUNCTION("""COMPUTED_VALUE"""),41618.7055555555)</f>
        <v>41618.705555555498</v>
      </c>
      <c r="T921" s="111">
        <f ca="1">IFERROR(__xludf.DUMMYFUNCTION("""COMPUTED_VALUE"""),9.32)</f>
        <v>9.32</v>
      </c>
    </row>
    <row r="922" spans="1:20" x14ac:dyDescent="0.3">
      <c r="A922" s="112">
        <f ca="1">IFERROR(__xludf.DUMMYFUNCTION("""COMPUTED_VALUE"""),41614.7055555555)</f>
        <v>41614.705555555498</v>
      </c>
      <c r="B922" s="111">
        <f ca="1">IFERROR(__xludf.DUMMYFUNCTION("""COMPUTED_VALUE"""),5.88)</f>
        <v>5.88</v>
      </c>
      <c r="C922" s="112">
        <f ca="1">IFERROR(__xludf.DUMMYFUNCTION("""COMPUTED_VALUE"""),41621.7055555555)</f>
        <v>41621.705555555498</v>
      </c>
      <c r="D922" s="111">
        <f ca="1">IFERROR(__xludf.DUMMYFUNCTION("""COMPUTED_VALUE"""),15.56)</f>
        <v>15.56</v>
      </c>
      <c r="E922" s="112">
        <f ca="1">IFERROR(__xludf.DUMMYFUNCTION("""COMPUTED_VALUE"""),41624.7055555555)</f>
        <v>41624.705555555498</v>
      </c>
      <c r="F922" s="111">
        <f ca="1">IFERROR(__xludf.DUMMYFUNCTION("""COMPUTED_VALUE"""),5.76)</f>
        <v>5.76</v>
      </c>
      <c r="G922" s="112">
        <f ca="1">IFERROR(__xludf.DUMMYFUNCTION("""COMPUTED_VALUE"""),41617.7055555555)</f>
        <v>41617.705555555498</v>
      </c>
      <c r="H922" s="111">
        <f ca="1">IFERROR(__xludf.DUMMYFUNCTION("""COMPUTED_VALUE"""),17.45)</f>
        <v>17.45</v>
      </c>
      <c r="K922" s="112">
        <f ca="1">IFERROR(__xludf.DUMMYFUNCTION("""COMPUTED_VALUE"""),42072.7055555555)</f>
        <v>42072.705555555498</v>
      </c>
      <c r="L922" s="111">
        <f ca="1">IFERROR(__xludf.DUMMYFUNCTION("""COMPUTED_VALUE"""),0.16)</f>
        <v>0.16</v>
      </c>
      <c r="M922" s="112">
        <f ca="1">IFERROR(__xludf.DUMMYFUNCTION("""COMPUTED_VALUE"""),41533.7055555555)</f>
        <v>41533.705555555498</v>
      </c>
      <c r="N922" s="111">
        <f ca="1">IFERROR(__xludf.DUMMYFUNCTION("""COMPUTED_VALUE"""),12.91)</f>
        <v>12.91</v>
      </c>
      <c r="O922" s="112">
        <f ca="1">IFERROR(__xludf.DUMMYFUNCTION("""COMPUTED_VALUE"""),41610.7055555555)</f>
        <v>41610.705555555498</v>
      </c>
      <c r="P922" s="111">
        <f ca="1">IFERROR(__xludf.DUMMYFUNCTION("""COMPUTED_VALUE"""),35.41)</f>
        <v>35.409999999999997</v>
      </c>
      <c r="Q922" s="112">
        <f ca="1">IFERROR(__xludf.DUMMYFUNCTION("""COMPUTED_VALUE"""),41606.7055555555)</f>
        <v>41606.705555555498</v>
      </c>
      <c r="R922" s="111">
        <f ca="1">IFERROR(__xludf.DUMMYFUNCTION("""COMPUTED_VALUE"""),25.47)</f>
        <v>25.47</v>
      </c>
      <c r="S922" s="112">
        <f ca="1">IFERROR(__xludf.DUMMYFUNCTION("""COMPUTED_VALUE"""),41619.7055555555)</f>
        <v>41619.705555555498</v>
      </c>
      <c r="T922" s="111">
        <f ca="1">IFERROR(__xludf.DUMMYFUNCTION("""COMPUTED_VALUE"""),9.17)</f>
        <v>9.17</v>
      </c>
    </row>
    <row r="923" spans="1:20" x14ac:dyDescent="0.3">
      <c r="A923" s="112">
        <f ca="1">IFERROR(__xludf.DUMMYFUNCTION("""COMPUTED_VALUE"""),41617.7055555555)</f>
        <v>41617.705555555498</v>
      </c>
      <c r="B923" s="111">
        <f ca="1">IFERROR(__xludf.DUMMYFUNCTION("""COMPUTED_VALUE"""),5.92)</f>
        <v>5.92</v>
      </c>
      <c r="C923" s="112">
        <f ca="1">IFERROR(__xludf.DUMMYFUNCTION("""COMPUTED_VALUE"""),41624.7055555555)</f>
        <v>41624.705555555498</v>
      </c>
      <c r="D923" s="111">
        <f ca="1">IFERROR(__xludf.DUMMYFUNCTION("""COMPUTED_VALUE"""),15.61)</f>
        <v>15.61</v>
      </c>
      <c r="E923" s="112">
        <f ca="1">IFERROR(__xludf.DUMMYFUNCTION("""COMPUTED_VALUE"""),41625.7055555555)</f>
        <v>41625.705555555498</v>
      </c>
      <c r="F923" s="111">
        <f ca="1">IFERROR(__xludf.DUMMYFUNCTION("""COMPUTED_VALUE"""),5.76)</f>
        <v>5.76</v>
      </c>
      <c r="G923" s="112">
        <f ca="1">IFERROR(__xludf.DUMMYFUNCTION("""COMPUTED_VALUE"""),41618.7055555555)</f>
        <v>41618.705555555498</v>
      </c>
      <c r="H923" s="111">
        <f ca="1">IFERROR(__xludf.DUMMYFUNCTION("""COMPUTED_VALUE"""),17.3)</f>
        <v>17.3</v>
      </c>
      <c r="K923" s="112">
        <f ca="1">IFERROR(__xludf.DUMMYFUNCTION("""COMPUTED_VALUE"""),42073.7055555555)</f>
        <v>42073.705555555498</v>
      </c>
      <c r="L923" s="111">
        <f ca="1">IFERROR(__xludf.DUMMYFUNCTION("""COMPUTED_VALUE"""),0.17)</f>
        <v>0.17</v>
      </c>
      <c r="M923" s="112">
        <f ca="1">IFERROR(__xludf.DUMMYFUNCTION("""COMPUTED_VALUE"""),41534.7055555555)</f>
        <v>41534.705555555498</v>
      </c>
      <c r="N923" s="111">
        <f ca="1">IFERROR(__xludf.DUMMYFUNCTION("""COMPUTED_VALUE"""),13.04)</f>
        <v>13.04</v>
      </c>
      <c r="O923" s="112">
        <f ca="1">IFERROR(__xludf.DUMMYFUNCTION("""COMPUTED_VALUE"""),41611.7055555555)</f>
        <v>41611.705555555498</v>
      </c>
      <c r="P923" s="111">
        <f ca="1">IFERROR(__xludf.DUMMYFUNCTION("""COMPUTED_VALUE"""),35.08)</f>
        <v>35.08</v>
      </c>
      <c r="Q923" s="112">
        <f ca="1">IFERROR(__xludf.DUMMYFUNCTION("""COMPUTED_VALUE"""),41607.7055555555)</f>
        <v>41607.705555555498</v>
      </c>
      <c r="R923" s="111">
        <f ca="1">IFERROR(__xludf.DUMMYFUNCTION("""COMPUTED_VALUE"""),25.72)</f>
        <v>25.72</v>
      </c>
      <c r="S923" s="112">
        <f ca="1">IFERROR(__xludf.DUMMYFUNCTION("""COMPUTED_VALUE"""),41620.7055555555)</f>
        <v>41620.705555555498</v>
      </c>
      <c r="T923" s="111">
        <f ca="1">IFERROR(__xludf.DUMMYFUNCTION("""COMPUTED_VALUE"""),9.04)</f>
        <v>9.0399999999999991</v>
      </c>
    </row>
    <row r="924" spans="1:20" x14ac:dyDescent="0.3">
      <c r="A924" s="112">
        <f ca="1">IFERROR(__xludf.DUMMYFUNCTION("""COMPUTED_VALUE"""),41618.7055555555)</f>
        <v>41618.705555555498</v>
      </c>
      <c r="B924" s="111">
        <f ca="1">IFERROR(__xludf.DUMMYFUNCTION("""COMPUTED_VALUE"""),5.92)</f>
        <v>5.92</v>
      </c>
      <c r="C924" s="112">
        <f ca="1">IFERROR(__xludf.DUMMYFUNCTION("""COMPUTED_VALUE"""),41625.7055555555)</f>
        <v>41625.705555555498</v>
      </c>
      <c r="D924" s="111">
        <f ca="1">IFERROR(__xludf.DUMMYFUNCTION("""COMPUTED_VALUE"""),15.63)</f>
        <v>15.63</v>
      </c>
      <c r="E924" s="112">
        <f ca="1">IFERROR(__xludf.DUMMYFUNCTION("""COMPUTED_VALUE"""),41626.7055555555)</f>
        <v>41626.705555555498</v>
      </c>
      <c r="F924" s="111">
        <f ca="1">IFERROR(__xludf.DUMMYFUNCTION("""COMPUTED_VALUE"""),5.82)</f>
        <v>5.82</v>
      </c>
      <c r="G924" s="112">
        <f ca="1">IFERROR(__xludf.DUMMYFUNCTION("""COMPUTED_VALUE"""),41619.7055555555)</f>
        <v>41619.705555555498</v>
      </c>
      <c r="H924" s="111">
        <f ca="1">IFERROR(__xludf.DUMMYFUNCTION("""COMPUTED_VALUE"""),16.78)</f>
        <v>16.78</v>
      </c>
      <c r="K924" s="112">
        <f ca="1">IFERROR(__xludf.DUMMYFUNCTION("""COMPUTED_VALUE"""),42074.7055555555)</f>
        <v>42074.705555555498</v>
      </c>
      <c r="L924" s="111">
        <f ca="1">IFERROR(__xludf.DUMMYFUNCTION("""COMPUTED_VALUE"""),0.16)</f>
        <v>0.16</v>
      </c>
      <c r="M924" s="112">
        <f ca="1">IFERROR(__xludf.DUMMYFUNCTION("""COMPUTED_VALUE"""),41535.7055555555)</f>
        <v>41535.705555555498</v>
      </c>
      <c r="N924" s="111">
        <f ca="1">IFERROR(__xludf.DUMMYFUNCTION("""COMPUTED_VALUE"""),13.47)</f>
        <v>13.47</v>
      </c>
      <c r="O924" s="112">
        <f ca="1">IFERROR(__xludf.DUMMYFUNCTION("""COMPUTED_VALUE"""),41612.7055555555)</f>
        <v>41612.705555555498</v>
      </c>
      <c r="P924" s="111">
        <f ca="1">IFERROR(__xludf.DUMMYFUNCTION("""COMPUTED_VALUE"""),35.45)</f>
        <v>35.450000000000003</v>
      </c>
      <c r="Q924" s="112">
        <f ca="1">IFERROR(__xludf.DUMMYFUNCTION("""COMPUTED_VALUE"""),41610.7055555555)</f>
        <v>41610.705555555498</v>
      </c>
      <c r="R924" s="111">
        <f ca="1">IFERROR(__xludf.DUMMYFUNCTION("""COMPUTED_VALUE"""),24.91)</f>
        <v>24.91</v>
      </c>
      <c r="S924" s="112">
        <f ca="1">IFERROR(__xludf.DUMMYFUNCTION("""COMPUTED_VALUE"""),41621.7055555555)</f>
        <v>41621.705555555498</v>
      </c>
      <c r="T924" s="111">
        <f ca="1">IFERROR(__xludf.DUMMYFUNCTION("""COMPUTED_VALUE"""),9.08)</f>
        <v>9.08</v>
      </c>
    </row>
    <row r="925" spans="1:20" x14ac:dyDescent="0.3">
      <c r="A925" s="112">
        <f ca="1">IFERROR(__xludf.DUMMYFUNCTION("""COMPUTED_VALUE"""),41619.7055555555)</f>
        <v>41619.705555555498</v>
      </c>
      <c r="B925" s="111">
        <f ca="1">IFERROR(__xludf.DUMMYFUNCTION("""COMPUTED_VALUE"""),5.83)</f>
        <v>5.83</v>
      </c>
      <c r="C925" s="112">
        <f ca="1">IFERROR(__xludf.DUMMYFUNCTION("""COMPUTED_VALUE"""),41626.7055555555)</f>
        <v>41626.705555555498</v>
      </c>
      <c r="D925" s="111">
        <f ca="1">IFERROR(__xludf.DUMMYFUNCTION("""COMPUTED_VALUE"""),15.73)</f>
        <v>15.73</v>
      </c>
      <c r="E925" s="112">
        <f ca="1">IFERROR(__xludf.DUMMYFUNCTION("""COMPUTED_VALUE"""),41627.7055555555)</f>
        <v>41627.705555555498</v>
      </c>
      <c r="F925" s="111">
        <f ca="1">IFERROR(__xludf.DUMMYFUNCTION("""COMPUTED_VALUE"""),5.91)</f>
        <v>5.91</v>
      </c>
      <c r="G925" s="112">
        <f ca="1">IFERROR(__xludf.DUMMYFUNCTION("""COMPUTED_VALUE"""),41620.7055555555)</f>
        <v>41620.705555555498</v>
      </c>
      <c r="H925" s="111">
        <f ca="1">IFERROR(__xludf.DUMMYFUNCTION("""COMPUTED_VALUE"""),16.86)</f>
        <v>16.86</v>
      </c>
      <c r="K925" s="112">
        <f ca="1">IFERROR(__xludf.DUMMYFUNCTION("""COMPUTED_VALUE"""),42075.7055555555)</f>
        <v>42075.705555555498</v>
      </c>
      <c r="L925" s="111">
        <f ca="1">IFERROR(__xludf.DUMMYFUNCTION("""COMPUTED_VALUE"""),0.17)</f>
        <v>0.17</v>
      </c>
      <c r="M925" s="112">
        <f ca="1">IFERROR(__xludf.DUMMYFUNCTION("""COMPUTED_VALUE"""),41536.7055555555)</f>
        <v>41536.705555555498</v>
      </c>
      <c r="N925" s="111">
        <f ca="1">IFERROR(__xludf.DUMMYFUNCTION("""COMPUTED_VALUE"""),13.53)</f>
        <v>13.53</v>
      </c>
      <c r="O925" s="112">
        <f ca="1">IFERROR(__xludf.DUMMYFUNCTION("""COMPUTED_VALUE"""),41613.7055555555)</f>
        <v>41613.705555555498</v>
      </c>
      <c r="P925" s="111">
        <f ca="1">IFERROR(__xludf.DUMMYFUNCTION("""COMPUTED_VALUE"""),35.63)</f>
        <v>35.630000000000003</v>
      </c>
      <c r="Q925" s="112">
        <f ca="1">IFERROR(__xludf.DUMMYFUNCTION("""COMPUTED_VALUE"""),41611.7055555555)</f>
        <v>41611.705555555498</v>
      </c>
      <c r="R925" s="111">
        <f ca="1">IFERROR(__xludf.DUMMYFUNCTION("""COMPUTED_VALUE"""),24.39)</f>
        <v>24.39</v>
      </c>
      <c r="S925" s="112">
        <f ca="1">IFERROR(__xludf.DUMMYFUNCTION("""COMPUTED_VALUE"""),41624.7055555555)</f>
        <v>41624.705555555498</v>
      </c>
      <c r="T925" s="111">
        <f ca="1">IFERROR(__xludf.DUMMYFUNCTION("""COMPUTED_VALUE"""),9.19)</f>
        <v>9.19</v>
      </c>
    </row>
    <row r="926" spans="1:20" x14ac:dyDescent="0.3">
      <c r="A926" s="112">
        <f ca="1">IFERROR(__xludf.DUMMYFUNCTION("""COMPUTED_VALUE"""),41620.7055555555)</f>
        <v>41620.705555555498</v>
      </c>
      <c r="B926" s="111">
        <f ca="1">IFERROR(__xludf.DUMMYFUNCTION("""COMPUTED_VALUE"""),5.84)</f>
        <v>5.84</v>
      </c>
      <c r="C926" s="112">
        <f ca="1">IFERROR(__xludf.DUMMYFUNCTION("""COMPUTED_VALUE"""),41627.7055555555)</f>
        <v>41627.705555555498</v>
      </c>
      <c r="D926" s="111">
        <f ca="1">IFERROR(__xludf.DUMMYFUNCTION("""COMPUTED_VALUE"""),16.08)</f>
        <v>16.079999999999998</v>
      </c>
      <c r="E926" s="112">
        <f ca="1">IFERROR(__xludf.DUMMYFUNCTION("""COMPUTED_VALUE"""),41628.7055555555)</f>
        <v>41628.705555555498</v>
      </c>
      <c r="F926" s="111">
        <f ca="1">IFERROR(__xludf.DUMMYFUNCTION("""COMPUTED_VALUE"""),5.8)</f>
        <v>5.8</v>
      </c>
      <c r="G926" s="112">
        <f ca="1">IFERROR(__xludf.DUMMYFUNCTION("""COMPUTED_VALUE"""),41621.7055555555)</f>
        <v>41621.705555555498</v>
      </c>
      <c r="H926" s="111">
        <f ca="1">IFERROR(__xludf.DUMMYFUNCTION("""COMPUTED_VALUE"""),17.22)</f>
        <v>17.22</v>
      </c>
      <c r="K926" s="112">
        <f ca="1">IFERROR(__xludf.DUMMYFUNCTION("""COMPUTED_VALUE"""),42076.7055555555)</f>
        <v>42076.705555555498</v>
      </c>
      <c r="L926" s="111">
        <f ca="1">IFERROR(__xludf.DUMMYFUNCTION("""COMPUTED_VALUE"""),0.16)</f>
        <v>0.16</v>
      </c>
      <c r="M926" s="112">
        <f ca="1">IFERROR(__xludf.DUMMYFUNCTION("""COMPUTED_VALUE"""),41537.7055555555)</f>
        <v>41537.705555555498</v>
      </c>
      <c r="N926" s="111">
        <f ca="1">IFERROR(__xludf.DUMMYFUNCTION("""COMPUTED_VALUE"""),13.19)</f>
        <v>13.19</v>
      </c>
      <c r="O926" s="112">
        <f ca="1">IFERROR(__xludf.DUMMYFUNCTION("""COMPUTED_VALUE"""),41614.7055555555)</f>
        <v>41614.705555555498</v>
      </c>
      <c r="P926" s="111">
        <f ca="1">IFERROR(__xludf.DUMMYFUNCTION("""COMPUTED_VALUE"""),35.56)</f>
        <v>35.56</v>
      </c>
      <c r="Q926" s="112">
        <f ca="1">IFERROR(__xludf.DUMMYFUNCTION("""COMPUTED_VALUE"""),41612.7055555555)</f>
        <v>41612.705555555498</v>
      </c>
      <c r="R926" s="111">
        <f ca="1">IFERROR(__xludf.DUMMYFUNCTION("""COMPUTED_VALUE"""),23.87)</f>
        <v>23.87</v>
      </c>
      <c r="S926" s="112">
        <f ca="1">IFERROR(__xludf.DUMMYFUNCTION("""COMPUTED_VALUE"""),41625.7055555555)</f>
        <v>41625.705555555498</v>
      </c>
      <c r="T926" s="111">
        <f ca="1">IFERROR(__xludf.DUMMYFUNCTION("""COMPUTED_VALUE"""),9.05)</f>
        <v>9.0500000000000007</v>
      </c>
    </row>
    <row r="927" spans="1:20" x14ac:dyDescent="0.3">
      <c r="A927" s="112">
        <f ca="1">IFERROR(__xludf.DUMMYFUNCTION("""COMPUTED_VALUE"""),41621.7055555555)</f>
        <v>41621.705555555498</v>
      </c>
      <c r="B927" s="111">
        <f ca="1">IFERROR(__xludf.DUMMYFUNCTION("""COMPUTED_VALUE"""),5.79)</f>
        <v>5.79</v>
      </c>
      <c r="C927" s="112">
        <f ca="1">IFERROR(__xludf.DUMMYFUNCTION("""COMPUTED_VALUE"""),41628.7055555555)</f>
        <v>41628.705555555498</v>
      </c>
      <c r="D927" s="111">
        <f ca="1">IFERROR(__xludf.DUMMYFUNCTION("""COMPUTED_VALUE"""),15.7)</f>
        <v>15.7</v>
      </c>
      <c r="E927" s="112">
        <f ca="1">IFERROR(__xludf.DUMMYFUNCTION("""COMPUTED_VALUE"""),41631.7055555555)</f>
        <v>41631.705555555498</v>
      </c>
      <c r="F927" s="111">
        <f ca="1">IFERROR(__xludf.DUMMYFUNCTION("""COMPUTED_VALUE"""),5.79)</f>
        <v>5.79</v>
      </c>
      <c r="G927" s="112">
        <f ca="1">IFERROR(__xludf.DUMMYFUNCTION("""COMPUTED_VALUE"""),41624.7055555555)</f>
        <v>41624.705555555498</v>
      </c>
      <c r="H927" s="111">
        <f ca="1">IFERROR(__xludf.DUMMYFUNCTION("""COMPUTED_VALUE"""),17.34)</f>
        <v>17.34</v>
      </c>
      <c r="K927" s="112">
        <f ca="1">IFERROR(__xludf.DUMMYFUNCTION("""COMPUTED_VALUE"""),42079.7055555555)</f>
        <v>42079.705555555498</v>
      </c>
      <c r="L927" s="111">
        <f ca="1">IFERROR(__xludf.DUMMYFUNCTION("""COMPUTED_VALUE"""),0.16)</f>
        <v>0.16</v>
      </c>
      <c r="M927" s="112">
        <f ca="1">IFERROR(__xludf.DUMMYFUNCTION("""COMPUTED_VALUE"""),41540.7055555555)</f>
        <v>41540.705555555498</v>
      </c>
      <c r="N927" s="111">
        <f ca="1">IFERROR(__xludf.DUMMYFUNCTION("""COMPUTED_VALUE"""),13.28)</f>
        <v>13.28</v>
      </c>
      <c r="O927" s="112">
        <f ca="1">IFERROR(__xludf.DUMMYFUNCTION("""COMPUTED_VALUE"""),41617.7055555555)</f>
        <v>41617.705555555498</v>
      </c>
      <c r="P927" s="111">
        <f ca="1">IFERROR(__xludf.DUMMYFUNCTION("""COMPUTED_VALUE"""),35.54)</f>
        <v>35.54</v>
      </c>
      <c r="Q927" s="112">
        <f ca="1">IFERROR(__xludf.DUMMYFUNCTION("""COMPUTED_VALUE"""),41613.7055555555)</f>
        <v>41613.705555555498</v>
      </c>
      <c r="R927" s="111">
        <f ca="1">IFERROR(__xludf.DUMMYFUNCTION("""COMPUTED_VALUE"""),24.8)</f>
        <v>24.8</v>
      </c>
      <c r="S927" s="112">
        <f ca="1">IFERROR(__xludf.DUMMYFUNCTION("""COMPUTED_VALUE"""),41626.7055555555)</f>
        <v>41626.705555555498</v>
      </c>
      <c r="T927" s="111">
        <f ca="1">IFERROR(__xludf.DUMMYFUNCTION("""COMPUTED_VALUE"""),9.07)</f>
        <v>9.07</v>
      </c>
    </row>
    <row r="928" spans="1:20" x14ac:dyDescent="0.3">
      <c r="A928" s="112">
        <f ca="1">IFERROR(__xludf.DUMMYFUNCTION("""COMPUTED_VALUE"""),41624.7055555555)</f>
        <v>41624.705555555498</v>
      </c>
      <c r="B928" s="111">
        <f ca="1">IFERROR(__xludf.DUMMYFUNCTION("""COMPUTED_VALUE"""),5.83)</f>
        <v>5.83</v>
      </c>
      <c r="C928" s="112">
        <f ca="1">IFERROR(__xludf.DUMMYFUNCTION("""COMPUTED_VALUE"""),41631.7055555555)</f>
        <v>41631.705555555498</v>
      </c>
      <c r="D928" s="111">
        <f ca="1">IFERROR(__xludf.DUMMYFUNCTION("""COMPUTED_VALUE"""),15.76)</f>
        <v>15.76</v>
      </c>
      <c r="E928" s="112">
        <f ca="1">IFERROR(__xludf.DUMMYFUNCTION("""COMPUTED_VALUE"""),41634.7055555555)</f>
        <v>41634.705555555498</v>
      </c>
      <c r="F928" s="111">
        <f ca="1">IFERROR(__xludf.DUMMYFUNCTION("""COMPUTED_VALUE"""),5.78)</f>
        <v>5.78</v>
      </c>
      <c r="G928" s="112">
        <f ca="1">IFERROR(__xludf.DUMMYFUNCTION("""COMPUTED_VALUE"""),41625.7055555555)</f>
        <v>41625.705555555498</v>
      </c>
      <c r="H928" s="111">
        <f ca="1">IFERROR(__xludf.DUMMYFUNCTION("""COMPUTED_VALUE"""),16.8)</f>
        <v>16.8</v>
      </c>
      <c r="K928" s="112">
        <f ca="1">IFERROR(__xludf.DUMMYFUNCTION("""COMPUTED_VALUE"""),42080.7055555555)</f>
        <v>42080.705555555498</v>
      </c>
      <c r="L928" s="111">
        <f ca="1">IFERROR(__xludf.DUMMYFUNCTION("""COMPUTED_VALUE"""),0.16)</f>
        <v>0.16</v>
      </c>
      <c r="M928" s="112">
        <f ca="1">IFERROR(__xludf.DUMMYFUNCTION("""COMPUTED_VALUE"""),41541.7055555555)</f>
        <v>41541.705555555498</v>
      </c>
      <c r="N928" s="111">
        <f ca="1">IFERROR(__xludf.DUMMYFUNCTION("""COMPUTED_VALUE"""),13.26)</f>
        <v>13.26</v>
      </c>
      <c r="O928" s="112">
        <f ca="1">IFERROR(__xludf.DUMMYFUNCTION("""COMPUTED_VALUE"""),41618.7055555555)</f>
        <v>41618.705555555498</v>
      </c>
      <c r="P928" s="111">
        <f ca="1">IFERROR(__xludf.DUMMYFUNCTION("""COMPUTED_VALUE"""),35.42)</f>
        <v>35.42</v>
      </c>
      <c r="Q928" s="112">
        <f ca="1">IFERROR(__xludf.DUMMYFUNCTION("""COMPUTED_VALUE"""),41614.7055555555)</f>
        <v>41614.705555555498</v>
      </c>
      <c r="R928" s="111">
        <f ca="1">IFERROR(__xludf.DUMMYFUNCTION("""COMPUTED_VALUE"""),24.83)</f>
        <v>24.83</v>
      </c>
      <c r="S928" s="112">
        <f ca="1">IFERROR(__xludf.DUMMYFUNCTION("""COMPUTED_VALUE"""),41627.7055555555)</f>
        <v>41627.705555555498</v>
      </c>
      <c r="T928" s="111">
        <f ca="1">IFERROR(__xludf.DUMMYFUNCTION("""COMPUTED_VALUE"""),9.32)</f>
        <v>9.32</v>
      </c>
    </row>
    <row r="929" spans="1:20" x14ac:dyDescent="0.3">
      <c r="A929" s="112">
        <f ca="1">IFERROR(__xludf.DUMMYFUNCTION("""COMPUTED_VALUE"""),41625.7055555555)</f>
        <v>41625.705555555498</v>
      </c>
      <c r="B929" s="111">
        <f ca="1">IFERROR(__xludf.DUMMYFUNCTION("""COMPUTED_VALUE"""),5.75)</f>
        <v>5.75</v>
      </c>
      <c r="C929" s="112">
        <f ca="1">IFERROR(__xludf.DUMMYFUNCTION("""COMPUTED_VALUE"""),41634.7055555555)</f>
        <v>41634.705555555498</v>
      </c>
      <c r="D929" s="111">
        <f ca="1">IFERROR(__xludf.DUMMYFUNCTION("""COMPUTED_VALUE"""),15.87)</f>
        <v>15.87</v>
      </c>
      <c r="E929" s="112">
        <f ca="1">IFERROR(__xludf.DUMMYFUNCTION("""COMPUTED_VALUE"""),41635.7055555555)</f>
        <v>41635.705555555498</v>
      </c>
      <c r="F929" s="111">
        <f ca="1">IFERROR(__xludf.DUMMYFUNCTION("""COMPUTED_VALUE"""),5.79)</f>
        <v>5.79</v>
      </c>
      <c r="G929" s="112">
        <f ca="1">IFERROR(__xludf.DUMMYFUNCTION("""COMPUTED_VALUE"""),41626.7055555555)</f>
        <v>41626.705555555498</v>
      </c>
      <c r="H929" s="111">
        <f ca="1">IFERROR(__xludf.DUMMYFUNCTION("""COMPUTED_VALUE"""),16.84)</f>
        <v>16.84</v>
      </c>
      <c r="K929" s="112">
        <f ca="1">IFERROR(__xludf.DUMMYFUNCTION("""COMPUTED_VALUE"""),42081.7055555555)</f>
        <v>42081.705555555498</v>
      </c>
      <c r="L929" s="111">
        <f ca="1">IFERROR(__xludf.DUMMYFUNCTION("""COMPUTED_VALUE"""),0.16)</f>
        <v>0.16</v>
      </c>
      <c r="M929" s="112">
        <f ca="1">IFERROR(__xludf.DUMMYFUNCTION("""COMPUTED_VALUE"""),41542.7055555555)</f>
        <v>41542.705555555498</v>
      </c>
      <c r="N929" s="111">
        <f ca="1">IFERROR(__xludf.DUMMYFUNCTION("""COMPUTED_VALUE"""),13.33)</f>
        <v>13.33</v>
      </c>
      <c r="O929" s="112">
        <f ca="1">IFERROR(__xludf.DUMMYFUNCTION("""COMPUTED_VALUE"""),41619.7055555555)</f>
        <v>41619.705555555498</v>
      </c>
      <c r="P929" s="111">
        <f ca="1">IFERROR(__xludf.DUMMYFUNCTION("""COMPUTED_VALUE"""),34.7)</f>
        <v>34.700000000000003</v>
      </c>
      <c r="Q929" s="112">
        <f ca="1">IFERROR(__xludf.DUMMYFUNCTION("""COMPUTED_VALUE"""),41617.7055555555)</f>
        <v>41617.705555555498</v>
      </c>
      <c r="R929" s="111">
        <f ca="1">IFERROR(__xludf.DUMMYFUNCTION("""COMPUTED_VALUE"""),25.06)</f>
        <v>25.06</v>
      </c>
      <c r="S929" s="112">
        <f ca="1">IFERROR(__xludf.DUMMYFUNCTION("""COMPUTED_VALUE"""),41628.7055555555)</f>
        <v>41628.705555555498</v>
      </c>
      <c r="T929" s="111">
        <f ca="1">IFERROR(__xludf.DUMMYFUNCTION("""COMPUTED_VALUE"""),9.22)</f>
        <v>9.2200000000000006</v>
      </c>
    </row>
    <row r="930" spans="1:20" x14ac:dyDescent="0.3">
      <c r="A930" s="112">
        <f ca="1">IFERROR(__xludf.DUMMYFUNCTION("""COMPUTED_VALUE"""),41626.7055555555)</f>
        <v>41626.705555555498</v>
      </c>
      <c r="B930" s="111">
        <f ca="1">IFERROR(__xludf.DUMMYFUNCTION("""COMPUTED_VALUE"""),5.86)</f>
        <v>5.86</v>
      </c>
      <c r="C930" s="112">
        <f ca="1">IFERROR(__xludf.DUMMYFUNCTION("""COMPUTED_VALUE"""),41635.7055555555)</f>
        <v>41635.705555555498</v>
      </c>
      <c r="D930" s="111">
        <f ca="1">IFERROR(__xludf.DUMMYFUNCTION("""COMPUTED_VALUE"""),15.83)</f>
        <v>15.83</v>
      </c>
      <c r="E930" s="112">
        <f ca="1">IFERROR(__xludf.DUMMYFUNCTION("""COMPUTED_VALUE"""),41638.7055555555)</f>
        <v>41638.705555555498</v>
      </c>
      <c r="F930" s="111">
        <f ca="1">IFERROR(__xludf.DUMMYFUNCTION("""COMPUTED_VALUE"""),5.79)</f>
        <v>5.79</v>
      </c>
      <c r="G930" s="112">
        <f ca="1">IFERROR(__xludf.DUMMYFUNCTION("""COMPUTED_VALUE"""),41627.7055555555)</f>
        <v>41627.705555555498</v>
      </c>
      <c r="H930" s="111">
        <f ca="1">IFERROR(__xludf.DUMMYFUNCTION("""COMPUTED_VALUE"""),17.25)</f>
        <v>17.25</v>
      </c>
      <c r="K930" s="112">
        <f ca="1">IFERROR(__xludf.DUMMYFUNCTION("""COMPUTED_VALUE"""),42082.7055555555)</f>
        <v>42082.705555555498</v>
      </c>
      <c r="L930" s="111">
        <f ca="1">IFERROR(__xludf.DUMMYFUNCTION("""COMPUTED_VALUE"""),0.16)</f>
        <v>0.16</v>
      </c>
      <c r="M930" s="112">
        <f ca="1">IFERROR(__xludf.DUMMYFUNCTION("""COMPUTED_VALUE"""),41543.7055555555)</f>
        <v>41543.705555555498</v>
      </c>
      <c r="N930" s="111">
        <f ca="1">IFERROR(__xludf.DUMMYFUNCTION("""COMPUTED_VALUE"""),13.32)</f>
        <v>13.32</v>
      </c>
      <c r="O930" s="112">
        <f ca="1">IFERROR(__xludf.DUMMYFUNCTION("""COMPUTED_VALUE"""),41620.7055555555)</f>
        <v>41620.705555555498</v>
      </c>
      <c r="P930" s="111">
        <f ca="1">IFERROR(__xludf.DUMMYFUNCTION("""COMPUTED_VALUE"""),34.55)</f>
        <v>34.549999999999997</v>
      </c>
      <c r="Q930" s="112">
        <f ca="1">IFERROR(__xludf.DUMMYFUNCTION("""COMPUTED_VALUE"""),41618.7055555555)</f>
        <v>41618.705555555498</v>
      </c>
      <c r="R930" s="111">
        <f ca="1">IFERROR(__xludf.DUMMYFUNCTION("""COMPUTED_VALUE"""),24.6)</f>
        <v>24.6</v>
      </c>
      <c r="S930" s="112">
        <f ca="1">IFERROR(__xludf.DUMMYFUNCTION("""COMPUTED_VALUE"""),41631.7055555555)</f>
        <v>41631.705555555498</v>
      </c>
      <c r="T930" s="111">
        <f ca="1">IFERROR(__xludf.DUMMYFUNCTION("""COMPUTED_VALUE"""),9.53)</f>
        <v>9.5299999999999994</v>
      </c>
    </row>
    <row r="931" spans="1:20" x14ac:dyDescent="0.3">
      <c r="A931" s="112">
        <f ca="1">IFERROR(__xludf.DUMMYFUNCTION("""COMPUTED_VALUE"""),41627.7055555555)</f>
        <v>41627.705555555498</v>
      </c>
      <c r="B931" s="111">
        <f ca="1">IFERROR(__xludf.DUMMYFUNCTION("""COMPUTED_VALUE"""),5.98)</f>
        <v>5.98</v>
      </c>
      <c r="C931" s="112">
        <f ca="1">IFERROR(__xludf.DUMMYFUNCTION("""COMPUTED_VALUE"""),41638.7055555555)</f>
        <v>41638.705555555498</v>
      </c>
      <c r="D931" s="111">
        <f ca="1">IFERROR(__xludf.DUMMYFUNCTION("""COMPUTED_VALUE"""),15.69)</f>
        <v>15.69</v>
      </c>
      <c r="E931" s="112">
        <f ca="1">IFERROR(__xludf.DUMMYFUNCTION("""COMPUTED_VALUE"""),41641.7055555555)</f>
        <v>41641.705555555498</v>
      </c>
      <c r="F931" s="111">
        <f ca="1">IFERROR(__xludf.DUMMYFUNCTION("""COMPUTED_VALUE"""),5.71)</f>
        <v>5.71</v>
      </c>
      <c r="G931" s="112">
        <f ca="1">IFERROR(__xludf.DUMMYFUNCTION("""COMPUTED_VALUE"""),41628.7055555555)</f>
        <v>41628.705555555498</v>
      </c>
      <c r="H931" s="111">
        <f ca="1">IFERROR(__xludf.DUMMYFUNCTION("""COMPUTED_VALUE"""),16.91)</f>
        <v>16.91</v>
      </c>
      <c r="K931" s="112">
        <f ca="1">IFERROR(__xludf.DUMMYFUNCTION("""COMPUTED_VALUE"""),42083.7055555555)</f>
        <v>42083.705555555498</v>
      </c>
      <c r="L931" s="111">
        <f ca="1">IFERROR(__xludf.DUMMYFUNCTION("""COMPUTED_VALUE"""),0.16)</f>
        <v>0.16</v>
      </c>
      <c r="M931" s="112">
        <f ca="1">IFERROR(__xludf.DUMMYFUNCTION("""COMPUTED_VALUE"""),41544.7055555555)</f>
        <v>41544.705555555498</v>
      </c>
      <c r="N931" s="111">
        <f ca="1">IFERROR(__xludf.DUMMYFUNCTION("""COMPUTED_VALUE"""),13.67)</f>
        <v>13.67</v>
      </c>
      <c r="O931" s="112">
        <f ca="1">IFERROR(__xludf.DUMMYFUNCTION("""COMPUTED_VALUE"""),41621.7055555555)</f>
        <v>41621.705555555498</v>
      </c>
      <c r="P931" s="111">
        <f ca="1">IFERROR(__xludf.DUMMYFUNCTION("""COMPUTED_VALUE"""),34.16)</f>
        <v>34.159999999999997</v>
      </c>
      <c r="Q931" s="112">
        <f ca="1">IFERROR(__xludf.DUMMYFUNCTION("""COMPUTED_VALUE"""),41619.7055555555)</f>
        <v>41619.705555555498</v>
      </c>
      <c r="R931" s="111">
        <f ca="1">IFERROR(__xludf.DUMMYFUNCTION("""COMPUTED_VALUE"""),23.62)</f>
        <v>23.62</v>
      </c>
      <c r="S931" s="112">
        <f ca="1">IFERROR(__xludf.DUMMYFUNCTION("""COMPUTED_VALUE"""),41634.7055555555)</f>
        <v>41634.705555555498</v>
      </c>
      <c r="T931" s="111">
        <f ca="1">IFERROR(__xludf.DUMMYFUNCTION("""COMPUTED_VALUE"""),9.31)</f>
        <v>9.31</v>
      </c>
    </row>
    <row r="932" spans="1:20" x14ac:dyDescent="0.3">
      <c r="A932" s="112">
        <f ca="1">IFERROR(__xludf.DUMMYFUNCTION("""COMPUTED_VALUE"""),41628.7055555555)</f>
        <v>41628.705555555498</v>
      </c>
      <c r="B932" s="111">
        <f ca="1">IFERROR(__xludf.DUMMYFUNCTION("""COMPUTED_VALUE"""),5.96)</f>
        <v>5.96</v>
      </c>
      <c r="C932" s="112">
        <f ca="1">IFERROR(__xludf.DUMMYFUNCTION("""COMPUTED_VALUE"""),41641.7055555555)</f>
        <v>41641.705555555498</v>
      </c>
      <c r="D932" s="111">
        <f ca="1">IFERROR(__xludf.DUMMYFUNCTION("""COMPUTED_VALUE"""),15.79)</f>
        <v>15.79</v>
      </c>
      <c r="E932" s="112">
        <f ca="1">IFERROR(__xludf.DUMMYFUNCTION("""COMPUTED_VALUE"""),41642.7055555555)</f>
        <v>41642.705555555498</v>
      </c>
      <c r="F932" s="111">
        <f ca="1">IFERROR(__xludf.DUMMYFUNCTION("""COMPUTED_VALUE"""),5.73)</f>
        <v>5.73</v>
      </c>
      <c r="G932" s="112">
        <f ca="1">IFERROR(__xludf.DUMMYFUNCTION("""COMPUTED_VALUE"""),41631.7055555555)</f>
        <v>41631.705555555498</v>
      </c>
      <c r="H932" s="111">
        <f ca="1">IFERROR(__xludf.DUMMYFUNCTION("""COMPUTED_VALUE"""),17.06)</f>
        <v>17.059999999999999</v>
      </c>
      <c r="K932" s="112">
        <f ca="1">IFERROR(__xludf.DUMMYFUNCTION("""COMPUTED_VALUE"""),42086.7055555555)</f>
        <v>42086.705555555498</v>
      </c>
      <c r="L932" s="111">
        <f ca="1">IFERROR(__xludf.DUMMYFUNCTION("""COMPUTED_VALUE"""),0.16)</f>
        <v>0.16</v>
      </c>
      <c r="M932" s="112">
        <f ca="1">IFERROR(__xludf.DUMMYFUNCTION("""COMPUTED_VALUE"""),41547.7055555555)</f>
        <v>41547.705555555498</v>
      </c>
      <c r="N932" s="111">
        <f ca="1">IFERROR(__xludf.DUMMYFUNCTION("""COMPUTED_VALUE"""),13.1)</f>
        <v>13.1</v>
      </c>
      <c r="O932" s="112">
        <f ca="1">IFERROR(__xludf.DUMMYFUNCTION("""COMPUTED_VALUE"""),41624.7055555555)</f>
        <v>41624.705555555498</v>
      </c>
      <c r="P932" s="111">
        <f ca="1">IFERROR(__xludf.DUMMYFUNCTION("""COMPUTED_VALUE"""),34.39)</f>
        <v>34.39</v>
      </c>
      <c r="Q932" s="112">
        <f ca="1">IFERROR(__xludf.DUMMYFUNCTION("""COMPUTED_VALUE"""),41620.7055555555)</f>
        <v>41620.705555555498</v>
      </c>
      <c r="R932" s="111">
        <f ca="1">IFERROR(__xludf.DUMMYFUNCTION("""COMPUTED_VALUE"""),23.81)</f>
        <v>23.81</v>
      </c>
      <c r="S932" s="112">
        <f ca="1">IFERROR(__xludf.DUMMYFUNCTION("""COMPUTED_VALUE"""),41635.7055555555)</f>
        <v>41635.705555555498</v>
      </c>
      <c r="T932" s="111">
        <f ca="1">IFERROR(__xludf.DUMMYFUNCTION("""COMPUTED_VALUE"""),9.14)</f>
        <v>9.14</v>
      </c>
    </row>
    <row r="933" spans="1:20" x14ac:dyDescent="0.3">
      <c r="A933" s="112">
        <f ca="1">IFERROR(__xludf.DUMMYFUNCTION("""COMPUTED_VALUE"""),41631.7055555555)</f>
        <v>41631.705555555498</v>
      </c>
      <c r="B933" s="111">
        <f ca="1">IFERROR(__xludf.DUMMYFUNCTION("""COMPUTED_VALUE"""),5.94)</f>
        <v>5.94</v>
      </c>
      <c r="C933" s="112">
        <f ca="1">IFERROR(__xludf.DUMMYFUNCTION("""COMPUTED_VALUE"""),41642.7055555555)</f>
        <v>41642.705555555498</v>
      </c>
      <c r="D933" s="111">
        <f ca="1">IFERROR(__xludf.DUMMYFUNCTION("""COMPUTED_VALUE"""),15.76)</f>
        <v>15.76</v>
      </c>
      <c r="E933" s="112">
        <f ca="1">IFERROR(__xludf.DUMMYFUNCTION("""COMPUTED_VALUE"""),41645.7055555555)</f>
        <v>41645.705555555498</v>
      </c>
      <c r="F933" s="111">
        <f ca="1">IFERROR(__xludf.DUMMYFUNCTION("""COMPUTED_VALUE"""),5.77)</f>
        <v>5.77</v>
      </c>
      <c r="G933" s="112">
        <f ca="1">IFERROR(__xludf.DUMMYFUNCTION("""COMPUTED_VALUE"""),41634.7055555555)</f>
        <v>41634.705555555498</v>
      </c>
      <c r="H933" s="111">
        <f ca="1">IFERROR(__xludf.DUMMYFUNCTION("""COMPUTED_VALUE"""),16.92)</f>
        <v>16.920000000000002</v>
      </c>
      <c r="K933" s="112">
        <f ca="1">IFERROR(__xludf.DUMMYFUNCTION("""COMPUTED_VALUE"""),42087.7055555555)</f>
        <v>42087.705555555498</v>
      </c>
      <c r="L933" s="111">
        <f ca="1">IFERROR(__xludf.DUMMYFUNCTION("""COMPUTED_VALUE"""),0.16)</f>
        <v>0.16</v>
      </c>
      <c r="M933" s="112">
        <f ca="1">IFERROR(__xludf.DUMMYFUNCTION("""COMPUTED_VALUE"""),41548.7055555555)</f>
        <v>41548.705555555498</v>
      </c>
      <c r="N933" s="111">
        <f ca="1">IFERROR(__xludf.DUMMYFUNCTION("""COMPUTED_VALUE"""),13.31)</f>
        <v>13.31</v>
      </c>
      <c r="O933" s="112">
        <f ca="1">IFERROR(__xludf.DUMMYFUNCTION("""COMPUTED_VALUE"""),41625.7055555555)</f>
        <v>41625.705555555498</v>
      </c>
      <c r="P933" s="111">
        <f ca="1">IFERROR(__xludf.DUMMYFUNCTION("""COMPUTED_VALUE"""),34.27)</f>
        <v>34.270000000000003</v>
      </c>
      <c r="Q933" s="112">
        <f ca="1">IFERROR(__xludf.DUMMYFUNCTION("""COMPUTED_VALUE"""),41621.7055555555)</f>
        <v>41621.705555555498</v>
      </c>
      <c r="R933" s="111">
        <f ca="1">IFERROR(__xludf.DUMMYFUNCTION("""COMPUTED_VALUE"""),24)</f>
        <v>24</v>
      </c>
      <c r="S933" s="112">
        <f ca="1">IFERROR(__xludf.DUMMYFUNCTION("""COMPUTED_VALUE"""),41638.7055555555)</f>
        <v>41638.705555555498</v>
      </c>
      <c r="T933" s="111">
        <f ca="1">IFERROR(__xludf.DUMMYFUNCTION("""COMPUTED_VALUE"""),9.17)</f>
        <v>9.17</v>
      </c>
    </row>
    <row r="934" spans="1:20" x14ac:dyDescent="0.3">
      <c r="A934" s="112">
        <f ca="1">IFERROR(__xludf.DUMMYFUNCTION("""COMPUTED_VALUE"""),41634.7055555555)</f>
        <v>41634.705555555498</v>
      </c>
      <c r="B934" s="111">
        <f ca="1">IFERROR(__xludf.DUMMYFUNCTION("""COMPUTED_VALUE"""),5.93)</f>
        <v>5.93</v>
      </c>
      <c r="C934" s="112">
        <f ca="1">IFERROR(__xludf.DUMMYFUNCTION("""COMPUTED_VALUE"""),41645.7055555555)</f>
        <v>41645.705555555498</v>
      </c>
      <c r="D934" s="111">
        <f ca="1">IFERROR(__xludf.DUMMYFUNCTION("""COMPUTED_VALUE"""),15.78)</f>
        <v>15.78</v>
      </c>
      <c r="E934" s="112">
        <f ca="1">IFERROR(__xludf.DUMMYFUNCTION("""COMPUTED_VALUE"""),41646.7055555555)</f>
        <v>41646.705555555498</v>
      </c>
      <c r="F934" s="111">
        <f ca="1">IFERROR(__xludf.DUMMYFUNCTION("""COMPUTED_VALUE"""),5.75)</f>
        <v>5.75</v>
      </c>
      <c r="G934" s="112">
        <f ca="1">IFERROR(__xludf.DUMMYFUNCTION("""COMPUTED_VALUE"""),41635.7055555555)</f>
        <v>41635.705555555498</v>
      </c>
      <c r="H934" s="111">
        <f ca="1">IFERROR(__xludf.DUMMYFUNCTION("""COMPUTED_VALUE"""),16.93)</f>
        <v>16.93</v>
      </c>
      <c r="K934" s="112">
        <f ca="1">IFERROR(__xludf.DUMMYFUNCTION("""COMPUTED_VALUE"""),42088.7055555555)</f>
        <v>42088.705555555498</v>
      </c>
      <c r="L934" s="111">
        <f ca="1">IFERROR(__xludf.DUMMYFUNCTION("""COMPUTED_VALUE"""),0.16)</f>
        <v>0.16</v>
      </c>
      <c r="M934" s="112">
        <f ca="1">IFERROR(__xludf.DUMMYFUNCTION("""COMPUTED_VALUE"""),41549.7055555555)</f>
        <v>41549.705555555498</v>
      </c>
      <c r="N934" s="111">
        <f ca="1">IFERROR(__xludf.DUMMYFUNCTION("""COMPUTED_VALUE"""),13.3)</f>
        <v>13.3</v>
      </c>
      <c r="O934" s="112">
        <f ca="1">IFERROR(__xludf.DUMMYFUNCTION("""COMPUTED_VALUE"""),41626.7055555555)</f>
        <v>41626.705555555498</v>
      </c>
      <c r="P934" s="111">
        <f ca="1">IFERROR(__xludf.DUMMYFUNCTION("""COMPUTED_VALUE"""),34.37)</f>
        <v>34.369999999999997</v>
      </c>
      <c r="Q934" s="112">
        <f ca="1">IFERROR(__xludf.DUMMYFUNCTION("""COMPUTED_VALUE"""),41624.7055555555)</f>
        <v>41624.705555555498</v>
      </c>
      <c r="R934" s="111">
        <f ca="1">IFERROR(__xludf.DUMMYFUNCTION("""COMPUTED_VALUE"""),24.04)</f>
        <v>24.04</v>
      </c>
      <c r="S934" s="112">
        <f ca="1">IFERROR(__xludf.DUMMYFUNCTION("""COMPUTED_VALUE"""),41641.7055555555)</f>
        <v>41641.705555555498</v>
      </c>
      <c r="T934" s="111">
        <f ca="1">IFERROR(__xludf.DUMMYFUNCTION("""COMPUTED_VALUE"""),8.87)</f>
        <v>8.8699999999999992</v>
      </c>
    </row>
    <row r="935" spans="1:20" x14ac:dyDescent="0.3">
      <c r="A935" s="112">
        <f ca="1">IFERROR(__xludf.DUMMYFUNCTION("""COMPUTED_VALUE"""),41635.7055555555)</f>
        <v>41635.705555555498</v>
      </c>
      <c r="B935" s="111">
        <f ca="1">IFERROR(__xludf.DUMMYFUNCTION("""COMPUTED_VALUE"""),5.88)</f>
        <v>5.88</v>
      </c>
      <c r="C935" s="112">
        <f ca="1">IFERROR(__xludf.DUMMYFUNCTION("""COMPUTED_VALUE"""),41646.7055555555)</f>
        <v>41646.705555555498</v>
      </c>
      <c r="D935" s="111">
        <f ca="1">IFERROR(__xludf.DUMMYFUNCTION("""COMPUTED_VALUE"""),15.66)</f>
        <v>15.66</v>
      </c>
      <c r="E935" s="112">
        <f ca="1">IFERROR(__xludf.DUMMYFUNCTION("""COMPUTED_VALUE"""),41647.7055555555)</f>
        <v>41647.705555555498</v>
      </c>
      <c r="F935" s="111">
        <f ca="1">IFERROR(__xludf.DUMMYFUNCTION("""COMPUTED_VALUE"""),5.78)</f>
        <v>5.78</v>
      </c>
      <c r="G935" s="112">
        <f ca="1">IFERROR(__xludf.DUMMYFUNCTION("""COMPUTED_VALUE"""),41638.7055555555)</f>
        <v>41638.705555555498</v>
      </c>
      <c r="H935" s="111">
        <f ca="1">IFERROR(__xludf.DUMMYFUNCTION("""COMPUTED_VALUE"""),17.08)</f>
        <v>17.079999999999998</v>
      </c>
      <c r="K935" s="112">
        <f ca="1">IFERROR(__xludf.DUMMYFUNCTION("""COMPUTED_VALUE"""),42089.7055555555)</f>
        <v>42089.705555555498</v>
      </c>
      <c r="L935" s="111">
        <f ca="1">IFERROR(__xludf.DUMMYFUNCTION("""COMPUTED_VALUE"""),0.16)</f>
        <v>0.16</v>
      </c>
      <c r="M935" s="112">
        <f ca="1">IFERROR(__xludf.DUMMYFUNCTION("""COMPUTED_VALUE"""),41550.7055555555)</f>
        <v>41550.705555555498</v>
      </c>
      <c r="N935" s="111">
        <f ca="1">IFERROR(__xludf.DUMMYFUNCTION("""COMPUTED_VALUE"""),13.26)</f>
        <v>13.26</v>
      </c>
      <c r="O935" s="112">
        <f ca="1">IFERROR(__xludf.DUMMYFUNCTION("""COMPUTED_VALUE"""),41627.7055555555)</f>
        <v>41627.705555555498</v>
      </c>
      <c r="P935" s="111">
        <f ca="1">IFERROR(__xludf.DUMMYFUNCTION("""COMPUTED_VALUE"""),35.11)</f>
        <v>35.11</v>
      </c>
      <c r="Q935" s="112">
        <f ca="1">IFERROR(__xludf.DUMMYFUNCTION("""COMPUTED_VALUE"""),41625.7055555555)</f>
        <v>41625.705555555498</v>
      </c>
      <c r="R935" s="111">
        <f ca="1">IFERROR(__xludf.DUMMYFUNCTION("""COMPUTED_VALUE"""),24.06)</f>
        <v>24.06</v>
      </c>
      <c r="S935" s="112">
        <f ca="1">IFERROR(__xludf.DUMMYFUNCTION("""COMPUTED_VALUE"""),41642.7055555555)</f>
        <v>41642.705555555498</v>
      </c>
      <c r="T935" s="111">
        <f ca="1">IFERROR(__xludf.DUMMYFUNCTION("""COMPUTED_VALUE"""),8.99)</f>
        <v>8.99</v>
      </c>
    </row>
    <row r="936" spans="1:20" x14ac:dyDescent="0.3">
      <c r="A936" s="112">
        <f ca="1">IFERROR(__xludf.DUMMYFUNCTION("""COMPUTED_VALUE"""),41638.7055555555)</f>
        <v>41638.705555555498</v>
      </c>
      <c r="B936" s="111">
        <f ca="1">IFERROR(__xludf.DUMMYFUNCTION("""COMPUTED_VALUE"""),5.81)</f>
        <v>5.81</v>
      </c>
      <c r="C936" s="112">
        <f ca="1">IFERROR(__xludf.DUMMYFUNCTION("""COMPUTED_VALUE"""),41647.7055555555)</f>
        <v>41647.705555555498</v>
      </c>
      <c r="D936" s="111">
        <f ca="1">IFERROR(__xludf.DUMMYFUNCTION("""COMPUTED_VALUE"""),15.91)</f>
        <v>15.91</v>
      </c>
      <c r="E936" s="112">
        <f ca="1">IFERROR(__xludf.DUMMYFUNCTION("""COMPUTED_VALUE"""),41648.7055555555)</f>
        <v>41648.705555555498</v>
      </c>
      <c r="F936" s="111">
        <f ca="1">IFERROR(__xludf.DUMMYFUNCTION("""COMPUTED_VALUE"""),5.64)</f>
        <v>5.64</v>
      </c>
      <c r="G936" s="112">
        <f ca="1">IFERROR(__xludf.DUMMYFUNCTION("""COMPUTED_VALUE"""),41641.7055555555)</f>
        <v>41641.705555555498</v>
      </c>
      <c r="H936" s="111">
        <f ca="1">IFERROR(__xludf.DUMMYFUNCTION("""COMPUTED_VALUE"""),16.75)</f>
        <v>16.75</v>
      </c>
      <c r="K936" s="112">
        <f ca="1">IFERROR(__xludf.DUMMYFUNCTION("""COMPUTED_VALUE"""),42090.7055555555)</f>
        <v>42090.705555555498</v>
      </c>
      <c r="L936" s="111">
        <f ca="1">IFERROR(__xludf.DUMMYFUNCTION("""COMPUTED_VALUE"""),0.15)</f>
        <v>0.15</v>
      </c>
      <c r="M936" s="112">
        <f ca="1">IFERROR(__xludf.DUMMYFUNCTION("""COMPUTED_VALUE"""),41551.7055555555)</f>
        <v>41551.705555555498</v>
      </c>
      <c r="N936" s="111">
        <f ca="1">IFERROR(__xludf.DUMMYFUNCTION("""COMPUTED_VALUE"""),13.21)</f>
        <v>13.21</v>
      </c>
      <c r="O936" s="112">
        <f ca="1">IFERROR(__xludf.DUMMYFUNCTION("""COMPUTED_VALUE"""),41628.7055555555)</f>
        <v>41628.705555555498</v>
      </c>
      <c r="P936" s="111">
        <f ca="1">IFERROR(__xludf.DUMMYFUNCTION("""COMPUTED_VALUE"""),34.45)</f>
        <v>34.450000000000003</v>
      </c>
      <c r="Q936" s="112">
        <f ca="1">IFERROR(__xludf.DUMMYFUNCTION("""COMPUTED_VALUE"""),41626.7055555555)</f>
        <v>41626.705555555498</v>
      </c>
      <c r="R936" s="111">
        <f ca="1">IFERROR(__xludf.DUMMYFUNCTION("""COMPUTED_VALUE"""),24.2)</f>
        <v>24.2</v>
      </c>
      <c r="S936" s="112">
        <f ca="1">IFERROR(__xludf.DUMMYFUNCTION("""COMPUTED_VALUE"""),41645.7055555555)</f>
        <v>41645.705555555498</v>
      </c>
      <c r="T936" s="111">
        <f ca="1">IFERROR(__xludf.DUMMYFUNCTION("""COMPUTED_VALUE"""),8.86)</f>
        <v>8.86</v>
      </c>
    </row>
    <row r="937" spans="1:20" x14ac:dyDescent="0.3">
      <c r="A937" s="112">
        <f ca="1">IFERROR(__xludf.DUMMYFUNCTION("""COMPUTED_VALUE"""),41641.7055555555)</f>
        <v>41641.705555555498</v>
      </c>
      <c r="B937" s="111">
        <f ca="1">IFERROR(__xludf.DUMMYFUNCTION("""COMPUTED_VALUE"""),5.48)</f>
        <v>5.48</v>
      </c>
      <c r="C937" s="112">
        <f ca="1">IFERROR(__xludf.DUMMYFUNCTION("""COMPUTED_VALUE"""),41648.7055555555)</f>
        <v>41648.705555555498</v>
      </c>
      <c r="D937" s="111">
        <f ca="1">IFERROR(__xludf.DUMMYFUNCTION("""COMPUTED_VALUE"""),15.41)</f>
        <v>15.41</v>
      </c>
      <c r="E937" s="112">
        <f ca="1">IFERROR(__xludf.DUMMYFUNCTION("""COMPUTED_VALUE"""),41649.7055555555)</f>
        <v>41649.705555555498</v>
      </c>
      <c r="F937" s="111">
        <f ca="1">IFERROR(__xludf.DUMMYFUNCTION("""COMPUTED_VALUE"""),5.61)</f>
        <v>5.61</v>
      </c>
      <c r="G937" s="112">
        <f ca="1">IFERROR(__xludf.DUMMYFUNCTION("""COMPUTED_VALUE"""),41642.7055555555)</f>
        <v>41642.705555555498</v>
      </c>
      <c r="H937" s="111">
        <f ca="1">IFERROR(__xludf.DUMMYFUNCTION("""COMPUTED_VALUE"""),16.5)</f>
        <v>16.5</v>
      </c>
      <c r="K937" s="112">
        <f ca="1">IFERROR(__xludf.DUMMYFUNCTION("""COMPUTED_VALUE"""),42093.7055555555)</f>
        <v>42093.705555555498</v>
      </c>
      <c r="L937" s="111">
        <f ca="1">IFERROR(__xludf.DUMMYFUNCTION("""COMPUTED_VALUE"""),0.16)</f>
        <v>0.16</v>
      </c>
      <c r="M937" s="112">
        <f ca="1">IFERROR(__xludf.DUMMYFUNCTION("""COMPUTED_VALUE"""),41554.7055555555)</f>
        <v>41554.705555555498</v>
      </c>
      <c r="N937" s="111">
        <f ca="1">IFERROR(__xludf.DUMMYFUNCTION("""COMPUTED_VALUE"""),13.26)</f>
        <v>13.26</v>
      </c>
      <c r="O937" s="112">
        <f ca="1">IFERROR(__xludf.DUMMYFUNCTION("""COMPUTED_VALUE"""),41631.7055555555)</f>
        <v>41631.705555555498</v>
      </c>
      <c r="P937" s="111">
        <f ca="1">IFERROR(__xludf.DUMMYFUNCTION("""COMPUTED_VALUE"""),34.56)</f>
        <v>34.56</v>
      </c>
      <c r="Q937" s="112">
        <f ca="1">IFERROR(__xludf.DUMMYFUNCTION("""COMPUTED_VALUE"""),41627.7055555555)</f>
        <v>41627.705555555498</v>
      </c>
      <c r="R937" s="111">
        <f ca="1">IFERROR(__xludf.DUMMYFUNCTION("""COMPUTED_VALUE"""),24.4)</f>
        <v>24.4</v>
      </c>
      <c r="S937" s="112">
        <f ca="1">IFERROR(__xludf.DUMMYFUNCTION("""COMPUTED_VALUE"""),41646.7055555555)</f>
        <v>41646.705555555498</v>
      </c>
      <c r="T937" s="111">
        <f ca="1">IFERROR(__xludf.DUMMYFUNCTION("""COMPUTED_VALUE"""),9.04)</f>
        <v>9.0399999999999991</v>
      </c>
    </row>
    <row r="938" spans="1:20" x14ac:dyDescent="0.3">
      <c r="A938" s="112">
        <f ca="1">IFERROR(__xludf.DUMMYFUNCTION("""COMPUTED_VALUE"""),41642.7055555555)</f>
        <v>41642.705555555498</v>
      </c>
      <c r="B938" s="111">
        <f ca="1">IFERROR(__xludf.DUMMYFUNCTION("""COMPUTED_VALUE"""),5.88)</f>
        <v>5.88</v>
      </c>
      <c r="C938" s="112">
        <f ca="1">IFERROR(__xludf.DUMMYFUNCTION("""COMPUTED_VALUE"""),41649.7055555555)</f>
        <v>41649.705555555498</v>
      </c>
      <c r="D938" s="111">
        <f ca="1">IFERROR(__xludf.DUMMYFUNCTION("""COMPUTED_VALUE"""),15.49)</f>
        <v>15.49</v>
      </c>
      <c r="E938" s="112">
        <f ca="1">IFERROR(__xludf.DUMMYFUNCTION("""COMPUTED_VALUE"""),41652.7055555555)</f>
        <v>41652.705555555498</v>
      </c>
      <c r="F938" s="111">
        <f ca="1">IFERROR(__xludf.DUMMYFUNCTION("""COMPUTED_VALUE"""),5.61)</f>
        <v>5.61</v>
      </c>
      <c r="G938" s="112">
        <f ca="1">IFERROR(__xludf.DUMMYFUNCTION("""COMPUTED_VALUE"""),41645.7055555555)</f>
        <v>41645.705555555498</v>
      </c>
      <c r="H938" s="111">
        <f ca="1">IFERROR(__xludf.DUMMYFUNCTION("""COMPUTED_VALUE"""),16.62)</f>
        <v>16.62</v>
      </c>
      <c r="K938" s="112">
        <f ca="1">IFERROR(__xludf.DUMMYFUNCTION("""COMPUTED_VALUE"""),42094.7055555555)</f>
        <v>42094.705555555498</v>
      </c>
      <c r="L938" s="111">
        <f ca="1">IFERROR(__xludf.DUMMYFUNCTION("""COMPUTED_VALUE"""),0.16)</f>
        <v>0.16</v>
      </c>
      <c r="M938" s="112">
        <f ca="1">IFERROR(__xludf.DUMMYFUNCTION("""COMPUTED_VALUE"""),41555.7055555555)</f>
        <v>41555.705555555498</v>
      </c>
      <c r="N938" s="111">
        <f ca="1">IFERROR(__xludf.DUMMYFUNCTION("""COMPUTED_VALUE"""),13.25)</f>
        <v>13.25</v>
      </c>
      <c r="O938" s="112">
        <f ca="1">IFERROR(__xludf.DUMMYFUNCTION("""COMPUTED_VALUE"""),41634.7055555555)</f>
        <v>41634.705555555498</v>
      </c>
      <c r="P938" s="111">
        <f ca="1">IFERROR(__xludf.DUMMYFUNCTION("""COMPUTED_VALUE"""),34.71)</f>
        <v>34.71</v>
      </c>
      <c r="Q938" s="112">
        <f ca="1">IFERROR(__xludf.DUMMYFUNCTION("""COMPUTED_VALUE"""),41628.7055555555)</f>
        <v>41628.705555555498</v>
      </c>
      <c r="R938" s="111">
        <f ca="1">IFERROR(__xludf.DUMMYFUNCTION("""COMPUTED_VALUE"""),24.5)</f>
        <v>24.5</v>
      </c>
      <c r="S938" s="112">
        <f ca="1">IFERROR(__xludf.DUMMYFUNCTION("""COMPUTED_VALUE"""),41647.7055555555)</f>
        <v>41647.705555555498</v>
      </c>
      <c r="T938" s="111">
        <f ca="1">IFERROR(__xludf.DUMMYFUNCTION("""COMPUTED_VALUE"""),9.02)</f>
        <v>9.02</v>
      </c>
    </row>
    <row r="939" spans="1:20" x14ac:dyDescent="0.3">
      <c r="A939" s="112">
        <f ca="1">IFERROR(__xludf.DUMMYFUNCTION("""COMPUTED_VALUE"""),41645.7055555555)</f>
        <v>41645.705555555498</v>
      </c>
      <c r="B939" s="111">
        <f ca="1">IFERROR(__xludf.DUMMYFUNCTION("""COMPUTED_VALUE"""),6.02)</f>
        <v>6.02</v>
      </c>
      <c r="C939" s="112">
        <f ca="1">IFERROR(__xludf.DUMMYFUNCTION("""COMPUTED_VALUE"""),41652.7055555555)</f>
        <v>41652.705555555498</v>
      </c>
      <c r="D939" s="111">
        <f ca="1">IFERROR(__xludf.DUMMYFUNCTION("""COMPUTED_VALUE"""),15.42)</f>
        <v>15.42</v>
      </c>
      <c r="E939" s="112">
        <f ca="1">IFERROR(__xludf.DUMMYFUNCTION("""COMPUTED_VALUE"""),41653.7055555555)</f>
        <v>41653.705555555498</v>
      </c>
      <c r="F939" s="111">
        <f ca="1">IFERROR(__xludf.DUMMYFUNCTION("""COMPUTED_VALUE"""),5.65)</f>
        <v>5.65</v>
      </c>
      <c r="G939" s="112">
        <f ca="1">IFERROR(__xludf.DUMMYFUNCTION("""COMPUTED_VALUE"""),41646.7055555555)</f>
        <v>41646.705555555498</v>
      </c>
      <c r="H939" s="111">
        <f ca="1">IFERROR(__xludf.DUMMYFUNCTION("""COMPUTED_VALUE"""),16.16)</f>
        <v>16.16</v>
      </c>
      <c r="K939" s="112">
        <f ca="1">IFERROR(__xludf.DUMMYFUNCTION("""COMPUTED_VALUE"""),42095.7055555555)</f>
        <v>42095.705555555498</v>
      </c>
      <c r="L939" s="111">
        <f ca="1">IFERROR(__xludf.DUMMYFUNCTION("""COMPUTED_VALUE"""),0.16)</f>
        <v>0.16</v>
      </c>
      <c r="M939" s="112">
        <f ca="1">IFERROR(__xludf.DUMMYFUNCTION("""COMPUTED_VALUE"""),41556.7055555555)</f>
        <v>41556.705555555498</v>
      </c>
      <c r="N939" s="111">
        <f ca="1">IFERROR(__xludf.DUMMYFUNCTION("""COMPUTED_VALUE"""),13.46)</f>
        <v>13.46</v>
      </c>
      <c r="O939" s="112">
        <f ca="1">IFERROR(__xludf.DUMMYFUNCTION("""COMPUTED_VALUE"""),41635.7055555555)</f>
        <v>41635.705555555498</v>
      </c>
      <c r="P939" s="111">
        <f ca="1">IFERROR(__xludf.DUMMYFUNCTION("""COMPUTED_VALUE"""),35.5)</f>
        <v>35.5</v>
      </c>
      <c r="Q939" s="112">
        <f ca="1">IFERROR(__xludf.DUMMYFUNCTION("""COMPUTED_VALUE"""),41631.7055555555)</f>
        <v>41631.705555555498</v>
      </c>
      <c r="R939" s="111">
        <f ca="1">IFERROR(__xludf.DUMMYFUNCTION("""COMPUTED_VALUE"""),24.52)</f>
        <v>24.52</v>
      </c>
      <c r="S939" s="112">
        <f ca="1">IFERROR(__xludf.DUMMYFUNCTION("""COMPUTED_VALUE"""),41648.7055555555)</f>
        <v>41648.705555555498</v>
      </c>
      <c r="T939" s="111">
        <f ca="1">IFERROR(__xludf.DUMMYFUNCTION("""COMPUTED_VALUE"""),8.72)</f>
        <v>8.7200000000000006</v>
      </c>
    </row>
    <row r="940" spans="1:20" x14ac:dyDescent="0.3">
      <c r="A940" s="112">
        <f ca="1">IFERROR(__xludf.DUMMYFUNCTION("""COMPUTED_VALUE"""),41646.7055555555)</f>
        <v>41646.705555555498</v>
      </c>
      <c r="B940" s="111">
        <f ca="1">IFERROR(__xludf.DUMMYFUNCTION("""COMPUTED_VALUE"""),5.84)</f>
        <v>5.84</v>
      </c>
      <c r="C940" s="112">
        <f ca="1">IFERROR(__xludf.DUMMYFUNCTION("""COMPUTED_VALUE"""),41653.7055555555)</f>
        <v>41653.705555555498</v>
      </c>
      <c r="D940" s="111">
        <f ca="1">IFERROR(__xludf.DUMMYFUNCTION("""COMPUTED_VALUE"""),15.65)</f>
        <v>15.65</v>
      </c>
      <c r="E940" s="112">
        <f ca="1">IFERROR(__xludf.DUMMYFUNCTION("""COMPUTED_VALUE"""),41654.7055555555)</f>
        <v>41654.705555555498</v>
      </c>
      <c r="F940" s="111">
        <f ca="1">IFERROR(__xludf.DUMMYFUNCTION("""COMPUTED_VALUE"""),5.61)</f>
        <v>5.61</v>
      </c>
      <c r="G940" s="112">
        <f ca="1">IFERROR(__xludf.DUMMYFUNCTION("""COMPUTED_VALUE"""),41647.7055555555)</f>
        <v>41647.705555555498</v>
      </c>
      <c r="H940" s="111">
        <f ca="1">IFERROR(__xludf.DUMMYFUNCTION("""COMPUTED_VALUE"""),16.19)</f>
        <v>16.190000000000001</v>
      </c>
      <c r="K940" s="112">
        <f ca="1">IFERROR(__xludf.DUMMYFUNCTION("""COMPUTED_VALUE"""),42096.7055555555)</f>
        <v>42096.705555555498</v>
      </c>
      <c r="L940" s="111">
        <f ca="1">IFERROR(__xludf.DUMMYFUNCTION("""COMPUTED_VALUE"""),0.17)</f>
        <v>0.17</v>
      </c>
      <c r="M940" s="112">
        <f ca="1">IFERROR(__xludf.DUMMYFUNCTION("""COMPUTED_VALUE"""),41557.7055555555)</f>
        <v>41557.705555555498</v>
      </c>
      <c r="N940" s="111">
        <f ca="1">IFERROR(__xludf.DUMMYFUNCTION("""COMPUTED_VALUE"""),13.65)</f>
        <v>13.65</v>
      </c>
      <c r="O940" s="112">
        <f ca="1">IFERROR(__xludf.DUMMYFUNCTION("""COMPUTED_VALUE"""),41638.7055555555)</f>
        <v>41638.705555555498</v>
      </c>
      <c r="P940" s="111">
        <f ca="1">IFERROR(__xludf.DUMMYFUNCTION("""COMPUTED_VALUE"""),35.71)</f>
        <v>35.71</v>
      </c>
      <c r="Q940" s="112">
        <f ca="1">IFERROR(__xludf.DUMMYFUNCTION("""COMPUTED_VALUE"""),41634.7055555555)</f>
        <v>41634.705555555498</v>
      </c>
      <c r="R940" s="111">
        <f ca="1">IFERROR(__xludf.DUMMYFUNCTION("""COMPUTED_VALUE"""),24.45)</f>
        <v>24.45</v>
      </c>
      <c r="S940" s="112">
        <f ca="1">IFERROR(__xludf.DUMMYFUNCTION("""COMPUTED_VALUE"""),41649.7055555555)</f>
        <v>41649.705555555498</v>
      </c>
      <c r="T940" s="111">
        <f ca="1">IFERROR(__xludf.DUMMYFUNCTION("""COMPUTED_VALUE"""),8.62)</f>
        <v>8.6199999999999992</v>
      </c>
    </row>
    <row r="941" spans="1:20" x14ac:dyDescent="0.3">
      <c r="A941" s="112">
        <f ca="1">IFERROR(__xludf.DUMMYFUNCTION("""COMPUTED_VALUE"""),41647.7055555555)</f>
        <v>41647.705555555498</v>
      </c>
      <c r="B941" s="111">
        <f ca="1">IFERROR(__xludf.DUMMYFUNCTION("""COMPUTED_VALUE"""),5.8)</f>
        <v>5.8</v>
      </c>
      <c r="C941" s="112">
        <f ca="1">IFERROR(__xludf.DUMMYFUNCTION("""COMPUTED_VALUE"""),41654.7055555555)</f>
        <v>41654.705555555498</v>
      </c>
      <c r="D941" s="111">
        <f ca="1">IFERROR(__xludf.DUMMYFUNCTION("""COMPUTED_VALUE"""),15.65)</f>
        <v>15.65</v>
      </c>
      <c r="E941" s="112">
        <f ca="1">IFERROR(__xludf.DUMMYFUNCTION("""COMPUTED_VALUE"""),41655.7055555555)</f>
        <v>41655.705555555498</v>
      </c>
      <c r="F941" s="111">
        <f ca="1">IFERROR(__xludf.DUMMYFUNCTION("""COMPUTED_VALUE"""),5.56)</f>
        <v>5.56</v>
      </c>
      <c r="G941" s="112">
        <f ca="1">IFERROR(__xludf.DUMMYFUNCTION("""COMPUTED_VALUE"""),41648.7055555555)</f>
        <v>41648.705555555498</v>
      </c>
      <c r="H941" s="111">
        <f ca="1">IFERROR(__xludf.DUMMYFUNCTION("""COMPUTED_VALUE"""),15.7)</f>
        <v>15.7</v>
      </c>
      <c r="K941" s="112">
        <f ca="1">IFERROR(__xludf.DUMMYFUNCTION("""COMPUTED_VALUE"""),42100.7055555555)</f>
        <v>42100.705555555498</v>
      </c>
      <c r="L941" s="111">
        <f ca="1">IFERROR(__xludf.DUMMYFUNCTION("""COMPUTED_VALUE"""),0.17)</f>
        <v>0.17</v>
      </c>
      <c r="M941" s="112">
        <f ca="1">IFERROR(__xludf.DUMMYFUNCTION("""COMPUTED_VALUE"""),41558.7055555555)</f>
        <v>41558.705555555498</v>
      </c>
      <c r="N941" s="111">
        <f ca="1">IFERROR(__xludf.DUMMYFUNCTION("""COMPUTED_VALUE"""),13.6)</f>
        <v>13.6</v>
      </c>
      <c r="O941" s="112">
        <f ca="1">IFERROR(__xludf.DUMMYFUNCTION("""COMPUTED_VALUE"""),41641.7055555555)</f>
        <v>41641.705555555498</v>
      </c>
      <c r="P941" s="111">
        <f ca="1">IFERROR(__xludf.DUMMYFUNCTION("""COMPUTED_VALUE"""),34.81)</f>
        <v>34.81</v>
      </c>
      <c r="Q941" s="112">
        <f ca="1">IFERROR(__xludf.DUMMYFUNCTION("""COMPUTED_VALUE"""),41635.7055555555)</f>
        <v>41635.705555555498</v>
      </c>
      <c r="R941" s="111">
        <f ca="1">IFERROR(__xludf.DUMMYFUNCTION("""COMPUTED_VALUE"""),24.28)</f>
        <v>24.28</v>
      </c>
      <c r="S941" s="112">
        <f ca="1">IFERROR(__xludf.DUMMYFUNCTION("""COMPUTED_VALUE"""),41652.7055555555)</f>
        <v>41652.705555555498</v>
      </c>
      <c r="T941" s="111">
        <f ca="1">IFERROR(__xludf.DUMMYFUNCTION("""COMPUTED_VALUE"""),8.63)</f>
        <v>8.6300000000000008</v>
      </c>
    </row>
    <row r="942" spans="1:20" x14ac:dyDescent="0.3">
      <c r="A942" s="112">
        <f ca="1">IFERROR(__xludf.DUMMYFUNCTION("""COMPUTED_VALUE"""),41648.7055555555)</f>
        <v>41648.705555555498</v>
      </c>
      <c r="B942" s="111">
        <f ca="1">IFERROR(__xludf.DUMMYFUNCTION("""COMPUTED_VALUE"""),5.73)</f>
        <v>5.73</v>
      </c>
      <c r="C942" s="112">
        <f ca="1">IFERROR(__xludf.DUMMYFUNCTION("""COMPUTED_VALUE"""),41655.7055555555)</f>
        <v>41655.705555555498</v>
      </c>
      <c r="D942" s="111">
        <f ca="1">IFERROR(__xludf.DUMMYFUNCTION("""COMPUTED_VALUE"""),15.33)</f>
        <v>15.33</v>
      </c>
      <c r="E942" s="112">
        <f ca="1">IFERROR(__xludf.DUMMYFUNCTION("""COMPUTED_VALUE"""),41656.7055555555)</f>
        <v>41656.705555555498</v>
      </c>
      <c r="F942" s="111">
        <f ca="1">IFERROR(__xludf.DUMMYFUNCTION("""COMPUTED_VALUE"""),5.51)</f>
        <v>5.51</v>
      </c>
      <c r="G942" s="112">
        <f ca="1">IFERROR(__xludf.DUMMYFUNCTION("""COMPUTED_VALUE"""),41649.7055555555)</f>
        <v>41649.705555555498</v>
      </c>
      <c r="H942" s="111">
        <f ca="1">IFERROR(__xludf.DUMMYFUNCTION("""COMPUTED_VALUE"""),15.97)</f>
        <v>15.97</v>
      </c>
      <c r="K942" s="112">
        <f ca="1">IFERROR(__xludf.DUMMYFUNCTION("""COMPUTED_VALUE"""),42101.7055555555)</f>
        <v>42101.705555555498</v>
      </c>
      <c r="L942" s="111">
        <f ca="1">IFERROR(__xludf.DUMMYFUNCTION("""COMPUTED_VALUE"""),0.17)</f>
        <v>0.17</v>
      </c>
      <c r="M942" s="112">
        <f ca="1">IFERROR(__xludf.DUMMYFUNCTION("""COMPUTED_VALUE"""),41561.7055555555)</f>
        <v>41561.705555555498</v>
      </c>
      <c r="N942" s="111">
        <f ca="1">IFERROR(__xludf.DUMMYFUNCTION("""COMPUTED_VALUE"""),13.9)</f>
        <v>13.9</v>
      </c>
      <c r="O942" s="112">
        <f ca="1">IFERROR(__xludf.DUMMYFUNCTION("""COMPUTED_VALUE"""),41642.7055555555)</f>
        <v>41642.705555555498</v>
      </c>
      <c r="P942" s="111">
        <f ca="1">IFERROR(__xludf.DUMMYFUNCTION("""COMPUTED_VALUE"""),34.06)</f>
        <v>34.06</v>
      </c>
      <c r="Q942" s="112">
        <f ca="1">IFERROR(__xludf.DUMMYFUNCTION("""COMPUTED_VALUE"""),41638.7055555555)</f>
        <v>41638.705555555498</v>
      </c>
      <c r="R942" s="111">
        <f ca="1">IFERROR(__xludf.DUMMYFUNCTION("""COMPUTED_VALUE"""),24.4)</f>
        <v>24.4</v>
      </c>
      <c r="S942" s="112">
        <f ca="1">IFERROR(__xludf.DUMMYFUNCTION("""COMPUTED_VALUE"""),41653.7055555555)</f>
        <v>41653.705555555498</v>
      </c>
      <c r="T942" s="111">
        <f ca="1">IFERROR(__xludf.DUMMYFUNCTION("""COMPUTED_VALUE"""),8.62)</f>
        <v>8.6199999999999992</v>
      </c>
    </row>
    <row r="943" spans="1:20" x14ac:dyDescent="0.3">
      <c r="A943" s="112">
        <f ca="1">IFERROR(__xludf.DUMMYFUNCTION("""COMPUTED_VALUE"""),41649.7055555555)</f>
        <v>41649.705555555498</v>
      </c>
      <c r="B943" s="111">
        <f ca="1">IFERROR(__xludf.DUMMYFUNCTION("""COMPUTED_VALUE"""),5.71)</f>
        <v>5.71</v>
      </c>
      <c r="C943" s="112">
        <f ca="1">IFERROR(__xludf.DUMMYFUNCTION("""COMPUTED_VALUE"""),41656.7055555555)</f>
        <v>41656.705555555498</v>
      </c>
      <c r="D943" s="111">
        <f ca="1">IFERROR(__xludf.DUMMYFUNCTION("""COMPUTED_VALUE"""),15.03)</f>
        <v>15.03</v>
      </c>
      <c r="E943" s="112">
        <f ca="1">IFERROR(__xludf.DUMMYFUNCTION("""COMPUTED_VALUE"""),41659.7055555555)</f>
        <v>41659.705555555498</v>
      </c>
      <c r="F943" s="111">
        <f ca="1">IFERROR(__xludf.DUMMYFUNCTION("""COMPUTED_VALUE"""),5.48)</f>
        <v>5.48</v>
      </c>
      <c r="G943" s="112">
        <f ca="1">IFERROR(__xludf.DUMMYFUNCTION("""COMPUTED_VALUE"""),41652.7055555555)</f>
        <v>41652.705555555498</v>
      </c>
      <c r="H943" s="111">
        <f ca="1">IFERROR(__xludf.DUMMYFUNCTION("""COMPUTED_VALUE"""),15.77)</f>
        <v>15.77</v>
      </c>
      <c r="K943" s="112">
        <f ca="1">IFERROR(__xludf.DUMMYFUNCTION("""COMPUTED_VALUE"""),42102.7055555555)</f>
        <v>42102.705555555498</v>
      </c>
      <c r="L943" s="111">
        <f ca="1">IFERROR(__xludf.DUMMYFUNCTION("""COMPUTED_VALUE"""),0.16)</f>
        <v>0.16</v>
      </c>
      <c r="M943" s="112">
        <f ca="1">IFERROR(__xludf.DUMMYFUNCTION("""COMPUTED_VALUE"""),41562.7055555555)</f>
        <v>41562.705555555498</v>
      </c>
      <c r="N943" s="111">
        <f ca="1">IFERROR(__xludf.DUMMYFUNCTION("""COMPUTED_VALUE"""),13.94)</f>
        <v>13.94</v>
      </c>
      <c r="O943" s="112">
        <f ca="1">IFERROR(__xludf.DUMMYFUNCTION("""COMPUTED_VALUE"""),41645.7055555555)</f>
        <v>41645.705555555498</v>
      </c>
      <c r="P943" s="111">
        <f ca="1">IFERROR(__xludf.DUMMYFUNCTION("""COMPUTED_VALUE"""),34.09)</f>
        <v>34.090000000000003</v>
      </c>
      <c r="Q943" s="112">
        <f ca="1">IFERROR(__xludf.DUMMYFUNCTION("""COMPUTED_VALUE"""),41641.7055555555)</f>
        <v>41641.705555555498</v>
      </c>
      <c r="R943" s="111">
        <f ca="1">IFERROR(__xludf.DUMMYFUNCTION("""COMPUTED_VALUE"""),24)</f>
        <v>24</v>
      </c>
      <c r="S943" s="112">
        <f ca="1">IFERROR(__xludf.DUMMYFUNCTION("""COMPUTED_VALUE"""),41654.7055555555)</f>
        <v>41654.705555555498</v>
      </c>
      <c r="T943" s="111">
        <f ca="1">IFERROR(__xludf.DUMMYFUNCTION("""COMPUTED_VALUE"""),8.66)</f>
        <v>8.66</v>
      </c>
    </row>
    <row r="944" spans="1:20" x14ac:dyDescent="0.3">
      <c r="A944" s="112">
        <f ca="1">IFERROR(__xludf.DUMMYFUNCTION("""COMPUTED_VALUE"""),41652.7055555555)</f>
        <v>41652.705555555498</v>
      </c>
      <c r="B944" s="111">
        <f ca="1">IFERROR(__xludf.DUMMYFUNCTION("""COMPUTED_VALUE"""),5.72)</f>
        <v>5.72</v>
      </c>
      <c r="C944" s="112">
        <f ca="1">IFERROR(__xludf.DUMMYFUNCTION("""COMPUTED_VALUE"""),41659.7055555555)</f>
        <v>41659.705555555498</v>
      </c>
      <c r="D944" s="111">
        <f ca="1">IFERROR(__xludf.DUMMYFUNCTION("""COMPUTED_VALUE"""),14.91)</f>
        <v>14.91</v>
      </c>
      <c r="E944" s="112">
        <f ca="1">IFERROR(__xludf.DUMMYFUNCTION("""COMPUTED_VALUE"""),41660.7055555555)</f>
        <v>41660.705555555498</v>
      </c>
      <c r="F944" s="111">
        <f ca="1">IFERROR(__xludf.DUMMYFUNCTION("""COMPUTED_VALUE"""),5.52)</f>
        <v>5.52</v>
      </c>
      <c r="G944" s="112">
        <f ca="1">IFERROR(__xludf.DUMMYFUNCTION("""COMPUTED_VALUE"""),41653.7055555555)</f>
        <v>41653.705555555498</v>
      </c>
      <c r="H944" s="111">
        <f ca="1">IFERROR(__xludf.DUMMYFUNCTION("""COMPUTED_VALUE"""),15.7)</f>
        <v>15.7</v>
      </c>
      <c r="K944" s="112">
        <f ca="1">IFERROR(__xludf.DUMMYFUNCTION("""COMPUTED_VALUE"""),42103.7055555555)</f>
        <v>42103.705555555498</v>
      </c>
      <c r="L944" s="111">
        <f ca="1">IFERROR(__xludf.DUMMYFUNCTION("""COMPUTED_VALUE"""),0.16)</f>
        <v>0.16</v>
      </c>
      <c r="M944" s="112">
        <f ca="1">IFERROR(__xludf.DUMMYFUNCTION("""COMPUTED_VALUE"""),41563.7055555555)</f>
        <v>41563.705555555498</v>
      </c>
      <c r="N944" s="111">
        <f ca="1">IFERROR(__xludf.DUMMYFUNCTION("""COMPUTED_VALUE"""),14.05)</f>
        <v>14.05</v>
      </c>
      <c r="O944" s="112">
        <f ca="1">IFERROR(__xludf.DUMMYFUNCTION("""COMPUTED_VALUE"""),41646.7055555555)</f>
        <v>41646.705555555498</v>
      </c>
      <c r="P944" s="111">
        <f ca="1">IFERROR(__xludf.DUMMYFUNCTION("""COMPUTED_VALUE"""),33.25)</f>
        <v>33.25</v>
      </c>
      <c r="Q944" s="112">
        <f ca="1">IFERROR(__xludf.DUMMYFUNCTION("""COMPUTED_VALUE"""),41642.7055555555)</f>
        <v>41642.705555555498</v>
      </c>
      <c r="R944" s="111">
        <f ca="1">IFERROR(__xludf.DUMMYFUNCTION("""COMPUTED_VALUE"""),24.25)</f>
        <v>24.25</v>
      </c>
      <c r="S944" s="112">
        <f ca="1">IFERROR(__xludf.DUMMYFUNCTION("""COMPUTED_VALUE"""),41655.7055555555)</f>
        <v>41655.705555555498</v>
      </c>
      <c r="T944" s="111">
        <f ca="1">IFERROR(__xludf.DUMMYFUNCTION("""COMPUTED_VALUE"""),8.6)</f>
        <v>8.6</v>
      </c>
    </row>
    <row r="945" spans="1:20" x14ac:dyDescent="0.3">
      <c r="A945" s="112">
        <f ca="1">IFERROR(__xludf.DUMMYFUNCTION("""COMPUTED_VALUE"""),41653.7055555555)</f>
        <v>41653.705555555498</v>
      </c>
      <c r="B945" s="111">
        <f ca="1">IFERROR(__xludf.DUMMYFUNCTION("""COMPUTED_VALUE"""),5.68)</f>
        <v>5.68</v>
      </c>
      <c r="C945" s="112">
        <f ca="1">IFERROR(__xludf.DUMMYFUNCTION("""COMPUTED_VALUE"""),41660.7055555555)</f>
        <v>41660.705555555498</v>
      </c>
      <c r="D945" s="111">
        <f ca="1">IFERROR(__xludf.DUMMYFUNCTION("""COMPUTED_VALUE"""),15.12)</f>
        <v>15.12</v>
      </c>
      <c r="E945" s="112">
        <f ca="1">IFERROR(__xludf.DUMMYFUNCTION("""COMPUTED_VALUE"""),41661.7055555555)</f>
        <v>41661.705555555498</v>
      </c>
      <c r="F945" s="111">
        <f ca="1">IFERROR(__xludf.DUMMYFUNCTION("""COMPUTED_VALUE"""),5.5)</f>
        <v>5.5</v>
      </c>
      <c r="G945" s="112">
        <f ca="1">IFERROR(__xludf.DUMMYFUNCTION("""COMPUTED_VALUE"""),41654.7055555555)</f>
        <v>41654.705555555498</v>
      </c>
      <c r="H945" s="111">
        <f ca="1">IFERROR(__xludf.DUMMYFUNCTION("""COMPUTED_VALUE"""),16.04)</f>
        <v>16.04</v>
      </c>
      <c r="K945" s="112">
        <f ca="1">IFERROR(__xludf.DUMMYFUNCTION("""COMPUTED_VALUE"""),42104.7055555555)</f>
        <v>42104.705555555498</v>
      </c>
      <c r="L945" s="111">
        <f ca="1">IFERROR(__xludf.DUMMYFUNCTION("""COMPUTED_VALUE"""),0.16)</f>
        <v>0.16</v>
      </c>
      <c r="M945" s="112">
        <f ca="1">IFERROR(__xludf.DUMMYFUNCTION("""COMPUTED_VALUE"""),41564.7055555555)</f>
        <v>41564.705555555498</v>
      </c>
      <c r="N945" s="111">
        <f ca="1">IFERROR(__xludf.DUMMYFUNCTION("""COMPUTED_VALUE"""),14.13)</f>
        <v>14.13</v>
      </c>
      <c r="O945" s="112">
        <f ca="1">IFERROR(__xludf.DUMMYFUNCTION("""COMPUTED_VALUE"""),41647.7055555555)</f>
        <v>41647.705555555498</v>
      </c>
      <c r="P945" s="111">
        <f ca="1">IFERROR(__xludf.DUMMYFUNCTION("""COMPUTED_VALUE"""),33.48)</f>
        <v>33.479999999999997</v>
      </c>
      <c r="Q945" s="112">
        <f ca="1">IFERROR(__xludf.DUMMYFUNCTION("""COMPUTED_VALUE"""),41645.7055555555)</f>
        <v>41645.705555555498</v>
      </c>
      <c r="R945" s="111">
        <f ca="1">IFERROR(__xludf.DUMMYFUNCTION("""COMPUTED_VALUE"""),23.89)</f>
        <v>23.89</v>
      </c>
      <c r="S945" s="112">
        <f ca="1">IFERROR(__xludf.DUMMYFUNCTION("""COMPUTED_VALUE"""),41656.7055555555)</f>
        <v>41656.705555555498</v>
      </c>
      <c r="T945" s="111">
        <f ca="1">IFERROR(__xludf.DUMMYFUNCTION("""COMPUTED_VALUE"""),8.5)</f>
        <v>8.5</v>
      </c>
    </row>
    <row r="946" spans="1:20" x14ac:dyDescent="0.3">
      <c r="A946" s="112">
        <f ca="1">IFERROR(__xludf.DUMMYFUNCTION("""COMPUTED_VALUE"""),41654.7055555555)</f>
        <v>41654.705555555498</v>
      </c>
      <c r="B946" s="111">
        <f ca="1">IFERROR(__xludf.DUMMYFUNCTION("""COMPUTED_VALUE"""),5.59)</f>
        <v>5.59</v>
      </c>
      <c r="C946" s="112">
        <f ca="1">IFERROR(__xludf.DUMMYFUNCTION("""COMPUTED_VALUE"""),41661.7055555555)</f>
        <v>41661.705555555498</v>
      </c>
      <c r="D946" s="111">
        <f ca="1">IFERROR(__xludf.DUMMYFUNCTION("""COMPUTED_VALUE"""),15.15)</f>
        <v>15.15</v>
      </c>
      <c r="E946" s="112">
        <f ca="1">IFERROR(__xludf.DUMMYFUNCTION("""COMPUTED_VALUE"""),41662.7055555555)</f>
        <v>41662.705555555498</v>
      </c>
      <c r="F946" s="111">
        <f ca="1">IFERROR(__xludf.DUMMYFUNCTION("""COMPUTED_VALUE"""),5.37)</f>
        <v>5.37</v>
      </c>
      <c r="G946" s="112">
        <f ca="1">IFERROR(__xludf.DUMMYFUNCTION("""COMPUTED_VALUE"""),41655.7055555555)</f>
        <v>41655.705555555498</v>
      </c>
      <c r="H946" s="111">
        <f ca="1">IFERROR(__xludf.DUMMYFUNCTION("""COMPUTED_VALUE"""),15.59)</f>
        <v>15.59</v>
      </c>
      <c r="K946" s="112">
        <f ca="1">IFERROR(__xludf.DUMMYFUNCTION("""COMPUTED_VALUE"""),42107.7055555555)</f>
        <v>42107.705555555498</v>
      </c>
      <c r="L946" s="111">
        <f ca="1">IFERROR(__xludf.DUMMYFUNCTION("""COMPUTED_VALUE"""),0.16)</f>
        <v>0.16</v>
      </c>
      <c r="M946" s="112">
        <f ca="1">IFERROR(__xludf.DUMMYFUNCTION("""COMPUTED_VALUE"""),41565.7055555555)</f>
        <v>41565.705555555498</v>
      </c>
      <c r="N946" s="111">
        <f ca="1">IFERROR(__xludf.DUMMYFUNCTION("""COMPUTED_VALUE"""),14.26)</f>
        <v>14.26</v>
      </c>
      <c r="O946" s="112">
        <f ca="1">IFERROR(__xludf.DUMMYFUNCTION("""COMPUTED_VALUE"""),41648.7055555555)</f>
        <v>41648.705555555498</v>
      </c>
      <c r="P946" s="111">
        <f ca="1">IFERROR(__xludf.DUMMYFUNCTION("""COMPUTED_VALUE"""),32.29)</f>
        <v>32.29</v>
      </c>
      <c r="Q946" s="112">
        <f ca="1">IFERROR(__xludf.DUMMYFUNCTION("""COMPUTED_VALUE"""),41646.7055555555)</f>
        <v>41646.705555555498</v>
      </c>
      <c r="R946" s="111">
        <f ca="1">IFERROR(__xludf.DUMMYFUNCTION("""COMPUTED_VALUE"""),23.48)</f>
        <v>23.48</v>
      </c>
      <c r="S946" s="112">
        <f ca="1">IFERROR(__xludf.DUMMYFUNCTION("""COMPUTED_VALUE"""),41659.7055555555)</f>
        <v>41659.705555555498</v>
      </c>
      <c r="T946" s="111">
        <f ca="1">IFERROR(__xludf.DUMMYFUNCTION("""COMPUTED_VALUE"""),8.61)</f>
        <v>8.61</v>
      </c>
    </row>
    <row r="947" spans="1:20" x14ac:dyDescent="0.3">
      <c r="A947" s="112">
        <f ca="1">IFERROR(__xludf.DUMMYFUNCTION("""COMPUTED_VALUE"""),41655.7055555555)</f>
        <v>41655.705555555498</v>
      </c>
      <c r="B947" s="111">
        <f ca="1">IFERROR(__xludf.DUMMYFUNCTION("""COMPUTED_VALUE"""),5.36)</f>
        <v>5.36</v>
      </c>
      <c r="C947" s="112">
        <f ca="1">IFERROR(__xludf.DUMMYFUNCTION("""COMPUTED_VALUE"""),41662.7055555555)</f>
        <v>41662.705555555498</v>
      </c>
      <c r="D947" s="111">
        <f ca="1">IFERROR(__xludf.DUMMYFUNCTION("""COMPUTED_VALUE"""),14.85)</f>
        <v>14.85</v>
      </c>
      <c r="E947" s="112">
        <f ca="1">IFERROR(__xludf.DUMMYFUNCTION("""COMPUTED_VALUE"""),41663.7055555555)</f>
        <v>41663.705555555498</v>
      </c>
      <c r="F947" s="111">
        <f ca="1">IFERROR(__xludf.DUMMYFUNCTION("""COMPUTED_VALUE"""),5.33)</f>
        <v>5.33</v>
      </c>
      <c r="G947" s="112">
        <f ca="1">IFERROR(__xludf.DUMMYFUNCTION("""COMPUTED_VALUE"""),41656.7055555555)</f>
        <v>41656.705555555498</v>
      </c>
      <c r="H947" s="111">
        <f ca="1">IFERROR(__xludf.DUMMYFUNCTION("""COMPUTED_VALUE"""),15.51)</f>
        <v>15.51</v>
      </c>
      <c r="K947" s="112">
        <f ca="1">IFERROR(__xludf.DUMMYFUNCTION("""COMPUTED_VALUE"""),42108.7055555555)</f>
        <v>42108.705555555498</v>
      </c>
      <c r="L947" s="111">
        <f ca="1">IFERROR(__xludf.DUMMYFUNCTION("""COMPUTED_VALUE"""),0.16)</f>
        <v>0.16</v>
      </c>
      <c r="M947" s="112">
        <f ca="1">IFERROR(__xludf.DUMMYFUNCTION("""COMPUTED_VALUE"""),41568.7055555555)</f>
        <v>41568.705555555498</v>
      </c>
      <c r="N947" s="111">
        <f ca="1">IFERROR(__xludf.DUMMYFUNCTION("""COMPUTED_VALUE"""),14.05)</f>
        <v>14.05</v>
      </c>
      <c r="O947" s="112">
        <f ca="1">IFERROR(__xludf.DUMMYFUNCTION("""COMPUTED_VALUE"""),41649.7055555555)</f>
        <v>41649.705555555498</v>
      </c>
      <c r="P947" s="111">
        <f ca="1">IFERROR(__xludf.DUMMYFUNCTION("""COMPUTED_VALUE"""),32.25)</f>
        <v>32.25</v>
      </c>
      <c r="Q947" s="112">
        <f ca="1">IFERROR(__xludf.DUMMYFUNCTION("""COMPUTED_VALUE"""),41647.7055555555)</f>
        <v>41647.705555555498</v>
      </c>
      <c r="R947" s="111">
        <f ca="1">IFERROR(__xludf.DUMMYFUNCTION("""COMPUTED_VALUE"""),23.01)</f>
        <v>23.01</v>
      </c>
      <c r="S947" s="112">
        <f ca="1">IFERROR(__xludf.DUMMYFUNCTION("""COMPUTED_VALUE"""),41660.7055555555)</f>
        <v>41660.705555555498</v>
      </c>
      <c r="T947" s="111">
        <f ca="1">IFERROR(__xludf.DUMMYFUNCTION("""COMPUTED_VALUE"""),8.66)</f>
        <v>8.66</v>
      </c>
    </row>
    <row r="948" spans="1:20" x14ac:dyDescent="0.3">
      <c r="A948" s="112">
        <f ca="1">IFERROR(__xludf.DUMMYFUNCTION("""COMPUTED_VALUE"""),41656.7055555555)</f>
        <v>41656.705555555498</v>
      </c>
      <c r="B948" s="111">
        <f ca="1">IFERROR(__xludf.DUMMYFUNCTION("""COMPUTED_VALUE"""),5.35)</f>
        <v>5.35</v>
      </c>
      <c r="C948" s="112">
        <f ca="1">IFERROR(__xludf.DUMMYFUNCTION("""COMPUTED_VALUE"""),41663.7055555555)</f>
        <v>41663.705555555498</v>
      </c>
      <c r="D948" s="111">
        <f ca="1">IFERROR(__xludf.DUMMYFUNCTION("""COMPUTED_VALUE"""),14.66)</f>
        <v>14.66</v>
      </c>
      <c r="E948" s="112">
        <f ca="1">IFERROR(__xludf.DUMMYFUNCTION("""COMPUTED_VALUE"""),41666.7055555555)</f>
        <v>41666.705555555498</v>
      </c>
      <c r="F948" s="111">
        <f ca="1">IFERROR(__xludf.DUMMYFUNCTION("""COMPUTED_VALUE"""),5.44)</f>
        <v>5.44</v>
      </c>
      <c r="G948" s="112">
        <f ca="1">IFERROR(__xludf.DUMMYFUNCTION("""COMPUTED_VALUE"""),41659.7055555555)</f>
        <v>41659.705555555498</v>
      </c>
      <c r="H948" s="111">
        <f ca="1">IFERROR(__xludf.DUMMYFUNCTION("""COMPUTED_VALUE"""),15.18)</f>
        <v>15.18</v>
      </c>
      <c r="K948" s="112">
        <f ca="1">IFERROR(__xludf.DUMMYFUNCTION("""COMPUTED_VALUE"""),42109.7055555555)</f>
        <v>42109.705555555498</v>
      </c>
      <c r="L948" s="111">
        <f ca="1">IFERROR(__xludf.DUMMYFUNCTION("""COMPUTED_VALUE"""),0.16)</f>
        <v>0.16</v>
      </c>
      <c r="M948" s="112">
        <f ca="1">IFERROR(__xludf.DUMMYFUNCTION("""COMPUTED_VALUE"""),41569.7055555555)</f>
        <v>41569.705555555498</v>
      </c>
      <c r="N948" s="111">
        <f ca="1">IFERROR(__xludf.DUMMYFUNCTION("""COMPUTED_VALUE"""),14.26)</f>
        <v>14.26</v>
      </c>
      <c r="O948" s="112">
        <f ca="1">IFERROR(__xludf.DUMMYFUNCTION("""COMPUTED_VALUE"""),41652.7055555555)</f>
        <v>41652.705555555498</v>
      </c>
      <c r="P948" s="111">
        <f ca="1">IFERROR(__xludf.DUMMYFUNCTION("""COMPUTED_VALUE"""),32.04)</f>
        <v>32.04</v>
      </c>
      <c r="Q948" s="112">
        <f ca="1">IFERROR(__xludf.DUMMYFUNCTION("""COMPUTED_VALUE"""),41648.7055555555)</f>
        <v>41648.705555555498</v>
      </c>
      <c r="R948" s="111">
        <f ca="1">IFERROR(__xludf.DUMMYFUNCTION("""COMPUTED_VALUE"""),22.15)</f>
        <v>22.15</v>
      </c>
      <c r="S948" s="112">
        <f ca="1">IFERROR(__xludf.DUMMYFUNCTION("""COMPUTED_VALUE"""),41661.7055555555)</f>
        <v>41661.705555555498</v>
      </c>
      <c r="T948" s="111">
        <f ca="1">IFERROR(__xludf.DUMMYFUNCTION("""COMPUTED_VALUE"""),9.08)</f>
        <v>9.08</v>
      </c>
    </row>
    <row r="949" spans="1:20" x14ac:dyDescent="0.3">
      <c r="A949" s="112">
        <f ca="1">IFERROR(__xludf.DUMMYFUNCTION("""COMPUTED_VALUE"""),41659.7055555555)</f>
        <v>41659.705555555498</v>
      </c>
      <c r="B949" s="111">
        <f ca="1">IFERROR(__xludf.DUMMYFUNCTION("""COMPUTED_VALUE"""),5.37)</f>
        <v>5.37</v>
      </c>
      <c r="C949" s="112">
        <f ca="1">IFERROR(__xludf.DUMMYFUNCTION("""COMPUTED_VALUE"""),41666.7055555555)</f>
        <v>41666.705555555498</v>
      </c>
      <c r="D949" s="111">
        <f ca="1">IFERROR(__xludf.DUMMYFUNCTION("""COMPUTED_VALUE"""),14.95)</f>
        <v>14.95</v>
      </c>
      <c r="E949" s="112">
        <f ca="1">IFERROR(__xludf.DUMMYFUNCTION("""COMPUTED_VALUE"""),41667.7055555555)</f>
        <v>41667.705555555498</v>
      </c>
      <c r="F949" s="111">
        <f ca="1">IFERROR(__xludf.DUMMYFUNCTION("""COMPUTED_VALUE"""),5.45)</f>
        <v>5.45</v>
      </c>
      <c r="G949" s="112">
        <f ca="1">IFERROR(__xludf.DUMMYFUNCTION("""COMPUTED_VALUE"""),41660.7055555555)</f>
        <v>41660.705555555498</v>
      </c>
      <c r="H949" s="111">
        <f ca="1">IFERROR(__xludf.DUMMYFUNCTION("""COMPUTED_VALUE"""),15.34)</f>
        <v>15.34</v>
      </c>
      <c r="K949" s="112">
        <f ca="1">IFERROR(__xludf.DUMMYFUNCTION("""COMPUTED_VALUE"""),42110.7055555555)</f>
        <v>42110.705555555498</v>
      </c>
      <c r="L949" s="111">
        <f ca="1">IFERROR(__xludf.DUMMYFUNCTION("""COMPUTED_VALUE"""),0.16)</f>
        <v>0.16</v>
      </c>
      <c r="M949" s="112">
        <f ca="1">IFERROR(__xludf.DUMMYFUNCTION("""COMPUTED_VALUE"""),41570.7055555555)</f>
        <v>41570.705555555498</v>
      </c>
      <c r="N949" s="111">
        <f ca="1">IFERROR(__xludf.DUMMYFUNCTION("""COMPUTED_VALUE"""),13.97)</f>
        <v>13.97</v>
      </c>
      <c r="O949" s="112">
        <f ca="1">IFERROR(__xludf.DUMMYFUNCTION("""COMPUTED_VALUE"""),41653.7055555555)</f>
        <v>41653.705555555498</v>
      </c>
      <c r="P949" s="111">
        <f ca="1">IFERROR(__xludf.DUMMYFUNCTION("""COMPUTED_VALUE"""),32.02)</f>
        <v>32.020000000000003</v>
      </c>
      <c r="Q949" s="112">
        <f ca="1">IFERROR(__xludf.DUMMYFUNCTION("""COMPUTED_VALUE"""),41649.7055555555)</f>
        <v>41649.705555555498</v>
      </c>
      <c r="R949" s="111">
        <f ca="1">IFERROR(__xludf.DUMMYFUNCTION("""COMPUTED_VALUE"""),22.95)</f>
        <v>22.95</v>
      </c>
      <c r="S949" s="112">
        <f ca="1">IFERROR(__xludf.DUMMYFUNCTION("""COMPUTED_VALUE"""),41662.7055555555)</f>
        <v>41662.705555555498</v>
      </c>
      <c r="T949" s="111">
        <f ca="1">IFERROR(__xludf.DUMMYFUNCTION("""COMPUTED_VALUE"""),8.79)</f>
        <v>8.7899999999999991</v>
      </c>
    </row>
    <row r="950" spans="1:20" x14ac:dyDescent="0.3">
      <c r="A950" s="112">
        <f ca="1">IFERROR(__xludf.DUMMYFUNCTION("""COMPUTED_VALUE"""),41660.7055555555)</f>
        <v>41660.705555555498</v>
      </c>
      <c r="B950" s="111">
        <f ca="1">IFERROR(__xludf.DUMMYFUNCTION("""COMPUTED_VALUE"""),5.32)</f>
        <v>5.32</v>
      </c>
      <c r="C950" s="112">
        <f ca="1">IFERROR(__xludf.DUMMYFUNCTION("""COMPUTED_VALUE"""),41667.7055555555)</f>
        <v>41667.705555555498</v>
      </c>
      <c r="D950" s="111">
        <f ca="1">IFERROR(__xludf.DUMMYFUNCTION("""COMPUTED_VALUE"""),15.06)</f>
        <v>15.06</v>
      </c>
      <c r="E950" s="112">
        <f ca="1">IFERROR(__xludf.DUMMYFUNCTION("""COMPUTED_VALUE"""),41668.7055555555)</f>
        <v>41668.705555555498</v>
      </c>
      <c r="F950" s="111">
        <f ca="1">IFERROR(__xludf.DUMMYFUNCTION("""COMPUTED_VALUE"""),5.39)</f>
        <v>5.39</v>
      </c>
      <c r="G950" s="112">
        <f ca="1">IFERROR(__xludf.DUMMYFUNCTION("""COMPUTED_VALUE"""),41661.7055555555)</f>
        <v>41661.705555555498</v>
      </c>
      <c r="H950" s="111">
        <f ca="1">IFERROR(__xludf.DUMMYFUNCTION("""COMPUTED_VALUE"""),15.84)</f>
        <v>15.84</v>
      </c>
      <c r="K950" s="112">
        <f ca="1">IFERROR(__xludf.DUMMYFUNCTION("""COMPUTED_VALUE"""),42111.7055555555)</f>
        <v>42111.705555555498</v>
      </c>
      <c r="L950" s="111">
        <f ca="1">IFERROR(__xludf.DUMMYFUNCTION("""COMPUTED_VALUE"""),0.16)</f>
        <v>0.16</v>
      </c>
      <c r="M950" s="112">
        <f ca="1">IFERROR(__xludf.DUMMYFUNCTION("""COMPUTED_VALUE"""),41571.7055555555)</f>
        <v>41571.705555555498</v>
      </c>
      <c r="N950" s="111">
        <f ca="1">IFERROR(__xludf.DUMMYFUNCTION("""COMPUTED_VALUE"""),13.95)</f>
        <v>13.95</v>
      </c>
      <c r="O950" s="112">
        <f ca="1">IFERROR(__xludf.DUMMYFUNCTION("""COMPUTED_VALUE"""),41654.7055555555)</f>
        <v>41654.705555555498</v>
      </c>
      <c r="P950" s="111">
        <f ca="1">IFERROR(__xludf.DUMMYFUNCTION("""COMPUTED_VALUE"""),32.45)</f>
        <v>32.450000000000003</v>
      </c>
      <c r="Q950" s="112">
        <f ca="1">IFERROR(__xludf.DUMMYFUNCTION("""COMPUTED_VALUE"""),41652.7055555555)</f>
        <v>41652.705555555498</v>
      </c>
      <c r="R950" s="111">
        <f ca="1">IFERROR(__xludf.DUMMYFUNCTION("""COMPUTED_VALUE"""),22.7)</f>
        <v>22.7</v>
      </c>
      <c r="S950" s="112">
        <f ca="1">IFERROR(__xludf.DUMMYFUNCTION("""COMPUTED_VALUE"""),41663.7055555555)</f>
        <v>41663.705555555498</v>
      </c>
      <c r="T950" s="111">
        <f ca="1">IFERROR(__xludf.DUMMYFUNCTION("""COMPUTED_VALUE"""),8.6)</f>
        <v>8.6</v>
      </c>
    </row>
    <row r="951" spans="1:20" x14ac:dyDescent="0.3">
      <c r="A951" s="112">
        <f ca="1">IFERROR(__xludf.DUMMYFUNCTION("""COMPUTED_VALUE"""),41661.7055555555)</f>
        <v>41661.705555555498</v>
      </c>
      <c r="B951" s="111">
        <f ca="1">IFERROR(__xludf.DUMMYFUNCTION("""COMPUTED_VALUE"""),5.33)</f>
        <v>5.33</v>
      </c>
      <c r="C951" s="112">
        <f ca="1">IFERROR(__xludf.DUMMYFUNCTION("""COMPUTED_VALUE"""),41668.7055555555)</f>
        <v>41668.705555555498</v>
      </c>
      <c r="D951" s="111">
        <f ca="1">IFERROR(__xludf.DUMMYFUNCTION("""COMPUTED_VALUE"""),14.77)</f>
        <v>14.77</v>
      </c>
      <c r="E951" s="112">
        <f ca="1">IFERROR(__xludf.DUMMYFUNCTION("""COMPUTED_VALUE"""),41669.7055555555)</f>
        <v>41669.705555555498</v>
      </c>
      <c r="F951" s="111">
        <f ca="1">IFERROR(__xludf.DUMMYFUNCTION("""COMPUTED_VALUE"""),5.39)</f>
        <v>5.39</v>
      </c>
      <c r="G951" s="112">
        <f ca="1">IFERROR(__xludf.DUMMYFUNCTION("""COMPUTED_VALUE"""),41662.7055555555)</f>
        <v>41662.705555555498</v>
      </c>
      <c r="H951" s="111">
        <f ca="1">IFERROR(__xludf.DUMMYFUNCTION("""COMPUTED_VALUE"""),15.47)</f>
        <v>15.47</v>
      </c>
      <c r="K951" s="112">
        <f ca="1">IFERROR(__xludf.DUMMYFUNCTION("""COMPUTED_VALUE"""),42114.7055555555)</f>
        <v>42114.705555555498</v>
      </c>
      <c r="L951" s="111">
        <f ca="1">IFERROR(__xludf.DUMMYFUNCTION("""COMPUTED_VALUE"""),0.16)</f>
        <v>0.16</v>
      </c>
      <c r="M951" s="112">
        <f ca="1">IFERROR(__xludf.DUMMYFUNCTION("""COMPUTED_VALUE"""),41572.7055555555)</f>
        <v>41572.705555555498</v>
      </c>
      <c r="N951" s="111">
        <f ca="1">IFERROR(__xludf.DUMMYFUNCTION("""COMPUTED_VALUE"""),13.86)</f>
        <v>13.86</v>
      </c>
      <c r="O951" s="112">
        <f ca="1">IFERROR(__xludf.DUMMYFUNCTION("""COMPUTED_VALUE"""),41655.7055555555)</f>
        <v>41655.705555555498</v>
      </c>
      <c r="P951" s="111">
        <f ca="1">IFERROR(__xludf.DUMMYFUNCTION("""COMPUTED_VALUE"""),32.83)</f>
        <v>32.83</v>
      </c>
      <c r="Q951" s="112">
        <f ca="1">IFERROR(__xludf.DUMMYFUNCTION("""COMPUTED_VALUE"""),41653.7055555555)</f>
        <v>41653.705555555498</v>
      </c>
      <c r="R951" s="111">
        <f ca="1">IFERROR(__xludf.DUMMYFUNCTION("""COMPUTED_VALUE"""),23.42)</f>
        <v>23.42</v>
      </c>
      <c r="S951" s="112">
        <f ca="1">IFERROR(__xludf.DUMMYFUNCTION("""COMPUTED_VALUE"""),41666.7055555555)</f>
        <v>41666.705555555498</v>
      </c>
      <c r="T951" s="111">
        <f ca="1">IFERROR(__xludf.DUMMYFUNCTION("""COMPUTED_VALUE"""),8.44)</f>
        <v>8.44</v>
      </c>
    </row>
    <row r="952" spans="1:20" x14ac:dyDescent="0.3">
      <c r="A952" s="112">
        <f ca="1">IFERROR(__xludf.DUMMYFUNCTION("""COMPUTED_VALUE"""),41662.7055555555)</f>
        <v>41662.705555555498</v>
      </c>
      <c r="B952" s="111">
        <f ca="1">IFERROR(__xludf.DUMMYFUNCTION("""COMPUTED_VALUE"""),5.2)</f>
        <v>5.2</v>
      </c>
      <c r="C952" s="112">
        <f ca="1">IFERROR(__xludf.DUMMYFUNCTION("""COMPUTED_VALUE"""),41669.7055555555)</f>
        <v>41669.705555555498</v>
      </c>
      <c r="D952" s="111">
        <f ca="1">IFERROR(__xludf.DUMMYFUNCTION("""COMPUTED_VALUE"""),14.79)</f>
        <v>14.79</v>
      </c>
      <c r="E952" s="112">
        <f ca="1">IFERROR(__xludf.DUMMYFUNCTION("""COMPUTED_VALUE"""),41670.7055555555)</f>
        <v>41670.705555555498</v>
      </c>
      <c r="F952" s="111">
        <f ca="1">IFERROR(__xludf.DUMMYFUNCTION("""COMPUTED_VALUE"""),5.48)</f>
        <v>5.48</v>
      </c>
      <c r="G952" s="112">
        <f ca="1">IFERROR(__xludf.DUMMYFUNCTION("""COMPUTED_VALUE"""),41663.7055555555)</f>
        <v>41663.705555555498</v>
      </c>
      <c r="H952" s="111">
        <f ca="1">IFERROR(__xludf.DUMMYFUNCTION("""COMPUTED_VALUE"""),15.1)</f>
        <v>15.1</v>
      </c>
      <c r="K952" s="112">
        <f ca="1">IFERROR(__xludf.DUMMYFUNCTION("""COMPUTED_VALUE"""),42116.7055555555)</f>
        <v>42116.705555555498</v>
      </c>
      <c r="L952" s="111">
        <f ca="1">IFERROR(__xludf.DUMMYFUNCTION("""COMPUTED_VALUE"""),0.16)</f>
        <v>0.16</v>
      </c>
      <c r="M952" s="112">
        <f ca="1">IFERROR(__xludf.DUMMYFUNCTION("""COMPUTED_VALUE"""),41575.7055555555)</f>
        <v>41575.705555555498</v>
      </c>
      <c r="N952" s="111">
        <f ca="1">IFERROR(__xludf.DUMMYFUNCTION("""COMPUTED_VALUE"""),13.85)</f>
        <v>13.85</v>
      </c>
      <c r="O952" s="112">
        <f ca="1">IFERROR(__xludf.DUMMYFUNCTION("""COMPUTED_VALUE"""),41656.7055555555)</f>
        <v>41656.705555555498</v>
      </c>
      <c r="P952" s="111">
        <f ca="1">IFERROR(__xludf.DUMMYFUNCTION("""COMPUTED_VALUE"""),32.49)</f>
        <v>32.49</v>
      </c>
      <c r="Q952" s="112">
        <f ca="1">IFERROR(__xludf.DUMMYFUNCTION("""COMPUTED_VALUE"""),41654.7055555555)</f>
        <v>41654.705555555498</v>
      </c>
      <c r="R952" s="111">
        <f ca="1">IFERROR(__xludf.DUMMYFUNCTION("""COMPUTED_VALUE"""),23.17)</f>
        <v>23.17</v>
      </c>
      <c r="S952" s="112">
        <f ca="1">IFERROR(__xludf.DUMMYFUNCTION("""COMPUTED_VALUE"""),41667.7055555555)</f>
        <v>41667.705555555498</v>
      </c>
      <c r="T952" s="111">
        <f ca="1">IFERROR(__xludf.DUMMYFUNCTION("""COMPUTED_VALUE"""),8.41)</f>
        <v>8.41</v>
      </c>
    </row>
    <row r="953" spans="1:20" x14ac:dyDescent="0.3">
      <c r="A953" s="112">
        <f ca="1">IFERROR(__xludf.DUMMYFUNCTION("""COMPUTED_VALUE"""),41663.7055555555)</f>
        <v>41663.705555555498</v>
      </c>
      <c r="B953" s="111">
        <f ca="1">IFERROR(__xludf.DUMMYFUNCTION("""COMPUTED_VALUE"""),5.1)</f>
        <v>5.0999999999999996</v>
      </c>
      <c r="C953" s="112">
        <f ca="1">IFERROR(__xludf.DUMMYFUNCTION("""COMPUTED_VALUE"""),41670.7055555555)</f>
        <v>41670.705555555498</v>
      </c>
      <c r="D953" s="111">
        <f ca="1">IFERROR(__xludf.DUMMYFUNCTION("""COMPUTED_VALUE"""),15.16)</f>
        <v>15.16</v>
      </c>
      <c r="E953" s="112">
        <f ca="1">IFERROR(__xludf.DUMMYFUNCTION("""COMPUTED_VALUE"""),41673.7055555555)</f>
        <v>41673.705555555498</v>
      </c>
      <c r="F953" s="111">
        <f ca="1">IFERROR(__xludf.DUMMYFUNCTION("""COMPUTED_VALUE"""),5.35)</f>
        <v>5.35</v>
      </c>
      <c r="G953" s="112">
        <f ca="1">IFERROR(__xludf.DUMMYFUNCTION("""COMPUTED_VALUE"""),41666.7055555555)</f>
        <v>41666.705555555498</v>
      </c>
      <c r="H953" s="111">
        <f ca="1">IFERROR(__xludf.DUMMYFUNCTION("""COMPUTED_VALUE"""),15.11)</f>
        <v>15.11</v>
      </c>
      <c r="K953" s="112">
        <f ca="1">IFERROR(__xludf.DUMMYFUNCTION("""COMPUTED_VALUE"""),42117.7055555555)</f>
        <v>42117.705555555498</v>
      </c>
      <c r="L953" s="111">
        <f ca="1">IFERROR(__xludf.DUMMYFUNCTION("""COMPUTED_VALUE"""),0.16)</f>
        <v>0.16</v>
      </c>
      <c r="M953" s="112">
        <f ca="1">IFERROR(__xludf.DUMMYFUNCTION("""COMPUTED_VALUE"""),41576.7055555555)</f>
        <v>41576.705555555498</v>
      </c>
      <c r="N953" s="111">
        <f ca="1">IFERROR(__xludf.DUMMYFUNCTION("""COMPUTED_VALUE"""),14.01)</f>
        <v>14.01</v>
      </c>
      <c r="O953" s="112">
        <f ca="1">IFERROR(__xludf.DUMMYFUNCTION("""COMPUTED_VALUE"""),41659.7055555555)</f>
        <v>41659.705555555498</v>
      </c>
      <c r="P953" s="111">
        <f ca="1">IFERROR(__xludf.DUMMYFUNCTION("""COMPUTED_VALUE"""),31.79)</f>
        <v>31.79</v>
      </c>
      <c r="Q953" s="112">
        <f ca="1">IFERROR(__xludf.DUMMYFUNCTION("""COMPUTED_VALUE"""),41655.7055555555)</f>
        <v>41655.705555555498</v>
      </c>
      <c r="R953" s="111">
        <f ca="1">IFERROR(__xludf.DUMMYFUNCTION("""COMPUTED_VALUE"""),23)</f>
        <v>23</v>
      </c>
      <c r="S953" s="112">
        <f ca="1">IFERROR(__xludf.DUMMYFUNCTION("""COMPUTED_VALUE"""),41668.7055555555)</f>
        <v>41668.705555555498</v>
      </c>
      <c r="T953" s="111">
        <f ca="1">IFERROR(__xludf.DUMMYFUNCTION("""COMPUTED_VALUE"""),8.26)</f>
        <v>8.26</v>
      </c>
    </row>
    <row r="954" spans="1:20" x14ac:dyDescent="0.3">
      <c r="A954" s="112">
        <f ca="1">IFERROR(__xludf.DUMMYFUNCTION("""COMPUTED_VALUE"""),41666.7055555555)</f>
        <v>41666.705555555498</v>
      </c>
      <c r="B954" s="111">
        <f ca="1">IFERROR(__xludf.DUMMYFUNCTION("""COMPUTED_VALUE"""),5.16)</f>
        <v>5.16</v>
      </c>
      <c r="C954" s="112">
        <f ca="1">IFERROR(__xludf.DUMMYFUNCTION("""COMPUTED_VALUE"""),41673.7055555555)</f>
        <v>41673.705555555498</v>
      </c>
      <c r="D954" s="111">
        <f ca="1">IFERROR(__xludf.DUMMYFUNCTION("""COMPUTED_VALUE"""),14.98)</f>
        <v>14.98</v>
      </c>
      <c r="E954" s="112">
        <f ca="1">IFERROR(__xludf.DUMMYFUNCTION("""COMPUTED_VALUE"""),41674.7055555555)</f>
        <v>41674.705555555498</v>
      </c>
      <c r="F954" s="111">
        <f ca="1">IFERROR(__xludf.DUMMYFUNCTION("""COMPUTED_VALUE"""),5.66)</f>
        <v>5.66</v>
      </c>
      <c r="G954" s="112">
        <f ca="1">IFERROR(__xludf.DUMMYFUNCTION("""COMPUTED_VALUE"""),41667.7055555555)</f>
        <v>41667.705555555498</v>
      </c>
      <c r="H954" s="111">
        <f ca="1">IFERROR(__xludf.DUMMYFUNCTION("""COMPUTED_VALUE"""),15.05)</f>
        <v>15.05</v>
      </c>
      <c r="K954" s="112">
        <f ca="1">IFERROR(__xludf.DUMMYFUNCTION("""COMPUTED_VALUE"""),42118.7055555555)</f>
        <v>42118.705555555498</v>
      </c>
      <c r="L954" s="111">
        <f ca="1">IFERROR(__xludf.DUMMYFUNCTION("""COMPUTED_VALUE"""),0.16)</f>
        <v>0.16</v>
      </c>
      <c r="M954" s="112">
        <f ca="1">IFERROR(__xludf.DUMMYFUNCTION("""COMPUTED_VALUE"""),41577.7055555555)</f>
        <v>41577.705555555498</v>
      </c>
      <c r="N954" s="111">
        <f ca="1">IFERROR(__xludf.DUMMYFUNCTION("""COMPUTED_VALUE"""),13.95)</f>
        <v>13.95</v>
      </c>
      <c r="O954" s="112">
        <f ca="1">IFERROR(__xludf.DUMMYFUNCTION("""COMPUTED_VALUE"""),41660.7055555555)</f>
        <v>41660.705555555498</v>
      </c>
      <c r="P954" s="111">
        <f ca="1">IFERROR(__xludf.DUMMYFUNCTION("""COMPUTED_VALUE"""),31.08)</f>
        <v>31.08</v>
      </c>
      <c r="Q954" s="112">
        <f ca="1">IFERROR(__xludf.DUMMYFUNCTION("""COMPUTED_VALUE"""),41656.7055555555)</f>
        <v>41656.705555555498</v>
      </c>
      <c r="R954" s="111">
        <f ca="1">IFERROR(__xludf.DUMMYFUNCTION("""COMPUTED_VALUE"""),22.4)</f>
        <v>22.4</v>
      </c>
      <c r="S954" s="112">
        <f ca="1">IFERROR(__xludf.DUMMYFUNCTION("""COMPUTED_VALUE"""),41669.7055555555)</f>
        <v>41669.705555555498</v>
      </c>
      <c r="T954" s="111">
        <f ca="1">IFERROR(__xludf.DUMMYFUNCTION("""COMPUTED_VALUE"""),8.32)</f>
        <v>8.32</v>
      </c>
    </row>
    <row r="955" spans="1:20" x14ac:dyDescent="0.3">
      <c r="A955" s="112">
        <f ca="1">IFERROR(__xludf.DUMMYFUNCTION("""COMPUTED_VALUE"""),41667.7055555555)</f>
        <v>41667.705555555498</v>
      </c>
      <c r="B955" s="111">
        <f ca="1">IFERROR(__xludf.DUMMYFUNCTION("""COMPUTED_VALUE"""),5.19)</f>
        <v>5.19</v>
      </c>
      <c r="C955" s="112">
        <f ca="1">IFERROR(__xludf.DUMMYFUNCTION("""COMPUTED_VALUE"""),41674.7055555555)</f>
        <v>41674.705555555498</v>
      </c>
      <c r="D955" s="111">
        <f ca="1">IFERROR(__xludf.DUMMYFUNCTION("""COMPUTED_VALUE"""),15.7)</f>
        <v>15.7</v>
      </c>
      <c r="E955" s="112">
        <f ca="1">IFERROR(__xludf.DUMMYFUNCTION("""COMPUTED_VALUE"""),41675.7055555555)</f>
        <v>41675.705555555498</v>
      </c>
      <c r="F955" s="111">
        <f ca="1">IFERROR(__xludf.DUMMYFUNCTION("""COMPUTED_VALUE"""),5.63)</f>
        <v>5.63</v>
      </c>
      <c r="G955" s="112">
        <f ca="1">IFERROR(__xludf.DUMMYFUNCTION("""COMPUTED_VALUE"""),41668.7055555555)</f>
        <v>41668.705555555498</v>
      </c>
      <c r="H955" s="111">
        <f ca="1">IFERROR(__xludf.DUMMYFUNCTION("""COMPUTED_VALUE"""),14.8)</f>
        <v>14.8</v>
      </c>
      <c r="K955" s="112">
        <f ca="1">IFERROR(__xludf.DUMMYFUNCTION("""COMPUTED_VALUE"""),42121.7055555555)</f>
        <v>42121.705555555498</v>
      </c>
      <c r="L955" s="111">
        <f ca="1">IFERROR(__xludf.DUMMYFUNCTION("""COMPUTED_VALUE"""),0.16)</f>
        <v>0.16</v>
      </c>
      <c r="M955" s="112">
        <f ca="1">IFERROR(__xludf.DUMMYFUNCTION("""COMPUTED_VALUE"""),41578.7055555555)</f>
        <v>41578.705555555498</v>
      </c>
      <c r="N955" s="111">
        <f ca="1">IFERROR(__xludf.DUMMYFUNCTION("""COMPUTED_VALUE"""),13.92)</f>
        <v>13.92</v>
      </c>
      <c r="O955" s="112">
        <f ca="1">IFERROR(__xludf.DUMMYFUNCTION("""COMPUTED_VALUE"""),41661.7055555555)</f>
        <v>41661.705555555498</v>
      </c>
      <c r="P955" s="111">
        <f ca="1">IFERROR(__xludf.DUMMYFUNCTION("""COMPUTED_VALUE"""),31.81)</f>
        <v>31.81</v>
      </c>
      <c r="Q955" s="112">
        <f ca="1">IFERROR(__xludf.DUMMYFUNCTION("""COMPUTED_VALUE"""),41659.7055555555)</f>
        <v>41659.705555555498</v>
      </c>
      <c r="R955" s="111">
        <f ca="1">IFERROR(__xludf.DUMMYFUNCTION("""COMPUTED_VALUE"""),22.3)</f>
        <v>22.3</v>
      </c>
      <c r="S955" s="112">
        <f ca="1">IFERROR(__xludf.DUMMYFUNCTION("""COMPUTED_VALUE"""),41670.7055555555)</f>
        <v>41670.705555555498</v>
      </c>
      <c r="T955" s="111">
        <f ca="1">IFERROR(__xludf.DUMMYFUNCTION("""COMPUTED_VALUE"""),8.33)</f>
        <v>8.33</v>
      </c>
    </row>
    <row r="956" spans="1:20" x14ac:dyDescent="0.3">
      <c r="A956" s="112">
        <f ca="1">IFERROR(__xludf.DUMMYFUNCTION("""COMPUTED_VALUE"""),41668.7055555555)</f>
        <v>41668.705555555498</v>
      </c>
      <c r="B956" s="111">
        <f ca="1">IFERROR(__xludf.DUMMYFUNCTION("""COMPUTED_VALUE"""),5.11)</f>
        <v>5.1100000000000003</v>
      </c>
      <c r="C956" s="112">
        <f ca="1">IFERROR(__xludf.DUMMYFUNCTION("""COMPUTED_VALUE"""),41675.7055555555)</f>
        <v>41675.705555555498</v>
      </c>
      <c r="D956" s="111">
        <f ca="1">IFERROR(__xludf.DUMMYFUNCTION("""COMPUTED_VALUE"""),15.63)</f>
        <v>15.63</v>
      </c>
      <c r="E956" s="112">
        <f ca="1">IFERROR(__xludf.DUMMYFUNCTION("""COMPUTED_VALUE"""),41676.7055555555)</f>
        <v>41676.705555555498</v>
      </c>
      <c r="F956" s="111">
        <f ca="1">IFERROR(__xludf.DUMMYFUNCTION("""COMPUTED_VALUE"""),5.71)</f>
        <v>5.71</v>
      </c>
      <c r="G956" s="112">
        <f ca="1">IFERROR(__xludf.DUMMYFUNCTION("""COMPUTED_VALUE"""),41669.7055555555)</f>
        <v>41669.705555555498</v>
      </c>
      <c r="H956" s="111">
        <f ca="1">IFERROR(__xludf.DUMMYFUNCTION("""COMPUTED_VALUE"""),14.7)</f>
        <v>14.7</v>
      </c>
      <c r="K956" s="112">
        <f ca="1">IFERROR(__xludf.DUMMYFUNCTION("""COMPUTED_VALUE"""),42122.7055555555)</f>
        <v>42122.705555555498</v>
      </c>
      <c r="L956" s="111">
        <f ca="1">IFERROR(__xludf.DUMMYFUNCTION("""COMPUTED_VALUE"""),0.16)</f>
        <v>0.16</v>
      </c>
      <c r="M956" s="112">
        <f ca="1">IFERROR(__xludf.DUMMYFUNCTION("""COMPUTED_VALUE"""),41579.7055555555)</f>
        <v>41579.705555555498</v>
      </c>
      <c r="N956" s="111">
        <f ca="1">IFERROR(__xludf.DUMMYFUNCTION("""COMPUTED_VALUE"""),13.92)</f>
        <v>13.92</v>
      </c>
      <c r="O956" s="112">
        <f ca="1">IFERROR(__xludf.DUMMYFUNCTION("""COMPUTED_VALUE"""),41662.7055555555)</f>
        <v>41662.705555555498</v>
      </c>
      <c r="P956" s="111">
        <f ca="1">IFERROR(__xludf.DUMMYFUNCTION("""COMPUTED_VALUE"""),30.93)</f>
        <v>30.93</v>
      </c>
      <c r="Q956" s="112">
        <f ca="1">IFERROR(__xludf.DUMMYFUNCTION("""COMPUTED_VALUE"""),41660.7055555555)</f>
        <v>41660.705555555498</v>
      </c>
      <c r="R956" s="111">
        <f ca="1">IFERROR(__xludf.DUMMYFUNCTION("""COMPUTED_VALUE"""),22.4)</f>
        <v>22.4</v>
      </c>
      <c r="S956" s="112">
        <f ca="1">IFERROR(__xludf.DUMMYFUNCTION("""COMPUTED_VALUE"""),41673.7055555555)</f>
        <v>41673.705555555498</v>
      </c>
      <c r="T956" s="111">
        <f ca="1">IFERROR(__xludf.DUMMYFUNCTION("""COMPUTED_VALUE"""),8.11)</f>
        <v>8.11</v>
      </c>
    </row>
    <row r="957" spans="1:20" x14ac:dyDescent="0.3">
      <c r="A957" s="112">
        <f ca="1">IFERROR(__xludf.DUMMYFUNCTION("""COMPUTED_VALUE"""),41669.7055555555)</f>
        <v>41669.705555555498</v>
      </c>
      <c r="B957" s="111">
        <f ca="1">IFERROR(__xludf.DUMMYFUNCTION("""COMPUTED_VALUE"""),5.07)</f>
        <v>5.07</v>
      </c>
      <c r="C957" s="112">
        <f ca="1">IFERROR(__xludf.DUMMYFUNCTION("""COMPUTED_VALUE"""),41676.7055555555)</f>
        <v>41676.705555555498</v>
      </c>
      <c r="D957" s="111">
        <f ca="1">IFERROR(__xludf.DUMMYFUNCTION("""COMPUTED_VALUE"""),15.95)</f>
        <v>15.95</v>
      </c>
      <c r="E957" s="112">
        <f ca="1">IFERROR(__xludf.DUMMYFUNCTION("""COMPUTED_VALUE"""),41677.7055555555)</f>
        <v>41677.705555555498</v>
      </c>
      <c r="F957" s="111">
        <f ca="1">IFERROR(__xludf.DUMMYFUNCTION("""COMPUTED_VALUE"""),5.72)</f>
        <v>5.72</v>
      </c>
      <c r="G957" s="112">
        <f ca="1">IFERROR(__xludf.DUMMYFUNCTION("""COMPUTED_VALUE"""),41670.7055555555)</f>
        <v>41670.705555555498</v>
      </c>
      <c r="H957" s="111">
        <f ca="1">IFERROR(__xludf.DUMMYFUNCTION("""COMPUTED_VALUE"""),14.7)</f>
        <v>14.7</v>
      </c>
      <c r="K957" s="112">
        <f ca="1">IFERROR(__xludf.DUMMYFUNCTION("""COMPUTED_VALUE"""),42123.7055555555)</f>
        <v>42123.705555555498</v>
      </c>
      <c r="L957" s="111">
        <f ca="1">IFERROR(__xludf.DUMMYFUNCTION("""COMPUTED_VALUE"""),0.16)</f>
        <v>0.16</v>
      </c>
      <c r="M957" s="112">
        <f ca="1">IFERROR(__xludf.DUMMYFUNCTION("""COMPUTED_VALUE"""),41582.7055555555)</f>
        <v>41582.705555555498</v>
      </c>
      <c r="N957" s="111">
        <f ca="1">IFERROR(__xludf.DUMMYFUNCTION("""COMPUTED_VALUE"""),14.23)</f>
        <v>14.23</v>
      </c>
      <c r="O957" s="112">
        <f ca="1">IFERROR(__xludf.DUMMYFUNCTION("""COMPUTED_VALUE"""),41663.7055555555)</f>
        <v>41663.705555555498</v>
      </c>
      <c r="P957" s="111">
        <f ca="1">IFERROR(__xludf.DUMMYFUNCTION("""COMPUTED_VALUE"""),31.25)</f>
        <v>31.25</v>
      </c>
      <c r="Q957" s="112">
        <f ca="1">IFERROR(__xludf.DUMMYFUNCTION("""COMPUTED_VALUE"""),41661.7055555555)</f>
        <v>41661.705555555498</v>
      </c>
      <c r="R957" s="111">
        <f ca="1">IFERROR(__xludf.DUMMYFUNCTION("""COMPUTED_VALUE"""),22.46)</f>
        <v>22.46</v>
      </c>
      <c r="S957" s="112">
        <f ca="1">IFERROR(__xludf.DUMMYFUNCTION("""COMPUTED_VALUE"""),41674.7055555555)</f>
        <v>41674.705555555498</v>
      </c>
      <c r="T957" s="111">
        <f ca="1">IFERROR(__xludf.DUMMYFUNCTION("""COMPUTED_VALUE"""),8.16)</f>
        <v>8.16</v>
      </c>
    </row>
    <row r="958" spans="1:20" x14ac:dyDescent="0.3">
      <c r="A958" s="112">
        <f ca="1">IFERROR(__xludf.DUMMYFUNCTION("""COMPUTED_VALUE"""),41670.7055555555)</f>
        <v>41670.705555555498</v>
      </c>
      <c r="B958" s="111">
        <f ca="1">IFERROR(__xludf.DUMMYFUNCTION("""COMPUTED_VALUE"""),5.16)</f>
        <v>5.16</v>
      </c>
      <c r="C958" s="112">
        <f ca="1">IFERROR(__xludf.DUMMYFUNCTION("""COMPUTED_VALUE"""),41677.7055555555)</f>
        <v>41677.705555555498</v>
      </c>
      <c r="D958" s="111">
        <f ca="1">IFERROR(__xludf.DUMMYFUNCTION("""COMPUTED_VALUE"""),15.94)</f>
        <v>15.94</v>
      </c>
      <c r="E958" s="112">
        <f ca="1">IFERROR(__xludf.DUMMYFUNCTION("""COMPUTED_VALUE"""),41680.7055555555)</f>
        <v>41680.705555555498</v>
      </c>
      <c r="F958" s="111">
        <f ca="1">IFERROR(__xludf.DUMMYFUNCTION("""COMPUTED_VALUE"""),5.7)</f>
        <v>5.7</v>
      </c>
      <c r="G958" s="112">
        <f ca="1">IFERROR(__xludf.DUMMYFUNCTION("""COMPUTED_VALUE"""),41673.7055555555)</f>
        <v>41673.705555555498</v>
      </c>
      <c r="H958" s="111">
        <f ca="1">IFERROR(__xludf.DUMMYFUNCTION("""COMPUTED_VALUE"""),13.85)</f>
        <v>13.85</v>
      </c>
      <c r="K958" s="112">
        <f ca="1">IFERROR(__xludf.DUMMYFUNCTION("""COMPUTED_VALUE"""),42124.7055555555)</f>
        <v>42124.705555555498</v>
      </c>
      <c r="L958" s="111">
        <f ca="1">IFERROR(__xludf.DUMMYFUNCTION("""COMPUTED_VALUE"""),0.16)</f>
        <v>0.16</v>
      </c>
      <c r="M958" s="112">
        <f ca="1">IFERROR(__xludf.DUMMYFUNCTION("""COMPUTED_VALUE"""),41583.7055555555)</f>
        <v>41583.705555555498</v>
      </c>
      <c r="N958" s="111">
        <f ca="1">IFERROR(__xludf.DUMMYFUNCTION("""COMPUTED_VALUE"""),14.04)</f>
        <v>14.04</v>
      </c>
      <c r="O958" s="112">
        <f ca="1">IFERROR(__xludf.DUMMYFUNCTION("""COMPUTED_VALUE"""),41666.7055555555)</f>
        <v>41666.705555555498</v>
      </c>
      <c r="P958" s="111">
        <f ca="1">IFERROR(__xludf.DUMMYFUNCTION("""COMPUTED_VALUE"""),31.12)</f>
        <v>31.12</v>
      </c>
      <c r="Q958" s="112">
        <f ca="1">IFERROR(__xludf.DUMMYFUNCTION("""COMPUTED_VALUE"""),41662.7055555555)</f>
        <v>41662.705555555498</v>
      </c>
      <c r="R958" s="111">
        <f ca="1">IFERROR(__xludf.DUMMYFUNCTION("""COMPUTED_VALUE"""),21.51)</f>
        <v>21.51</v>
      </c>
      <c r="S958" s="112">
        <f ca="1">IFERROR(__xludf.DUMMYFUNCTION("""COMPUTED_VALUE"""),41675.7055555555)</f>
        <v>41675.705555555498</v>
      </c>
      <c r="T958" s="111">
        <f ca="1">IFERROR(__xludf.DUMMYFUNCTION("""COMPUTED_VALUE"""),8.07)</f>
        <v>8.07</v>
      </c>
    </row>
    <row r="959" spans="1:20" x14ac:dyDescent="0.3">
      <c r="A959" s="112">
        <f ca="1">IFERROR(__xludf.DUMMYFUNCTION("""COMPUTED_VALUE"""),41673.7055555555)</f>
        <v>41673.705555555498</v>
      </c>
      <c r="B959" s="111">
        <f ca="1">IFERROR(__xludf.DUMMYFUNCTION("""COMPUTED_VALUE"""),4.97)</f>
        <v>4.97</v>
      </c>
      <c r="C959" s="112">
        <f ca="1">IFERROR(__xludf.DUMMYFUNCTION("""COMPUTED_VALUE"""),41680.7055555555)</f>
        <v>41680.705555555498</v>
      </c>
      <c r="D959" s="111">
        <f ca="1">IFERROR(__xludf.DUMMYFUNCTION("""COMPUTED_VALUE"""),15.92)</f>
        <v>15.92</v>
      </c>
      <c r="E959" s="112">
        <f ca="1">IFERROR(__xludf.DUMMYFUNCTION("""COMPUTED_VALUE"""),41681.7055555555)</f>
        <v>41681.705555555498</v>
      </c>
      <c r="F959" s="111">
        <f ca="1">IFERROR(__xludf.DUMMYFUNCTION("""COMPUTED_VALUE"""),5.71)</f>
        <v>5.71</v>
      </c>
      <c r="G959" s="112">
        <f ca="1">IFERROR(__xludf.DUMMYFUNCTION("""COMPUTED_VALUE"""),41674.7055555555)</f>
        <v>41674.705555555498</v>
      </c>
      <c r="H959" s="111">
        <f ca="1">IFERROR(__xludf.DUMMYFUNCTION("""COMPUTED_VALUE"""),14.09)</f>
        <v>14.09</v>
      </c>
      <c r="K959" s="112">
        <f ca="1">IFERROR(__xludf.DUMMYFUNCTION("""COMPUTED_VALUE"""),42128.7055555555)</f>
        <v>42128.705555555498</v>
      </c>
      <c r="L959" s="111">
        <f ca="1">IFERROR(__xludf.DUMMYFUNCTION("""COMPUTED_VALUE"""),0.16)</f>
        <v>0.16</v>
      </c>
      <c r="M959" s="112">
        <f ca="1">IFERROR(__xludf.DUMMYFUNCTION("""COMPUTED_VALUE"""),41584.7055555555)</f>
        <v>41584.705555555498</v>
      </c>
      <c r="N959" s="111">
        <f ca="1">IFERROR(__xludf.DUMMYFUNCTION("""COMPUTED_VALUE"""),13.88)</f>
        <v>13.88</v>
      </c>
      <c r="O959" s="112">
        <f ca="1">IFERROR(__xludf.DUMMYFUNCTION("""COMPUTED_VALUE"""),41667.7055555555)</f>
        <v>41667.705555555498</v>
      </c>
      <c r="P959" s="111">
        <f ca="1">IFERROR(__xludf.DUMMYFUNCTION("""COMPUTED_VALUE"""),31.75)</f>
        <v>31.75</v>
      </c>
      <c r="Q959" s="112">
        <f ca="1">IFERROR(__xludf.DUMMYFUNCTION("""COMPUTED_VALUE"""),41663.7055555555)</f>
        <v>41663.705555555498</v>
      </c>
      <c r="R959" s="111">
        <f ca="1">IFERROR(__xludf.DUMMYFUNCTION("""COMPUTED_VALUE"""),21.17)</f>
        <v>21.17</v>
      </c>
      <c r="S959" s="112">
        <f ca="1">IFERROR(__xludf.DUMMYFUNCTION("""COMPUTED_VALUE"""),41676.7055555555)</f>
        <v>41676.705555555498</v>
      </c>
      <c r="T959" s="111">
        <f ca="1">IFERROR(__xludf.DUMMYFUNCTION("""COMPUTED_VALUE"""),8.17)</f>
        <v>8.17</v>
      </c>
    </row>
    <row r="960" spans="1:20" x14ac:dyDescent="0.3">
      <c r="A960" s="112">
        <f ca="1">IFERROR(__xludf.DUMMYFUNCTION("""COMPUTED_VALUE"""),41674.7055555555)</f>
        <v>41674.705555555498</v>
      </c>
      <c r="B960" s="111">
        <f ca="1">IFERROR(__xludf.DUMMYFUNCTION("""COMPUTED_VALUE"""),4.96)</f>
        <v>4.96</v>
      </c>
      <c r="C960" s="112">
        <f ca="1">IFERROR(__xludf.DUMMYFUNCTION("""COMPUTED_VALUE"""),41681.7055555555)</f>
        <v>41681.705555555498</v>
      </c>
      <c r="D960" s="111">
        <f ca="1">IFERROR(__xludf.DUMMYFUNCTION("""COMPUTED_VALUE"""),15.95)</f>
        <v>15.95</v>
      </c>
      <c r="E960" s="112">
        <f ca="1">IFERROR(__xludf.DUMMYFUNCTION("""COMPUTED_VALUE"""),41682.7055555555)</f>
        <v>41682.705555555498</v>
      </c>
      <c r="F960" s="111">
        <f ca="1">IFERROR(__xludf.DUMMYFUNCTION("""COMPUTED_VALUE"""),5.65)</f>
        <v>5.65</v>
      </c>
      <c r="G960" s="112">
        <f ca="1">IFERROR(__xludf.DUMMYFUNCTION("""COMPUTED_VALUE"""),41675.7055555555)</f>
        <v>41675.705555555498</v>
      </c>
      <c r="H960" s="111">
        <f ca="1">IFERROR(__xludf.DUMMYFUNCTION("""COMPUTED_VALUE"""),13.83)</f>
        <v>13.83</v>
      </c>
      <c r="K960" s="112">
        <f ca="1">IFERROR(__xludf.DUMMYFUNCTION("""COMPUTED_VALUE"""),42129.7055555555)</f>
        <v>42129.705555555498</v>
      </c>
      <c r="L960" s="111">
        <f ca="1">IFERROR(__xludf.DUMMYFUNCTION("""COMPUTED_VALUE"""),0.17)</f>
        <v>0.17</v>
      </c>
      <c r="M960" s="112">
        <f ca="1">IFERROR(__xludf.DUMMYFUNCTION("""COMPUTED_VALUE"""),41585.7055555555)</f>
        <v>41585.705555555498</v>
      </c>
      <c r="N960" s="111">
        <f ca="1">IFERROR(__xludf.DUMMYFUNCTION("""COMPUTED_VALUE"""),13.76)</f>
        <v>13.76</v>
      </c>
      <c r="O960" s="112">
        <f ca="1">IFERROR(__xludf.DUMMYFUNCTION("""COMPUTED_VALUE"""),41668.7055555555)</f>
        <v>41668.705555555498</v>
      </c>
      <c r="P960" s="111">
        <f ca="1">IFERROR(__xludf.DUMMYFUNCTION("""COMPUTED_VALUE"""),33.1)</f>
        <v>33.1</v>
      </c>
      <c r="Q960" s="112">
        <f ca="1">IFERROR(__xludf.DUMMYFUNCTION("""COMPUTED_VALUE"""),41666.7055555555)</f>
        <v>41666.705555555498</v>
      </c>
      <c r="R960" s="111">
        <f ca="1">IFERROR(__xludf.DUMMYFUNCTION("""COMPUTED_VALUE"""),21.43)</f>
        <v>21.43</v>
      </c>
      <c r="S960" s="112">
        <f ca="1">IFERROR(__xludf.DUMMYFUNCTION("""COMPUTED_VALUE"""),41677.7055555555)</f>
        <v>41677.705555555498</v>
      </c>
      <c r="T960" s="111">
        <f ca="1">IFERROR(__xludf.DUMMYFUNCTION("""COMPUTED_VALUE"""),8.31)</f>
        <v>8.31</v>
      </c>
    </row>
    <row r="961" spans="1:20" x14ac:dyDescent="0.3">
      <c r="A961" s="112">
        <f ca="1">IFERROR(__xludf.DUMMYFUNCTION("""COMPUTED_VALUE"""),41675.7055555555)</f>
        <v>41675.705555555498</v>
      </c>
      <c r="B961" s="111">
        <f ca="1">IFERROR(__xludf.DUMMYFUNCTION("""COMPUTED_VALUE"""),4.93)</f>
        <v>4.93</v>
      </c>
      <c r="C961" s="112">
        <f ca="1">IFERROR(__xludf.DUMMYFUNCTION("""COMPUTED_VALUE"""),41682.7055555555)</f>
        <v>41682.705555555498</v>
      </c>
      <c r="D961" s="111">
        <f ca="1">IFERROR(__xludf.DUMMYFUNCTION("""COMPUTED_VALUE"""),15.78)</f>
        <v>15.78</v>
      </c>
      <c r="E961" s="112">
        <f ca="1">IFERROR(__xludf.DUMMYFUNCTION("""COMPUTED_VALUE"""),41683.7055555555)</f>
        <v>41683.705555555498</v>
      </c>
      <c r="F961" s="111">
        <f ca="1">IFERROR(__xludf.DUMMYFUNCTION("""COMPUTED_VALUE"""),5.57)</f>
        <v>5.57</v>
      </c>
      <c r="G961" s="112">
        <f ca="1">IFERROR(__xludf.DUMMYFUNCTION("""COMPUTED_VALUE"""),41676.7055555555)</f>
        <v>41676.705555555498</v>
      </c>
      <c r="H961" s="111">
        <f ca="1">IFERROR(__xludf.DUMMYFUNCTION("""COMPUTED_VALUE"""),14.21)</f>
        <v>14.21</v>
      </c>
      <c r="K961" s="112">
        <f ca="1">IFERROR(__xludf.DUMMYFUNCTION("""COMPUTED_VALUE"""),42130.7055555555)</f>
        <v>42130.705555555498</v>
      </c>
      <c r="L961" s="111">
        <f ca="1">IFERROR(__xludf.DUMMYFUNCTION("""COMPUTED_VALUE"""),0.17)</f>
        <v>0.17</v>
      </c>
      <c r="M961" s="112">
        <f ca="1">IFERROR(__xludf.DUMMYFUNCTION("""COMPUTED_VALUE"""),41586.7055555555)</f>
        <v>41586.705555555498</v>
      </c>
      <c r="N961" s="111">
        <f ca="1">IFERROR(__xludf.DUMMYFUNCTION("""COMPUTED_VALUE"""),13.27)</f>
        <v>13.27</v>
      </c>
      <c r="O961" s="112">
        <f ca="1">IFERROR(__xludf.DUMMYFUNCTION("""COMPUTED_VALUE"""),41669.7055555555)</f>
        <v>41669.705555555498</v>
      </c>
      <c r="P961" s="111">
        <f ca="1">IFERROR(__xludf.DUMMYFUNCTION("""COMPUTED_VALUE"""),32.5)</f>
        <v>32.5</v>
      </c>
      <c r="Q961" s="112">
        <f ca="1">IFERROR(__xludf.DUMMYFUNCTION("""COMPUTED_VALUE"""),41667.7055555555)</f>
        <v>41667.705555555498</v>
      </c>
      <c r="R961" s="111">
        <f ca="1">IFERROR(__xludf.DUMMYFUNCTION("""COMPUTED_VALUE"""),21.19)</f>
        <v>21.19</v>
      </c>
      <c r="S961" s="112">
        <f ca="1">IFERROR(__xludf.DUMMYFUNCTION("""COMPUTED_VALUE"""),41680.7055555555)</f>
        <v>41680.705555555498</v>
      </c>
      <c r="T961" s="111">
        <f ca="1">IFERROR(__xludf.DUMMYFUNCTION("""COMPUTED_VALUE"""),8.23)</f>
        <v>8.23</v>
      </c>
    </row>
    <row r="962" spans="1:20" x14ac:dyDescent="0.3">
      <c r="A962" s="112">
        <f ca="1">IFERROR(__xludf.DUMMYFUNCTION("""COMPUTED_VALUE"""),41676.7055555555)</f>
        <v>41676.705555555498</v>
      </c>
      <c r="B962" s="111">
        <f ca="1">IFERROR(__xludf.DUMMYFUNCTION("""COMPUTED_VALUE"""),4.99)</f>
        <v>4.99</v>
      </c>
      <c r="C962" s="112">
        <f ca="1">IFERROR(__xludf.DUMMYFUNCTION("""COMPUTED_VALUE"""),41683.7055555555)</f>
        <v>41683.705555555498</v>
      </c>
      <c r="D962" s="111">
        <f ca="1">IFERROR(__xludf.DUMMYFUNCTION("""COMPUTED_VALUE"""),15.71)</f>
        <v>15.71</v>
      </c>
      <c r="E962" s="112">
        <f ca="1">IFERROR(__xludf.DUMMYFUNCTION("""COMPUTED_VALUE"""),41684.7055555555)</f>
        <v>41684.705555555498</v>
      </c>
      <c r="F962" s="111">
        <f ca="1">IFERROR(__xludf.DUMMYFUNCTION("""COMPUTED_VALUE"""),5.62)</f>
        <v>5.62</v>
      </c>
      <c r="G962" s="112">
        <f ca="1">IFERROR(__xludf.DUMMYFUNCTION("""COMPUTED_VALUE"""),41677.7055555555)</f>
        <v>41677.705555555498</v>
      </c>
      <c r="H962" s="111">
        <f ca="1">IFERROR(__xludf.DUMMYFUNCTION("""COMPUTED_VALUE"""),14.45)</f>
        <v>14.45</v>
      </c>
      <c r="K962" s="112">
        <f ca="1">IFERROR(__xludf.DUMMYFUNCTION("""COMPUTED_VALUE"""),42131.7055555555)</f>
        <v>42131.705555555498</v>
      </c>
      <c r="L962" s="111">
        <f ca="1">IFERROR(__xludf.DUMMYFUNCTION("""COMPUTED_VALUE"""),0.17)</f>
        <v>0.17</v>
      </c>
      <c r="M962" s="112">
        <f ca="1">IFERROR(__xludf.DUMMYFUNCTION("""COMPUTED_VALUE"""),41589.7055555555)</f>
        <v>41589.705555555498</v>
      </c>
      <c r="N962" s="111">
        <f ca="1">IFERROR(__xludf.DUMMYFUNCTION("""COMPUTED_VALUE"""),13.26)</f>
        <v>13.26</v>
      </c>
      <c r="O962" s="112">
        <f ca="1">IFERROR(__xludf.DUMMYFUNCTION("""COMPUTED_VALUE"""),41670.7055555555)</f>
        <v>41670.705555555498</v>
      </c>
      <c r="P962" s="111">
        <f ca="1">IFERROR(__xludf.DUMMYFUNCTION("""COMPUTED_VALUE"""),33.05)</f>
        <v>33.049999999999997</v>
      </c>
      <c r="Q962" s="112">
        <f ca="1">IFERROR(__xludf.DUMMYFUNCTION("""COMPUTED_VALUE"""),41668.7055555555)</f>
        <v>41668.705555555498</v>
      </c>
      <c r="R962" s="111">
        <f ca="1">IFERROR(__xludf.DUMMYFUNCTION("""COMPUTED_VALUE"""),20.25)</f>
        <v>20.25</v>
      </c>
      <c r="S962" s="112">
        <f ca="1">IFERROR(__xludf.DUMMYFUNCTION("""COMPUTED_VALUE"""),41681.7055555555)</f>
        <v>41681.705555555498</v>
      </c>
      <c r="T962" s="111">
        <f ca="1">IFERROR(__xludf.DUMMYFUNCTION("""COMPUTED_VALUE"""),8.12)</f>
        <v>8.1199999999999992</v>
      </c>
    </row>
    <row r="963" spans="1:20" x14ac:dyDescent="0.3">
      <c r="A963" s="112">
        <f ca="1">IFERROR(__xludf.DUMMYFUNCTION("""COMPUTED_VALUE"""),41677.7055555555)</f>
        <v>41677.705555555498</v>
      </c>
      <c r="B963" s="111">
        <f ca="1">IFERROR(__xludf.DUMMYFUNCTION("""COMPUTED_VALUE"""),5.08)</f>
        <v>5.08</v>
      </c>
      <c r="C963" s="112">
        <f ca="1">IFERROR(__xludf.DUMMYFUNCTION("""COMPUTED_VALUE"""),41684.7055555555)</f>
        <v>41684.705555555498</v>
      </c>
      <c r="D963" s="111">
        <f ca="1">IFERROR(__xludf.DUMMYFUNCTION("""COMPUTED_VALUE"""),15.83)</f>
        <v>15.83</v>
      </c>
      <c r="E963" s="112">
        <f ca="1">IFERROR(__xludf.DUMMYFUNCTION("""COMPUTED_VALUE"""),41687.7055555555)</f>
        <v>41687.705555555498</v>
      </c>
      <c r="F963" s="111">
        <f ca="1">IFERROR(__xludf.DUMMYFUNCTION("""COMPUTED_VALUE"""),5.59)</f>
        <v>5.59</v>
      </c>
      <c r="G963" s="112">
        <f ca="1">IFERROR(__xludf.DUMMYFUNCTION("""COMPUTED_VALUE"""),41680.7055555555)</f>
        <v>41680.705555555498</v>
      </c>
      <c r="H963" s="111">
        <f ca="1">IFERROR(__xludf.DUMMYFUNCTION("""COMPUTED_VALUE"""),14.61)</f>
        <v>14.61</v>
      </c>
      <c r="K963" s="112">
        <f ca="1">IFERROR(__xludf.DUMMYFUNCTION("""COMPUTED_VALUE"""),42132.7055555555)</f>
        <v>42132.705555555498</v>
      </c>
      <c r="L963" s="111">
        <f ca="1">IFERROR(__xludf.DUMMYFUNCTION("""COMPUTED_VALUE"""),0.16)</f>
        <v>0.16</v>
      </c>
      <c r="M963" s="112">
        <f ca="1">IFERROR(__xludf.DUMMYFUNCTION("""COMPUTED_VALUE"""),41590.7055555555)</f>
        <v>41590.705555555498</v>
      </c>
      <c r="N963" s="111">
        <f ca="1">IFERROR(__xludf.DUMMYFUNCTION("""COMPUTED_VALUE"""),13.15)</f>
        <v>13.15</v>
      </c>
      <c r="O963" s="112">
        <f ca="1">IFERROR(__xludf.DUMMYFUNCTION("""COMPUTED_VALUE"""),41673.7055555555)</f>
        <v>41673.705555555498</v>
      </c>
      <c r="P963" s="111">
        <f ca="1">IFERROR(__xludf.DUMMYFUNCTION("""COMPUTED_VALUE"""),32.13)</f>
        <v>32.130000000000003</v>
      </c>
      <c r="Q963" s="112">
        <f ca="1">IFERROR(__xludf.DUMMYFUNCTION("""COMPUTED_VALUE"""),41669.7055555555)</f>
        <v>41669.705555555498</v>
      </c>
      <c r="R963" s="111">
        <f ca="1">IFERROR(__xludf.DUMMYFUNCTION("""COMPUTED_VALUE"""),20.1)</f>
        <v>20.100000000000001</v>
      </c>
      <c r="S963" s="112">
        <f ca="1">IFERROR(__xludf.DUMMYFUNCTION("""COMPUTED_VALUE"""),41682.7055555555)</f>
        <v>41682.705555555498</v>
      </c>
      <c r="T963" s="111">
        <f ca="1">IFERROR(__xludf.DUMMYFUNCTION("""COMPUTED_VALUE"""),8.16)</f>
        <v>8.16</v>
      </c>
    </row>
    <row r="964" spans="1:20" x14ac:dyDescent="0.3">
      <c r="A964" s="112">
        <f ca="1">IFERROR(__xludf.DUMMYFUNCTION("""COMPUTED_VALUE"""),41680.7055555555)</f>
        <v>41680.705555555498</v>
      </c>
      <c r="B964" s="111">
        <f ca="1">IFERROR(__xludf.DUMMYFUNCTION("""COMPUTED_VALUE"""),4.94)</f>
        <v>4.9400000000000004</v>
      </c>
      <c r="C964" s="112">
        <f ca="1">IFERROR(__xludf.DUMMYFUNCTION("""COMPUTED_VALUE"""),41687.7055555555)</f>
        <v>41687.705555555498</v>
      </c>
      <c r="D964" s="111">
        <f ca="1">IFERROR(__xludf.DUMMYFUNCTION("""COMPUTED_VALUE"""),15.63)</f>
        <v>15.63</v>
      </c>
      <c r="E964" s="112">
        <f ca="1">IFERROR(__xludf.DUMMYFUNCTION("""COMPUTED_VALUE"""),41688.7055555555)</f>
        <v>41688.705555555498</v>
      </c>
      <c r="F964" s="111">
        <f ca="1">IFERROR(__xludf.DUMMYFUNCTION("""COMPUTED_VALUE"""),5.39)</f>
        <v>5.39</v>
      </c>
      <c r="G964" s="112">
        <f ca="1">IFERROR(__xludf.DUMMYFUNCTION("""COMPUTED_VALUE"""),41681.7055555555)</f>
        <v>41681.705555555498</v>
      </c>
      <c r="H964" s="111">
        <f ca="1">IFERROR(__xludf.DUMMYFUNCTION("""COMPUTED_VALUE"""),14.96)</f>
        <v>14.96</v>
      </c>
      <c r="K964" s="112">
        <f ca="1">IFERROR(__xludf.DUMMYFUNCTION("""COMPUTED_VALUE"""),42135.7055555555)</f>
        <v>42135.705555555498</v>
      </c>
      <c r="L964" s="111">
        <f ca="1">IFERROR(__xludf.DUMMYFUNCTION("""COMPUTED_VALUE"""),0.16)</f>
        <v>0.16</v>
      </c>
      <c r="M964" s="112">
        <f ca="1">IFERROR(__xludf.DUMMYFUNCTION("""COMPUTED_VALUE"""),41591.7055555555)</f>
        <v>41591.705555555498</v>
      </c>
      <c r="N964" s="111">
        <f ca="1">IFERROR(__xludf.DUMMYFUNCTION("""COMPUTED_VALUE"""),13.33)</f>
        <v>13.33</v>
      </c>
      <c r="O964" s="112">
        <f ca="1">IFERROR(__xludf.DUMMYFUNCTION("""COMPUTED_VALUE"""),41674.7055555555)</f>
        <v>41674.705555555498</v>
      </c>
      <c r="P964" s="111">
        <f ca="1">IFERROR(__xludf.DUMMYFUNCTION("""COMPUTED_VALUE"""),32.67)</f>
        <v>32.67</v>
      </c>
      <c r="Q964" s="112">
        <f ca="1">IFERROR(__xludf.DUMMYFUNCTION("""COMPUTED_VALUE"""),41670.7055555555)</f>
        <v>41670.705555555498</v>
      </c>
      <c r="R964" s="111">
        <f ca="1">IFERROR(__xludf.DUMMYFUNCTION("""COMPUTED_VALUE"""),20.89)</f>
        <v>20.89</v>
      </c>
      <c r="S964" s="112">
        <f ca="1">IFERROR(__xludf.DUMMYFUNCTION("""COMPUTED_VALUE"""),41683.7055555555)</f>
        <v>41683.705555555498</v>
      </c>
      <c r="T964" s="111">
        <f ca="1">IFERROR(__xludf.DUMMYFUNCTION("""COMPUTED_VALUE"""),8.23)</f>
        <v>8.23</v>
      </c>
    </row>
    <row r="965" spans="1:20" x14ac:dyDescent="0.3">
      <c r="A965" s="112">
        <f ca="1">IFERROR(__xludf.DUMMYFUNCTION("""COMPUTED_VALUE"""),41681.7055555555)</f>
        <v>41681.705555555498</v>
      </c>
      <c r="B965" s="111">
        <f ca="1">IFERROR(__xludf.DUMMYFUNCTION("""COMPUTED_VALUE"""),5)</f>
        <v>5</v>
      </c>
      <c r="C965" s="112">
        <f ca="1">IFERROR(__xludf.DUMMYFUNCTION("""COMPUTED_VALUE"""),41688.7055555555)</f>
        <v>41688.705555555498</v>
      </c>
      <c r="D965" s="111">
        <f ca="1">IFERROR(__xludf.DUMMYFUNCTION("""COMPUTED_VALUE"""),15.32)</f>
        <v>15.32</v>
      </c>
      <c r="E965" s="112">
        <f ca="1">IFERROR(__xludf.DUMMYFUNCTION("""COMPUTED_VALUE"""),41689.7055555555)</f>
        <v>41689.705555555498</v>
      </c>
      <c r="F965" s="111">
        <f ca="1">IFERROR(__xludf.DUMMYFUNCTION("""COMPUTED_VALUE"""),5.5)</f>
        <v>5.5</v>
      </c>
      <c r="G965" s="112">
        <f ca="1">IFERROR(__xludf.DUMMYFUNCTION("""COMPUTED_VALUE"""),41682.7055555555)</f>
        <v>41682.705555555498</v>
      </c>
      <c r="H965" s="111">
        <f ca="1">IFERROR(__xludf.DUMMYFUNCTION("""COMPUTED_VALUE"""),14.96)</f>
        <v>14.96</v>
      </c>
      <c r="K965" s="112">
        <f ca="1">IFERROR(__xludf.DUMMYFUNCTION("""COMPUTED_VALUE"""),42136.7055555555)</f>
        <v>42136.705555555498</v>
      </c>
      <c r="L965" s="111">
        <f ca="1">IFERROR(__xludf.DUMMYFUNCTION("""COMPUTED_VALUE"""),0.16)</f>
        <v>0.16</v>
      </c>
      <c r="M965" s="112">
        <f ca="1">IFERROR(__xludf.DUMMYFUNCTION("""COMPUTED_VALUE"""),41592.7055555555)</f>
        <v>41592.705555555498</v>
      </c>
      <c r="N965" s="111">
        <f ca="1">IFERROR(__xludf.DUMMYFUNCTION("""COMPUTED_VALUE"""),13.58)</f>
        <v>13.58</v>
      </c>
      <c r="O965" s="112">
        <f ca="1">IFERROR(__xludf.DUMMYFUNCTION("""COMPUTED_VALUE"""),41675.7055555555)</f>
        <v>41675.705555555498</v>
      </c>
      <c r="P965" s="111">
        <f ca="1">IFERROR(__xludf.DUMMYFUNCTION("""COMPUTED_VALUE"""),33.5)</f>
        <v>33.5</v>
      </c>
      <c r="Q965" s="112">
        <f ca="1">IFERROR(__xludf.DUMMYFUNCTION("""COMPUTED_VALUE"""),41673.7055555555)</f>
        <v>41673.705555555498</v>
      </c>
      <c r="R965" s="111">
        <f ca="1">IFERROR(__xludf.DUMMYFUNCTION("""COMPUTED_VALUE"""),20.12)</f>
        <v>20.12</v>
      </c>
      <c r="S965" s="112">
        <f ca="1">IFERROR(__xludf.DUMMYFUNCTION("""COMPUTED_VALUE"""),41684.7055555555)</f>
        <v>41684.705555555498</v>
      </c>
      <c r="T965" s="111">
        <f ca="1">IFERROR(__xludf.DUMMYFUNCTION("""COMPUTED_VALUE"""),8.22)</f>
        <v>8.2200000000000006</v>
      </c>
    </row>
    <row r="966" spans="1:20" x14ac:dyDescent="0.3">
      <c r="A966" s="112">
        <f ca="1">IFERROR(__xludf.DUMMYFUNCTION("""COMPUTED_VALUE"""),41682.7055555555)</f>
        <v>41682.705555555498</v>
      </c>
      <c r="B966" s="111">
        <f ca="1">IFERROR(__xludf.DUMMYFUNCTION("""COMPUTED_VALUE"""),5.01)</f>
        <v>5.01</v>
      </c>
      <c r="C966" s="112">
        <f ca="1">IFERROR(__xludf.DUMMYFUNCTION("""COMPUTED_VALUE"""),41689.7055555555)</f>
        <v>41689.705555555498</v>
      </c>
      <c r="D966" s="111">
        <f ca="1">IFERROR(__xludf.DUMMYFUNCTION("""COMPUTED_VALUE"""),15.58)</f>
        <v>15.58</v>
      </c>
      <c r="E966" s="112">
        <f ca="1">IFERROR(__xludf.DUMMYFUNCTION("""COMPUTED_VALUE"""),41690.7055555555)</f>
        <v>41690.705555555498</v>
      </c>
      <c r="F966" s="111">
        <f ca="1">IFERROR(__xludf.DUMMYFUNCTION("""COMPUTED_VALUE"""),5.48)</f>
        <v>5.48</v>
      </c>
      <c r="G966" s="112">
        <f ca="1">IFERROR(__xludf.DUMMYFUNCTION("""COMPUTED_VALUE"""),41683.7055555555)</f>
        <v>41683.705555555498</v>
      </c>
      <c r="H966" s="111">
        <f ca="1">IFERROR(__xludf.DUMMYFUNCTION("""COMPUTED_VALUE"""),14.61)</f>
        <v>14.61</v>
      </c>
      <c r="K966" s="112">
        <f ca="1">IFERROR(__xludf.DUMMYFUNCTION("""COMPUTED_VALUE"""),42137.7055555555)</f>
        <v>42137.705555555498</v>
      </c>
      <c r="L966" s="111">
        <f ca="1">IFERROR(__xludf.DUMMYFUNCTION("""COMPUTED_VALUE"""),0.16)</f>
        <v>0.16</v>
      </c>
      <c r="M966" s="112">
        <f ca="1">IFERROR(__xludf.DUMMYFUNCTION("""COMPUTED_VALUE"""),41596.7055555555)</f>
        <v>41596.705555555498</v>
      </c>
      <c r="N966" s="111">
        <f ca="1">IFERROR(__xludf.DUMMYFUNCTION("""COMPUTED_VALUE"""),13.65)</f>
        <v>13.65</v>
      </c>
      <c r="O966" s="112">
        <f ca="1">IFERROR(__xludf.DUMMYFUNCTION("""COMPUTED_VALUE"""),41676.7055555555)</f>
        <v>41676.705555555498</v>
      </c>
      <c r="P966" s="111">
        <f ca="1">IFERROR(__xludf.DUMMYFUNCTION("""COMPUTED_VALUE"""),34.26)</f>
        <v>34.26</v>
      </c>
      <c r="Q966" s="112">
        <f ca="1">IFERROR(__xludf.DUMMYFUNCTION("""COMPUTED_VALUE"""),41674.7055555555)</f>
        <v>41674.705555555498</v>
      </c>
      <c r="R966" s="111">
        <f ca="1">IFERROR(__xludf.DUMMYFUNCTION("""COMPUTED_VALUE"""),20.78)</f>
        <v>20.78</v>
      </c>
      <c r="S966" s="112">
        <f ca="1">IFERROR(__xludf.DUMMYFUNCTION("""COMPUTED_VALUE"""),41687.7055555555)</f>
        <v>41687.705555555498</v>
      </c>
      <c r="T966" s="111">
        <f ca="1">IFERROR(__xludf.DUMMYFUNCTION("""COMPUTED_VALUE"""),8.1)</f>
        <v>8.1</v>
      </c>
    </row>
    <row r="967" spans="1:20" x14ac:dyDescent="0.3">
      <c r="A967" s="112">
        <f ca="1">IFERROR(__xludf.DUMMYFUNCTION("""COMPUTED_VALUE"""),41683.7055555555)</f>
        <v>41683.705555555498</v>
      </c>
      <c r="B967" s="111">
        <f ca="1">IFERROR(__xludf.DUMMYFUNCTION("""COMPUTED_VALUE"""),5.01)</f>
        <v>5.01</v>
      </c>
      <c r="C967" s="112">
        <f ca="1">IFERROR(__xludf.DUMMYFUNCTION("""COMPUTED_VALUE"""),41690.7055555555)</f>
        <v>41690.705555555498</v>
      </c>
      <c r="D967" s="111">
        <f ca="1">IFERROR(__xludf.DUMMYFUNCTION("""COMPUTED_VALUE"""),15.56)</f>
        <v>15.56</v>
      </c>
      <c r="E967" s="112">
        <f ca="1">IFERROR(__xludf.DUMMYFUNCTION("""COMPUTED_VALUE"""),41691.7055555555)</f>
        <v>41691.705555555498</v>
      </c>
      <c r="F967" s="111">
        <f ca="1">IFERROR(__xludf.DUMMYFUNCTION("""COMPUTED_VALUE"""),5.52)</f>
        <v>5.52</v>
      </c>
      <c r="G967" s="112">
        <f ca="1">IFERROR(__xludf.DUMMYFUNCTION("""COMPUTED_VALUE"""),41684.7055555555)</f>
        <v>41684.705555555498</v>
      </c>
      <c r="H967" s="111">
        <f ca="1">IFERROR(__xludf.DUMMYFUNCTION("""COMPUTED_VALUE"""),14.58)</f>
        <v>14.58</v>
      </c>
      <c r="K967" s="112">
        <f ca="1">IFERROR(__xludf.DUMMYFUNCTION("""COMPUTED_VALUE"""),42138.7055555555)</f>
        <v>42138.705555555498</v>
      </c>
      <c r="L967" s="111">
        <f ca="1">IFERROR(__xludf.DUMMYFUNCTION("""COMPUTED_VALUE"""),0.15)</f>
        <v>0.15</v>
      </c>
      <c r="M967" s="112">
        <f ca="1">IFERROR(__xludf.DUMMYFUNCTION("""COMPUTED_VALUE"""),41597.7055555555)</f>
        <v>41597.705555555498</v>
      </c>
      <c r="N967" s="111">
        <f ca="1">IFERROR(__xludf.DUMMYFUNCTION("""COMPUTED_VALUE"""),13.21)</f>
        <v>13.21</v>
      </c>
      <c r="O967" s="112">
        <f ca="1">IFERROR(__xludf.DUMMYFUNCTION("""COMPUTED_VALUE"""),41677.7055555555)</f>
        <v>41677.705555555498</v>
      </c>
      <c r="P967" s="111">
        <f ca="1">IFERROR(__xludf.DUMMYFUNCTION("""COMPUTED_VALUE"""),34.05)</f>
        <v>34.049999999999997</v>
      </c>
      <c r="Q967" s="112">
        <f ca="1">IFERROR(__xludf.DUMMYFUNCTION("""COMPUTED_VALUE"""),41675.7055555555)</f>
        <v>41675.705555555498</v>
      </c>
      <c r="R967" s="111">
        <f ca="1">IFERROR(__xludf.DUMMYFUNCTION("""COMPUTED_VALUE"""),20.64)</f>
        <v>20.64</v>
      </c>
      <c r="S967" s="112">
        <f ca="1">IFERROR(__xludf.DUMMYFUNCTION("""COMPUTED_VALUE"""),41688.7055555555)</f>
        <v>41688.705555555498</v>
      </c>
      <c r="T967" s="111">
        <f ca="1">IFERROR(__xludf.DUMMYFUNCTION("""COMPUTED_VALUE"""),8.06)</f>
        <v>8.06</v>
      </c>
    </row>
    <row r="968" spans="1:20" x14ac:dyDescent="0.3">
      <c r="A968" s="112">
        <f ca="1">IFERROR(__xludf.DUMMYFUNCTION("""COMPUTED_VALUE"""),41684.7055555555)</f>
        <v>41684.705555555498</v>
      </c>
      <c r="B968" s="111">
        <f ca="1">IFERROR(__xludf.DUMMYFUNCTION("""COMPUTED_VALUE"""),4.98)</f>
        <v>4.9800000000000004</v>
      </c>
      <c r="C968" s="112">
        <f ca="1">IFERROR(__xludf.DUMMYFUNCTION("""COMPUTED_VALUE"""),41691.7055555555)</f>
        <v>41691.705555555498</v>
      </c>
      <c r="D968" s="111">
        <f ca="1">IFERROR(__xludf.DUMMYFUNCTION("""COMPUTED_VALUE"""),15.58)</f>
        <v>15.58</v>
      </c>
      <c r="E968" s="112">
        <f ca="1">IFERROR(__xludf.DUMMYFUNCTION("""COMPUTED_VALUE"""),41694.7055555555)</f>
        <v>41694.705555555498</v>
      </c>
      <c r="F968" s="111">
        <f ca="1">IFERROR(__xludf.DUMMYFUNCTION("""COMPUTED_VALUE"""),5.56)</f>
        <v>5.56</v>
      </c>
      <c r="G968" s="112">
        <f ca="1">IFERROR(__xludf.DUMMYFUNCTION("""COMPUTED_VALUE"""),41687.7055555555)</f>
        <v>41687.705555555498</v>
      </c>
      <c r="H968" s="111">
        <f ca="1">IFERROR(__xludf.DUMMYFUNCTION("""COMPUTED_VALUE"""),14.43)</f>
        <v>14.43</v>
      </c>
      <c r="K968" s="112">
        <f ca="1">IFERROR(__xludf.DUMMYFUNCTION("""COMPUTED_VALUE"""),42139.7055555555)</f>
        <v>42139.705555555498</v>
      </c>
      <c r="L968" s="111">
        <f ca="1">IFERROR(__xludf.DUMMYFUNCTION("""COMPUTED_VALUE"""),0.15)</f>
        <v>0.15</v>
      </c>
      <c r="M968" s="112">
        <f ca="1">IFERROR(__xludf.DUMMYFUNCTION("""COMPUTED_VALUE"""),41599.7055555555)</f>
        <v>41599.705555555498</v>
      </c>
      <c r="N968" s="111">
        <f ca="1">IFERROR(__xludf.DUMMYFUNCTION("""COMPUTED_VALUE"""),13.15)</f>
        <v>13.15</v>
      </c>
      <c r="O968" s="112">
        <f ca="1">IFERROR(__xludf.DUMMYFUNCTION("""COMPUTED_VALUE"""),41680.7055555555)</f>
        <v>41680.705555555498</v>
      </c>
      <c r="P968" s="111">
        <f ca="1">IFERROR(__xludf.DUMMYFUNCTION("""COMPUTED_VALUE"""),33.64)</f>
        <v>33.64</v>
      </c>
      <c r="Q968" s="112">
        <f ca="1">IFERROR(__xludf.DUMMYFUNCTION("""COMPUTED_VALUE"""),41676.7055555555)</f>
        <v>41676.705555555498</v>
      </c>
      <c r="R968" s="111">
        <f ca="1">IFERROR(__xludf.DUMMYFUNCTION("""COMPUTED_VALUE"""),21.6)</f>
        <v>21.6</v>
      </c>
      <c r="S968" s="112">
        <f ca="1">IFERROR(__xludf.DUMMYFUNCTION("""COMPUTED_VALUE"""),41689.7055555555)</f>
        <v>41689.705555555498</v>
      </c>
      <c r="T968" s="111">
        <f ca="1">IFERROR(__xludf.DUMMYFUNCTION("""COMPUTED_VALUE"""),8.14)</f>
        <v>8.14</v>
      </c>
    </row>
    <row r="969" spans="1:20" x14ac:dyDescent="0.3">
      <c r="A969" s="112">
        <f ca="1">IFERROR(__xludf.DUMMYFUNCTION("""COMPUTED_VALUE"""),41687.7055555555)</f>
        <v>41687.705555555498</v>
      </c>
      <c r="B969" s="111">
        <f ca="1">IFERROR(__xludf.DUMMYFUNCTION("""COMPUTED_VALUE"""),4.71)</f>
        <v>4.71</v>
      </c>
      <c r="C969" s="112">
        <f ca="1">IFERROR(__xludf.DUMMYFUNCTION("""COMPUTED_VALUE"""),41694.7055555555)</f>
        <v>41694.705555555498</v>
      </c>
      <c r="D969" s="111">
        <f ca="1">IFERROR(__xludf.DUMMYFUNCTION("""COMPUTED_VALUE"""),15.66)</f>
        <v>15.66</v>
      </c>
      <c r="E969" s="112">
        <f ca="1">IFERROR(__xludf.DUMMYFUNCTION("""COMPUTED_VALUE"""),41695.7055555555)</f>
        <v>41695.705555555498</v>
      </c>
      <c r="F969" s="111">
        <f ca="1">IFERROR(__xludf.DUMMYFUNCTION("""COMPUTED_VALUE"""),5.48)</f>
        <v>5.48</v>
      </c>
      <c r="G969" s="112">
        <f ca="1">IFERROR(__xludf.DUMMYFUNCTION("""COMPUTED_VALUE"""),41688.7055555555)</f>
        <v>41688.705555555498</v>
      </c>
      <c r="H969" s="111">
        <f ca="1">IFERROR(__xludf.DUMMYFUNCTION("""COMPUTED_VALUE"""),14.11)</f>
        <v>14.11</v>
      </c>
      <c r="K969" s="112">
        <f ca="1">IFERROR(__xludf.DUMMYFUNCTION("""COMPUTED_VALUE"""),42142.7055555555)</f>
        <v>42142.705555555498</v>
      </c>
      <c r="L969" s="111">
        <f ca="1">IFERROR(__xludf.DUMMYFUNCTION("""COMPUTED_VALUE"""),0.15)</f>
        <v>0.15</v>
      </c>
      <c r="M969" s="112">
        <f ca="1">IFERROR(__xludf.DUMMYFUNCTION("""COMPUTED_VALUE"""),41600.7055555555)</f>
        <v>41600.705555555498</v>
      </c>
      <c r="N969" s="111">
        <f ca="1">IFERROR(__xludf.DUMMYFUNCTION("""COMPUTED_VALUE"""),13.06)</f>
        <v>13.06</v>
      </c>
      <c r="O969" s="112">
        <f ca="1">IFERROR(__xludf.DUMMYFUNCTION("""COMPUTED_VALUE"""),41681.7055555555)</f>
        <v>41681.705555555498</v>
      </c>
      <c r="P969" s="111">
        <f ca="1">IFERROR(__xludf.DUMMYFUNCTION("""COMPUTED_VALUE"""),34.49)</f>
        <v>34.49</v>
      </c>
      <c r="Q969" s="112">
        <f ca="1">IFERROR(__xludf.DUMMYFUNCTION("""COMPUTED_VALUE"""),41677.7055555555)</f>
        <v>41677.705555555498</v>
      </c>
      <c r="R969" s="111">
        <f ca="1">IFERROR(__xludf.DUMMYFUNCTION("""COMPUTED_VALUE"""),21.49)</f>
        <v>21.49</v>
      </c>
      <c r="S969" s="112">
        <f ca="1">IFERROR(__xludf.DUMMYFUNCTION("""COMPUTED_VALUE"""),41690.7055555555)</f>
        <v>41690.705555555498</v>
      </c>
      <c r="T969" s="111">
        <f ca="1">IFERROR(__xludf.DUMMYFUNCTION("""COMPUTED_VALUE"""),8.28)</f>
        <v>8.2799999999999994</v>
      </c>
    </row>
    <row r="970" spans="1:20" x14ac:dyDescent="0.3">
      <c r="A970" s="112">
        <f ca="1">IFERROR(__xludf.DUMMYFUNCTION("""COMPUTED_VALUE"""),41688.7055555555)</f>
        <v>41688.705555555498</v>
      </c>
      <c r="B970" s="111">
        <f ca="1">IFERROR(__xludf.DUMMYFUNCTION("""COMPUTED_VALUE"""),4.52)</f>
        <v>4.5199999999999996</v>
      </c>
      <c r="C970" s="112">
        <f ca="1">IFERROR(__xludf.DUMMYFUNCTION("""COMPUTED_VALUE"""),41695.7055555555)</f>
        <v>41695.705555555498</v>
      </c>
      <c r="D970" s="111">
        <f ca="1">IFERROR(__xludf.DUMMYFUNCTION("""COMPUTED_VALUE"""),15.56)</f>
        <v>15.56</v>
      </c>
      <c r="E970" s="112">
        <f ca="1">IFERROR(__xludf.DUMMYFUNCTION("""COMPUTED_VALUE"""),41696.7055555555)</f>
        <v>41696.705555555498</v>
      </c>
      <c r="F970" s="111">
        <f ca="1">IFERROR(__xludf.DUMMYFUNCTION("""COMPUTED_VALUE"""),5.39)</f>
        <v>5.39</v>
      </c>
      <c r="G970" s="112">
        <f ca="1">IFERROR(__xludf.DUMMYFUNCTION("""COMPUTED_VALUE"""),41689.7055555555)</f>
        <v>41689.705555555498</v>
      </c>
      <c r="H970" s="111">
        <f ca="1">IFERROR(__xludf.DUMMYFUNCTION("""COMPUTED_VALUE"""),14.2)</f>
        <v>14.2</v>
      </c>
      <c r="K970" s="112">
        <f ca="1">IFERROR(__xludf.DUMMYFUNCTION("""COMPUTED_VALUE"""),42143.7055555555)</f>
        <v>42143.705555555498</v>
      </c>
      <c r="L970" s="111">
        <f ca="1">IFERROR(__xludf.DUMMYFUNCTION("""COMPUTED_VALUE"""),0.15)</f>
        <v>0.15</v>
      </c>
      <c r="M970" s="112">
        <f ca="1">IFERROR(__xludf.DUMMYFUNCTION("""COMPUTED_VALUE"""),41603.7055555555)</f>
        <v>41603.705555555498</v>
      </c>
      <c r="N970" s="111">
        <f ca="1">IFERROR(__xludf.DUMMYFUNCTION("""COMPUTED_VALUE"""),12.95)</f>
        <v>12.95</v>
      </c>
      <c r="O970" s="112">
        <f ca="1">IFERROR(__xludf.DUMMYFUNCTION("""COMPUTED_VALUE"""),41682.7055555555)</f>
        <v>41682.705555555498</v>
      </c>
      <c r="P970" s="111">
        <f ca="1">IFERROR(__xludf.DUMMYFUNCTION("""COMPUTED_VALUE"""),34.46)</f>
        <v>34.46</v>
      </c>
      <c r="Q970" s="112">
        <f ca="1">IFERROR(__xludf.DUMMYFUNCTION("""COMPUTED_VALUE"""),41680.7055555555)</f>
        <v>41680.705555555498</v>
      </c>
      <c r="R970" s="111">
        <f ca="1">IFERROR(__xludf.DUMMYFUNCTION("""COMPUTED_VALUE"""),22.07)</f>
        <v>22.07</v>
      </c>
      <c r="S970" s="112">
        <f ca="1">IFERROR(__xludf.DUMMYFUNCTION("""COMPUTED_VALUE"""),41691.7055555555)</f>
        <v>41691.705555555498</v>
      </c>
      <c r="T970" s="111">
        <f ca="1">IFERROR(__xludf.DUMMYFUNCTION("""COMPUTED_VALUE"""),8.64)</f>
        <v>8.64</v>
      </c>
    </row>
    <row r="971" spans="1:20" x14ac:dyDescent="0.3">
      <c r="A971" s="112">
        <f ca="1">IFERROR(__xludf.DUMMYFUNCTION("""COMPUTED_VALUE"""),41689.7055555555)</f>
        <v>41689.705555555498</v>
      </c>
      <c r="B971" s="111">
        <f ca="1">IFERROR(__xludf.DUMMYFUNCTION("""COMPUTED_VALUE"""),4.66)</f>
        <v>4.66</v>
      </c>
      <c r="C971" s="112">
        <f ca="1">IFERROR(__xludf.DUMMYFUNCTION("""COMPUTED_VALUE"""),41696.7055555555)</f>
        <v>41696.705555555498</v>
      </c>
      <c r="D971" s="111">
        <f ca="1">IFERROR(__xludf.DUMMYFUNCTION("""COMPUTED_VALUE"""),15.49)</f>
        <v>15.49</v>
      </c>
      <c r="E971" s="112">
        <f ca="1">IFERROR(__xludf.DUMMYFUNCTION("""COMPUTED_VALUE"""),41697.7055555555)</f>
        <v>41697.705555555498</v>
      </c>
      <c r="F971" s="111">
        <f ca="1">IFERROR(__xludf.DUMMYFUNCTION("""COMPUTED_VALUE"""),5.53)</f>
        <v>5.53</v>
      </c>
      <c r="G971" s="112">
        <f ca="1">IFERROR(__xludf.DUMMYFUNCTION("""COMPUTED_VALUE"""),41690.7055555555)</f>
        <v>41690.705555555498</v>
      </c>
      <c r="H971" s="111">
        <f ca="1">IFERROR(__xludf.DUMMYFUNCTION("""COMPUTED_VALUE"""),14.16)</f>
        <v>14.16</v>
      </c>
      <c r="K971" s="112">
        <f ca="1">IFERROR(__xludf.DUMMYFUNCTION("""COMPUTED_VALUE"""),42144.7055555555)</f>
        <v>42144.705555555498</v>
      </c>
      <c r="L971" s="111">
        <f ca="1">IFERROR(__xludf.DUMMYFUNCTION("""COMPUTED_VALUE"""),0.14)</f>
        <v>0.14000000000000001</v>
      </c>
      <c r="M971" s="112">
        <f ca="1">IFERROR(__xludf.DUMMYFUNCTION("""COMPUTED_VALUE"""),41604.7055555555)</f>
        <v>41604.705555555498</v>
      </c>
      <c r="N971" s="111">
        <f ca="1">IFERROR(__xludf.DUMMYFUNCTION("""COMPUTED_VALUE"""),12.89)</f>
        <v>12.89</v>
      </c>
      <c r="O971" s="112">
        <f ca="1">IFERROR(__xludf.DUMMYFUNCTION("""COMPUTED_VALUE"""),41683.7055555555)</f>
        <v>41683.705555555498</v>
      </c>
      <c r="P971" s="111">
        <f ca="1">IFERROR(__xludf.DUMMYFUNCTION("""COMPUTED_VALUE"""),34.32)</f>
        <v>34.32</v>
      </c>
      <c r="Q971" s="112">
        <f ca="1">IFERROR(__xludf.DUMMYFUNCTION("""COMPUTED_VALUE"""),41681.7055555555)</f>
        <v>41681.705555555498</v>
      </c>
      <c r="R971" s="111">
        <f ca="1">IFERROR(__xludf.DUMMYFUNCTION("""COMPUTED_VALUE"""),21.85)</f>
        <v>21.85</v>
      </c>
      <c r="S971" s="112">
        <f ca="1">IFERROR(__xludf.DUMMYFUNCTION("""COMPUTED_VALUE"""),41694.7055555555)</f>
        <v>41694.705555555498</v>
      </c>
      <c r="T971" s="111">
        <f ca="1">IFERROR(__xludf.DUMMYFUNCTION("""COMPUTED_VALUE"""),8.56)</f>
        <v>8.56</v>
      </c>
    </row>
    <row r="972" spans="1:20" x14ac:dyDescent="0.3">
      <c r="A972" s="112">
        <f ca="1">IFERROR(__xludf.DUMMYFUNCTION("""COMPUTED_VALUE"""),41690.7055555555)</f>
        <v>41690.705555555498</v>
      </c>
      <c r="B972" s="111">
        <f ca="1">IFERROR(__xludf.DUMMYFUNCTION("""COMPUTED_VALUE"""),4.73)</f>
        <v>4.7300000000000004</v>
      </c>
      <c r="C972" s="112">
        <f ca="1">IFERROR(__xludf.DUMMYFUNCTION("""COMPUTED_VALUE"""),41697.7055555555)</f>
        <v>41697.705555555498</v>
      </c>
      <c r="D972" s="111">
        <f ca="1">IFERROR(__xludf.DUMMYFUNCTION("""COMPUTED_VALUE"""),15.74)</f>
        <v>15.74</v>
      </c>
      <c r="E972" s="112">
        <f ca="1">IFERROR(__xludf.DUMMYFUNCTION("""COMPUTED_VALUE"""),41698.7055555555)</f>
        <v>41698.705555555498</v>
      </c>
      <c r="F972" s="111">
        <f ca="1">IFERROR(__xludf.DUMMYFUNCTION("""COMPUTED_VALUE"""),5.51)</f>
        <v>5.51</v>
      </c>
      <c r="G972" s="112">
        <f ca="1">IFERROR(__xludf.DUMMYFUNCTION("""COMPUTED_VALUE"""),41691.7055555555)</f>
        <v>41691.705555555498</v>
      </c>
      <c r="H972" s="111">
        <f ca="1">IFERROR(__xludf.DUMMYFUNCTION("""COMPUTED_VALUE"""),14.15)</f>
        <v>14.15</v>
      </c>
      <c r="K972" s="112">
        <f ca="1">IFERROR(__xludf.DUMMYFUNCTION("""COMPUTED_VALUE"""),42145.7055555555)</f>
        <v>42145.705555555498</v>
      </c>
      <c r="L972" s="111">
        <f ca="1">IFERROR(__xludf.DUMMYFUNCTION("""COMPUTED_VALUE"""),0.15)</f>
        <v>0.15</v>
      </c>
      <c r="M972" s="112">
        <f ca="1">IFERROR(__xludf.DUMMYFUNCTION("""COMPUTED_VALUE"""),41605.7055555555)</f>
        <v>41605.705555555498</v>
      </c>
      <c r="N972" s="111">
        <f ca="1">IFERROR(__xludf.DUMMYFUNCTION("""COMPUTED_VALUE"""),13.19)</f>
        <v>13.19</v>
      </c>
      <c r="O972" s="112">
        <f ca="1">IFERROR(__xludf.DUMMYFUNCTION("""COMPUTED_VALUE"""),41684.7055555555)</f>
        <v>41684.705555555498</v>
      </c>
      <c r="P972" s="111">
        <f ca="1">IFERROR(__xludf.DUMMYFUNCTION("""COMPUTED_VALUE"""),34.84)</f>
        <v>34.840000000000003</v>
      </c>
      <c r="Q972" s="112">
        <f ca="1">IFERROR(__xludf.DUMMYFUNCTION("""COMPUTED_VALUE"""),41682.7055555555)</f>
        <v>41682.705555555498</v>
      </c>
      <c r="R972" s="111">
        <f ca="1">IFERROR(__xludf.DUMMYFUNCTION("""COMPUTED_VALUE"""),21.9)</f>
        <v>21.9</v>
      </c>
      <c r="S972" s="112">
        <f ca="1">IFERROR(__xludf.DUMMYFUNCTION("""COMPUTED_VALUE"""),41695.7055555555)</f>
        <v>41695.705555555498</v>
      </c>
      <c r="T972" s="111">
        <f ca="1">IFERROR(__xludf.DUMMYFUNCTION("""COMPUTED_VALUE"""),8.52)</f>
        <v>8.52</v>
      </c>
    </row>
    <row r="973" spans="1:20" x14ac:dyDescent="0.3">
      <c r="A973" s="112">
        <f ca="1">IFERROR(__xludf.DUMMYFUNCTION("""COMPUTED_VALUE"""),41691.7055555555)</f>
        <v>41691.705555555498</v>
      </c>
      <c r="B973" s="111">
        <f ca="1">IFERROR(__xludf.DUMMYFUNCTION("""COMPUTED_VALUE"""),4.85)</f>
        <v>4.8499999999999996</v>
      </c>
      <c r="C973" s="112">
        <f ca="1">IFERROR(__xludf.DUMMYFUNCTION("""COMPUTED_VALUE"""),41698.7055555555)</f>
        <v>41698.705555555498</v>
      </c>
      <c r="D973" s="111">
        <f ca="1">IFERROR(__xludf.DUMMYFUNCTION("""COMPUTED_VALUE"""),15.63)</f>
        <v>15.63</v>
      </c>
      <c r="E973" s="112">
        <f ca="1">IFERROR(__xludf.DUMMYFUNCTION("""COMPUTED_VALUE"""),41703.7055555555)</f>
        <v>41703.705555555498</v>
      </c>
      <c r="F973" s="111">
        <f ca="1">IFERROR(__xludf.DUMMYFUNCTION("""COMPUTED_VALUE"""),5.4)</f>
        <v>5.4</v>
      </c>
      <c r="G973" s="112">
        <f ca="1">IFERROR(__xludf.DUMMYFUNCTION("""COMPUTED_VALUE"""),41694.7055555555)</f>
        <v>41694.705555555498</v>
      </c>
      <c r="H973" s="111">
        <f ca="1">IFERROR(__xludf.DUMMYFUNCTION("""COMPUTED_VALUE"""),14.5)</f>
        <v>14.5</v>
      </c>
      <c r="K973" s="112">
        <f ca="1">IFERROR(__xludf.DUMMYFUNCTION("""COMPUTED_VALUE"""),42146.7055555555)</f>
        <v>42146.705555555498</v>
      </c>
      <c r="L973" s="111">
        <f ca="1">IFERROR(__xludf.DUMMYFUNCTION("""COMPUTED_VALUE"""),0.14)</f>
        <v>0.14000000000000001</v>
      </c>
      <c r="M973" s="112">
        <f ca="1">IFERROR(__xludf.DUMMYFUNCTION("""COMPUTED_VALUE"""),41606.7055555555)</f>
        <v>41606.705555555498</v>
      </c>
      <c r="N973" s="111">
        <f ca="1">IFERROR(__xludf.DUMMYFUNCTION("""COMPUTED_VALUE"""),13.24)</f>
        <v>13.24</v>
      </c>
      <c r="O973" s="112">
        <f ca="1">IFERROR(__xludf.DUMMYFUNCTION("""COMPUTED_VALUE"""),41687.7055555555)</f>
        <v>41687.705555555498</v>
      </c>
      <c r="P973" s="111">
        <f ca="1">IFERROR(__xludf.DUMMYFUNCTION("""COMPUTED_VALUE"""),34.49)</f>
        <v>34.49</v>
      </c>
      <c r="Q973" s="112">
        <f ca="1">IFERROR(__xludf.DUMMYFUNCTION("""COMPUTED_VALUE"""),41683.7055555555)</f>
        <v>41683.705555555498</v>
      </c>
      <c r="R973" s="111">
        <f ca="1">IFERROR(__xludf.DUMMYFUNCTION("""COMPUTED_VALUE"""),20.68)</f>
        <v>20.68</v>
      </c>
      <c r="S973" s="112">
        <f ca="1">IFERROR(__xludf.DUMMYFUNCTION("""COMPUTED_VALUE"""),41696.7055555555)</f>
        <v>41696.705555555498</v>
      </c>
      <c r="T973" s="111">
        <f ca="1">IFERROR(__xludf.DUMMYFUNCTION("""COMPUTED_VALUE"""),8.64)</f>
        <v>8.64</v>
      </c>
    </row>
    <row r="974" spans="1:20" x14ac:dyDescent="0.3">
      <c r="A974" s="112">
        <f ca="1">IFERROR(__xludf.DUMMYFUNCTION("""COMPUTED_VALUE"""),41694.7055555555)</f>
        <v>41694.705555555498</v>
      </c>
      <c r="B974" s="111">
        <f ca="1">IFERROR(__xludf.DUMMYFUNCTION("""COMPUTED_VALUE"""),4.7)</f>
        <v>4.7</v>
      </c>
      <c r="C974" s="112">
        <f ca="1">IFERROR(__xludf.DUMMYFUNCTION("""COMPUTED_VALUE"""),41703.7055555555)</f>
        <v>41703.705555555498</v>
      </c>
      <c r="D974" s="111">
        <f ca="1">IFERROR(__xludf.DUMMYFUNCTION("""COMPUTED_VALUE"""),15.39)</f>
        <v>15.39</v>
      </c>
      <c r="E974" s="112">
        <f ca="1">IFERROR(__xludf.DUMMYFUNCTION("""COMPUTED_VALUE"""),41704.7055555555)</f>
        <v>41704.705555555498</v>
      </c>
      <c r="F974" s="111">
        <f ca="1">IFERROR(__xludf.DUMMYFUNCTION("""COMPUTED_VALUE"""),5.52)</f>
        <v>5.52</v>
      </c>
      <c r="G974" s="112">
        <f ca="1">IFERROR(__xludf.DUMMYFUNCTION("""COMPUTED_VALUE"""),41695.7055555555)</f>
        <v>41695.705555555498</v>
      </c>
      <c r="H974" s="111">
        <f ca="1">IFERROR(__xludf.DUMMYFUNCTION("""COMPUTED_VALUE"""),14.18)</f>
        <v>14.18</v>
      </c>
      <c r="K974" s="112">
        <f ca="1">IFERROR(__xludf.DUMMYFUNCTION("""COMPUTED_VALUE"""),42149.7055555555)</f>
        <v>42149.705555555498</v>
      </c>
      <c r="L974" s="111">
        <f ca="1">IFERROR(__xludf.DUMMYFUNCTION("""COMPUTED_VALUE"""),0.14)</f>
        <v>0.14000000000000001</v>
      </c>
      <c r="M974" s="112">
        <f ca="1">IFERROR(__xludf.DUMMYFUNCTION("""COMPUTED_VALUE"""),41607.7055555555)</f>
        <v>41607.705555555498</v>
      </c>
      <c r="N974" s="111">
        <f ca="1">IFERROR(__xludf.DUMMYFUNCTION("""COMPUTED_VALUE"""),13.36)</f>
        <v>13.36</v>
      </c>
      <c r="O974" s="112">
        <f ca="1">IFERROR(__xludf.DUMMYFUNCTION("""COMPUTED_VALUE"""),41688.7055555555)</f>
        <v>41688.705555555498</v>
      </c>
      <c r="P974" s="111">
        <f ca="1">IFERROR(__xludf.DUMMYFUNCTION("""COMPUTED_VALUE"""),34.57)</f>
        <v>34.57</v>
      </c>
      <c r="Q974" s="112">
        <f ca="1">IFERROR(__xludf.DUMMYFUNCTION("""COMPUTED_VALUE"""),41684.7055555555)</f>
        <v>41684.705555555498</v>
      </c>
      <c r="R974" s="111">
        <f ca="1">IFERROR(__xludf.DUMMYFUNCTION("""COMPUTED_VALUE"""),20.47)</f>
        <v>20.47</v>
      </c>
      <c r="S974" s="112">
        <f ca="1">IFERROR(__xludf.DUMMYFUNCTION("""COMPUTED_VALUE"""),41697.7055555555)</f>
        <v>41697.705555555498</v>
      </c>
      <c r="T974" s="111">
        <f ca="1">IFERROR(__xludf.DUMMYFUNCTION("""COMPUTED_VALUE"""),8.83)</f>
        <v>8.83</v>
      </c>
    </row>
    <row r="975" spans="1:20" x14ac:dyDescent="0.3">
      <c r="A975" s="112">
        <f ca="1">IFERROR(__xludf.DUMMYFUNCTION("""COMPUTED_VALUE"""),41695.7055555555)</f>
        <v>41695.705555555498</v>
      </c>
      <c r="B975" s="111">
        <f ca="1">IFERROR(__xludf.DUMMYFUNCTION("""COMPUTED_VALUE"""),4.72)</f>
        <v>4.72</v>
      </c>
      <c r="C975" s="112">
        <f ca="1">IFERROR(__xludf.DUMMYFUNCTION("""COMPUTED_VALUE"""),41704.7055555555)</f>
        <v>41704.705555555498</v>
      </c>
      <c r="D975" s="111">
        <f ca="1">IFERROR(__xludf.DUMMYFUNCTION("""COMPUTED_VALUE"""),15.82)</f>
        <v>15.82</v>
      </c>
      <c r="E975" s="112">
        <f ca="1">IFERROR(__xludf.DUMMYFUNCTION("""COMPUTED_VALUE"""),41705.7055555555)</f>
        <v>41705.705555555498</v>
      </c>
      <c r="F975" s="111">
        <f ca="1">IFERROR(__xludf.DUMMYFUNCTION("""COMPUTED_VALUE"""),5.4)</f>
        <v>5.4</v>
      </c>
      <c r="G975" s="112">
        <f ca="1">IFERROR(__xludf.DUMMYFUNCTION("""COMPUTED_VALUE"""),41696.7055555555)</f>
        <v>41696.705555555498</v>
      </c>
      <c r="H975" s="111">
        <f ca="1">IFERROR(__xludf.DUMMYFUNCTION("""COMPUTED_VALUE"""),13.7)</f>
        <v>13.7</v>
      </c>
      <c r="K975" s="112">
        <f ca="1">IFERROR(__xludf.DUMMYFUNCTION("""COMPUTED_VALUE"""),42150.7055555555)</f>
        <v>42150.705555555498</v>
      </c>
      <c r="L975" s="111">
        <f ca="1">IFERROR(__xludf.DUMMYFUNCTION("""COMPUTED_VALUE"""),0.14)</f>
        <v>0.14000000000000001</v>
      </c>
      <c r="M975" s="112">
        <f ca="1">IFERROR(__xludf.DUMMYFUNCTION("""COMPUTED_VALUE"""),41610.7055555555)</f>
        <v>41610.705555555498</v>
      </c>
      <c r="N975" s="111">
        <f ca="1">IFERROR(__xludf.DUMMYFUNCTION("""COMPUTED_VALUE"""),13.08)</f>
        <v>13.08</v>
      </c>
      <c r="O975" s="112">
        <f ca="1">IFERROR(__xludf.DUMMYFUNCTION("""COMPUTED_VALUE"""),41689.7055555555)</f>
        <v>41689.705555555498</v>
      </c>
      <c r="P975" s="111">
        <f ca="1">IFERROR(__xludf.DUMMYFUNCTION("""COMPUTED_VALUE"""),34.92)</f>
        <v>34.92</v>
      </c>
      <c r="Q975" s="112">
        <f ca="1">IFERROR(__xludf.DUMMYFUNCTION("""COMPUTED_VALUE"""),41687.7055555555)</f>
        <v>41687.705555555498</v>
      </c>
      <c r="R975" s="111">
        <f ca="1">IFERROR(__xludf.DUMMYFUNCTION("""COMPUTED_VALUE"""),20.48)</f>
        <v>20.48</v>
      </c>
      <c r="S975" s="112">
        <f ca="1">IFERROR(__xludf.DUMMYFUNCTION("""COMPUTED_VALUE"""),41698.7055555555)</f>
        <v>41698.705555555498</v>
      </c>
      <c r="T975" s="111">
        <f ca="1">IFERROR(__xludf.DUMMYFUNCTION("""COMPUTED_VALUE"""),8.67)</f>
        <v>8.67</v>
      </c>
    </row>
    <row r="976" spans="1:20" x14ac:dyDescent="0.3">
      <c r="A976" s="112">
        <f ca="1">IFERROR(__xludf.DUMMYFUNCTION("""COMPUTED_VALUE"""),41696.7055555555)</f>
        <v>41696.705555555498</v>
      </c>
      <c r="B976" s="111">
        <f ca="1">IFERROR(__xludf.DUMMYFUNCTION("""COMPUTED_VALUE"""),4.74)</f>
        <v>4.74</v>
      </c>
      <c r="C976" s="112">
        <f ca="1">IFERROR(__xludf.DUMMYFUNCTION("""COMPUTED_VALUE"""),41705.7055555555)</f>
        <v>41705.705555555498</v>
      </c>
      <c r="D976" s="111">
        <f ca="1">IFERROR(__xludf.DUMMYFUNCTION("""COMPUTED_VALUE"""),15.5)</f>
        <v>15.5</v>
      </c>
      <c r="E976" s="112">
        <f ca="1">IFERROR(__xludf.DUMMYFUNCTION("""COMPUTED_VALUE"""),41708.7055555555)</f>
        <v>41708.705555555498</v>
      </c>
      <c r="F976" s="111">
        <f ca="1">IFERROR(__xludf.DUMMYFUNCTION("""COMPUTED_VALUE"""),5.37)</f>
        <v>5.37</v>
      </c>
      <c r="G976" s="112">
        <f ca="1">IFERROR(__xludf.DUMMYFUNCTION("""COMPUTED_VALUE"""),41697.7055555555)</f>
        <v>41697.705555555498</v>
      </c>
      <c r="H976" s="111">
        <f ca="1">IFERROR(__xludf.DUMMYFUNCTION("""COMPUTED_VALUE"""),14.04)</f>
        <v>14.04</v>
      </c>
      <c r="K976" s="112">
        <f ca="1">IFERROR(__xludf.DUMMYFUNCTION("""COMPUTED_VALUE"""),42151.7055555555)</f>
        <v>42151.705555555498</v>
      </c>
      <c r="L976" s="111">
        <f ca="1">IFERROR(__xludf.DUMMYFUNCTION("""COMPUTED_VALUE"""),0.14)</f>
        <v>0.14000000000000001</v>
      </c>
      <c r="M976" s="112">
        <f ca="1">IFERROR(__xludf.DUMMYFUNCTION("""COMPUTED_VALUE"""),41611.7055555555)</f>
        <v>41611.705555555498</v>
      </c>
      <c r="N976" s="111">
        <f ca="1">IFERROR(__xludf.DUMMYFUNCTION("""COMPUTED_VALUE"""),12.76)</f>
        <v>12.76</v>
      </c>
      <c r="O976" s="112">
        <f ca="1">IFERROR(__xludf.DUMMYFUNCTION("""COMPUTED_VALUE"""),41690.7055555555)</f>
        <v>41690.705555555498</v>
      </c>
      <c r="P976" s="111">
        <f ca="1">IFERROR(__xludf.DUMMYFUNCTION("""COMPUTED_VALUE"""),34.52)</f>
        <v>34.520000000000003</v>
      </c>
      <c r="Q976" s="112">
        <f ca="1">IFERROR(__xludf.DUMMYFUNCTION("""COMPUTED_VALUE"""),41688.7055555555)</f>
        <v>41688.705555555498</v>
      </c>
      <c r="R976" s="111">
        <f ca="1">IFERROR(__xludf.DUMMYFUNCTION("""COMPUTED_VALUE"""),19.88)</f>
        <v>19.88</v>
      </c>
      <c r="S976" s="112">
        <f ca="1">IFERROR(__xludf.DUMMYFUNCTION("""COMPUTED_VALUE"""),41703.7055555555)</f>
        <v>41703.705555555498</v>
      </c>
      <c r="T976" s="111">
        <f ca="1">IFERROR(__xludf.DUMMYFUNCTION("""COMPUTED_VALUE"""),8.68)</f>
        <v>8.68</v>
      </c>
    </row>
    <row r="977" spans="1:20" x14ac:dyDescent="0.3">
      <c r="A977" s="112">
        <f ca="1">IFERROR(__xludf.DUMMYFUNCTION("""COMPUTED_VALUE"""),41697.7055555555)</f>
        <v>41697.705555555498</v>
      </c>
      <c r="B977" s="111">
        <f ca="1">IFERROR(__xludf.DUMMYFUNCTION("""COMPUTED_VALUE"""),4.94)</f>
        <v>4.9400000000000004</v>
      </c>
      <c r="C977" s="112">
        <f ca="1">IFERROR(__xludf.DUMMYFUNCTION("""COMPUTED_VALUE"""),41708.7055555555)</f>
        <v>41708.705555555498</v>
      </c>
      <c r="D977" s="111">
        <f ca="1">IFERROR(__xludf.DUMMYFUNCTION("""COMPUTED_VALUE"""),15.3)</f>
        <v>15.3</v>
      </c>
      <c r="E977" s="112">
        <f ca="1">IFERROR(__xludf.DUMMYFUNCTION("""COMPUTED_VALUE"""),41709.7055555555)</f>
        <v>41709.705555555498</v>
      </c>
      <c r="F977" s="111">
        <f ca="1">IFERROR(__xludf.DUMMYFUNCTION("""COMPUTED_VALUE"""),5.43)</f>
        <v>5.43</v>
      </c>
      <c r="G977" s="112">
        <f ca="1">IFERROR(__xludf.DUMMYFUNCTION("""COMPUTED_VALUE"""),41698.7055555555)</f>
        <v>41698.705555555498</v>
      </c>
      <c r="H977" s="111">
        <f ca="1">IFERROR(__xludf.DUMMYFUNCTION("""COMPUTED_VALUE"""),13.59)</f>
        <v>13.59</v>
      </c>
      <c r="K977" s="112">
        <f ca="1">IFERROR(__xludf.DUMMYFUNCTION("""COMPUTED_VALUE"""),42152.7055555555)</f>
        <v>42152.705555555498</v>
      </c>
      <c r="L977" s="111">
        <f ca="1">IFERROR(__xludf.DUMMYFUNCTION("""COMPUTED_VALUE"""),0.14)</f>
        <v>0.14000000000000001</v>
      </c>
      <c r="M977" s="112">
        <f ca="1">IFERROR(__xludf.DUMMYFUNCTION("""COMPUTED_VALUE"""),41612.7055555555)</f>
        <v>41612.705555555498</v>
      </c>
      <c r="N977" s="111">
        <f ca="1">IFERROR(__xludf.DUMMYFUNCTION("""COMPUTED_VALUE"""),12.57)</f>
        <v>12.57</v>
      </c>
      <c r="O977" s="112">
        <f ca="1">IFERROR(__xludf.DUMMYFUNCTION("""COMPUTED_VALUE"""),41691.7055555555)</f>
        <v>41691.705555555498</v>
      </c>
      <c r="P977" s="111">
        <f ca="1">IFERROR(__xludf.DUMMYFUNCTION("""COMPUTED_VALUE"""),34.61)</f>
        <v>34.61</v>
      </c>
      <c r="Q977" s="112">
        <f ca="1">IFERROR(__xludf.DUMMYFUNCTION("""COMPUTED_VALUE"""),41689.7055555555)</f>
        <v>41689.705555555498</v>
      </c>
      <c r="R977" s="111">
        <f ca="1">IFERROR(__xludf.DUMMYFUNCTION("""COMPUTED_VALUE"""),19.65)</f>
        <v>19.649999999999999</v>
      </c>
      <c r="S977" s="112">
        <f ca="1">IFERROR(__xludf.DUMMYFUNCTION("""COMPUTED_VALUE"""),41704.7055555555)</f>
        <v>41704.705555555498</v>
      </c>
      <c r="T977" s="111">
        <f ca="1">IFERROR(__xludf.DUMMYFUNCTION("""COMPUTED_VALUE"""),8.76)</f>
        <v>8.76</v>
      </c>
    </row>
    <row r="978" spans="1:20" x14ac:dyDescent="0.3">
      <c r="A978" s="112">
        <f ca="1">IFERROR(__xludf.DUMMYFUNCTION("""COMPUTED_VALUE"""),41698.7055555555)</f>
        <v>41698.705555555498</v>
      </c>
      <c r="B978" s="111">
        <f ca="1">IFERROR(__xludf.DUMMYFUNCTION("""COMPUTED_VALUE"""),4.94)</f>
        <v>4.9400000000000004</v>
      </c>
      <c r="C978" s="112">
        <f ca="1">IFERROR(__xludf.DUMMYFUNCTION("""COMPUTED_VALUE"""),41709.7055555555)</f>
        <v>41709.705555555498</v>
      </c>
      <c r="D978" s="111">
        <f ca="1">IFERROR(__xludf.DUMMYFUNCTION("""COMPUTED_VALUE"""),15.47)</f>
        <v>15.47</v>
      </c>
      <c r="E978" s="112">
        <f ca="1">IFERROR(__xludf.DUMMYFUNCTION("""COMPUTED_VALUE"""),41710.7055555555)</f>
        <v>41710.705555555498</v>
      </c>
      <c r="F978" s="111">
        <f ca="1">IFERROR(__xludf.DUMMYFUNCTION("""COMPUTED_VALUE"""),5.39)</f>
        <v>5.39</v>
      </c>
      <c r="G978" s="112">
        <f ca="1">IFERROR(__xludf.DUMMYFUNCTION("""COMPUTED_VALUE"""),41703.7055555555)</f>
        <v>41703.705555555498</v>
      </c>
      <c r="H978" s="111">
        <f ca="1">IFERROR(__xludf.DUMMYFUNCTION("""COMPUTED_VALUE"""),13.29)</f>
        <v>13.29</v>
      </c>
      <c r="K978" s="112">
        <f ca="1">IFERROR(__xludf.DUMMYFUNCTION("""COMPUTED_VALUE"""),42153.7055555555)</f>
        <v>42153.705555555498</v>
      </c>
      <c r="L978" s="111">
        <f ca="1">IFERROR(__xludf.DUMMYFUNCTION("""COMPUTED_VALUE"""),0.13)</f>
        <v>0.13</v>
      </c>
      <c r="M978" s="112">
        <f ca="1">IFERROR(__xludf.DUMMYFUNCTION("""COMPUTED_VALUE"""),41613.7055555555)</f>
        <v>41613.705555555498</v>
      </c>
      <c r="N978" s="111">
        <f ca="1">IFERROR(__xludf.DUMMYFUNCTION("""COMPUTED_VALUE"""),12.51)</f>
        <v>12.51</v>
      </c>
      <c r="O978" s="112">
        <f ca="1">IFERROR(__xludf.DUMMYFUNCTION("""COMPUTED_VALUE"""),41694.7055555555)</f>
        <v>41694.705555555498</v>
      </c>
      <c r="P978" s="111">
        <f ca="1">IFERROR(__xludf.DUMMYFUNCTION("""COMPUTED_VALUE"""),33.67)</f>
        <v>33.67</v>
      </c>
      <c r="Q978" s="112">
        <f ca="1">IFERROR(__xludf.DUMMYFUNCTION("""COMPUTED_VALUE"""),41690.7055555555)</f>
        <v>41690.705555555498</v>
      </c>
      <c r="R978" s="111">
        <f ca="1">IFERROR(__xludf.DUMMYFUNCTION("""COMPUTED_VALUE"""),20.45)</f>
        <v>20.45</v>
      </c>
      <c r="S978" s="112">
        <f ca="1">IFERROR(__xludf.DUMMYFUNCTION("""COMPUTED_VALUE"""),41705.7055555555)</f>
        <v>41705.705555555498</v>
      </c>
      <c r="T978" s="111">
        <f ca="1">IFERROR(__xludf.DUMMYFUNCTION("""COMPUTED_VALUE"""),8.69)</f>
        <v>8.69</v>
      </c>
    </row>
    <row r="979" spans="1:20" x14ac:dyDescent="0.3">
      <c r="A979" s="112">
        <f ca="1">IFERROR(__xludf.DUMMYFUNCTION("""COMPUTED_VALUE"""),41703.7055555555)</f>
        <v>41703.705555555498</v>
      </c>
      <c r="B979" s="111">
        <f ca="1">IFERROR(__xludf.DUMMYFUNCTION("""COMPUTED_VALUE"""),4.85)</f>
        <v>4.8499999999999996</v>
      </c>
      <c r="C979" s="112">
        <f ca="1">IFERROR(__xludf.DUMMYFUNCTION("""COMPUTED_VALUE"""),41710.7055555555)</f>
        <v>41710.705555555498</v>
      </c>
      <c r="D979" s="111">
        <f ca="1">IFERROR(__xludf.DUMMYFUNCTION("""COMPUTED_VALUE"""),15.28)</f>
        <v>15.28</v>
      </c>
      <c r="E979" s="112">
        <f ca="1">IFERROR(__xludf.DUMMYFUNCTION("""COMPUTED_VALUE"""),41711.7055555555)</f>
        <v>41711.705555555498</v>
      </c>
      <c r="F979" s="111">
        <f ca="1">IFERROR(__xludf.DUMMYFUNCTION("""COMPUTED_VALUE"""),5.31)</f>
        <v>5.31</v>
      </c>
      <c r="G979" s="112">
        <f ca="1">IFERROR(__xludf.DUMMYFUNCTION("""COMPUTED_VALUE"""),41704.7055555555)</f>
        <v>41704.705555555498</v>
      </c>
      <c r="H979" s="111">
        <f ca="1">IFERROR(__xludf.DUMMYFUNCTION("""COMPUTED_VALUE"""),13.43)</f>
        <v>13.43</v>
      </c>
      <c r="K979" s="112">
        <f ca="1">IFERROR(__xludf.DUMMYFUNCTION("""COMPUTED_VALUE"""),42156.7055555555)</f>
        <v>42156.705555555498</v>
      </c>
      <c r="L979" s="111">
        <f ca="1">IFERROR(__xludf.DUMMYFUNCTION("""COMPUTED_VALUE"""),0.14)</f>
        <v>0.14000000000000001</v>
      </c>
      <c r="M979" s="112">
        <f ca="1">IFERROR(__xludf.DUMMYFUNCTION("""COMPUTED_VALUE"""),41614.7055555555)</f>
        <v>41614.705555555498</v>
      </c>
      <c r="N979" s="111">
        <f ca="1">IFERROR(__xludf.DUMMYFUNCTION("""COMPUTED_VALUE"""),12.51)</f>
        <v>12.51</v>
      </c>
      <c r="O979" s="112">
        <f ca="1">IFERROR(__xludf.DUMMYFUNCTION("""COMPUTED_VALUE"""),41695.7055555555)</f>
        <v>41695.705555555498</v>
      </c>
      <c r="P979" s="111">
        <f ca="1">IFERROR(__xludf.DUMMYFUNCTION("""COMPUTED_VALUE"""),32.51)</f>
        <v>32.51</v>
      </c>
      <c r="Q979" s="112">
        <f ca="1">IFERROR(__xludf.DUMMYFUNCTION("""COMPUTED_VALUE"""),41691.7055555555)</f>
        <v>41691.705555555498</v>
      </c>
      <c r="R979" s="111">
        <f ca="1">IFERROR(__xludf.DUMMYFUNCTION("""COMPUTED_VALUE"""),20.23)</f>
        <v>20.23</v>
      </c>
      <c r="S979" s="112">
        <f ca="1">IFERROR(__xludf.DUMMYFUNCTION("""COMPUTED_VALUE"""),41708.7055555555)</f>
        <v>41708.705555555498</v>
      </c>
      <c r="T979" s="111">
        <f ca="1">IFERROR(__xludf.DUMMYFUNCTION("""COMPUTED_VALUE"""),8.61)</f>
        <v>8.61</v>
      </c>
    </row>
    <row r="980" spans="1:20" x14ac:dyDescent="0.3">
      <c r="A980" s="112">
        <f ca="1">IFERROR(__xludf.DUMMYFUNCTION("""COMPUTED_VALUE"""),41704.7055555555)</f>
        <v>41704.705555555498</v>
      </c>
      <c r="B980" s="111">
        <f ca="1">IFERROR(__xludf.DUMMYFUNCTION("""COMPUTED_VALUE"""),4.85)</f>
        <v>4.8499999999999996</v>
      </c>
      <c r="C980" s="112">
        <f ca="1">IFERROR(__xludf.DUMMYFUNCTION("""COMPUTED_VALUE"""),41711.7055555555)</f>
        <v>41711.705555555498</v>
      </c>
      <c r="D980" s="111">
        <f ca="1">IFERROR(__xludf.DUMMYFUNCTION("""COMPUTED_VALUE"""),15.06)</f>
        <v>15.06</v>
      </c>
      <c r="E980" s="112">
        <f ca="1">IFERROR(__xludf.DUMMYFUNCTION("""COMPUTED_VALUE"""),41712.7055555555)</f>
        <v>41712.705555555498</v>
      </c>
      <c r="F980" s="111">
        <f ca="1">IFERROR(__xludf.DUMMYFUNCTION("""COMPUTED_VALUE"""),5.21)</f>
        <v>5.21</v>
      </c>
      <c r="G980" s="112">
        <f ca="1">IFERROR(__xludf.DUMMYFUNCTION("""COMPUTED_VALUE"""),41705.7055555555)</f>
        <v>41705.705555555498</v>
      </c>
      <c r="H980" s="111">
        <f ca="1">IFERROR(__xludf.DUMMYFUNCTION("""COMPUTED_VALUE"""),13.32)</f>
        <v>13.32</v>
      </c>
      <c r="K980" s="112">
        <f ca="1">IFERROR(__xludf.DUMMYFUNCTION("""COMPUTED_VALUE"""),42157.7055555555)</f>
        <v>42157.705555555498</v>
      </c>
      <c r="L980" s="111">
        <f ca="1">IFERROR(__xludf.DUMMYFUNCTION("""COMPUTED_VALUE"""),0.13)</f>
        <v>0.13</v>
      </c>
      <c r="M980" s="112">
        <f ca="1">IFERROR(__xludf.DUMMYFUNCTION("""COMPUTED_VALUE"""),41617.7055555555)</f>
        <v>41617.705555555498</v>
      </c>
      <c r="N980" s="111">
        <f ca="1">IFERROR(__xludf.DUMMYFUNCTION("""COMPUTED_VALUE"""),12.47)</f>
        <v>12.47</v>
      </c>
      <c r="O980" s="112">
        <f ca="1">IFERROR(__xludf.DUMMYFUNCTION("""COMPUTED_VALUE"""),41696.7055555555)</f>
        <v>41696.705555555498</v>
      </c>
      <c r="P980" s="111">
        <f ca="1">IFERROR(__xludf.DUMMYFUNCTION("""COMPUTED_VALUE"""),32.59)</f>
        <v>32.590000000000003</v>
      </c>
      <c r="Q980" s="112">
        <f ca="1">IFERROR(__xludf.DUMMYFUNCTION("""COMPUTED_VALUE"""),41694.7055555555)</f>
        <v>41694.705555555498</v>
      </c>
      <c r="R980" s="111">
        <f ca="1">IFERROR(__xludf.DUMMYFUNCTION("""COMPUTED_VALUE"""),19.72)</f>
        <v>19.72</v>
      </c>
      <c r="S980" s="112">
        <f ca="1">IFERROR(__xludf.DUMMYFUNCTION("""COMPUTED_VALUE"""),41709.7055555555)</f>
        <v>41709.705555555498</v>
      </c>
      <c r="T980" s="111">
        <f ca="1">IFERROR(__xludf.DUMMYFUNCTION("""COMPUTED_VALUE"""),8.68)</f>
        <v>8.68</v>
      </c>
    </row>
    <row r="981" spans="1:20" x14ac:dyDescent="0.3">
      <c r="A981" s="112">
        <f ca="1">IFERROR(__xludf.DUMMYFUNCTION("""COMPUTED_VALUE"""),41705.7055555555)</f>
        <v>41705.705555555498</v>
      </c>
      <c r="B981" s="111">
        <f ca="1">IFERROR(__xludf.DUMMYFUNCTION("""COMPUTED_VALUE"""),4.62)</f>
        <v>4.62</v>
      </c>
      <c r="C981" s="112">
        <f ca="1">IFERROR(__xludf.DUMMYFUNCTION("""COMPUTED_VALUE"""),41712.7055555555)</f>
        <v>41712.705555555498</v>
      </c>
      <c r="D981" s="111">
        <f ca="1">IFERROR(__xludf.DUMMYFUNCTION("""COMPUTED_VALUE"""),14.67)</f>
        <v>14.67</v>
      </c>
      <c r="E981" s="112">
        <f ca="1">IFERROR(__xludf.DUMMYFUNCTION("""COMPUTED_VALUE"""),41715.7055555555)</f>
        <v>41715.705555555498</v>
      </c>
      <c r="F981" s="111">
        <f ca="1">IFERROR(__xludf.DUMMYFUNCTION("""COMPUTED_VALUE"""),5.27)</f>
        <v>5.27</v>
      </c>
      <c r="G981" s="112">
        <f ca="1">IFERROR(__xludf.DUMMYFUNCTION("""COMPUTED_VALUE"""),41708.7055555555)</f>
        <v>41708.705555555498</v>
      </c>
      <c r="H981" s="111">
        <f ca="1">IFERROR(__xludf.DUMMYFUNCTION("""COMPUTED_VALUE"""),13.01)</f>
        <v>13.01</v>
      </c>
      <c r="K981" s="112">
        <f ca="1">IFERROR(__xludf.DUMMYFUNCTION("""COMPUTED_VALUE"""),42158.7055555555)</f>
        <v>42158.705555555498</v>
      </c>
      <c r="L981" s="111">
        <f ca="1">IFERROR(__xludf.DUMMYFUNCTION("""COMPUTED_VALUE"""),0.13)</f>
        <v>0.13</v>
      </c>
      <c r="M981" s="112">
        <f ca="1">IFERROR(__xludf.DUMMYFUNCTION("""COMPUTED_VALUE"""),41618.7055555555)</f>
        <v>41618.705555555498</v>
      </c>
      <c r="N981" s="111">
        <f ca="1">IFERROR(__xludf.DUMMYFUNCTION("""COMPUTED_VALUE"""),12.42)</f>
        <v>12.42</v>
      </c>
      <c r="O981" s="112">
        <f ca="1">IFERROR(__xludf.DUMMYFUNCTION("""COMPUTED_VALUE"""),41697.7055555555)</f>
        <v>41697.705555555498</v>
      </c>
      <c r="P981" s="111">
        <f ca="1">IFERROR(__xludf.DUMMYFUNCTION("""COMPUTED_VALUE"""),33.01)</f>
        <v>33.01</v>
      </c>
      <c r="Q981" s="112">
        <f ca="1">IFERROR(__xludf.DUMMYFUNCTION("""COMPUTED_VALUE"""),41695.7055555555)</f>
        <v>41695.705555555498</v>
      </c>
      <c r="R981" s="111">
        <f ca="1">IFERROR(__xludf.DUMMYFUNCTION("""COMPUTED_VALUE"""),19.79)</f>
        <v>19.79</v>
      </c>
      <c r="S981" s="112">
        <f ca="1">IFERROR(__xludf.DUMMYFUNCTION("""COMPUTED_VALUE"""),41710.7055555555)</f>
        <v>41710.705555555498</v>
      </c>
      <c r="T981" s="111">
        <f ca="1">IFERROR(__xludf.DUMMYFUNCTION("""COMPUTED_VALUE"""),8.71)</f>
        <v>8.7100000000000009</v>
      </c>
    </row>
    <row r="982" spans="1:20" x14ac:dyDescent="0.3">
      <c r="A982" s="112">
        <f ca="1">IFERROR(__xludf.DUMMYFUNCTION("""COMPUTED_VALUE"""),41708.7055555555)</f>
        <v>41708.705555555498</v>
      </c>
      <c r="B982" s="111">
        <f ca="1">IFERROR(__xludf.DUMMYFUNCTION("""COMPUTED_VALUE"""),4.58)</f>
        <v>4.58</v>
      </c>
      <c r="C982" s="112">
        <f ca="1">IFERROR(__xludf.DUMMYFUNCTION("""COMPUTED_VALUE"""),41715.7055555555)</f>
        <v>41715.705555555498</v>
      </c>
      <c r="D982" s="111">
        <f ca="1">IFERROR(__xludf.DUMMYFUNCTION("""COMPUTED_VALUE"""),14.98)</f>
        <v>14.98</v>
      </c>
      <c r="E982" s="112">
        <f ca="1">IFERROR(__xludf.DUMMYFUNCTION("""COMPUTED_VALUE"""),41716.7055555555)</f>
        <v>41716.705555555498</v>
      </c>
      <c r="F982" s="111">
        <f ca="1">IFERROR(__xludf.DUMMYFUNCTION("""COMPUTED_VALUE"""),5.35)</f>
        <v>5.35</v>
      </c>
      <c r="G982" s="112">
        <f ca="1">IFERROR(__xludf.DUMMYFUNCTION("""COMPUTED_VALUE"""),41709.7055555555)</f>
        <v>41709.705555555498</v>
      </c>
      <c r="H982" s="111">
        <f ca="1">IFERROR(__xludf.DUMMYFUNCTION("""COMPUTED_VALUE"""),13.11)</f>
        <v>13.11</v>
      </c>
      <c r="K982" s="112">
        <f ca="1">IFERROR(__xludf.DUMMYFUNCTION("""COMPUTED_VALUE"""),42160.7055555555)</f>
        <v>42160.705555555498</v>
      </c>
      <c r="L982" s="111">
        <f ca="1">IFERROR(__xludf.DUMMYFUNCTION("""COMPUTED_VALUE"""),0.13)</f>
        <v>0.13</v>
      </c>
      <c r="M982" s="112">
        <f ca="1">IFERROR(__xludf.DUMMYFUNCTION("""COMPUTED_VALUE"""),41619.7055555555)</f>
        <v>41619.705555555498</v>
      </c>
      <c r="N982" s="111">
        <f ca="1">IFERROR(__xludf.DUMMYFUNCTION("""COMPUTED_VALUE"""),12.15)</f>
        <v>12.15</v>
      </c>
      <c r="O982" s="112">
        <f ca="1">IFERROR(__xludf.DUMMYFUNCTION("""COMPUTED_VALUE"""),41698.7055555555)</f>
        <v>41698.705555555498</v>
      </c>
      <c r="P982" s="111">
        <f ca="1">IFERROR(__xludf.DUMMYFUNCTION("""COMPUTED_VALUE"""),33)</f>
        <v>33</v>
      </c>
      <c r="Q982" s="112">
        <f ca="1">IFERROR(__xludf.DUMMYFUNCTION("""COMPUTED_VALUE"""),41696.7055555555)</f>
        <v>41696.705555555498</v>
      </c>
      <c r="R982" s="111">
        <f ca="1">IFERROR(__xludf.DUMMYFUNCTION("""COMPUTED_VALUE"""),19.51)</f>
        <v>19.510000000000002</v>
      </c>
      <c r="S982" s="112">
        <f ca="1">IFERROR(__xludf.DUMMYFUNCTION("""COMPUTED_VALUE"""),41711.7055555555)</f>
        <v>41711.705555555498</v>
      </c>
      <c r="T982" s="111">
        <f ca="1">IFERROR(__xludf.DUMMYFUNCTION("""COMPUTED_VALUE"""),8.7)</f>
        <v>8.6999999999999993</v>
      </c>
    </row>
    <row r="983" spans="1:20" x14ac:dyDescent="0.3">
      <c r="A983" s="112">
        <f ca="1">IFERROR(__xludf.DUMMYFUNCTION("""COMPUTED_VALUE"""),41709.7055555555)</f>
        <v>41709.705555555498</v>
      </c>
      <c r="B983" s="111">
        <f ca="1">IFERROR(__xludf.DUMMYFUNCTION("""COMPUTED_VALUE"""),4.65)</f>
        <v>4.6500000000000004</v>
      </c>
      <c r="C983" s="112">
        <f ca="1">IFERROR(__xludf.DUMMYFUNCTION("""COMPUTED_VALUE"""),41716.7055555555)</f>
        <v>41716.705555555498</v>
      </c>
      <c r="D983" s="111">
        <f ca="1">IFERROR(__xludf.DUMMYFUNCTION("""COMPUTED_VALUE"""),15.26)</f>
        <v>15.26</v>
      </c>
      <c r="E983" s="112">
        <f ca="1">IFERROR(__xludf.DUMMYFUNCTION("""COMPUTED_VALUE"""),41717.7055555555)</f>
        <v>41717.705555555498</v>
      </c>
      <c r="F983" s="111">
        <f ca="1">IFERROR(__xludf.DUMMYFUNCTION("""COMPUTED_VALUE"""),5.37)</f>
        <v>5.37</v>
      </c>
      <c r="G983" s="112">
        <f ca="1">IFERROR(__xludf.DUMMYFUNCTION("""COMPUTED_VALUE"""),41710.7055555555)</f>
        <v>41710.705555555498</v>
      </c>
      <c r="H983" s="111">
        <f ca="1">IFERROR(__xludf.DUMMYFUNCTION("""COMPUTED_VALUE"""),13.32)</f>
        <v>13.32</v>
      </c>
      <c r="K983" s="112">
        <f ca="1">IFERROR(__xludf.DUMMYFUNCTION("""COMPUTED_VALUE"""),42163.7055555555)</f>
        <v>42163.705555555498</v>
      </c>
      <c r="L983" s="111">
        <f ca="1">IFERROR(__xludf.DUMMYFUNCTION("""COMPUTED_VALUE"""),0.13)</f>
        <v>0.13</v>
      </c>
      <c r="M983" s="112">
        <f ca="1">IFERROR(__xludf.DUMMYFUNCTION("""COMPUTED_VALUE"""),41620.7055555555)</f>
        <v>41620.705555555498</v>
      </c>
      <c r="N983" s="111">
        <f ca="1">IFERROR(__xludf.DUMMYFUNCTION("""COMPUTED_VALUE"""),12.25)</f>
        <v>12.25</v>
      </c>
      <c r="O983" s="112">
        <f ca="1">IFERROR(__xludf.DUMMYFUNCTION("""COMPUTED_VALUE"""),41703.7055555555)</f>
        <v>41703.705555555498</v>
      </c>
      <c r="P983" s="111">
        <f ca="1">IFERROR(__xludf.DUMMYFUNCTION("""COMPUTED_VALUE"""),31.85)</f>
        <v>31.85</v>
      </c>
      <c r="Q983" s="112">
        <f ca="1">IFERROR(__xludf.DUMMYFUNCTION("""COMPUTED_VALUE"""),41697.7055555555)</f>
        <v>41697.705555555498</v>
      </c>
      <c r="R983" s="111">
        <f ca="1">IFERROR(__xludf.DUMMYFUNCTION("""COMPUTED_VALUE"""),20.29)</f>
        <v>20.29</v>
      </c>
      <c r="S983" s="112">
        <f ca="1">IFERROR(__xludf.DUMMYFUNCTION("""COMPUTED_VALUE"""),41712.7055555555)</f>
        <v>41712.705555555498</v>
      </c>
      <c r="T983" s="111">
        <f ca="1">IFERROR(__xludf.DUMMYFUNCTION("""COMPUTED_VALUE"""),8.68)</f>
        <v>8.68</v>
      </c>
    </row>
    <row r="984" spans="1:20" x14ac:dyDescent="0.3">
      <c r="A984" s="112">
        <f ca="1">IFERROR(__xludf.DUMMYFUNCTION("""COMPUTED_VALUE"""),41710.7055555555)</f>
        <v>41710.705555555498</v>
      </c>
      <c r="B984" s="111">
        <f ca="1">IFERROR(__xludf.DUMMYFUNCTION("""COMPUTED_VALUE"""),4.9)</f>
        <v>4.9000000000000004</v>
      </c>
      <c r="C984" s="112">
        <f ca="1">IFERROR(__xludf.DUMMYFUNCTION("""COMPUTED_VALUE"""),41717.7055555555)</f>
        <v>41717.705555555498</v>
      </c>
      <c r="D984" s="111">
        <f ca="1">IFERROR(__xludf.DUMMYFUNCTION("""COMPUTED_VALUE"""),15.33)</f>
        <v>15.33</v>
      </c>
      <c r="E984" s="112">
        <f ca="1">IFERROR(__xludf.DUMMYFUNCTION("""COMPUTED_VALUE"""),41718.7055555555)</f>
        <v>41718.705555555498</v>
      </c>
      <c r="F984" s="111">
        <f ca="1">IFERROR(__xludf.DUMMYFUNCTION("""COMPUTED_VALUE"""),5.55)</f>
        <v>5.55</v>
      </c>
      <c r="G984" s="112">
        <f ca="1">IFERROR(__xludf.DUMMYFUNCTION("""COMPUTED_VALUE"""),41711.7055555555)</f>
        <v>41711.705555555498</v>
      </c>
      <c r="H984" s="111">
        <f ca="1">IFERROR(__xludf.DUMMYFUNCTION("""COMPUTED_VALUE"""),13.03)</f>
        <v>13.03</v>
      </c>
      <c r="K984" s="112">
        <f ca="1">IFERROR(__xludf.DUMMYFUNCTION("""COMPUTED_VALUE"""),42164.7055555555)</f>
        <v>42164.705555555498</v>
      </c>
      <c r="L984" s="111">
        <f ca="1">IFERROR(__xludf.DUMMYFUNCTION("""COMPUTED_VALUE"""),0.13)</f>
        <v>0.13</v>
      </c>
      <c r="M984" s="112">
        <f ca="1">IFERROR(__xludf.DUMMYFUNCTION("""COMPUTED_VALUE"""),41621.7055555555)</f>
        <v>41621.705555555498</v>
      </c>
      <c r="N984" s="111">
        <f ca="1">IFERROR(__xludf.DUMMYFUNCTION("""COMPUTED_VALUE"""),12.3)</f>
        <v>12.3</v>
      </c>
      <c r="O984" s="112">
        <f ca="1">IFERROR(__xludf.DUMMYFUNCTION("""COMPUTED_VALUE"""),41704.7055555555)</f>
        <v>41704.705555555498</v>
      </c>
      <c r="P984" s="111">
        <f ca="1">IFERROR(__xludf.DUMMYFUNCTION("""COMPUTED_VALUE"""),31.75)</f>
        <v>31.75</v>
      </c>
      <c r="Q984" s="112">
        <f ca="1">IFERROR(__xludf.DUMMYFUNCTION("""COMPUTED_VALUE"""),41698.7055555555)</f>
        <v>41698.705555555498</v>
      </c>
      <c r="R984" s="111">
        <f ca="1">IFERROR(__xludf.DUMMYFUNCTION("""COMPUTED_VALUE"""),20.7)</f>
        <v>20.7</v>
      </c>
      <c r="S984" s="112">
        <f ca="1">IFERROR(__xludf.DUMMYFUNCTION("""COMPUTED_VALUE"""),41715.7055555555)</f>
        <v>41715.705555555498</v>
      </c>
      <c r="T984" s="111">
        <f ca="1">IFERROR(__xludf.DUMMYFUNCTION("""COMPUTED_VALUE"""),8.75)</f>
        <v>8.75</v>
      </c>
    </row>
    <row r="985" spans="1:20" x14ac:dyDescent="0.3">
      <c r="A985" s="112">
        <f ca="1">IFERROR(__xludf.DUMMYFUNCTION("""COMPUTED_VALUE"""),41711.7055555555)</f>
        <v>41711.705555555498</v>
      </c>
      <c r="B985" s="111">
        <f ca="1">IFERROR(__xludf.DUMMYFUNCTION("""COMPUTED_VALUE"""),4.99)</f>
        <v>4.99</v>
      </c>
      <c r="C985" s="112">
        <f ca="1">IFERROR(__xludf.DUMMYFUNCTION("""COMPUTED_VALUE"""),41718.7055555555)</f>
        <v>41718.705555555498</v>
      </c>
      <c r="D985" s="111">
        <f ca="1">IFERROR(__xludf.DUMMYFUNCTION("""COMPUTED_VALUE"""),15.65)</f>
        <v>15.65</v>
      </c>
      <c r="E985" s="112">
        <f ca="1">IFERROR(__xludf.DUMMYFUNCTION("""COMPUTED_VALUE"""),41719.7055555555)</f>
        <v>41719.705555555498</v>
      </c>
      <c r="F985" s="111">
        <f ca="1">IFERROR(__xludf.DUMMYFUNCTION("""COMPUTED_VALUE"""),5.52)</f>
        <v>5.52</v>
      </c>
      <c r="G985" s="112">
        <f ca="1">IFERROR(__xludf.DUMMYFUNCTION("""COMPUTED_VALUE"""),41712.7055555555)</f>
        <v>41712.705555555498</v>
      </c>
      <c r="H985" s="111">
        <f ca="1">IFERROR(__xludf.DUMMYFUNCTION("""COMPUTED_VALUE"""),12.78)</f>
        <v>12.78</v>
      </c>
      <c r="K985" s="112">
        <f ca="1">IFERROR(__xludf.DUMMYFUNCTION("""COMPUTED_VALUE"""),42165.7055555555)</f>
        <v>42165.705555555498</v>
      </c>
      <c r="L985" s="111">
        <f ca="1">IFERROR(__xludf.DUMMYFUNCTION("""COMPUTED_VALUE"""),0.13)</f>
        <v>0.13</v>
      </c>
      <c r="M985" s="112">
        <f ca="1">IFERROR(__xludf.DUMMYFUNCTION("""COMPUTED_VALUE"""),41624.7055555555)</f>
        <v>41624.705555555498</v>
      </c>
      <c r="N985" s="111">
        <f ca="1">IFERROR(__xludf.DUMMYFUNCTION("""COMPUTED_VALUE"""),12.38)</f>
        <v>12.38</v>
      </c>
      <c r="O985" s="112">
        <f ca="1">IFERROR(__xludf.DUMMYFUNCTION("""COMPUTED_VALUE"""),41705.7055555555)</f>
        <v>41705.705555555498</v>
      </c>
      <c r="P985" s="111">
        <f ca="1">IFERROR(__xludf.DUMMYFUNCTION("""COMPUTED_VALUE"""),30.55)</f>
        <v>30.55</v>
      </c>
      <c r="Q985" s="112">
        <f ca="1">IFERROR(__xludf.DUMMYFUNCTION("""COMPUTED_VALUE"""),41703.7055555555)</f>
        <v>41703.705555555498</v>
      </c>
      <c r="R985" s="111">
        <f ca="1">IFERROR(__xludf.DUMMYFUNCTION("""COMPUTED_VALUE"""),20.7)</f>
        <v>20.7</v>
      </c>
      <c r="S985" s="112">
        <f ca="1">IFERROR(__xludf.DUMMYFUNCTION("""COMPUTED_VALUE"""),41716.7055555555)</f>
        <v>41716.705555555498</v>
      </c>
      <c r="T985" s="111">
        <f ca="1">IFERROR(__xludf.DUMMYFUNCTION("""COMPUTED_VALUE"""),8.92)</f>
        <v>8.92</v>
      </c>
    </row>
    <row r="986" spans="1:20" x14ac:dyDescent="0.3">
      <c r="A986" s="112">
        <f ca="1">IFERROR(__xludf.DUMMYFUNCTION("""COMPUTED_VALUE"""),41712.7055555555)</f>
        <v>41712.705555555498</v>
      </c>
      <c r="B986" s="111">
        <f ca="1">IFERROR(__xludf.DUMMYFUNCTION("""COMPUTED_VALUE"""),4.84)</f>
        <v>4.84</v>
      </c>
      <c r="C986" s="112">
        <f ca="1">IFERROR(__xludf.DUMMYFUNCTION("""COMPUTED_VALUE"""),41719.7055555555)</f>
        <v>41719.705555555498</v>
      </c>
      <c r="D986" s="111">
        <f ca="1">IFERROR(__xludf.DUMMYFUNCTION("""COMPUTED_VALUE"""),15.71)</f>
        <v>15.71</v>
      </c>
      <c r="E986" s="112">
        <f ca="1">IFERROR(__xludf.DUMMYFUNCTION("""COMPUTED_VALUE"""),41722.7055555555)</f>
        <v>41722.705555555498</v>
      </c>
      <c r="F986" s="111">
        <f ca="1">IFERROR(__xludf.DUMMYFUNCTION("""COMPUTED_VALUE"""),5.73)</f>
        <v>5.73</v>
      </c>
      <c r="G986" s="112">
        <f ca="1">IFERROR(__xludf.DUMMYFUNCTION("""COMPUTED_VALUE"""),41715.7055555555)</f>
        <v>41715.705555555498</v>
      </c>
      <c r="H986" s="111">
        <f ca="1">IFERROR(__xludf.DUMMYFUNCTION("""COMPUTED_VALUE"""),12.57)</f>
        <v>12.57</v>
      </c>
      <c r="K986" s="112">
        <f ca="1">IFERROR(__xludf.DUMMYFUNCTION("""COMPUTED_VALUE"""),42166.7055555555)</f>
        <v>42166.705555555498</v>
      </c>
      <c r="L986" s="111">
        <f ca="1">IFERROR(__xludf.DUMMYFUNCTION("""COMPUTED_VALUE"""),0.12)</f>
        <v>0.12</v>
      </c>
      <c r="M986" s="112">
        <f ca="1">IFERROR(__xludf.DUMMYFUNCTION("""COMPUTED_VALUE"""),41625.7055555555)</f>
        <v>41625.705555555498</v>
      </c>
      <c r="N986" s="111">
        <f ca="1">IFERROR(__xludf.DUMMYFUNCTION("""COMPUTED_VALUE"""),12.36)</f>
        <v>12.36</v>
      </c>
      <c r="O986" s="112">
        <f ca="1">IFERROR(__xludf.DUMMYFUNCTION("""COMPUTED_VALUE"""),41708.7055555555)</f>
        <v>41708.705555555498</v>
      </c>
      <c r="P986" s="111">
        <f ca="1">IFERROR(__xludf.DUMMYFUNCTION("""COMPUTED_VALUE"""),30.04)</f>
        <v>30.04</v>
      </c>
      <c r="Q986" s="112">
        <f ca="1">IFERROR(__xludf.DUMMYFUNCTION("""COMPUTED_VALUE"""),41704.7055555555)</f>
        <v>41704.705555555498</v>
      </c>
      <c r="R986" s="111">
        <f ca="1">IFERROR(__xludf.DUMMYFUNCTION("""COMPUTED_VALUE"""),20.25)</f>
        <v>20.25</v>
      </c>
      <c r="S986" s="112">
        <f ca="1">IFERROR(__xludf.DUMMYFUNCTION("""COMPUTED_VALUE"""),41717.7055555555)</f>
        <v>41717.705555555498</v>
      </c>
      <c r="T986" s="111">
        <f ca="1">IFERROR(__xludf.DUMMYFUNCTION("""COMPUTED_VALUE"""),8.94)</f>
        <v>8.94</v>
      </c>
    </row>
    <row r="987" spans="1:20" x14ac:dyDescent="0.3">
      <c r="A987" s="112">
        <f ca="1">IFERROR(__xludf.DUMMYFUNCTION("""COMPUTED_VALUE"""),41715.7055555555)</f>
        <v>41715.705555555498</v>
      </c>
      <c r="B987" s="111">
        <f ca="1">IFERROR(__xludf.DUMMYFUNCTION("""COMPUTED_VALUE"""),4.92)</f>
        <v>4.92</v>
      </c>
      <c r="C987" s="112">
        <f ca="1">IFERROR(__xludf.DUMMYFUNCTION("""COMPUTED_VALUE"""),41722.7055555555)</f>
        <v>41722.705555555498</v>
      </c>
      <c r="D987" s="111">
        <f ca="1">IFERROR(__xludf.DUMMYFUNCTION("""COMPUTED_VALUE"""),16.26)</f>
        <v>16.260000000000002</v>
      </c>
      <c r="E987" s="112">
        <f ca="1">IFERROR(__xludf.DUMMYFUNCTION("""COMPUTED_VALUE"""),41723.7055555555)</f>
        <v>41723.705555555498</v>
      </c>
      <c r="F987" s="111">
        <f ca="1">IFERROR(__xludf.DUMMYFUNCTION("""COMPUTED_VALUE"""),5.76)</f>
        <v>5.76</v>
      </c>
      <c r="G987" s="112">
        <f ca="1">IFERROR(__xludf.DUMMYFUNCTION("""COMPUTED_VALUE"""),41716.7055555555)</f>
        <v>41716.705555555498</v>
      </c>
      <c r="H987" s="111">
        <f ca="1">IFERROR(__xludf.DUMMYFUNCTION("""COMPUTED_VALUE"""),12.97)</f>
        <v>12.97</v>
      </c>
      <c r="K987" s="112">
        <f ca="1">IFERROR(__xludf.DUMMYFUNCTION("""COMPUTED_VALUE"""),42167.7055555555)</f>
        <v>42167.705555555498</v>
      </c>
      <c r="L987" s="111">
        <f ca="1">IFERROR(__xludf.DUMMYFUNCTION("""COMPUTED_VALUE"""),0.12)</f>
        <v>0.12</v>
      </c>
      <c r="M987" s="112">
        <f ca="1">IFERROR(__xludf.DUMMYFUNCTION("""COMPUTED_VALUE"""),41626.7055555555)</f>
        <v>41626.705555555498</v>
      </c>
      <c r="N987" s="111">
        <f ca="1">IFERROR(__xludf.DUMMYFUNCTION("""COMPUTED_VALUE"""),12.44)</f>
        <v>12.44</v>
      </c>
      <c r="O987" s="112">
        <f ca="1">IFERROR(__xludf.DUMMYFUNCTION("""COMPUTED_VALUE"""),41709.7055555555)</f>
        <v>41709.705555555498</v>
      </c>
      <c r="P987" s="111">
        <f ca="1">IFERROR(__xludf.DUMMYFUNCTION("""COMPUTED_VALUE"""),29.55)</f>
        <v>29.55</v>
      </c>
      <c r="Q987" s="112">
        <f ca="1">IFERROR(__xludf.DUMMYFUNCTION("""COMPUTED_VALUE"""),41705.7055555555)</f>
        <v>41705.705555555498</v>
      </c>
      <c r="R987" s="111">
        <f ca="1">IFERROR(__xludf.DUMMYFUNCTION("""COMPUTED_VALUE"""),19.88)</f>
        <v>19.88</v>
      </c>
      <c r="S987" s="112">
        <f ca="1">IFERROR(__xludf.DUMMYFUNCTION("""COMPUTED_VALUE"""),41718.7055555555)</f>
        <v>41718.705555555498</v>
      </c>
      <c r="T987" s="111">
        <f ca="1">IFERROR(__xludf.DUMMYFUNCTION("""COMPUTED_VALUE"""),8.98)</f>
        <v>8.98</v>
      </c>
    </row>
    <row r="988" spans="1:20" x14ac:dyDescent="0.3">
      <c r="A988" s="112">
        <f ca="1">IFERROR(__xludf.DUMMYFUNCTION("""COMPUTED_VALUE"""),41716.7055555555)</f>
        <v>41716.705555555498</v>
      </c>
      <c r="B988" s="111">
        <f ca="1">IFERROR(__xludf.DUMMYFUNCTION("""COMPUTED_VALUE"""),5.15)</f>
        <v>5.15</v>
      </c>
      <c r="C988" s="112">
        <f ca="1">IFERROR(__xludf.DUMMYFUNCTION("""COMPUTED_VALUE"""),41723.7055555555)</f>
        <v>41723.705555555498</v>
      </c>
      <c r="D988" s="111">
        <f ca="1">IFERROR(__xludf.DUMMYFUNCTION("""COMPUTED_VALUE"""),16.25)</f>
        <v>16.25</v>
      </c>
      <c r="E988" s="112">
        <f ca="1">IFERROR(__xludf.DUMMYFUNCTION("""COMPUTED_VALUE"""),41724.7055555555)</f>
        <v>41724.705555555498</v>
      </c>
      <c r="F988" s="111">
        <f ca="1">IFERROR(__xludf.DUMMYFUNCTION("""COMPUTED_VALUE"""),5.76)</f>
        <v>5.76</v>
      </c>
      <c r="G988" s="112">
        <f ca="1">IFERROR(__xludf.DUMMYFUNCTION("""COMPUTED_VALUE"""),41717.7055555555)</f>
        <v>41717.705555555498</v>
      </c>
      <c r="H988" s="111">
        <f ca="1">IFERROR(__xludf.DUMMYFUNCTION("""COMPUTED_VALUE"""),13.34)</f>
        <v>13.34</v>
      </c>
      <c r="K988" s="112">
        <f ca="1">IFERROR(__xludf.DUMMYFUNCTION("""COMPUTED_VALUE"""),42170.7055555555)</f>
        <v>42170.705555555498</v>
      </c>
      <c r="L988" s="111">
        <f ca="1">IFERROR(__xludf.DUMMYFUNCTION("""COMPUTED_VALUE"""),0.12)</f>
        <v>0.12</v>
      </c>
      <c r="M988" s="112">
        <f ca="1">IFERROR(__xludf.DUMMYFUNCTION("""COMPUTED_VALUE"""),41627.7055555555)</f>
        <v>41627.705555555498</v>
      </c>
      <c r="N988" s="111">
        <f ca="1">IFERROR(__xludf.DUMMYFUNCTION("""COMPUTED_VALUE"""),12.65)</f>
        <v>12.65</v>
      </c>
      <c r="O988" s="112">
        <f ca="1">IFERROR(__xludf.DUMMYFUNCTION("""COMPUTED_VALUE"""),41710.7055555555)</f>
        <v>41710.705555555498</v>
      </c>
      <c r="P988" s="111">
        <f ca="1">IFERROR(__xludf.DUMMYFUNCTION("""COMPUTED_VALUE"""),30.11)</f>
        <v>30.11</v>
      </c>
      <c r="Q988" s="112">
        <f ca="1">IFERROR(__xludf.DUMMYFUNCTION("""COMPUTED_VALUE"""),41708.7055555555)</f>
        <v>41708.705555555498</v>
      </c>
      <c r="R988" s="111">
        <f ca="1">IFERROR(__xludf.DUMMYFUNCTION("""COMPUTED_VALUE"""),19.7)</f>
        <v>19.7</v>
      </c>
      <c r="S988" s="112">
        <f ca="1">IFERROR(__xludf.DUMMYFUNCTION("""COMPUTED_VALUE"""),41719.7055555555)</f>
        <v>41719.705555555498</v>
      </c>
      <c r="T988" s="111">
        <f ca="1">IFERROR(__xludf.DUMMYFUNCTION("""COMPUTED_VALUE"""),9.03)</f>
        <v>9.0299999999999994</v>
      </c>
    </row>
    <row r="989" spans="1:20" x14ac:dyDescent="0.3">
      <c r="A989" s="112">
        <f ca="1">IFERROR(__xludf.DUMMYFUNCTION("""COMPUTED_VALUE"""),41717.7055555555)</f>
        <v>41717.705555555498</v>
      </c>
      <c r="B989" s="111">
        <f ca="1">IFERROR(__xludf.DUMMYFUNCTION("""COMPUTED_VALUE"""),5.47)</f>
        <v>5.47</v>
      </c>
      <c r="C989" s="112">
        <f ca="1">IFERROR(__xludf.DUMMYFUNCTION("""COMPUTED_VALUE"""),41724.7055555555)</f>
        <v>41724.705555555498</v>
      </c>
      <c r="D989" s="111">
        <f ca="1">IFERROR(__xludf.DUMMYFUNCTION("""COMPUTED_VALUE"""),16.39)</f>
        <v>16.39</v>
      </c>
      <c r="E989" s="112">
        <f ca="1">IFERROR(__xludf.DUMMYFUNCTION("""COMPUTED_VALUE"""),41725.7055555555)</f>
        <v>41725.705555555498</v>
      </c>
      <c r="F989" s="111">
        <f ca="1">IFERROR(__xludf.DUMMYFUNCTION("""COMPUTED_VALUE"""),5.94)</f>
        <v>5.94</v>
      </c>
      <c r="G989" s="112">
        <f ca="1">IFERROR(__xludf.DUMMYFUNCTION("""COMPUTED_VALUE"""),41718.7055555555)</f>
        <v>41718.705555555498</v>
      </c>
      <c r="H989" s="111">
        <f ca="1">IFERROR(__xludf.DUMMYFUNCTION("""COMPUTED_VALUE"""),13.99)</f>
        <v>13.99</v>
      </c>
      <c r="K989" s="112">
        <f ca="1">IFERROR(__xludf.DUMMYFUNCTION("""COMPUTED_VALUE"""),42171.7055555555)</f>
        <v>42171.705555555498</v>
      </c>
      <c r="L989" s="111">
        <f ca="1">IFERROR(__xludf.DUMMYFUNCTION("""COMPUTED_VALUE"""),0.12)</f>
        <v>0.12</v>
      </c>
      <c r="M989" s="112">
        <f ca="1">IFERROR(__xludf.DUMMYFUNCTION("""COMPUTED_VALUE"""),41628.7055555555)</f>
        <v>41628.705555555498</v>
      </c>
      <c r="N989" s="111">
        <f ca="1">IFERROR(__xludf.DUMMYFUNCTION("""COMPUTED_VALUE"""),12.45)</f>
        <v>12.45</v>
      </c>
      <c r="O989" s="112">
        <f ca="1">IFERROR(__xludf.DUMMYFUNCTION("""COMPUTED_VALUE"""),41711.7055555555)</f>
        <v>41711.705555555498</v>
      </c>
      <c r="P989" s="111">
        <f ca="1">IFERROR(__xludf.DUMMYFUNCTION("""COMPUTED_VALUE"""),29.14)</f>
        <v>29.14</v>
      </c>
      <c r="Q989" s="112">
        <f ca="1">IFERROR(__xludf.DUMMYFUNCTION("""COMPUTED_VALUE"""),41709.7055555555)</f>
        <v>41709.705555555498</v>
      </c>
      <c r="R989" s="111">
        <f ca="1">IFERROR(__xludf.DUMMYFUNCTION("""COMPUTED_VALUE"""),19.21)</f>
        <v>19.21</v>
      </c>
      <c r="S989" s="112">
        <f ca="1">IFERROR(__xludf.DUMMYFUNCTION("""COMPUTED_VALUE"""),41722.7055555555)</f>
        <v>41722.705555555498</v>
      </c>
      <c r="T989" s="111">
        <f ca="1">IFERROR(__xludf.DUMMYFUNCTION("""COMPUTED_VALUE"""),9.18)</f>
        <v>9.18</v>
      </c>
    </row>
    <row r="990" spans="1:20" x14ac:dyDescent="0.3">
      <c r="A990" s="112">
        <f ca="1">IFERROR(__xludf.DUMMYFUNCTION("""COMPUTED_VALUE"""),41718.7055555555)</f>
        <v>41718.705555555498</v>
      </c>
      <c r="B990" s="111">
        <f ca="1">IFERROR(__xludf.DUMMYFUNCTION("""COMPUTED_VALUE"""),5.71)</f>
        <v>5.71</v>
      </c>
      <c r="C990" s="112">
        <f ca="1">IFERROR(__xludf.DUMMYFUNCTION("""COMPUTED_VALUE"""),41725.7055555555)</f>
        <v>41725.705555555498</v>
      </c>
      <c r="D990" s="111">
        <f ca="1">IFERROR(__xludf.DUMMYFUNCTION("""COMPUTED_VALUE"""),16.75)</f>
        <v>16.75</v>
      </c>
      <c r="E990" s="112">
        <f ca="1">IFERROR(__xludf.DUMMYFUNCTION("""COMPUTED_VALUE"""),41726.7055555555)</f>
        <v>41726.705555555498</v>
      </c>
      <c r="F990" s="111">
        <f ca="1">IFERROR(__xludf.DUMMYFUNCTION("""COMPUTED_VALUE"""),5.9)</f>
        <v>5.9</v>
      </c>
      <c r="G990" s="112">
        <f ca="1">IFERROR(__xludf.DUMMYFUNCTION("""COMPUTED_VALUE"""),41719.7055555555)</f>
        <v>41719.705555555498</v>
      </c>
      <c r="H990" s="111">
        <f ca="1">IFERROR(__xludf.DUMMYFUNCTION("""COMPUTED_VALUE"""),14.02)</f>
        <v>14.02</v>
      </c>
      <c r="K990" s="112">
        <f ca="1">IFERROR(__xludf.DUMMYFUNCTION("""COMPUTED_VALUE"""),42172.7055555555)</f>
        <v>42172.705555555498</v>
      </c>
      <c r="L990" s="111">
        <f ca="1">IFERROR(__xludf.DUMMYFUNCTION("""COMPUTED_VALUE"""),0.12)</f>
        <v>0.12</v>
      </c>
      <c r="M990" s="112">
        <f ca="1">IFERROR(__xludf.DUMMYFUNCTION("""COMPUTED_VALUE"""),41631.7055555555)</f>
        <v>41631.705555555498</v>
      </c>
      <c r="N990" s="111">
        <f ca="1">IFERROR(__xludf.DUMMYFUNCTION("""COMPUTED_VALUE"""),12.53)</f>
        <v>12.53</v>
      </c>
      <c r="O990" s="112">
        <f ca="1">IFERROR(__xludf.DUMMYFUNCTION("""COMPUTED_VALUE"""),41712.7055555555)</f>
        <v>41712.705555555498</v>
      </c>
      <c r="P990" s="111">
        <f ca="1">IFERROR(__xludf.DUMMYFUNCTION("""COMPUTED_VALUE"""),29.26)</f>
        <v>29.26</v>
      </c>
      <c r="Q990" s="112">
        <f ca="1">IFERROR(__xludf.DUMMYFUNCTION("""COMPUTED_VALUE"""),41710.7055555555)</f>
        <v>41710.705555555498</v>
      </c>
      <c r="R990" s="111">
        <f ca="1">IFERROR(__xludf.DUMMYFUNCTION("""COMPUTED_VALUE"""),19.25)</f>
        <v>19.25</v>
      </c>
      <c r="S990" s="112">
        <f ca="1">IFERROR(__xludf.DUMMYFUNCTION("""COMPUTED_VALUE"""),41723.7055555555)</f>
        <v>41723.705555555498</v>
      </c>
      <c r="T990" s="111">
        <f ca="1">IFERROR(__xludf.DUMMYFUNCTION("""COMPUTED_VALUE"""),9.14)</f>
        <v>9.14</v>
      </c>
    </row>
    <row r="991" spans="1:20" x14ac:dyDescent="0.3">
      <c r="A991" s="112">
        <f ca="1">IFERROR(__xludf.DUMMYFUNCTION("""COMPUTED_VALUE"""),41719.7055555555)</f>
        <v>41719.705555555498</v>
      </c>
      <c r="B991" s="111">
        <f ca="1">IFERROR(__xludf.DUMMYFUNCTION("""COMPUTED_VALUE"""),5.69)</f>
        <v>5.69</v>
      </c>
      <c r="C991" s="112">
        <f ca="1">IFERROR(__xludf.DUMMYFUNCTION("""COMPUTED_VALUE"""),41726.7055555555)</f>
        <v>41726.705555555498</v>
      </c>
      <c r="D991" s="111">
        <f ca="1">IFERROR(__xludf.DUMMYFUNCTION("""COMPUTED_VALUE"""),16.65)</f>
        <v>16.649999999999999</v>
      </c>
      <c r="E991" s="112">
        <f ca="1">IFERROR(__xludf.DUMMYFUNCTION("""COMPUTED_VALUE"""),41729.7055555555)</f>
        <v>41729.705555555498</v>
      </c>
      <c r="F991" s="111">
        <f ca="1">IFERROR(__xludf.DUMMYFUNCTION("""COMPUTED_VALUE"""),6.02)</f>
        <v>6.02</v>
      </c>
      <c r="G991" s="112">
        <f ca="1">IFERROR(__xludf.DUMMYFUNCTION("""COMPUTED_VALUE"""),41722.7055555555)</f>
        <v>41722.705555555498</v>
      </c>
      <c r="H991" s="111">
        <f ca="1">IFERROR(__xludf.DUMMYFUNCTION("""COMPUTED_VALUE"""),14.42)</f>
        <v>14.42</v>
      </c>
      <c r="K991" s="112">
        <f ca="1">IFERROR(__xludf.DUMMYFUNCTION("""COMPUTED_VALUE"""),42173.7055555555)</f>
        <v>42173.705555555498</v>
      </c>
      <c r="L991" s="111">
        <f ca="1">IFERROR(__xludf.DUMMYFUNCTION("""COMPUTED_VALUE"""),0.12)</f>
        <v>0.12</v>
      </c>
      <c r="M991" s="112">
        <f ca="1">IFERROR(__xludf.DUMMYFUNCTION("""COMPUTED_VALUE"""),41634.7055555555)</f>
        <v>41634.705555555498</v>
      </c>
      <c r="N991" s="111">
        <f ca="1">IFERROR(__xludf.DUMMYFUNCTION("""COMPUTED_VALUE"""),12.37)</f>
        <v>12.37</v>
      </c>
      <c r="O991" s="112">
        <f ca="1">IFERROR(__xludf.DUMMYFUNCTION("""COMPUTED_VALUE"""),41715.7055555555)</f>
        <v>41715.705555555498</v>
      </c>
      <c r="P991" s="111">
        <f ca="1">IFERROR(__xludf.DUMMYFUNCTION("""COMPUTED_VALUE"""),29.31)</f>
        <v>29.31</v>
      </c>
      <c r="Q991" s="112">
        <f ca="1">IFERROR(__xludf.DUMMYFUNCTION("""COMPUTED_VALUE"""),41711.7055555555)</f>
        <v>41711.705555555498</v>
      </c>
      <c r="R991" s="111">
        <f ca="1">IFERROR(__xludf.DUMMYFUNCTION("""COMPUTED_VALUE"""),19.2)</f>
        <v>19.2</v>
      </c>
      <c r="S991" s="112">
        <f ca="1">IFERROR(__xludf.DUMMYFUNCTION("""COMPUTED_VALUE"""),41724.7055555555)</f>
        <v>41724.705555555498</v>
      </c>
      <c r="T991" s="111">
        <f ca="1">IFERROR(__xludf.DUMMYFUNCTION("""COMPUTED_VALUE"""),9.02)</f>
        <v>9.02</v>
      </c>
    </row>
    <row r="992" spans="1:20" x14ac:dyDescent="0.3">
      <c r="A992" s="112">
        <f ca="1">IFERROR(__xludf.DUMMYFUNCTION("""COMPUTED_VALUE"""),41722.7055555555)</f>
        <v>41722.705555555498</v>
      </c>
      <c r="B992" s="111">
        <f ca="1">IFERROR(__xludf.DUMMYFUNCTION("""COMPUTED_VALUE"""),5.85)</f>
        <v>5.85</v>
      </c>
      <c r="C992" s="112">
        <f ca="1">IFERROR(__xludf.DUMMYFUNCTION("""COMPUTED_VALUE"""),41729.7055555555)</f>
        <v>41729.705555555498</v>
      </c>
      <c r="D992" s="111">
        <f ca="1">IFERROR(__xludf.DUMMYFUNCTION("""COMPUTED_VALUE"""),16.97)</f>
        <v>16.97</v>
      </c>
      <c r="E992" s="112">
        <f ca="1">IFERROR(__xludf.DUMMYFUNCTION("""COMPUTED_VALUE"""),41730.7055555555)</f>
        <v>41730.705555555498</v>
      </c>
      <c r="F992" s="111">
        <f ca="1">IFERROR(__xludf.DUMMYFUNCTION("""COMPUTED_VALUE"""),6.1)</f>
        <v>6.1</v>
      </c>
      <c r="G992" s="112">
        <f ca="1">IFERROR(__xludf.DUMMYFUNCTION("""COMPUTED_VALUE"""),41723.7055555555)</f>
        <v>41723.705555555498</v>
      </c>
      <c r="H992" s="111">
        <f ca="1">IFERROR(__xludf.DUMMYFUNCTION("""COMPUTED_VALUE"""),14.48)</f>
        <v>14.48</v>
      </c>
      <c r="K992" s="112">
        <f ca="1">IFERROR(__xludf.DUMMYFUNCTION("""COMPUTED_VALUE"""),42174.7055555555)</f>
        <v>42174.705555555498</v>
      </c>
      <c r="L992" s="111">
        <f ca="1">IFERROR(__xludf.DUMMYFUNCTION("""COMPUTED_VALUE"""),0.12)</f>
        <v>0.12</v>
      </c>
      <c r="M992" s="112">
        <f ca="1">IFERROR(__xludf.DUMMYFUNCTION("""COMPUTED_VALUE"""),41635.7055555555)</f>
        <v>41635.705555555498</v>
      </c>
      <c r="N992" s="111">
        <f ca="1">IFERROR(__xludf.DUMMYFUNCTION("""COMPUTED_VALUE"""),12.45)</f>
        <v>12.45</v>
      </c>
      <c r="O992" s="112">
        <f ca="1">IFERROR(__xludf.DUMMYFUNCTION("""COMPUTED_VALUE"""),41716.7055555555)</f>
        <v>41716.705555555498</v>
      </c>
      <c r="P992" s="111">
        <f ca="1">IFERROR(__xludf.DUMMYFUNCTION("""COMPUTED_VALUE"""),29.81)</f>
        <v>29.81</v>
      </c>
      <c r="Q992" s="112">
        <f ca="1">IFERROR(__xludf.DUMMYFUNCTION("""COMPUTED_VALUE"""),41712.7055555555)</f>
        <v>41712.705555555498</v>
      </c>
      <c r="R992" s="111">
        <f ca="1">IFERROR(__xludf.DUMMYFUNCTION("""COMPUTED_VALUE"""),18.84)</f>
        <v>18.84</v>
      </c>
      <c r="S992" s="112">
        <f ca="1">IFERROR(__xludf.DUMMYFUNCTION("""COMPUTED_VALUE"""),41725.7055555555)</f>
        <v>41725.705555555498</v>
      </c>
      <c r="T992" s="111">
        <f ca="1">IFERROR(__xludf.DUMMYFUNCTION("""COMPUTED_VALUE"""),9.35)</f>
        <v>9.35</v>
      </c>
    </row>
    <row r="993" spans="1:20" x14ac:dyDescent="0.3">
      <c r="A993" s="112">
        <f ca="1">IFERROR(__xludf.DUMMYFUNCTION("""COMPUTED_VALUE"""),41723.7055555555)</f>
        <v>41723.705555555498</v>
      </c>
      <c r="B993" s="111">
        <f ca="1">IFERROR(__xludf.DUMMYFUNCTION("""COMPUTED_VALUE"""),5.75)</f>
        <v>5.75</v>
      </c>
      <c r="C993" s="112">
        <f ca="1">IFERROR(__xludf.DUMMYFUNCTION("""COMPUTED_VALUE"""),41730.7055555555)</f>
        <v>41730.705555555498</v>
      </c>
      <c r="D993" s="111">
        <f ca="1">IFERROR(__xludf.DUMMYFUNCTION("""COMPUTED_VALUE"""),17.1)</f>
        <v>17.100000000000001</v>
      </c>
      <c r="E993" s="112">
        <f ca="1">IFERROR(__xludf.DUMMYFUNCTION("""COMPUTED_VALUE"""),41731.7055555555)</f>
        <v>41731.705555555498</v>
      </c>
      <c r="F993" s="111">
        <f ca="1">IFERROR(__xludf.DUMMYFUNCTION("""COMPUTED_VALUE"""),6.3)</f>
        <v>6.3</v>
      </c>
      <c r="G993" s="112">
        <f ca="1">IFERROR(__xludf.DUMMYFUNCTION("""COMPUTED_VALUE"""),41724.7055555555)</f>
        <v>41724.705555555498</v>
      </c>
      <c r="H993" s="111">
        <f ca="1">IFERROR(__xludf.DUMMYFUNCTION("""COMPUTED_VALUE"""),14.4)</f>
        <v>14.4</v>
      </c>
      <c r="K993" s="112">
        <f ca="1">IFERROR(__xludf.DUMMYFUNCTION("""COMPUTED_VALUE"""),42177.7055555555)</f>
        <v>42177.705555555498</v>
      </c>
      <c r="L993" s="111">
        <f ca="1">IFERROR(__xludf.DUMMYFUNCTION("""COMPUTED_VALUE"""),0.12)</f>
        <v>0.12</v>
      </c>
      <c r="M993" s="112">
        <f ca="1">IFERROR(__xludf.DUMMYFUNCTION("""COMPUTED_VALUE"""),41638.7055555555)</f>
        <v>41638.705555555498</v>
      </c>
      <c r="N993" s="111">
        <f ca="1">IFERROR(__xludf.DUMMYFUNCTION("""COMPUTED_VALUE"""),12.55)</f>
        <v>12.55</v>
      </c>
      <c r="O993" s="112">
        <f ca="1">IFERROR(__xludf.DUMMYFUNCTION("""COMPUTED_VALUE"""),41717.7055555555)</f>
        <v>41717.705555555498</v>
      </c>
      <c r="P993" s="111">
        <f ca="1">IFERROR(__xludf.DUMMYFUNCTION("""COMPUTED_VALUE"""),29.61)</f>
        <v>29.61</v>
      </c>
      <c r="Q993" s="112">
        <f ca="1">IFERROR(__xludf.DUMMYFUNCTION("""COMPUTED_VALUE"""),41715.7055555555)</f>
        <v>41715.705555555498</v>
      </c>
      <c r="R993" s="111">
        <f ca="1">IFERROR(__xludf.DUMMYFUNCTION("""COMPUTED_VALUE"""),18.7)</f>
        <v>18.7</v>
      </c>
      <c r="S993" s="112">
        <f ca="1">IFERROR(__xludf.DUMMYFUNCTION("""COMPUTED_VALUE"""),41726.7055555555)</f>
        <v>41726.705555555498</v>
      </c>
      <c r="T993" s="111">
        <f ca="1">IFERROR(__xludf.DUMMYFUNCTION("""COMPUTED_VALUE"""),9.44)</f>
        <v>9.44</v>
      </c>
    </row>
    <row r="994" spans="1:20" x14ac:dyDescent="0.3">
      <c r="A994" s="112">
        <f ca="1">IFERROR(__xludf.DUMMYFUNCTION("""COMPUTED_VALUE"""),41724.7055555555)</f>
        <v>41724.705555555498</v>
      </c>
      <c r="B994" s="111">
        <f ca="1">IFERROR(__xludf.DUMMYFUNCTION("""COMPUTED_VALUE"""),5.73)</f>
        <v>5.73</v>
      </c>
      <c r="C994" s="112">
        <f ca="1">IFERROR(__xludf.DUMMYFUNCTION("""COMPUTED_VALUE"""),41731.7055555555)</f>
        <v>41731.705555555498</v>
      </c>
      <c r="D994" s="111">
        <f ca="1">IFERROR(__xludf.DUMMYFUNCTION("""COMPUTED_VALUE"""),17.66)</f>
        <v>17.66</v>
      </c>
      <c r="E994" s="112">
        <f ca="1">IFERROR(__xludf.DUMMYFUNCTION("""COMPUTED_VALUE"""),41732.7055555555)</f>
        <v>41732.705555555498</v>
      </c>
      <c r="F994" s="111">
        <f ca="1">IFERROR(__xludf.DUMMYFUNCTION("""COMPUTED_VALUE"""),6.28)</f>
        <v>6.28</v>
      </c>
      <c r="G994" s="112">
        <f ca="1">IFERROR(__xludf.DUMMYFUNCTION("""COMPUTED_VALUE"""),41725.7055555555)</f>
        <v>41725.705555555498</v>
      </c>
      <c r="H994" s="111">
        <f ca="1">IFERROR(__xludf.DUMMYFUNCTION("""COMPUTED_VALUE"""),15.57)</f>
        <v>15.57</v>
      </c>
      <c r="K994" s="112">
        <f ca="1">IFERROR(__xludf.DUMMYFUNCTION("""COMPUTED_VALUE"""),42178.7055555555)</f>
        <v>42178.705555555498</v>
      </c>
      <c r="L994" s="111">
        <f ca="1">IFERROR(__xludf.DUMMYFUNCTION("""COMPUTED_VALUE"""),0.12)</f>
        <v>0.12</v>
      </c>
      <c r="M994" s="112">
        <f ca="1">IFERROR(__xludf.DUMMYFUNCTION("""COMPUTED_VALUE"""),41641.7055555555)</f>
        <v>41641.705555555498</v>
      </c>
      <c r="N994" s="111">
        <f ca="1">IFERROR(__xludf.DUMMYFUNCTION("""COMPUTED_VALUE"""),12.48)</f>
        <v>12.48</v>
      </c>
      <c r="O994" s="112">
        <f ca="1">IFERROR(__xludf.DUMMYFUNCTION("""COMPUTED_VALUE"""),41718.7055555555)</f>
        <v>41718.705555555498</v>
      </c>
      <c r="P994" s="111">
        <f ca="1">IFERROR(__xludf.DUMMYFUNCTION("""COMPUTED_VALUE"""),29.88)</f>
        <v>29.88</v>
      </c>
      <c r="Q994" s="112">
        <f ca="1">IFERROR(__xludf.DUMMYFUNCTION("""COMPUTED_VALUE"""),41716.7055555555)</f>
        <v>41716.705555555498</v>
      </c>
      <c r="R994" s="111">
        <f ca="1">IFERROR(__xludf.DUMMYFUNCTION("""COMPUTED_VALUE"""),18.95)</f>
        <v>18.95</v>
      </c>
      <c r="S994" s="112">
        <f ca="1">IFERROR(__xludf.DUMMYFUNCTION("""COMPUTED_VALUE"""),41729.7055555555)</f>
        <v>41729.705555555498</v>
      </c>
      <c r="T994" s="111">
        <f ca="1">IFERROR(__xludf.DUMMYFUNCTION("""COMPUTED_VALUE"""),9.65)</f>
        <v>9.65</v>
      </c>
    </row>
    <row r="995" spans="1:20" x14ac:dyDescent="0.3">
      <c r="A995" s="112">
        <f ca="1">IFERROR(__xludf.DUMMYFUNCTION("""COMPUTED_VALUE"""),41725.7055555555)</f>
        <v>41725.705555555498</v>
      </c>
      <c r="B995" s="111">
        <f ca="1">IFERROR(__xludf.DUMMYFUNCTION("""COMPUTED_VALUE"""),6.29)</f>
        <v>6.29</v>
      </c>
      <c r="C995" s="112">
        <f ca="1">IFERROR(__xludf.DUMMYFUNCTION("""COMPUTED_VALUE"""),41732.7055555555)</f>
        <v>41732.705555555498</v>
      </c>
      <c r="D995" s="111">
        <f ca="1">IFERROR(__xludf.DUMMYFUNCTION("""COMPUTED_VALUE"""),17.45)</f>
        <v>17.45</v>
      </c>
      <c r="E995" s="112">
        <f ca="1">IFERROR(__xludf.DUMMYFUNCTION("""COMPUTED_VALUE"""),41733.7055555555)</f>
        <v>41733.705555555498</v>
      </c>
      <c r="F995" s="111">
        <f ca="1">IFERROR(__xludf.DUMMYFUNCTION("""COMPUTED_VALUE"""),6.2)</f>
        <v>6.2</v>
      </c>
      <c r="G995" s="112">
        <f ca="1">IFERROR(__xludf.DUMMYFUNCTION("""COMPUTED_VALUE"""),41726.7055555555)</f>
        <v>41726.705555555498</v>
      </c>
      <c r="H995" s="111">
        <f ca="1">IFERROR(__xludf.DUMMYFUNCTION("""COMPUTED_VALUE"""),15.66)</f>
        <v>15.66</v>
      </c>
      <c r="K995" s="112">
        <f ca="1">IFERROR(__xludf.DUMMYFUNCTION("""COMPUTED_VALUE"""),42179.7055555555)</f>
        <v>42179.705555555498</v>
      </c>
      <c r="L995" s="111">
        <f ca="1">IFERROR(__xludf.DUMMYFUNCTION("""COMPUTED_VALUE"""),0.12)</f>
        <v>0.12</v>
      </c>
      <c r="M995" s="112">
        <f ca="1">IFERROR(__xludf.DUMMYFUNCTION("""COMPUTED_VALUE"""),41642.7055555555)</f>
        <v>41642.705555555498</v>
      </c>
      <c r="N995" s="111">
        <f ca="1">IFERROR(__xludf.DUMMYFUNCTION("""COMPUTED_VALUE"""),12.29)</f>
        <v>12.29</v>
      </c>
      <c r="O995" s="112">
        <f ca="1">IFERROR(__xludf.DUMMYFUNCTION("""COMPUTED_VALUE"""),41719.7055555555)</f>
        <v>41719.705555555498</v>
      </c>
      <c r="P995" s="111">
        <f ca="1">IFERROR(__xludf.DUMMYFUNCTION("""COMPUTED_VALUE"""),30.43)</f>
        <v>30.43</v>
      </c>
      <c r="Q995" s="112">
        <f ca="1">IFERROR(__xludf.DUMMYFUNCTION("""COMPUTED_VALUE"""),41717.7055555555)</f>
        <v>41717.705555555498</v>
      </c>
      <c r="R995" s="111">
        <f ca="1">IFERROR(__xludf.DUMMYFUNCTION("""COMPUTED_VALUE"""),19.82)</f>
        <v>19.82</v>
      </c>
      <c r="S995" s="112">
        <f ca="1">IFERROR(__xludf.DUMMYFUNCTION("""COMPUTED_VALUE"""),41730.7055555555)</f>
        <v>41730.705555555498</v>
      </c>
      <c r="T995" s="111">
        <f ca="1">IFERROR(__xludf.DUMMYFUNCTION("""COMPUTED_VALUE"""),9.55)</f>
        <v>9.5500000000000007</v>
      </c>
    </row>
    <row r="996" spans="1:20" x14ac:dyDescent="0.3">
      <c r="A996" s="112">
        <f ca="1">IFERROR(__xludf.DUMMYFUNCTION("""COMPUTED_VALUE"""),41726.7055555555)</f>
        <v>41726.705555555498</v>
      </c>
      <c r="B996" s="111">
        <f ca="1">IFERROR(__xludf.DUMMYFUNCTION("""COMPUTED_VALUE"""),6.23)</f>
        <v>6.23</v>
      </c>
      <c r="C996" s="112">
        <f ca="1">IFERROR(__xludf.DUMMYFUNCTION("""COMPUTED_VALUE"""),41733.7055555555)</f>
        <v>41733.705555555498</v>
      </c>
      <c r="D996" s="111">
        <f ca="1">IFERROR(__xludf.DUMMYFUNCTION("""COMPUTED_VALUE"""),17.2)</f>
        <v>17.2</v>
      </c>
      <c r="E996" s="112">
        <f ca="1">IFERROR(__xludf.DUMMYFUNCTION("""COMPUTED_VALUE"""),41736.7055555555)</f>
        <v>41736.705555555498</v>
      </c>
      <c r="F996" s="111">
        <f ca="1">IFERROR(__xludf.DUMMYFUNCTION("""COMPUTED_VALUE"""),6.3)</f>
        <v>6.3</v>
      </c>
      <c r="G996" s="112">
        <f ca="1">IFERROR(__xludf.DUMMYFUNCTION("""COMPUTED_VALUE"""),41729.7055555555)</f>
        <v>41729.705555555498</v>
      </c>
      <c r="H996" s="111">
        <f ca="1">IFERROR(__xludf.DUMMYFUNCTION("""COMPUTED_VALUE"""),15.78)</f>
        <v>15.78</v>
      </c>
      <c r="K996" s="112">
        <f ca="1">IFERROR(__xludf.DUMMYFUNCTION("""COMPUTED_VALUE"""),42180.7055555555)</f>
        <v>42180.705555555498</v>
      </c>
      <c r="L996" s="111">
        <f ca="1">IFERROR(__xludf.DUMMYFUNCTION("""COMPUTED_VALUE"""),0.11)</f>
        <v>0.11</v>
      </c>
      <c r="M996" s="112">
        <f ca="1">IFERROR(__xludf.DUMMYFUNCTION("""COMPUTED_VALUE"""),41645.7055555555)</f>
        <v>41645.705555555498</v>
      </c>
      <c r="N996" s="111">
        <f ca="1">IFERROR(__xludf.DUMMYFUNCTION("""COMPUTED_VALUE"""),12.44)</f>
        <v>12.44</v>
      </c>
      <c r="O996" s="112">
        <f ca="1">IFERROR(__xludf.DUMMYFUNCTION("""COMPUTED_VALUE"""),41722.7055555555)</f>
        <v>41722.705555555498</v>
      </c>
      <c r="P996" s="111">
        <f ca="1">IFERROR(__xludf.DUMMYFUNCTION("""COMPUTED_VALUE"""),30.75)</f>
        <v>30.75</v>
      </c>
      <c r="Q996" s="112">
        <f ca="1">IFERROR(__xludf.DUMMYFUNCTION("""COMPUTED_VALUE"""),41718.7055555555)</f>
        <v>41718.705555555498</v>
      </c>
      <c r="R996" s="111">
        <f ca="1">IFERROR(__xludf.DUMMYFUNCTION("""COMPUTED_VALUE"""),20.9)</f>
        <v>20.9</v>
      </c>
      <c r="S996" s="112">
        <f ca="1">IFERROR(__xludf.DUMMYFUNCTION("""COMPUTED_VALUE"""),41731.7055555555)</f>
        <v>41731.705555555498</v>
      </c>
      <c r="T996" s="111">
        <f ca="1">IFERROR(__xludf.DUMMYFUNCTION("""COMPUTED_VALUE"""),9.66)</f>
        <v>9.66</v>
      </c>
    </row>
    <row r="997" spans="1:20" x14ac:dyDescent="0.3">
      <c r="A997" s="112">
        <f ca="1">IFERROR(__xludf.DUMMYFUNCTION("""COMPUTED_VALUE"""),41729.7055555555)</f>
        <v>41729.705555555498</v>
      </c>
      <c r="B997" s="111">
        <f ca="1">IFERROR(__xludf.DUMMYFUNCTION("""COMPUTED_VALUE"""),6.53)</f>
        <v>6.53</v>
      </c>
      <c r="C997" s="112">
        <f ca="1">IFERROR(__xludf.DUMMYFUNCTION("""COMPUTED_VALUE"""),41736.7055555555)</f>
        <v>41736.705555555498</v>
      </c>
      <c r="D997" s="111">
        <f ca="1">IFERROR(__xludf.DUMMYFUNCTION("""COMPUTED_VALUE"""),17.59)</f>
        <v>17.59</v>
      </c>
      <c r="E997" s="112">
        <f ca="1">IFERROR(__xludf.DUMMYFUNCTION("""COMPUTED_VALUE"""),41737.7055555555)</f>
        <v>41737.705555555498</v>
      </c>
      <c r="F997" s="111">
        <f ca="1">IFERROR(__xludf.DUMMYFUNCTION("""COMPUTED_VALUE"""),6.17)</f>
        <v>6.17</v>
      </c>
      <c r="G997" s="112">
        <f ca="1">IFERROR(__xludf.DUMMYFUNCTION("""COMPUTED_VALUE"""),41730.7055555555)</f>
        <v>41730.705555555498</v>
      </c>
      <c r="H997" s="111">
        <f ca="1">IFERROR(__xludf.DUMMYFUNCTION("""COMPUTED_VALUE"""),15.81)</f>
        <v>15.81</v>
      </c>
      <c r="K997" s="112">
        <f ca="1">IFERROR(__xludf.DUMMYFUNCTION("""COMPUTED_VALUE"""),42181.7055555555)</f>
        <v>42181.705555555498</v>
      </c>
      <c r="L997" s="111">
        <f ca="1">IFERROR(__xludf.DUMMYFUNCTION("""COMPUTED_VALUE"""),0.11)</f>
        <v>0.11</v>
      </c>
      <c r="M997" s="112">
        <f ca="1">IFERROR(__xludf.DUMMYFUNCTION("""COMPUTED_VALUE"""),41646.7055555555)</f>
        <v>41646.705555555498</v>
      </c>
      <c r="N997" s="111">
        <f ca="1">IFERROR(__xludf.DUMMYFUNCTION("""COMPUTED_VALUE"""),12.17)</f>
        <v>12.17</v>
      </c>
      <c r="O997" s="112">
        <f ca="1">IFERROR(__xludf.DUMMYFUNCTION("""COMPUTED_VALUE"""),41723.7055555555)</f>
        <v>41723.705555555498</v>
      </c>
      <c r="P997" s="111">
        <f ca="1">IFERROR(__xludf.DUMMYFUNCTION("""COMPUTED_VALUE"""),30.82)</f>
        <v>30.82</v>
      </c>
      <c r="Q997" s="112">
        <f ca="1">IFERROR(__xludf.DUMMYFUNCTION("""COMPUTED_VALUE"""),41719.7055555555)</f>
        <v>41719.705555555498</v>
      </c>
      <c r="R997" s="111">
        <f ca="1">IFERROR(__xludf.DUMMYFUNCTION("""COMPUTED_VALUE"""),20.67)</f>
        <v>20.67</v>
      </c>
      <c r="S997" s="112">
        <f ca="1">IFERROR(__xludf.DUMMYFUNCTION("""COMPUTED_VALUE"""),41732.7055555555)</f>
        <v>41732.705555555498</v>
      </c>
      <c r="T997" s="111">
        <f ca="1">IFERROR(__xludf.DUMMYFUNCTION("""COMPUTED_VALUE"""),9.6)</f>
        <v>9.6</v>
      </c>
    </row>
    <row r="998" spans="1:20" x14ac:dyDescent="0.3">
      <c r="A998" s="112">
        <f ca="1">IFERROR(__xludf.DUMMYFUNCTION("""COMPUTED_VALUE"""),41730.7055555555)</f>
        <v>41730.705555555498</v>
      </c>
      <c r="B998" s="111">
        <f ca="1">IFERROR(__xludf.DUMMYFUNCTION("""COMPUTED_VALUE"""),6.68)</f>
        <v>6.68</v>
      </c>
      <c r="C998" s="112">
        <f ca="1">IFERROR(__xludf.DUMMYFUNCTION("""COMPUTED_VALUE"""),41737.7055555555)</f>
        <v>41737.705555555498</v>
      </c>
      <c r="D998" s="111">
        <f ca="1">IFERROR(__xludf.DUMMYFUNCTION("""COMPUTED_VALUE"""),17.34)</f>
        <v>17.34</v>
      </c>
      <c r="E998" s="112">
        <f ca="1">IFERROR(__xludf.DUMMYFUNCTION("""COMPUTED_VALUE"""),41738.7055555555)</f>
        <v>41738.705555555498</v>
      </c>
      <c r="F998" s="111">
        <f ca="1">IFERROR(__xludf.DUMMYFUNCTION("""COMPUTED_VALUE"""),6.08)</f>
        <v>6.08</v>
      </c>
      <c r="G998" s="112">
        <f ca="1">IFERROR(__xludf.DUMMYFUNCTION("""COMPUTED_VALUE"""),41731.7055555555)</f>
        <v>41731.705555555498</v>
      </c>
      <c r="H998" s="111">
        <f ca="1">IFERROR(__xludf.DUMMYFUNCTION("""COMPUTED_VALUE"""),15.56)</f>
        <v>15.56</v>
      </c>
      <c r="K998" s="112">
        <f ca="1">IFERROR(__xludf.DUMMYFUNCTION("""COMPUTED_VALUE"""),42184.7055555555)</f>
        <v>42184.705555555498</v>
      </c>
      <c r="L998" s="111">
        <f ca="1">IFERROR(__xludf.DUMMYFUNCTION("""COMPUTED_VALUE"""),0.11)</f>
        <v>0.11</v>
      </c>
      <c r="M998" s="112">
        <f ca="1">IFERROR(__xludf.DUMMYFUNCTION("""COMPUTED_VALUE"""),41647.7055555555)</f>
        <v>41647.705555555498</v>
      </c>
      <c r="N998" s="111">
        <f ca="1">IFERROR(__xludf.DUMMYFUNCTION("""COMPUTED_VALUE"""),12.16)</f>
        <v>12.16</v>
      </c>
      <c r="O998" s="112">
        <f ca="1">IFERROR(__xludf.DUMMYFUNCTION("""COMPUTED_VALUE"""),41724.7055555555)</f>
        <v>41724.705555555498</v>
      </c>
      <c r="P998" s="111">
        <f ca="1">IFERROR(__xludf.DUMMYFUNCTION("""COMPUTED_VALUE"""),30.47)</f>
        <v>30.47</v>
      </c>
      <c r="Q998" s="112">
        <f ca="1">IFERROR(__xludf.DUMMYFUNCTION("""COMPUTED_VALUE"""),41722.7055555555)</f>
        <v>41722.705555555498</v>
      </c>
      <c r="R998" s="111">
        <f ca="1">IFERROR(__xludf.DUMMYFUNCTION("""COMPUTED_VALUE"""),20.84)</f>
        <v>20.84</v>
      </c>
      <c r="S998" s="112">
        <f ca="1">IFERROR(__xludf.DUMMYFUNCTION("""COMPUTED_VALUE"""),41733.7055555555)</f>
        <v>41733.705555555498</v>
      </c>
      <c r="T998" s="111">
        <f ca="1">IFERROR(__xludf.DUMMYFUNCTION("""COMPUTED_VALUE"""),9.65)</f>
        <v>9.65</v>
      </c>
    </row>
    <row r="999" spans="1:20" x14ac:dyDescent="0.3">
      <c r="A999" s="112">
        <f ca="1">IFERROR(__xludf.DUMMYFUNCTION("""COMPUTED_VALUE"""),41731.7055555555)</f>
        <v>41731.705555555498</v>
      </c>
      <c r="B999" s="111">
        <f ca="1">IFERROR(__xludf.DUMMYFUNCTION("""COMPUTED_VALUE"""),6.97)</f>
        <v>6.97</v>
      </c>
      <c r="C999" s="112">
        <f ca="1">IFERROR(__xludf.DUMMYFUNCTION("""COMPUTED_VALUE"""),41738.7055555555)</f>
        <v>41738.705555555498</v>
      </c>
      <c r="D999" s="111">
        <f ca="1">IFERROR(__xludf.DUMMYFUNCTION("""COMPUTED_VALUE"""),17.1)</f>
        <v>17.100000000000001</v>
      </c>
      <c r="E999" s="112">
        <f ca="1">IFERROR(__xludf.DUMMYFUNCTION("""COMPUTED_VALUE"""),41739.7055555555)</f>
        <v>41739.705555555498</v>
      </c>
      <c r="F999" s="111">
        <f ca="1">IFERROR(__xludf.DUMMYFUNCTION("""COMPUTED_VALUE"""),6.14)</f>
        <v>6.14</v>
      </c>
      <c r="G999" s="112">
        <f ca="1">IFERROR(__xludf.DUMMYFUNCTION("""COMPUTED_VALUE"""),41732.7055555555)</f>
        <v>41732.705555555498</v>
      </c>
      <c r="H999" s="111">
        <f ca="1">IFERROR(__xludf.DUMMYFUNCTION("""COMPUTED_VALUE"""),15.4)</f>
        <v>15.4</v>
      </c>
      <c r="K999" s="112">
        <f ca="1">IFERROR(__xludf.DUMMYFUNCTION("""COMPUTED_VALUE"""),42185.7055555555)</f>
        <v>42185.705555555498</v>
      </c>
      <c r="L999" s="111">
        <f ca="1">IFERROR(__xludf.DUMMYFUNCTION("""COMPUTED_VALUE"""),0.11)</f>
        <v>0.11</v>
      </c>
      <c r="M999" s="112">
        <f ca="1">IFERROR(__xludf.DUMMYFUNCTION("""COMPUTED_VALUE"""),41648.7055555555)</f>
        <v>41648.705555555498</v>
      </c>
      <c r="N999" s="111">
        <f ca="1">IFERROR(__xludf.DUMMYFUNCTION("""COMPUTED_VALUE"""),11.81)</f>
        <v>11.81</v>
      </c>
      <c r="O999" s="112">
        <f ca="1">IFERROR(__xludf.DUMMYFUNCTION("""COMPUTED_VALUE"""),41725.7055555555)</f>
        <v>41725.705555555498</v>
      </c>
      <c r="P999" s="111">
        <f ca="1">IFERROR(__xludf.DUMMYFUNCTION("""COMPUTED_VALUE"""),31.11)</f>
        <v>31.11</v>
      </c>
      <c r="Q999" s="112">
        <f ca="1">IFERROR(__xludf.DUMMYFUNCTION("""COMPUTED_VALUE"""),41723.7055555555)</f>
        <v>41723.705555555498</v>
      </c>
      <c r="R999" s="111">
        <f ca="1">IFERROR(__xludf.DUMMYFUNCTION("""COMPUTED_VALUE"""),20.84)</f>
        <v>20.84</v>
      </c>
      <c r="S999" s="112">
        <f ca="1">IFERROR(__xludf.DUMMYFUNCTION("""COMPUTED_VALUE"""),41736.7055555555)</f>
        <v>41736.705555555498</v>
      </c>
      <c r="T999" s="111">
        <f ca="1">IFERROR(__xludf.DUMMYFUNCTION("""COMPUTED_VALUE"""),9.87)</f>
        <v>9.8699999999999992</v>
      </c>
    </row>
    <row r="1000" spans="1:20" x14ac:dyDescent="0.3">
      <c r="A1000" s="112">
        <f ca="1">IFERROR(__xludf.DUMMYFUNCTION("""COMPUTED_VALUE"""),41732.7055555555)</f>
        <v>41732.705555555498</v>
      </c>
      <c r="B1000" s="111">
        <f ca="1">IFERROR(__xludf.DUMMYFUNCTION("""COMPUTED_VALUE"""),7.24)</f>
        <v>7.24</v>
      </c>
      <c r="C1000" s="112">
        <f ca="1">IFERROR(__xludf.DUMMYFUNCTION("""COMPUTED_VALUE"""),41739.7055555555)</f>
        <v>41739.705555555498</v>
      </c>
      <c r="D1000" s="111">
        <f ca="1">IFERROR(__xludf.DUMMYFUNCTION("""COMPUTED_VALUE"""),17.29)</f>
        <v>17.29</v>
      </c>
      <c r="E1000" s="112">
        <f ca="1">IFERROR(__xludf.DUMMYFUNCTION("""COMPUTED_VALUE"""),41740.7055555555)</f>
        <v>41740.705555555498</v>
      </c>
      <c r="F1000" s="111">
        <f ca="1">IFERROR(__xludf.DUMMYFUNCTION("""COMPUTED_VALUE"""),6.26)</f>
        <v>6.26</v>
      </c>
      <c r="G1000" s="112">
        <f ca="1">IFERROR(__xludf.DUMMYFUNCTION("""COMPUTED_VALUE"""),41733.7055555555)</f>
        <v>41733.705555555498</v>
      </c>
      <c r="H1000" s="111">
        <f ca="1">IFERROR(__xludf.DUMMYFUNCTION("""COMPUTED_VALUE"""),15.44)</f>
        <v>15.44</v>
      </c>
      <c r="K1000" s="112">
        <f ca="1">IFERROR(__xludf.DUMMYFUNCTION("""COMPUTED_VALUE"""),42186.7055555555)</f>
        <v>42186.705555555498</v>
      </c>
      <c r="L1000" s="111">
        <f ca="1">IFERROR(__xludf.DUMMYFUNCTION("""COMPUTED_VALUE"""),0.11)</f>
        <v>0.11</v>
      </c>
      <c r="M1000" s="112">
        <f ca="1">IFERROR(__xludf.DUMMYFUNCTION("""COMPUTED_VALUE"""),41649.7055555555)</f>
        <v>41649.705555555498</v>
      </c>
      <c r="N1000" s="111">
        <f ca="1">IFERROR(__xludf.DUMMYFUNCTION("""COMPUTED_VALUE"""),11.91)</f>
        <v>11.91</v>
      </c>
      <c r="O1000" s="112">
        <f ca="1">IFERROR(__xludf.DUMMYFUNCTION("""COMPUTED_VALUE"""),41726.7055555555)</f>
        <v>41726.705555555498</v>
      </c>
      <c r="P1000" s="111">
        <f ca="1">IFERROR(__xludf.DUMMYFUNCTION("""COMPUTED_VALUE"""),31.01)</f>
        <v>31.01</v>
      </c>
      <c r="Q1000" s="112">
        <f ca="1">IFERROR(__xludf.DUMMYFUNCTION("""COMPUTED_VALUE"""),41724.7055555555)</f>
        <v>41724.705555555498</v>
      </c>
      <c r="R1000" s="111">
        <f ca="1">IFERROR(__xludf.DUMMYFUNCTION("""COMPUTED_VALUE"""),21.11)</f>
        <v>21.11</v>
      </c>
      <c r="S1000" s="112">
        <f ca="1">IFERROR(__xludf.DUMMYFUNCTION("""COMPUTED_VALUE"""),41737.7055555555)</f>
        <v>41737.705555555498</v>
      </c>
      <c r="T1000" s="111">
        <f ca="1">IFERROR(__xludf.DUMMYFUNCTION("""COMPUTED_VALUE"""),9.69)</f>
        <v>9.69</v>
      </c>
    </row>
    <row r="1001" spans="1:20" x14ac:dyDescent="0.3">
      <c r="A1001" s="112">
        <f ca="1">IFERROR(__xludf.DUMMYFUNCTION("""COMPUTED_VALUE"""),41733.7055555555)</f>
        <v>41733.705555555498</v>
      </c>
      <c r="B1001" s="111">
        <f ca="1">IFERROR(__xludf.DUMMYFUNCTION("""COMPUTED_VALUE"""),7.1)</f>
        <v>7.1</v>
      </c>
      <c r="C1001" s="112">
        <f ca="1">IFERROR(__xludf.DUMMYFUNCTION("""COMPUTED_VALUE"""),41740.7055555555)</f>
        <v>41740.705555555498</v>
      </c>
      <c r="D1001" s="111">
        <f ca="1">IFERROR(__xludf.DUMMYFUNCTION("""COMPUTED_VALUE"""),17.7)</f>
        <v>17.7</v>
      </c>
      <c r="E1001" s="112">
        <f ca="1">IFERROR(__xludf.DUMMYFUNCTION("""COMPUTED_VALUE"""),41743.7055555555)</f>
        <v>41743.705555555498</v>
      </c>
      <c r="F1001" s="111">
        <f ca="1">IFERROR(__xludf.DUMMYFUNCTION("""COMPUTED_VALUE"""),6.19)</f>
        <v>6.19</v>
      </c>
      <c r="G1001" s="112">
        <f ca="1">IFERROR(__xludf.DUMMYFUNCTION("""COMPUTED_VALUE"""),41736.7055555555)</f>
        <v>41736.705555555498</v>
      </c>
      <c r="H1001" s="111">
        <f ca="1">IFERROR(__xludf.DUMMYFUNCTION("""COMPUTED_VALUE"""),16.46)</f>
        <v>16.46</v>
      </c>
      <c r="K1001" s="112">
        <f ca="1">IFERROR(__xludf.DUMMYFUNCTION("""COMPUTED_VALUE"""),42187.7055555555)</f>
        <v>42187.705555555498</v>
      </c>
      <c r="L1001" s="111">
        <f ca="1">IFERROR(__xludf.DUMMYFUNCTION("""COMPUTED_VALUE"""),0.1)</f>
        <v>0.1</v>
      </c>
      <c r="M1001" s="112">
        <f ca="1">IFERROR(__xludf.DUMMYFUNCTION("""COMPUTED_VALUE"""),41652.7055555555)</f>
        <v>41652.705555555498</v>
      </c>
      <c r="N1001" s="111">
        <f ca="1">IFERROR(__xludf.DUMMYFUNCTION("""COMPUTED_VALUE"""),11.83)</f>
        <v>11.83</v>
      </c>
      <c r="O1001" s="112">
        <f ca="1">IFERROR(__xludf.DUMMYFUNCTION("""COMPUTED_VALUE"""),41729.7055555555)</f>
        <v>41729.705555555498</v>
      </c>
      <c r="P1001" s="111">
        <f ca="1">IFERROR(__xludf.DUMMYFUNCTION("""COMPUTED_VALUE"""),31.42)</f>
        <v>31.42</v>
      </c>
      <c r="Q1001" s="112">
        <f ca="1">IFERROR(__xludf.DUMMYFUNCTION("""COMPUTED_VALUE"""),41725.7055555555)</f>
        <v>41725.705555555498</v>
      </c>
      <c r="R1001" s="111">
        <f ca="1">IFERROR(__xludf.DUMMYFUNCTION("""COMPUTED_VALUE"""),22.51)</f>
        <v>22.51</v>
      </c>
      <c r="S1001" s="112">
        <f ca="1">IFERROR(__xludf.DUMMYFUNCTION("""COMPUTED_VALUE"""),41738.7055555555)</f>
        <v>41738.705555555498</v>
      </c>
      <c r="T1001" s="111">
        <f ca="1">IFERROR(__xludf.DUMMYFUNCTION("""COMPUTED_VALUE"""),9.76)</f>
        <v>9.76</v>
      </c>
    </row>
    <row r="1002" spans="1:20" x14ac:dyDescent="0.3">
      <c r="A1002" s="112">
        <f ca="1">IFERROR(__xludf.DUMMYFUNCTION("""COMPUTED_VALUE"""),41736.7055555555)</f>
        <v>41736.705555555498</v>
      </c>
      <c r="B1002" s="111">
        <f ca="1">IFERROR(__xludf.DUMMYFUNCTION("""COMPUTED_VALUE"""),7.32)</f>
        <v>7.32</v>
      </c>
      <c r="C1002" s="112">
        <f ca="1">IFERROR(__xludf.DUMMYFUNCTION("""COMPUTED_VALUE"""),41743.7055555555)</f>
        <v>41743.705555555498</v>
      </c>
      <c r="D1002" s="111">
        <f ca="1">IFERROR(__xludf.DUMMYFUNCTION("""COMPUTED_VALUE"""),17.48)</f>
        <v>17.48</v>
      </c>
      <c r="E1002" s="112">
        <f ca="1">IFERROR(__xludf.DUMMYFUNCTION("""COMPUTED_VALUE"""),41744.7055555555)</f>
        <v>41744.705555555498</v>
      </c>
      <c r="F1002" s="111">
        <f ca="1">IFERROR(__xludf.DUMMYFUNCTION("""COMPUTED_VALUE"""),6.04)</f>
        <v>6.04</v>
      </c>
      <c r="G1002" s="112">
        <f ca="1">IFERROR(__xludf.DUMMYFUNCTION("""COMPUTED_VALUE"""),41737.7055555555)</f>
        <v>41737.705555555498</v>
      </c>
      <c r="H1002" s="111">
        <f ca="1">IFERROR(__xludf.DUMMYFUNCTION("""COMPUTED_VALUE"""),15.99)</f>
        <v>15.99</v>
      </c>
      <c r="K1002" s="112">
        <f ca="1">IFERROR(__xludf.DUMMYFUNCTION("""COMPUTED_VALUE"""),42188.7055555555)</f>
        <v>42188.705555555498</v>
      </c>
      <c r="L1002" s="111">
        <f ca="1">IFERROR(__xludf.DUMMYFUNCTION("""COMPUTED_VALUE"""),0.1)</f>
        <v>0.1</v>
      </c>
      <c r="M1002" s="112">
        <f ca="1">IFERROR(__xludf.DUMMYFUNCTION("""COMPUTED_VALUE"""),41653.7055555555)</f>
        <v>41653.705555555498</v>
      </c>
      <c r="N1002" s="111">
        <f ca="1">IFERROR(__xludf.DUMMYFUNCTION("""COMPUTED_VALUE"""),11.93)</f>
        <v>11.93</v>
      </c>
      <c r="O1002" s="112">
        <f ca="1">IFERROR(__xludf.DUMMYFUNCTION("""COMPUTED_VALUE"""),41730.7055555555)</f>
        <v>41730.705555555498</v>
      </c>
      <c r="P1002" s="111">
        <f ca="1">IFERROR(__xludf.DUMMYFUNCTION("""COMPUTED_VALUE"""),31.36)</f>
        <v>31.36</v>
      </c>
      <c r="Q1002" s="112">
        <f ca="1">IFERROR(__xludf.DUMMYFUNCTION("""COMPUTED_VALUE"""),41726.7055555555)</f>
        <v>41726.705555555498</v>
      </c>
      <c r="R1002" s="111">
        <f ca="1">IFERROR(__xludf.DUMMYFUNCTION("""COMPUTED_VALUE"""),22.22)</f>
        <v>22.22</v>
      </c>
      <c r="S1002" s="112">
        <f ca="1">IFERROR(__xludf.DUMMYFUNCTION("""COMPUTED_VALUE"""),41739.7055555555)</f>
        <v>41739.705555555498</v>
      </c>
      <c r="T1002" s="111">
        <f ca="1">IFERROR(__xludf.DUMMYFUNCTION("""COMPUTED_VALUE"""),9.73)</f>
        <v>9.73</v>
      </c>
    </row>
    <row r="1003" spans="1:20" x14ac:dyDescent="0.3">
      <c r="A1003" s="112">
        <f ca="1">IFERROR(__xludf.DUMMYFUNCTION("""COMPUTED_VALUE"""),41737.7055555555)</f>
        <v>41737.705555555498</v>
      </c>
      <c r="B1003" s="111">
        <f ca="1">IFERROR(__xludf.DUMMYFUNCTION("""COMPUTED_VALUE"""),7.22)</f>
        <v>7.22</v>
      </c>
      <c r="C1003" s="112">
        <f ca="1">IFERROR(__xludf.DUMMYFUNCTION("""COMPUTED_VALUE"""),41744.7055555555)</f>
        <v>41744.705555555498</v>
      </c>
      <c r="D1003" s="111">
        <f ca="1">IFERROR(__xludf.DUMMYFUNCTION("""COMPUTED_VALUE"""),17.05)</f>
        <v>17.05</v>
      </c>
      <c r="E1003" s="112">
        <f ca="1">IFERROR(__xludf.DUMMYFUNCTION("""COMPUTED_VALUE"""),41745.7055555555)</f>
        <v>41745.705555555498</v>
      </c>
      <c r="F1003" s="111">
        <f ca="1">IFERROR(__xludf.DUMMYFUNCTION("""COMPUTED_VALUE"""),6.13)</f>
        <v>6.13</v>
      </c>
      <c r="G1003" s="112">
        <f ca="1">IFERROR(__xludf.DUMMYFUNCTION("""COMPUTED_VALUE"""),41738.7055555555)</f>
        <v>41738.705555555498</v>
      </c>
      <c r="H1003" s="111">
        <f ca="1">IFERROR(__xludf.DUMMYFUNCTION("""COMPUTED_VALUE"""),15.85)</f>
        <v>15.85</v>
      </c>
      <c r="K1003" s="112">
        <f ca="1">IFERROR(__xludf.DUMMYFUNCTION("""COMPUTED_VALUE"""),42191.7055555555)</f>
        <v>42191.705555555498</v>
      </c>
      <c r="L1003" s="111">
        <f ca="1">IFERROR(__xludf.DUMMYFUNCTION("""COMPUTED_VALUE"""),0.1)</f>
        <v>0.1</v>
      </c>
      <c r="M1003" s="112">
        <f ca="1">IFERROR(__xludf.DUMMYFUNCTION("""COMPUTED_VALUE"""),41654.7055555555)</f>
        <v>41654.705555555498</v>
      </c>
      <c r="N1003" s="111">
        <f ca="1">IFERROR(__xludf.DUMMYFUNCTION("""COMPUTED_VALUE"""),12)</f>
        <v>12</v>
      </c>
      <c r="O1003" s="112">
        <f ca="1">IFERROR(__xludf.DUMMYFUNCTION("""COMPUTED_VALUE"""),41731.7055555555)</f>
        <v>41731.705555555498</v>
      </c>
      <c r="P1003" s="111">
        <f ca="1">IFERROR(__xludf.DUMMYFUNCTION("""COMPUTED_VALUE"""),32.53)</f>
        <v>32.53</v>
      </c>
      <c r="Q1003" s="112">
        <f ca="1">IFERROR(__xludf.DUMMYFUNCTION("""COMPUTED_VALUE"""),41729.7055555555)</f>
        <v>41729.705555555498</v>
      </c>
      <c r="R1003" s="111">
        <f ca="1">IFERROR(__xludf.DUMMYFUNCTION("""COMPUTED_VALUE"""),22.8)</f>
        <v>22.8</v>
      </c>
      <c r="S1003" s="112">
        <f ca="1">IFERROR(__xludf.DUMMYFUNCTION("""COMPUTED_VALUE"""),41740.7055555555)</f>
        <v>41740.705555555498</v>
      </c>
      <c r="T1003" s="111">
        <f ca="1">IFERROR(__xludf.DUMMYFUNCTION("""COMPUTED_VALUE"""),9.67)</f>
        <v>9.67</v>
      </c>
    </row>
    <row r="1004" spans="1:20" x14ac:dyDescent="0.3">
      <c r="A1004" s="112">
        <f ca="1">IFERROR(__xludf.DUMMYFUNCTION("""COMPUTED_VALUE"""),41738.7055555555)</f>
        <v>41738.705555555498</v>
      </c>
      <c r="B1004" s="111">
        <f ca="1">IFERROR(__xludf.DUMMYFUNCTION("""COMPUTED_VALUE"""),6.74)</f>
        <v>6.74</v>
      </c>
      <c r="C1004" s="112">
        <f ca="1">IFERROR(__xludf.DUMMYFUNCTION("""COMPUTED_VALUE"""),41745.7055555555)</f>
        <v>41745.705555555498</v>
      </c>
      <c r="D1004" s="111">
        <f ca="1">IFERROR(__xludf.DUMMYFUNCTION("""COMPUTED_VALUE"""),17.37)</f>
        <v>17.37</v>
      </c>
      <c r="E1004" s="112">
        <f ca="1">IFERROR(__xludf.DUMMYFUNCTION("""COMPUTED_VALUE"""),41746.7055555555)</f>
        <v>41746.705555555498</v>
      </c>
      <c r="F1004" s="111">
        <f ca="1">IFERROR(__xludf.DUMMYFUNCTION("""COMPUTED_VALUE"""),6.27)</f>
        <v>6.27</v>
      </c>
      <c r="G1004" s="112">
        <f ca="1">IFERROR(__xludf.DUMMYFUNCTION("""COMPUTED_VALUE"""),41739.7055555555)</f>
        <v>41739.705555555498</v>
      </c>
      <c r="H1004" s="111">
        <f ca="1">IFERROR(__xludf.DUMMYFUNCTION("""COMPUTED_VALUE"""),15.68)</f>
        <v>15.68</v>
      </c>
      <c r="K1004" s="112">
        <f ca="1">IFERROR(__xludf.DUMMYFUNCTION("""COMPUTED_VALUE"""),42192.7055555555)</f>
        <v>42192.705555555498</v>
      </c>
      <c r="L1004" s="111">
        <f ca="1">IFERROR(__xludf.DUMMYFUNCTION("""COMPUTED_VALUE"""),0.1)</f>
        <v>0.1</v>
      </c>
      <c r="M1004" s="112">
        <f ca="1">IFERROR(__xludf.DUMMYFUNCTION("""COMPUTED_VALUE"""),41655.7055555555)</f>
        <v>41655.705555555498</v>
      </c>
      <c r="N1004" s="111">
        <f ca="1">IFERROR(__xludf.DUMMYFUNCTION("""COMPUTED_VALUE"""),11.83)</f>
        <v>11.83</v>
      </c>
      <c r="O1004" s="112">
        <f ca="1">IFERROR(__xludf.DUMMYFUNCTION("""COMPUTED_VALUE"""),41732.7055555555)</f>
        <v>41732.705555555498</v>
      </c>
      <c r="P1004" s="111">
        <f ca="1">IFERROR(__xludf.DUMMYFUNCTION("""COMPUTED_VALUE"""),32.91)</f>
        <v>32.909999999999997</v>
      </c>
      <c r="Q1004" s="112">
        <f ca="1">IFERROR(__xludf.DUMMYFUNCTION("""COMPUTED_VALUE"""),41730.7055555555)</f>
        <v>41730.705555555498</v>
      </c>
      <c r="R1004" s="111">
        <f ca="1">IFERROR(__xludf.DUMMYFUNCTION("""COMPUTED_VALUE"""),22.78)</f>
        <v>22.78</v>
      </c>
      <c r="S1004" s="112">
        <f ca="1">IFERROR(__xludf.DUMMYFUNCTION("""COMPUTED_VALUE"""),41743.7055555555)</f>
        <v>41743.705555555498</v>
      </c>
      <c r="T1004" s="111">
        <f ca="1">IFERROR(__xludf.DUMMYFUNCTION("""COMPUTED_VALUE"""),9.54)</f>
        <v>9.5399999999999991</v>
      </c>
    </row>
    <row r="1005" spans="1:20" x14ac:dyDescent="0.3">
      <c r="A1005" s="112">
        <f ca="1">IFERROR(__xludf.DUMMYFUNCTION("""COMPUTED_VALUE"""),41739.7055555555)</f>
        <v>41739.705555555498</v>
      </c>
      <c r="B1005" s="111">
        <f ca="1">IFERROR(__xludf.DUMMYFUNCTION("""COMPUTED_VALUE"""),6.92)</f>
        <v>6.92</v>
      </c>
      <c r="C1005" s="112">
        <f ca="1">IFERROR(__xludf.DUMMYFUNCTION("""COMPUTED_VALUE"""),41746.7055555555)</f>
        <v>41746.705555555498</v>
      </c>
      <c r="D1005" s="111">
        <f ca="1">IFERROR(__xludf.DUMMYFUNCTION("""COMPUTED_VALUE"""),17.81)</f>
        <v>17.809999999999999</v>
      </c>
      <c r="E1005" s="112">
        <f ca="1">IFERROR(__xludf.DUMMYFUNCTION("""COMPUTED_VALUE"""),41751.7055555555)</f>
        <v>41751.705555555498</v>
      </c>
      <c r="F1005" s="111">
        <f ca="1">IFERROR(__xludf.DUMMYFUNCTION("""COMPUTED_VALUE"""),6.31)</f>
        <v>6.31</v>
      </c>
      <c r="G1005" s="112">
        <f ca="1">IFERROR(__xludf.DUMMYFUNCTION("""COMPUTED_VALUE"""),41740.7055555555)</f>
        <v>41740.705555555498</v>
      </c>
      <c r="H1005" s="111">
        <f ca="1">IFERROR(__xludf.DUMMYFUNCTION("""COMPUTED_VALUE"""),16.19)</f>
        <v>16.190000000000001</v>
      </c>
      <c r="K1005" s="112">
        <f ca="1">IFERROR(__xludf.DUMMYFUNCTION("""COMPUTED_VALUE"""),42193.7055555555)</f>
        <v>42193.705555555498</v>
      </c>
      <c r="L1005" s="111">
        <f ca="1">IFERROR(__xludf.DUMMYFUNCTION("""COMPUTED_VALUE"""),0.09)</f>
        <v>0.09</v>
      </c>
      <c r="M1005" s="112">
        <f ca="1">IFERROR(__xludf.DUMMYFUNCTION("""COMPUTED_VALUE"""),41656.7055555555)</f>
        <v>41656.705555555498</v>
      </c>
      <c r="N1005" s="111">
        <f ca="1">IFERROR(__xludf.DUMMYFUNCTION("""COMPUTED_VALUE"""),11.71)</f>
        <v>11.71</v>
      </c>
      <c r="O1005" s="112">
        <f ca="1">IFERROR(__xludf.DUMMYFUNCTION("""COMPUTED_VALUE"""),41733.7055555555)</f>
        <v>41733.705555555498</v>
      </c>
      <c r="P1005" s="111">
        <f ca="1">IFERROR(__xludf.DUMMYFUNCTION("""COMPUTED_VALUE"""),32.48)</f>
        <v>32.479999999999997</v>
      </c>
      <c r="Q1005" s="112">
        <f ca="1">IFERROR(__xludf.DUMMYFUNCTION("""COMPUTED_VALUE"""),41731.7055555555)</f>
        <v>41731.705555555498</v>
      </c>
      <c r="R1005" s="111">
        <f ca="1">IFERROR(__xludf.DUMMYFUNCTION("""COMPUTED_VALUE"""),23.73)</f>
        <v>23.73</v>
      </c>
      <c r="S1005" s="112">
        <f ca="1">IFERROR(__xludf.DUMMYFUNCTION("""COMPUTED_VALUE"""),41744.7055555555)</f>
        <v>41744.705555555498</v>
      </c>
      <c r="T1005" s="111">
        <f ca="1">IFERROR(__xludf.DUMMYFUNCTION("""COMPUTED_VALUE"""),9.43)</f>
        <v>9.43</v>
      </c>
    </row>
    <row r="1006" spans="1:20" x14ac:dyDescent="0.3">
      <c r="A1006" s="112">
        <f ca="1">IFERROR(__xludf.DUMMYFUNCTION("""COMPUTED_VALUE"""),41740.7055555555)</f>
        <v>41740.705555555498</v>
      </c>
      <c r="B1006" s="111">
        <f ca="1">IFERROR(__xludf.DUMMYFUNCTION("""COMPUTED_VALUE"""),7.01)</f>
        <v>7.01</v>
      </c>
      <c r="C1006" s="112">
        <f ca="1">IFERROR(__xludf.DUMMYFUNCTION("""COMPUTED_VALUE"""),41751.7055555555)</f>
        <v>41751.705555555498</v>
      </c>
      <c r="D1006" s="111">
        <f ca="1">IFERROR(__xludf.DUMMYFUNCTION("""COMPUTED_VALUE"""),17.93)</f>
        <v>17.93</v>
      </c>
      <c r="E1006" s="112">
        <f ca="1">IFERROR(__xludf.DUMMYFUNCTION("""COMPUTED_VALUE"""),41752.7055555555)</f>
        <v>41752.705555555498</v>
      </c>
      <c r="F1006" s="111">
        <f ca="1">IFERROR(__xludf.DUMMYFUNCTION("""COMPUTED_VALUE"""),6.28)</f>
        <v>6.28</v>
      </c>
      <c r="G1006" s="112">
        <f ca="1">IFERROR(__xludf.DUMMYFUNCTION("""COMPUTED_VALUE"""),41743.7055555555)</f>
        <v>41743.705555555498</v>
      </c>
      <c r="H1006" s="111">
        <f ca="1">IFERROR(__xludf.DUMMYFUNCTION("""COMPUTED_VALUE"""),15.93)</f>
        <v>15.93</v>
      </c>
      <c r="K1006" s="112">
        <f ca="1">IFERROR(__xludf.DUMMYFUNCTION("""COMPUTED_VALUE"""),42195.7055555555)</f>
        <v>42195.705555555498</v>
      </c>
      <c r="L1006" s="111">
        <f ca="1">IFERROR(__xludf.DUMMYFUNCTION("""COMPUTED_VALUE"""),0.09)</f>
        <v>0.09</v>
      </c>
      <c r="M1006" s="112">
        <f ca="1">IFERROR(__xludf.DUMMYFUNCTION("""COMPUTED_VALUE"""),41659.7055555555)</f>
        <v>41659.705555555498</v>
      </c>
      <c r="N1006" s="111">
        <f ca="1">IFERROR(__xludf.DUMMYFUNCTION("""COMPUTED_VALUE"""),11.65)</f>
        <v>11.65</v>
      </c>
      <c r="O1006" s="112">
        <f ca="1">IFERROR(__xludf.DUMMYFUNCTION("""COMPUTED_VALUE"""),41736.7055555555)</f>
        <v>41736.705555555498</v>
      </c>
      <c r="P1006" s="111">
        <f ca="1">IFERROR(__xludf.DUMMYFUNCTION("""COMPUTED_VALUE"""),33.34)</f>
        <v>33.340000000000003</v>
      </c>
      <c r="Q1006" s="112">
        <f ca="1">IFERROR(__xludf.DUMMYFUNCTION("""COMPUTED_VALUE"""),41732.7055555555)</f>
        <v>41732.705555555498</v>
      </c>
      <c r="R1006" s="111">
        <f ca="1">IFERROR(__xludf.DUMMYFUNCTION("""COMPUTED_VALUE"""),23.36)</f>
        <v>23.36</v>
      </c>
      <c r="S1006" s="112">
        <f ca="1">IFERROR(__xludf.DUMMYFUNCTION("""COMPUTED_VALUE"""),41745.7055555555)</f>
        <v>41745.705555555498</v>
      </c>
      <c r="T1006" s="111">
        <f ca="1">IFERROR(__xludf.DUMMYFUNCTION("""COMPUTED_VALUE"""),9.58)</f>
        <v>9.58</v>
      </c>
    </row>
    <row r="1007" spans="1:20" x14ac:dyDescent="0.3">
      <c r="A1007" s="112">
        <f ca="1">IFERROR(__xludf.DUMMYFUNCTION("""COMPUTED_VALUE"""),41743.7055555555)</f>
        <v>41743.705555555498</v>
      </c>
      <c r="B1007" s="111">
        <f ca="1">IFERROR(__xludf.DUMMYFUNCTION("""COMPUTED_VALUE"""),7.18)</f>
        <v>7.18</v>
      </c>
      <c r="C1007" s="112">
        <f ca="1">IFERROR(__xludf.DUMMYFUNCTION("""COMPUTED_VALUE"""),41752.7055555555)</f>
        <v>41752.705555555498</v>
      </c>
      <c r="D1007" s="111">
        <f ca="1">IFERROR(__xludf.DUMMYFUNCTION("""COMPUTED_VALUE"""),17.98)</f>
        <v>17.98</v>
      </c>
      <c r="E1007" s="112">
        <f ca="1">IFERROR(__xludf.DUMMYFUNCTION("""COMPUTED_VALUE"""),41753.7055555555)</f>
        <v>41753.705555555498</v>
      </c>
      <c r="F1007" s="111">
        <f ca="1">IFERROR(__xludf.DUMMYFUNCTION("""COMPUTED_VALUE"""),6.42)</f>
        <v>6.42</v>
      </c>
      <c r="G1007" s="112">
        <f ca="1">IFERROR(__xludf.DUMMYFUNCTION("""COMPUTED_VALUE"""),41744.7055555555)</f>
        <v>41744.705555555498</v>
      </c>
      <c r="H1007" s="111">
        <f ca="1">IFERROR(__xludf.DUMMYFUNCTION("""COMPUTED_VALUE"""),15.32)</f>
        <v>15.32</v>
      </c>
      <c r="K1007" s="112">
        <f ca="1">IFERROR(__xludf.DUMMYFUNCTION("""COMPUTED_VALUE"""),42198.7055555555)</f>
        <v>42198.705555555498</v>
      </c>
      <c r="L1007" s="111">
        <f ca="1">IFERROR(__xludf.DUMMYFUNCTION("""COMPUTED_VALUE"""),0.09)</f>
        <v>0.09</v>
      </c>
      <c r="M1007" s="112">
        <f ca="1">IFERROR(__xludf.DUMMYFUNCTION("""COMPUTED_VALUE"""),41660.7055555555)</f>
        <v>41660.705555555498</v>
      </c>
      <c r="N1007" s="111">
        <f ca="1">IFERROR(__xludf.DUMMYFUNCTION("""COMPUTED_VALUE"""),11.77)</f>
        <v>11.77</v>
      </c>
      <c r="O1007" s="112">
        <f ca="1">IFERROR(__xludf.DUMMYFUNCTION("""COMPUTED_VALUE"""),41737.7055555555)</f>
        <v>41737.705555555498</v>
      </c>
      <c r="P1007" s="111">
        <f ca="1">IFERROR(__xludf.DUMMYFUNCTION("""COMPUTED_VALUE"""),33.26)</f>
        <v>33.26</v>
      </c>
      <c r="Q1007" s="112">
        <f ca="1">IFERROR(__xludf.DUMMYFUNCTION("""COMPUTED_VALUE"""),41733.7055555555)</f>
        <v>41733.705555555498</v>
      </c>
      <c r="R1007" s="111">
        <f ca="1">IFERROR(__xludf.DUMMYFUNCTION("""COMPUTED_VALUE"""),23.57)</f>
        <v>23.57</v>
      </c>
      <c r="S1007" s="112">
        <f ca="1">IFERROR(__xludf.DUMMYFUNCTION("""COMPUTED_VALUE"""),41746.7055555555)</f>
        <v>41746.705555555498</v>
      </c>
      <c r="T1007" s="111">
        <f ca="1">IFERROR(__xludf.DUMMYFUNCTION("""COMPUTED_VALUE"""),9.58)</f>
        <v>9.58</v>
      </c>
    </row>
    <row r="1008" spans="1:20" x14ac:dyDescent="0.3">
      <c r="A1008" s="112">
        <f ca="1">IFERROR(__xludf.DUMMYFUNCTION("""COMPUTED_VALUE"""),41744.7055555555)</f>
        <v>41744.705555555498</v>
      </c>
      <c r="B1008" s="111">
        <f ca="1">IFERROR(__xludf.DUMMYFUNCTION("""COMPUTED_VALUE"""),7.12)</f>
        <v>7.12</v>
      </c>
      <c r="C1008" s="112">
        <f ca="1">IFERROR(__xludf.DUMMYFUNCTION("""COMPUTED_VALUE"""),41753.7055555555)</f>
        <v>41753.705555555498</v>
      </c>
      <c r="D1008" s="111">
        <f ca="1">IFERROR(__xludf.DUMMYFUNCTION("""COMPUTED_VALUE"""),18.28)</f>
        <v>18.28</v>
      </c>
      <c r="E1008" s="112">
        <f ca="1">IFERROR(__xludf.DUMMYFUNCTION("""COMPUTED_VALUE"""),41754.7055555555)</f>
        <v>41754.705555555498</v>
      </c>
      <c r="F1008" s="111">
        <f ca="1">IFERROR(__xludf.DUMMYFUNCTION("""COMPUTED_VALUE"""),6.42)</f>
        <v>6.42</v>
      </c>
      <c r="G1008" s="112">
        <f ca="1">IFERROR(__xludf.DUMMYFUNCTION("""COMPUTED_VALUE"""),41745.7055555555)</f>
        <v>41745.705555555498</v>
      </c>
      <c r="H1008" s="111">
        <f ca="1">IFERROR(__xludf.DUMMYFUNCTION("""COMPUTED_VALUE"""),15.78)</f>
        <v>15.78</v>
      </c>
      <c r="K1008" s="112">
        <f ca="1">IFERROR(__xludf.DUMMYFUNCTION("""COMPUTED_VALUE"""),42199.7055555555)</f>
        <v>42199.705555555498</v>
      </c>
      <c r="L1008" s="111">
        <f ca="1">IFERROR(__xludf.DUMMYFUNCTION("""COMPUTED_VALUE"""),0.09)</f>
        <v>0.09</v>
      </c>
      <c r="M1008" s="112">
        <f ca="1">IFERROR(__xludf.DUMMYFUNCTION("""COMPUTED_VALUE"""),41661.7055555555)</f>
        <v>41661.705555555498</v>
      </c>
      <c r="N1008" s="111">
        <f ca="1">IFERROR(__xludf.DUMMYFUNCTION("""COMPUTED_VALUE"""),11.85)</f>
        <v>11.85</v>
      </c>
      <c r="O1008" s="112">
        <f ca="1">IFERROR(__xludf.DUMMYFUNCTION("""COMPUTED_VALUE"""),41738.7055555555)</f>
        <v>41738.705555555498</v>
      </c>
      <c r="P1008" s="111">
        <f ca="1">IFERROR(__xludf.DUMMYFUNCTION("""COMPUTED_VALUE"""),32.98)</f>
        <v>32.979999999999997</v>
      </c>
      <c r="Q1008" s="112">
        <f ca="1">IFERROR(__xludf.DUMMYFUNCTION("""COMPUTED_VALUE"""),41736.7055555555)</f>
        <v>41736.705555555498</v>
      </c>
      <c r="R1008" s="111">
        <f ca="1">IFERROR(__xludf.DUMMYFUNCTION("""COMPUTED_VALUE"""),24.9)</f>
        <v>24.9</v>
      </c>
      <c r="S1008" s="112">
        <f ca="1">IFERROR(__xludf.DUMMYFUNCTION("""COMPUTED_VALUE"""),41751.7055555555)</f>
        <v>41751.705555555498</v>
      </c>
      <c r="T1008" s="111">
        <f ca="1">IFERROR(__xludf.DUMMYFUNCTION("""COMPUTED_VALUE"""),9.66)</f>
        <v>9.66</v>
      </c>
    </row>
    <row r="1009" spans="1:20" x14ac:dyDescent="0.3">
      <c r="A1009" s="112">
        <f ca="1">IFERROR(__xludf.DUMMYFUNCTION("""COMPUTED_VALUE"""),41745.7055555555)</f>
        <v>41745.705555555498</v>
      </c>
      <c r="B1009" s="111">
        <f ca="1">IFERROR(__xludf.DUMMYFUNCTION("""COMPUTED_VALUE"""),7.35)</f>
        <v>7.35</v>
      </c>
      <c r="C1009" s="112">
        <f ca="1">IFERROR(__xludf.DUMMYFUNCTION("""COMPUTED_VALUE"""),41754.7055555555)</f>
        <v>41754.705555555498</v>
      </c>
      <c r="D1009" s="111">
        <f ca="1">IFERROR(__xludf.DUMMYFUNCTION("""COMPUTED_VALUE"""),18.46)</f>
        <v>18.46</v>
      </c>
      <c r="E1009" s="112">
        <f ca="1">IFERROR(__xludf.DUMMYFUNCTION("""COMPUTED_VALUE"""),41757.7055555555)</f>
        <v>41757.705555555498</v>
      </c>
      <c r="F1009" s="111">
        <f ca="1">IFERROR(__xludf.DUMMYFUNCTION("""COMPUTED_VALUE"""),6.38)</f>
        <v>6.38</v>
      </c>
      <c r="G1009" s="112">
        <f ca="1">IFERROR(__xludf.DUMMYFUNCTION("""COMPUTED_VALUE"""),41746.7055555555)</f>
        <v>41746.705555555498</v>
      </c>
      <c r="H1009" s="111">
        <f ca="1">IFERROR(__xludf.DUMMYFUNCTION("""COMPUTED_VALUE"""),16.38)</f>
        <v>16.38</v>
      </c>
      <c r="K1009" s="112">
        <f ca="1">IFERROR(__xludf.DUMMYFUNCTION("""COMPUTED_VALUE"""),42200.7055555555)</f>
        <v>42200.705555555498</v>
      </c>
      <c r="L1009" s="111">
        <f ca="1">IFERROR(__xludf.DUMMYFUNCTION("""COMPUTED_VALUE"""),0.09)</f>
        <v>0.09</v>
      </c>
      <c r="M1009" s="112">
        <f ca="1">IFERROR(__xludf.DUMMYFUNCTION("""COMPUTED_VALUE"""),41662.7055555555)</f>
        <v>41662.705555555498</v>
      </c>
      <c r="N1009" s="111">
        <f ca="1">IFERROR(__xludf.DUMMYFUNCTION("""COMPUTED_VALUE"""),11.58)</f>
        <v>11.58</v>
      </c>
      <c r="O1009" s="112">
        <f ca="1">IFERROR(__xludf.DUMMYFUNCTION("""COMPUTED_VALUE"""),41739.7055555555)</f>
        <v>41739.705555555498</v>
      </c>
      <c r="P1009" s="111">
        <f ca="1">IFERROR(__xludf.DUMMYFUNCTION("""COMPUTED_VALUE"""),32.8)</f>
        <v>32.799999999999997</v>
      </c>
      <c r="Q1009" s="112">
        <f ca="1">IFERROR(__xludf.DUMMYFUNCTION("""COMPUTED_VALUE"""),41737.7055555555)</f>
        <v>41737.705555555498</v>
      </c>
      <c r="R1009" s="111">
        <f ca="1">IFERROR(__xludf.DUMMYFUNCTION("""COMPUTED_VALUE"""),24.19)</f>
        <v>24.19</v>
      </c>
      <c r="S1009" s="112">
        <f ca="1">IFERROR(__xludf.DUMMYFUNCTION("""COMPUTED_VALUE"""),41752.7055555555)</f>
        <v>41752.705555555498</v>
      </c>
      <c r="T1009" s="111">
        <f ca="1">IFERROR(__xludf.DUMMYFUNCTION("""COMPUTED_VALUE"""),9.56)</f>
        <v>9.56</v>
      </c>
    </row>
    <row r="1010" spans="1:20" x14ac:dyDescent="0.3">
      <c r="A1010" s="112">
        <f ca="1">IFERROR(__xludf.DUMMYFUNCTION("""COMPUTED_VALUE"""),41746.7055555555)</f>
        <v>41746.705555555498</v>
      </c>
      <c r="B1010" s="111">
        <f ca="1">IFERROR(__xludf.DUMMYFUNCTION("""COMPUTED_VALUE"""),7.59)</f>
        <v>7.59</v>
      </c>
      <c r="C1010" s="112">
        <f ca="1">IFERROR(__xludf.DUMMYFUNCTION("""COMPUTED_VALUE"""),41757.7055555555)</f>
        <v>41757.705555555498</v>
      </c>
      <c r="D1010" s="111">
        <f ca="1">IFERROR(__xludf.DUMMYFUNCTION("""COMPUTED_VALUE"""),18.42)</f>
        <v>18.420000000000002</v>
      </c>
      <c r="E1010" s="112">
        <f ca="1">IFERROR(__xludf.DUMMYFUNCTION("""COMPUTED_VALUE"""),41758.7055555555)</f>
        <v>41758.705555555498</v>
      </c>
      <c r="F1010" s="111">
        <f ca="1">IFERROR(__xludf.DUMMYFUNCTION("""COMPUTED_VALUE"""),6.4)</f>
        <v>6.4</v>
      </c>
      <c r="G1010" s="112">
        <f ca="1">IFERROR(__xludf.DUMMYFUNCTION("""COMPUTED_VALUE"""),41751.7055555555)</f>
        <v>41751.705555555498</v>
      </c>
      <c r="H1010" s="111">
        <f ca="1">IFERROR(__xludf.DUMMYFUNCTION("""COMPUTED_VALUE"""),15.96)</f>
        <v>15.96</v>
      </c>
      <c r="K1010" s="112">
        <f ca="1">IFERROR(__xludf.DUMMYFUNCTION("""COMPUTED_VALUE"""),42201.7055555555)</f>
        <v>42201.705555555498</v>
      </c>
      <c r="L1010" s="111">
        <f ca="1">IFERROR(__xludf.DUMMYFUNCTION("""COMPUTED_VALUE"""),0.08)</f>
        <v>0.08</v>
      </c>
      <c r="M1010" s="112">
        <f ca="1">IFERROR(__xludf.DUMMYFUNCTION("""COMPUTED_VALUE"""),41663.7055555555)</f>
        <v>41663.705555555498</v>
      </c>
      <c r="N1010" s="111">
        <f ca="1">IFERROR(__xludf.DUMMYFUNCTION("""COMPUTED_VALUE"""),11.35)</f>
        <v>11.35</v>
      </c>
      <c r="O1010" s="112">
        <f ca="1">IFERROR(__xludf.DUMMYFUNCTION("""COMPUTED_VALUE"""),41740.7055555555)</f>
        <v>41740.705555555498</v>
      </c>
      <c r="P1010" s="111">
        <f ca="1">IFERROR(__xludf.DUMMYFUNCTION("""COMPUTED_VALUE"""),32.97)</f>
        <v>32.97</v>
      </c>
      <c r="Q1010" s="112">
        <f ca="1">IFERROR(__xludf.DUMMYFUNCTION("""COMPUTED_VALUE"""),41738.7055555555)</f>
        <v>41738.705555555498</v>
      </c>
      <c r="R1010" s="111">
        <f ca="1">IFERROR(__xludf.DUMMYFUNCTION("""COMPUTED_VALUE"""),23.41)</f>
        <v>23.41</v>
      </c>
      <c r="S1010" s="112">
        <f ca="1">IFERROR(__xludf.DUMMYFUNCTION("""COMPUTED_VALUE"""),41753.7055555555)</f>
        <v>41753.705555555498</v>
      </c>
      <c r="T1010" s="111">
        <f ca="1">IFERROR(__xludf.DUMMYFUNCTION("""COMPUTED_VALUE"""),9.47)</f>
        <v>9.4700000000000006</v>
      </c>
    </row>
    <row r="1011" spans="1:20" x14ac:dyDescent="0.3">
      <c r="A1011" s="112">
        <f ca="1">IFERROR(__xludf.DUMMYFUNCTION("""COMPUTED_VALUE"""),41751.7055555555)</f>
        <v>41751.705555555498</v>
      </c>
      <c r="B1011" s="111">
        <f ca="1">IFERROR(__xludf.DUMMYFUNCTION("""COMPUTED_VALUE"""),7.81)</f>
        <v>7.81</v>
      </c>
      <c r="C1011" s="112">
        <f ca="1">IFERROR(__xludf.DUMMYFUNCTION("""COMPUTED_VALUE"""),41758.7055555555)</f>
        <v>41758.705555555498</v>
      </c>
      <c r="D1011" s="111">
        <f ca="1">IFERROR(__xludf.DUMMYFUNCTION("""COMPUTED_VALUE"""),18.43)</f>
        <v>18.43</v>
      </c>
      <c r="E1011" s="112">
        <f ca="1">IFERROR(__xludf.DUMMYFUNCTION("""COMPUTED_VALUE"""),41759.7055555555)</f>
        <v>41759.705555555498</v>
      </c>
      <c r="F1011" s="111">
        <f ca="1">IFERROR(__xludf.DUMMYFUNCTION("""COMPUTED_VALUE"""),6.36)</f>
        <v>6.36</v>
      </c>
      <c r="G1011" s="112">
        <f ca="1">IFERROR(__xludf.DUMMYFUNCTION("""COMPUTED_VALUE"""),41752.7055555555)</f>
        <v>41752.705555555498</v>
      </c>
      <c r="H1011" s="111">
        <f ca="1">IFERROR(__xludf.DUMMYFUNCTION("""COMPUTED_VALUE"""),16.04)</f>
        <v>16.04</v>
      </c>
      <c r="K1011" s="112">
        <f ca="1">IFERROR(__xludf.DUMMYFUNCTION("""COMPUTED_VALUE"""),42202.7055555555)</f>
        <v>42202.705555555498</v>
      </c>
      <c r="L1011" s="111">
        <f ca="1">IFERROR(__xludf.DUMMYFUNCTION("""COMPUTED_VALUE"""),0.08)</f>
        <v>0.08</v>
      </c>
      <c r="M1011" s="112">
        <f ca="1">IFERROR(__xludf.DUMMYFUNCTION("""COMPUTED_VALUE"""),41666.7055555555)</f>
        <v>41666.705555555498</v>
      </c>
      <c r="N1011" s="111">
        <f ca="1">IFERROR(__xludf.DUMMYFUNCTION("""COMPUTED_VALUE"""),11.42)</f>
        <v>11.42</v>
      </c>
      <c r="O1011" s="112">
        <f ca="1">IFERROR(__xludf.DUMMYFUNCTION("""COMPUTED_VALUE"""),41743.7055555555)</f>
        <v>41743.705555555498</v>
      </c>
      <c r="P1011" s="111">
        <f ca="1">IFERROR(__xludf.DUMMYFUNCTION("""COMPUTED_VALUE"""),31.99)</f>
        <v>31.99</v>
      </c>
      <c r="Q1011" s="112">
        <f ca="1">IFERROR(__xludf.DUMMYFUNCTION("""COMPUTED_VALUE"""),41739.7055555555)</f>
        <v>41739.705555555498</v>
      </c>
      <c r="R1011" s="111">
        <f ca="1">IFERROR(__xludf.DUMMYFUNCTION("""COMPUTED_VALUE"""),23.45)</f>
        <v>23.45</v>
      </c>
      <c r="S1011" s="112">
        <f ca="1">IFERROR(__xludf.DUMMYFUNCTION("""COMPUTED_VALUE"""),41754.7055555555)</f>
        <v>41754.705555555498</v>
      </c>
      <c r="T1011" s="111">
        <f ca="1">IFERROR(__xludf.DUMMYFUNCTION("""COMPUTED_VALUE"""),9.41)</f>
        <v>9.41</v>
      </c>
    </row>
    <row r="1012" spans="1:20" x14ac:dyDescent="0.3">
      <c r="A1012" s="112">
        <f ca="1">IFERROR(__xludf.DUMMYFUNCTION("""COMPUTED_VALUE"""),41752.7055555555)</f>
        <v>41752.705555555498</v>
      </c>
      <c r="B1012" s="111">
        <f ca="1">IFERROR(__xludf.DUMMYFUNCTION("""COMPUTED_VALUE"""),7.82)</f>
        <v>7.82</v>
      </c>
      <c r="C1012" s="112">
        <f ca="1">IFERROR(__xludf.DUMMYFUNCTION("""COMPUTED_VALUE"""),41759.7055555555)</f>
        <v>41759.705555555498</v>
      </c>
      <c r="D1012" s="111">
        <f ca="1">IFERROR(__xludf.DUMMYFUNCTION("""COMPUTED_VALUE"""),18.42)</f>
        <v>18.420000000000002</v>
      </c>
      <c r="E1012" s="112">
        <f ca="1">IFERROR(__xludf.DUMMYFUNCTION("""COMPUTED_VALUE"""),41761.7055555555)</f>
        <v>41761.705555555498</v>
      </c>
      <c r="F1012" s="111">
        <f ca="1">IFERROR(__xludf.DUMMYFUNCTION("""COMPUTED_VALUE"""),6.57)</f>
        <v>6.57</v>
      </c>
      <c r="G1012" s="112">
        <f ca="1">IFERROR(__xludf.DUMMYFUNCTION("""COMPUTED_VALUE"""),41753.7055555555)</f>
        <v>41753.705555555498</v>
      </c>
      <c r="H1012" s="111">
        <f ca="1">IFERROR(__xludf.DUMMYFUNCTION("""COMPUTED_VALUE"""),16.13)</f>
        <v>16.13</v>
      </c>
      <c r="K1012" s="112">
        <f ca="1">IFERROR(__xludf.DUMMYFUNCTION("""COMPUTED_VALUE"""),42205.7055555555)</f>
        <v>42205.705555555498</v>
      </c>
      <c r="L1012" s="111">
        <f ca="1">IFERROR(__xludf.DUMMYFUNCTION("""COMPUTED_VALUE"""),0.08)</f>
        <v>0.08</v>
      </c>
      <c r="M1012" s="112">
        <f ca="1">IFERROR(__xludf.DUMMYFUNCTION("""COMPUTED_VALUE"""),41667.7055555555)</f>
        <v>41667.705555555498</v>
      </c>
      <c r="N1012" s="111">
        <f ca="1">IFERROR(__xludf.DUMMYFUNCTION("""COMPUTED_VALUE"""),11.42)</f>
        <v>11.42</v>
      </c>
      <c r="O1012" s="112">
        <f ca="1">IFERROR(__xludf.DUMMYFUNCTION("""COMPUTED_VALUE"""),41744.7055555555)</f>
        <v>41744.705555555498</v>
      </c>
      <c r="P1012" s="111">
        <f ca="1">IFERROR(__xludf.DUMMYFUNCTION("""COMPUTED_VALUE"""),30.94)</f>
        <v>30.94</v>
      </c>
      <c r="Q1012" s="112">
        <f ca="1">IFERROR(__xludf.DUMMYFUNCTION("""COMPUTED_VALUE"""),41740.7055555555)</f>
        <v>41740.705555555498</v>
      </c>
      <c r="R1012" s="111">
        <f ca="1">IFERROR(__xludf.DUMMYFUNCTION("""COMPUTED_VALUE"""),23.83)</f>
        <v>23.83</v>
      </c>
      <c r="S1012" s="112">
        <f ca="1">IFERROR(__xludf.DUMMYFUNCTION("""COMPUTED_VALUE"""),41757.7055555555)</f>
        <v>41757.705555555498</v>
      </c>
      <c r="T1012" s="111">
        <f ca="1">IFERROR(__xludf.DUMMYFUNCTION("""COMPUTED_VALUE"""),9.39)</f>
        <v>9.39</v>
      </c>
    </row>
    <row r="1013" spans="1:20" x14ac:dyDescent="0.3">
      <c r="A1013" s="112">
        <f ca="1">IFERROR(__xludf.DUMMYFUNCTION("""COMPUTED_VALUE"""),41753.7055555555)</f>
        <v>41753.705555555498</v>
      </c>
      <c r="B1013" s="111">
        <f ca="1">IFERROR(__xludf.DUMMYFUNCTION("""COMPUTED_VALUE"""),7.79)</f>
        <v>7.79</v>
      </c>
      <c r="C1013" s="112">
        <f ca="1">IFERROR(__xludf.DUMMYFUNCTION("""COMPUTED_VALUE"""),41761.7055555555)</f>
        <v>41761.705555555498</v>
      </c>
      <c r="D1013" s="111">
        <f ca="1">IFERROR(__xludf.DUMMYFUNCTION("""COMPUTED_VALUE"""),18.86)</f>
        <v>18.86</v>
      </c>
      <c r="E1013" s="112">
        <f ca="1">IFERROR(__xludf.DUMMYFUNCTION("""COMPUTED_VALUE"""),41764.7055555555)</f>
        <v>41764.705555555498</v>
      </c>
      <c r="F1013" s="111">
        <f ca="1">IFERROR(__xludf.DUMMYFUNCTION("""COMPUTED_VALUE"""),6.63)</f>
        <v>6.63</v>
      </c>
      <c r="G1013" s="112">
        <f ca="1">IFERROR(__xludf.DUMMYFUNCTION("""COMPUTED_VALUE"""),41754.7055555555)</f>
        <v>41754.705555555498</v>
      </c>
      <c r="H1013" s="111">
        <f ca="1">IFERROR(__xludf.DUMMYFUNCTION("""COMPUTED_VALUE"""),16.03)</f>
        <v>16.03</v>
      </c>
      <c r="K1013" s="112">
        <f ca="1">IFERROR(__xludf.DUMMYFUNCTION("""COMPUTED_VALUE"""),42206.7055555555)</f>
        <v>42206.705555555498</v>
      </c>
      <c r="L1013" s="111">
        <f ca="1">IFERROR(__xludf.DUMMYFUNCTION("""COMPUTED_VALUE"""),0.09)</f>
        <v>0.09</v>
      </c>
      <c r="M1013" s="112">
        <f ca="1">IFERROR(__xludf.DUMMYFUNCTION("""COMPUTED_VALUE"""),41668.7055555555)</f>
        <v>41668.705555555498</v>
      </c>
      <c r="N1013" s="111">
        <f ca="1">IFERROR(__xludf.DUMMYFUNCTION("""COMPUTED_VALUE"""),11.16)</f>
        <v>11.16</v>
      </c>
      <c r="O1013" s="112">
        <f ca="1">IFERROR(__xludf.DUMMYFUNCTION("""COMPUTED_VALUE"""),41745.7055555555)</f>
        <v>41745.705555555498</v>
      </c>
      <c r="P1013" s="111">
        <f ca="1">IFERROR(__xludf.DUMMYFUNCTION("""COMPUTED_VALUE"""),31.08)</f>
        <v>31.08</v>
      </c>
      <c r="Q1013" s="112">
        <f ca="1">IFERROR(__xludf.DUMMYFUNCTION("""COMPUTED_VALUE"""),41743.7055555555)</f>
        <v>41743.705555555498</v>
      </c>
      <c r="R1013" s="111">
        <f ca="1">IFERROR(__xludf.DUMMYFUNCTION("""COMPUTED_VALUE"""),23.47)</f>
        <v>23.47</v>
      </c>
      <c r="S1013" s="112">
        <f ca="1">IFERROR(__xludf.DUMMYFUNCTION("""COMPUTED_VALUE"""),41758.7055555555)</f>
        <v>41758.705555555498</v>
      </c>
      <c r="T1013" s="111">
        <f ca="1">IFERROR(__xludf.DUMMYFUNCTION("""COMPUTED_VALUE"""),9.68)</f>
        <v>9.68</v>
      </c>
    </row>
    <row r="1014" spans="1:20" x14ac:dyDescent="0.3">
      <c r="A1014" s="112">
        <f ca="1">IFERROR(__xludf.DUMMYFUNCTION("""COMPUTED_VALUE"""),41754.7055555555)</f>
        <v>41754.705555555498</v>
      </c>
      <c r="B1014" s="111">
        <f ca="1">IFERROR(__xludf.DUMMYFUNCTION("""COMPUTED_VALUE"""),7.58)</f>
        <v>7.58</v>
      </c>
      <c r="C1014" s="112">
        <f ca="1">IFERROR(__xludf.DUMMYFUNCTION("""COMPUTED_VALUE"""),41764.7055555555)</f>
        <v>41764.705555555498</v>
      </c>
      <c r="D1014" s="111">
        <f ca="1">IFERROR(__xludf.DUMMYFUNCTION("""COMPUTED_VALUE"""),18.96)</f>
        <v>18.96</v>
      </c>
      <c r="E1014" s="112">
        <f ca="1">IFERROR(__xludf.DUMMYFUNCTION("""COMPUTED_VALUE"""),41765.7055555555)</f>
        <v>41765.705555555498</v>
      </c>
      <c r="F1014" s="111">
        <f ca="1">IFERROR(__xludf.DUMMYFUNCTION("""COMPUTED_VALUE"""),6.61)</f>
        <v>6.61</v>
      </c>
      <c r="G1014" s="112">
        <f ca="1">IFERROR(__xludf.DUMMYFUNCTION("""COMPUTED_VALUE"""),41757.7055555555)</f>
        <v>41757.705555555498</v>
      </c>
      <c r="H1014" s="111">
        <f ca="1">IFERROR(__xludf.DUMMYFUNCTION("""COMPUTED_VALUE"""),16.56)</f>
        <v>16.559999999999999</v>
      </c>
      <c r="K1014" s="112">
        <f ca="1">IFERROR(__xludf.DUMMYFUNCTION("""COMPUTED_VALUE"""),42207.7055555555)</f>
        <v>42207.705555555498</v>
      </c>
      <c r="L1014" s="111">
        <f ca="1">IFERROR(__xludf.DUMMYFUNCTION("""COMPUTED_VALUE"""),0.1)</f>
        <v>0.1</v>
      </c>
      <c r="M1014" s="112">
        <f ca="1">IFERROR(__xludf.DUMMYFUNCTION("""COMPUTED_VALUE"""),41669.7055555555)</f>
        <v>41669.705555555498</v>
      </c>
      <c r="N1014" s="111">
        <f ca="1">IFERROR(__xludf.DUMMYFUNCTION("""COMPUTED_VALUE"""),11.09)</f>
        <v>11.09</v>
      </c>
      <c r="O1014" s="112">
        <f ca="1">IFERROR(__xludf.DUMMYFUNCTION("""COMPUTED_VALUE"""),41746.7055555555)</f>
        <v>41746.705555555498</v>
      </c>
      <c r="P1014" s="111">
        <f ca="1">IFERROR(__xludf.DUMMYFUNCTION("""COMPUTED_VALUE"""),31.65)</f>
        <v>31.65</v>
      </c>
      <c r="Q1014" s="112">
        <f ca="1">IFERROR(__xludf.DUMMYFUNCTION("""COMPUTED_VALUE"""),41744.7055555555)</f>
        <v>41744.705555555498</v>
      </c>
      <c r="R1014" s="111">
        <f ca="1">IFERROR(__xludf.DUMMYFUNCTION("""COMPUTED_VALUE"""),23.17)</f>
        <v>23.17</v>
      </c>
      <c r="S1014" s="112">
        <f ca="1">IFERROR(__xludf.DUMMYFUNCTION("""COMPUTED_VALUE"""),41759.7055555555)</f>
        <v>41759.705555555498</v>
      </c>
      <c r="T1014" s="111">
        <f ca="1">IFERROR(__xludf.DUMMYFUNCTION("""COMPUTED_VALUE"""),9.86)</f>
        <v>9.86</v>
      </c>
    </row>
    <row r="1015" spans="1:20" x14ac:dyDescent="0.3">
      <c r="A1015" s="112">
        <f ca="1">IFERROR(__xludf.DUMMYFUNCTION("""COMPUTED_VALUE"""),41757.7055555555)</f>
        <v>41757.705555555498</v>
      </c>
      <c r="B1015" s="111">
        <f ca="1">IFERROR(__xludf.DUMMYFUNCTION("""COMPUTED_VALUE"""),7.61)</f>
        <v>7.61</v>
      </c>
      <c r="C1015" s="112">
        <f ca="1">IFERROR(__xludf.DUMMYFUNCTION("""COMPUTED_VALUE"""),41765.7055555555)</f>
        <v>41765.705555555498</v>
      </c>
      <c r="D1015" s="111">
        <f ca="1">IFERROR(__xludf.DUMMYFUNCTION("""COMPUTED_VALUE"""),18.78)</f>
        <v>18.78</v>
      </c>
      <c r="E1015" s="112">
        <f ca="1">IFERROR(__xludf.DUMMYFUNCTION("""COMPUTED_VALUE"""),41766.7055555555)</f>
        <v>41766.705555555498</v>
      </c>
      <c r="F1015" s="111">
        <f ca="1">IFERROR(__xludf.DUMMYFUNCTION("""COMPUTED_VALUE"""),6.63)</f>
        <v>6.63</v>
      </c>
      <c r="G1015" s="112">
        <f ca="1">IFERROR(__xludf.DUMMYFUNCTION("""COMPUTED_VALUE"""),41758.7055555555)</f>
        <v>41758.705555555498</v>
      </c>
      <c r="H1015" s="111">
        <f ca="1">IFERROR(__xludf.DUMMYFUNCTION("""COMPUTED_VALUE"""),16.69)</f>
        <v>16.690000000000001</v>
      </c>
      <c r="K1015" s="112">
        <f ca="1">IFERROR(__xludf.DUMMYFUNCTION("""COMPUTED_VALUE"""),42208.7055555555)</f>
        <v>42208.705555555498</v>
      </c>
      <c r="L1015" s="111">
        <f ca="1">IFERROR(__xludf.DUMMYFUNCTION("""COMPUTED_VALUE"""),0.11)</f>
        <v>0.11</v>
      </c>
      <c r="M1015" s="112">
        <f ca="1">IFERROR(__xludf.DUMMYFUNCTION("""COMPUTED_VALUE"""),41670.7055555555)</f>
        <v>41670.705555555498</v>
      </c>
      <c r="N1015" s="111">
        <f ca="1">IFERROR(__xludf.DUMMYFUNCTION("""COMPUTED_VALUE"""),11.28)</f>
        <v>11.28</v>
      </c>
      <c r="O1015" s="112">
        <f ca="1">IFERROR(__xludf.DUMMYFUNCTION("""COMPUTED_VALUE"""),41751.7055555555)</f>
        <v>41751.705555555498</v>
      </c>
      <c r="P1015" s="111">
        <f ca="1">IFERROR(__xludf.DUMMYFUNCTION("""COMPUTED_VALUE"""),30.71)</f>
        <v>30.71</v>
      </c>
      <c r="Q1015" s="112">
        <f ca="1">IFERROR(__xludf.DUMMYFUNCTION("""COMPUTED_VALUE"""),41745.7055555555)</f>
        <v>41745.705555555498</v>
      </c>
      <c r="R1015" s="111">
        <f ca="1">IFERROR(__xludf.DUMMYFUNCTION("""COMPUTED_VALUE"""),23.11)</f>
        <v>23.11</v>
      </c>
      <c r="S1015" s="112">
        <f ca="1">IFERROR(__xludf.DUMMYFUNCTION("""COMPUTED_VALUE"""),41761.7055555555)</f>
        <v>41761.705555555498</v>
      </c>
      <c r="T1015" s="111">
        <f ca="1">IFERROR(__xludf.DUMMYFUNCTION("""COMPUTED_VALUE"""),10.18)</f>
        <v>10.18</v>
      </c>
    </row>
    <row r="1016" spans="1:20" x14ac:dyDescent="0.3">
      <c r="A1016" s="112">
        <f ca="1">IFERROR(__xludf.DUMMYFUNCTION("""COMPUTED_VALUE"""),41758.7055555555)</f>
        <v>41758.705555555498</v>
      </c>
      <c r="B1016" s="111">
        <f ca="1">IFERROR(__xludf.DUMMYFUNCTION("""COMPUTED_VALUE"""),7.89)</f>
        <v>7.89</v>
      </c>
      <c r="C1016" s="112">
        <f ca="1">IFERROR(__xludf.DUMMYFUNCTION("""COMPUTED_VALUE"""),41766.7055555555)</f>
        <v>41766.705555555498</v>
      </c>
      <c r="D1016" s="111">
        <f ca="1">IFERROR(__xludf.DUMMYFUNCTION("""COMPUTED_VALUE"""),18.91)</f>
        <v>18.91</v>
      </c>
      <c r="E1016" s="112">
        <f ca="1">IFERROR(__xludf.DUMMYFUNCTION("""COMPUTED_VALUE"""),41767.7055555555)</f>
        <v>41767.705555555498</v>
      </c>
      <c r="F1016" s="111">
        <f ca="1">IFERROR(__xludf.DUMMYFUNCTION("""COMPUTED_VALUE"""),6.53)</f>
        <v>6.53</v>
      </c>
      <c r="G1016" s="112">
        <f ca="1">IFERROR(__xludf.DUMMYFUNCTION("""COMPUTED_VALUE"""),41759.7055555555)</f>
        <v>41759.705555555498</v>
      </c>
      <c r="H1016" s="111">
        <f ca="1">IFERROR(__xludf.DUMMYFUNCTION("""COMPUTED_VALUE"""),16.56)</f>
        <v>16.559999999999999</v>
      </c>
      <c r="K1016" s="112">
        <f ca="1">IFERROR(__xludf.DUMMYFUNCTION("""COMPUTED_VALUE"""),42209.7055555555)</f>
        <v>42209.705555555498</v>
      </c>
      <c r="L1016" s="111">
        <f ca="1">IFERROR(__xludf.DUMMYFUNCTION("""COMPUTED_VALUE"""),0.1)</f>
        <v>0.1</v>
      </c>
      <c r="M1016" s="112">
        <f ca="1">IFERROR(__xludf.DUMMYFUNCTION("""COMPUTED_VALUE"""),41673.7055555555)</f>
        <v>41673.705555555498</v>
      </c>
      <c r="N1016" s="111">
        <f ca="1">IFERROR(__xludf.DUMMYFUNCTION("""COMPUTED_VALUE"""),10.9)</f>
        <v>10.9</v>
      </c>
      <c r="O1016" s="112">
        <f ca="1">IFERROR(__xludf.DUMMYFUNCTION("""COMPUTED_VALUE"""),41752.7055555555)</f>
        <v>41752.705555555498</v>
      </c>
      <c r="P1016" s="111">
        <f ca="1">IFERROR(__xludf.DUMMYFUNCTION("""COMPUTED_VALUE"""),30.35)</f>
        <v>30.35</v>
      </c>
      <c r="Q1016" s="112">
        <f ca="1">IFERROR(__xludf.DUMMYFUNCTION("""COMPUTED_VALUE"""),41746.7055555555)</f>
        <v>41746.705555555498</v>
      </c>
      <c r="R1016" s="111">
        <f ca="1">IFERROR(__xludf.DUMMYFUNCTION("""COMPUTED_VALUE"""),24.11)</f>
        <v>24.11</v>
      </c>
      <c r="S1016" s="112">
        <f ca="1">IFERROR(__xludf.DUMMYFUNCTION("""COMPUTED_VALUE"""),41764.7055555555)</f>
        <v>41764.705555555498</v>
      </c>
      <c r="T1016" s="111">
        <f ca="1">IFERROR(__xludf.DUMMYFUNCTION("""COMPUTED_VALUE"""),9.98)</f>
        <v>9.98</v>
      </c>
    </row>
    <row r="1017" spans="1:20" x14ac:dyDescent="0.3">
      <c r="A1017" s="112">
        <f ca="1">IFERROR(__xludf.DUMMYFUNCTION("""COMPUTED_VALUE"""),41759.7055555555)</f>
        <v>41759.705555555498</v>
      </c>
      <c r="B1017" s="111">
        <f ca="1">IFERROR(__xludf.DUMMYFUNCTION("""COMPUTED_VALUE"""),7.68)</f>
        <v>7.68</v>
      </c>
      <c r="C1017" s="112">
        <f ca="1">IFERROR(__xludf.DUMMYFUNCTION("""COMPUTED_VALUE"""),41767.7055555555)</f>
        <v>41767.705555555498</v>
      </c>
      <c r="D1017" s="111">
        <f ca="1">IFERROR(__xludf.DUMMYFUNCTION("""COMPUTED_VALUE"""),18.62)</f>
        <v>18.62</v>
      </c>
      <c r="E1017" s="112">
        <f ca="1">IFERROR(__xludf.DUMMYFUNCTION("""COMPUTED_VALUE"""),41768.7055555555)</f>
        <v>41768.705555555498</v>
      </c>
      <c r="F1017" s="111">
        <f ca="1">IFERROR(__xludf.DUMMYFUNCTION("""COMPUTED_VALUE"""),6.52)</f>
        <v>6.52</v>
      </c>
      <c r="G1017" s="112">
        <f ca="1">IFERROR(__xludf.DUMMYFUNCTION("""COMPUTED_VALUE"""),41761.7055555555)</f>
        <v>41761.705555555498</v>
      </c>
      <c r="H1017" s="111">
        <f ca="1">IFERROR(__xludf.DUMMYFUNCTION("""COMPUTED_VALUE"""),17.7)</f>
        <v>17.7</v>
      </c>
      <c r="K1017" s="112">
        <f ca="1">IFERROR(__xludf.DUMMYFUNCTION("""COMPUTED_VALUE"""),42212.7055555555)</f>
        <v>42212.705555555498</v>
      </c>
      <c r="L1017" s="111">
        <f ca="1">IFERROR(__xludf.DUMMYFUNCTION("""COMPUTED_VALUE"""),0.09)</f>
        <v>0.09</v>
      </c>
      <c r="M1017" s="112">
        <f ca="1">IFERROR(__xludf.DUMMYFUNCTION("""COMPUTED_VALUE"""),41674.7055555555)</f>
        <v>41674.705555555498</v>
      </c>
      <c r="N1017" s="111">
        <f ca="1">IFERROR(__xludf.DUMMYFUNCTION("""COMPUTED_VALUE"""),11.14)</f>
        <v>11.14</v>
      </c>
      <c r="O1017" s="112">
        <f ca="1">IFERROR(__xludf.DUMMYFUNCTION("""COMPUTED_VALUE"""),41753.7055555555)</f>
        <v>41753.705555555498</v>
      </c>
      <c r="P1017" s="111">
        <f ca="1">IFERROR(__xludf.DUMMYFUNCTION("""COMPUTED_VALUE"""),30.79)</f>
        <v>30.79</v>
      </c>
      <c r="Q1017" s="112">
        <f ca="1">IFERROR(__xludf.DUMMYFUNCTION("""COMPUTED_VALUE"""),41751.7055555555)</f>
        <v>41751.705555555498</v>
      </c>
      <c r="R1017" s="111">
        <f ca="1">IFERROR(__xludf.DUMMYFUNCTION("""COMPUTED_VALUE"""),24.26)</f>
        <v>24.26</v>
      </c>
      <c r="S1017" s="112">
        <f ca="1">IFERROR(__xludf.DUMMYFUNCTION("""COMPUTED_VALUE"""),41765.7055555555)</f>
        <v>41765.705555555498</v>
      </c>
      <c r="T1017" s="111">
        <f ca="1">IFERROR(__xludf.DUMMYFUNCTION("""COMPUTED_VALUE"""),10)</f>
        <v>10</v>
      </c>
    </row>
    <row r="1018" spans="1:20" x14ac:dyDescent="0.3">
      <c r="A1018" s="112">
        <f ca="1">IFERROR(__xludf.DUMMYFUNCTION("""COMPUTED_VALUE"""),41761.7055555555)</f>
        <v>41761.705555555498</v>
      </c>
      <c r="B1018" s="111">
        <f ca="1">IFERROR(__xludf.DUMMYFUNCTION("""COMPUTED_VALUE"""),7.42)</f>
        <v>7.42</v>
      </c>
      <c r="C1018" s="112">
        <f ca="1">IFERROR(__xludf.DUMMYFUNCTION("""COMPUTED_VALUE"""),41768.7055555555)</f>
        <v>41768.705555555498</v>
      </c>
      <c r="D1018" s="111">
        <f ca="1">IFERROR(__xludf.DUMMYFUNCTION("""COMPUTED_VALUE"""),18.46)</f>
        <v>18.46</v>
      </c>
      <c r="E1018" s="112">
        <f ca="1">IFERROR(__xludf.DUMMYFUNCTION("""COMPUTED_VALUE"""),41771.7055555555)</f>
        <v>41771.705555555498</v>
      </c>
      <c r="F1018" s="111">
        <f ca="1">IFERROR(__xludf.DUMMYFUNCTION("""COMPUTED_VALUE"""),6.62)</f>
        <v>6.62</v>
      </c>
      <c r="G1018" s="112">
        <f ca="1">IFERROR(__xludf.DUMMYFUNCTION("""COMPUTED_VALUE"""),41764.7055555555)</f>
        <v>41764.705555555498</v>
      </c>
      <c r="H1018" s="111">
        <f ca="1">IFERROR(__xludf.DUMMYFUNCTION("""COMPUTED_VALUE"""),17.57)</f>
        <v>17.57</v>
      </c>
      <c r="K1018" s="112">
        <f ca="1">IFERROR(__xludf.DUMMYFUNCTION("""COMPUTED_VALUE"""),42213.7055555555)</f>
        <v>42213.705555555498</v>
      </c>
      <c r="L1018" s="111">
        <f ca="1">IFERROR(__xludf.DUMMYFUNCTION("""COMPUTED_VALUE"""),0.09)</f>
        <v>0.09</v>
      </c>
      <c r="M1018" s="112">
        <f ca="1">IFERROR(__xludf.DUMMYFUNCTION("""COMPUTED_VALUE"""),41675.7055555555)</f>
        <v>41675.705555555498</v>
      </c>
      <c r="N1018" s="111">
        <f ca="1">IFERROR(__xludf.DUMMYFUNCTION("""COMPUTED_VALUE"""),11.09)</f>
        <v>11.09</v>
      </c>
      <c r="O1018" s="112">
        <f ca="1">IFERROR(__xludf.DUMMYFUNCTION("""COMPUTED_VALUE"""),41754.7055555555)</f>
        <v>41754.705555555498</v>
      </c>
      <c r="P1018" s="111">
        <f ca="1">IFERROR(__xludf.DUMMYFUNCTION("""COMPUTED_VALUE"""),30.32)</f>
        <v>30.32</v>
      </c>
      <c r="Q1018" s="112">
        <f ca="1">IFERROR(__xludf.DUMMYFUNCTION("""COMPUTED_VALUE"""),41752.7055555555)</f>
        <v>41752.705555555498</v>
      </c>
      <c r="R1018" s="111">
        <f ca="1">IFERROR(__xludf.DUMMYFUNCTION("""COMPUTED_VALUE"""),23.92)</f>
        <v>23.92</v>
      </c>
      <c r="S1018" s="112">
        <f ca="1">IFERROR(__xludf.DUMMYFUNCTION("""COMPUTED_VALUE"""),41766.7055555555)</f>
        <v>41766.705555555498</v>
      </c>
      <c r="T1018" s="111">
        <f ca="1">IFERROR(__xludf.DUMMYFUNCTION("""COMPUTED_VALUE"""),9.92)</f>
        <v>9.92</v>
      </c>
    </row>
    <row r="1019" spans="1:20" x14ac:dyDescent="0.3">
      <c r="A1019" s="112">
        <f ca="1">IFERROR(__xludf.DUMMYFUNCTION("""COMPUTED_VALUE"""),41764.7055555555)</f>
        <v>41764.705555555498</v>
      </c>
      <c r="B1019" s="111">
        <f ca="1">IFERROR(__xludf.DUMMYFUNCTION("""COMPUTED_VALUE"""),7.63)</f>
        <v>7.63</v>
      </c>
      <c r="C1019" s="112">
        <f ca="1">IFERROR(__xludf.DUMMYFUNCTION("""COMPUTED_VALUE"""),41771.7055555555)</f>
        <v>41771.705555555498</v>
      </c>
      <c r="D1019" s="111">
        <f ca="1">IFERROR(__xludf.DUMMYFUNCTION("""COMPUTED_VALUE"""),18.81)</f>
        <v>18.809999999999999</v>
      </c>
      <c r="E1019" s="112">
        <f ca="1">IFERROR(__xludf.DUMMYFUNCTION("""COMPUTED_VALUE"""),41772.7055555555)</f>
        <v>41772.705555555498</v>
      </c>
      <c r="F1019" s="111">
        <f ca="1">IFERROR(__xludf.DUMMYFUNCTION("""COMPUTED_VALUE"""),6.58)</f>
        <v>6.58</v>
      </c>
      <c r="G1019" s="112">
        <f ca="1">IFERROR(__xludf.DUMMYFUNCTION("""COMPUTED_VALUE"""),41765.7055555555)</f>
        <v>41765.705555555498</v>
      </c>
      <c r="H1019" s="111">
        <f ca="1">IFERROR(__xludf.DUMMYFUNCTION("""COMPUTED_VALUE"""),18.24)</f>
        <v>18.239999999999998</v>
      </c>
      <c r="K1019" s="112">
        <f ca="1">IFERROR(__xludf.DUMMYFUNCTION("""COMPUTED_VALUE"""),42214.7055555555)</f>
        <v>42214.705555555498</v>
      </c>
      <c r="L1019" s="111">
        <f ca="1">IFERROR(__xludf.DUMMYFUNCTION("""COMPUTED_VALUE"""),0.09)</f>
        <v>0.09</v>
      </c>
      <c r="M1019" s="112">
        <f ca="1">IFERROR(__xludf.DUMMYFUNCTION("""COMPUTED_VALUE"""),41676.7055555555)</f>
        <v>41676.705555555498</v>
      </c>
      <c r="N1019" s="111">
        <f ca="1">IFERROR(__xludf.DUMMYFUNCTION("""COMPUTED_VALUE"""),11.31)</f>
        <v>11.31</v>
      </c>
      <c r="O1019" s="112">
        <f ca="1">IFERROR(__xludf.DUMMYFUNCTION("""COMPUTED_VALUE"""),41757.7055555555)</f>
        <v>41757.705555555498</v>
      </c>
      <c r="P1019" s="111">
        <f ca="1">IFERROR(__xludf.DUMMYFUNCTION("""COMPUTED_VALUE"""),29.59)</f>
        <v>29.59</v>
      </c>
      <c r="Q1019" s="112">
        <f ca="1">IFERROR(__xludf.DUMMYFUNCTION("""COMPUTED_VALUE"""),41753.7055555555)</f>
        <v>41753.705555555498</v>
      </c>
      <c r="R1019" s="111">
        <f ca="1">IFERROR(__xludf.DUMMYFUNCTION("""COMPUTED_VALUE"""),23.68)</f>
        <v>23.68</v>
      </c>
      <c r="S1019" s="112">
        <f ca="1">IFERROR(__xludf.DUMMYFUNCTION("""COMPUTED_VALUE"""),41767.7055555555)</f>
        <v>41767.705555555498</v>
      </c>
      <c r="T1019" s="111">
        <f ca="1">IFERROR(__xludf.DUMMYFUNCTION("""COMPUTED_VALUE"""),9.99)</f>
        <v>9.99</v>
      </c>
    </row>
    <row r="1020" spans="1:20" x14ac:dyDescent="0.3">
      <c r="A1020" s="112">
        <f ca="1">IFERROR(__xludf.DUMMYFUNCTION("""COMPUTED_VALUE"""),41765.7055555555)</f>
        <v>41765.705555555498</v>
      </c>
      <c r="B1020" s="111">
        <f ca="1">IFERROR(__xludf.DUMMYFUNCTION("""COMPUTED_VALUE"""),7.69)</f>
        <v>7.69</v>
      </c>
      <c r="C1020" s="112">
        <f ca="1">IFERROR(__xludf.DUMMYFUNCTION("""COMPUTED_VALUE"""),41772.7055555555)</f>
        <v>41772.705555555498</v>
      </c>
      <c r="D1020" s="111">
        <f ca="1">IFERROR(__xludf.DUMMYFUNCTION("""COMPUTED_VALUE"""),18.7)</f>
        <v>18.7</v>
      </c>
      <c r="E1020" s="112">
        <f ca="1">IFERROR(__xludf.DUMMYFUNCTION("""COMPUTED_VALUE"""),41773.7055555555)</f>
        <v>41773.705555555498</v>
      </c>
      <c r="F1020" s="111">
        <f ca="1">IFERROR(__xludf.DUMMYFUNCTION("""COMPUTED_VALUE"""),6.6)</f>
        <v>6.6</v>
      </c>
      <c r="G1020" s="112">
        <f ca="1">IFERROR(__xludf.DUMMYFUNCTION("""COMPUTED_VALUE"""),41766.7055555555)</f>
        <v>41766.705555555498</v>
      </c>
      <c r="H1020" s="111">
        <f ca="1">IFERROR(__xludf.DUMMYFUNCTION("""COMPUTED_VALUE"""),18.58)</f>
        <v>18.579999999999998</v>
      </c>
      <c r="K1020" s="112">
        <f ca="1">IFERROR(__xludf.DUMMYFUNCTION("""COMPUTED_VALUE"""),42215.7055555555)</f>
        <v>42215.705555555498</v>
      </c>
      <c r="L1020" s="111">
        <f ca="1">IFERROR(__xludf.DUMMYFUNCTION("""COMPUTED_VALUE"""),0.09)</f>
        <v>0.09</v>
      </c>
      <c r="M1020" s="112">
        <f ca="1">IFERROR(__xludf.DUMMYFUNCTION("""COMPUTED_VALUE"""),41677.7055555555)</f>
        <v>41677.705555555498</v>
      </c>
      <c r="N1020" s="111">
        <f ca="1">IFERROR(__xludf.DUMMYFUNCTION("""COMPUTED_VALUE"""),11.47)</f>
        <v>11.47</v>
      </c>
      <c r="O1020" s="112">
        <f ca="1">IFERROR(__xludf.DUMMYFUNCTION("""COMPUTED_VALUE"""),41758.7055555555)</f>
        <v>41758.705555555498</v>
      </c>
      <c r="P1020" s="111">
        <f ca="1">IFERROR(__xludf.DUMMYFUNCTION("""COMPUTED_VALUE"""),29.78)</f>
        <v>29.78</v>
      </c>
      <c r="Q1020" s="112">
        <f ca="1">IFERROR(__xludf.DUMMYFUNCTION("""COMPUTED_VALUE"""),41754.7055555555)</f>
        <v>41754.705555555498</v>
      </c>
      <c r="R1020" s="111">
        <f ca="1">IFERROR(__xludf.DUMMYFUNCTION("""COMPUTED_VALUE"""),23.32)</f>
        <v>23.32</v>
      </c>
      <c r="S1020" s="112">
        <f ca="1">IFERROR(__xludf.DUMMYFUNCTION("""COMPUTED_VALUE"""),41768.7055555555)</f>
        <v>41768.705555555498</v>
      </c>
      <c r="T1020" s="111">
        <f ca="1">IFERROR(__xludf.DUMMYFUNCTION("""COMPUTED_VALUE"""),9.89)</f>
        <v>9.89</v>
      </c>
    </row>
    <row r="1021" spans="1:20" x14ac:dyDescent="0.3">
      <c r="A1021" s="112">
        <f ca="1">IFERROR(__xludf.DUMMYFUNCTION("""COMPUTED_VALUE"""),41766.7055555555)</f>
        <v>41766.705555555498</v>
      </c>
      <c r="B1021" s="111">
        <f ca="1">IFERROR(__xludf.DUMMYFUNCTION("""COMPUTED_VALUE"""),7.45)</f>
        <v>7.45</v>
      </c>
      <c r="C1021" s="112">
        <f ca="1">IFERROR(__xludf.DUMMYFUNCTION("""COMPUTED_VALUE"""),41773.7055555555)</f>
        <v>41773.705555555498</v>
      </c>
      <c r="D1021" s="111">
        <f ca="1">IFERROR(__xludf.DUMMYFUNCTION("""COMPUTED_VALUE"""),18.78)</f>
        <v>18.78</v>
      </c>
      <c r="E1021" s="112">
        <f ca="1">IFERROR(__xludf.DUMMYFUNCTION("""COMPUTED_VALUE"""),41774.7055555555)</f>
        <v>41774.705555555498</v>
      </c>
      <c r="F1021" s="111">
        <f ca="1">IFERROR(__xludf.DUMMYFUNCTION("""COMPUTED_VALUE"""),6.55)</f>
        <v>6.55</v>
      </c>
      <c r="G1021" s="112">
        <f ca="1">IFERROR(__xludf.DUMMYFUNCTION("""COMPUTED_VALUE"""),41767.7055555555)</f>
        <v>41767.705555555498</v>
      </c>
      <c r="H1021" s="111">
        <f ca="1">IFERROR(__xludf.DUMMYFUNCTION("""COMPUTED_VALUE"""),17.88)</f>
        <v>17.88</v>
      </c>
      <c r="K1021" s="112">
        <f ca="1">IFERROR(__xludf.DUMMYFUNCTION("""COMPUTED_VALUE"""),42216.7055555555)</f>
        <v>42216.705555555498</v>
      </c>
      <c r="L1021" s="111">
        <f ca="1">IFERROR(__xludf.DUMMYFUNCTION("""COMPUTED_VALUE"""),0.11)</f>
        <v>0.11</v>
      </c>
      <c r="M1021" s="112">
        <f ca="1">IFERROR(__xludf.DUMMYFUNCTION("""COMPUTED_VALUE"""),41680.7055555555)</f>
        <v>41680.705555555498</v>
      </c>
      <c r="N1021" s="111">
        <f ca="1">IFERROR(__xludf.DUMMYFUNCTION("""COMPUTED_VALUE"""),11.36)</f>
        <v>11.36</v>
      </c>
      <c r="O1021" s="112">
        <f ca="1">IFERROR(__xludf.DUMMYFUNCTION("""COMPUTED_VALUE"""),41759.7055555555)</f>
        <v>41759.705555555498</v>
      </c>
      <c r="P1021" s="111">
        <f ca="1">IFERROR(__xludf.DUMMYFUNCTION("""COMPUTED_VALUE"""),29.55)</f>
        <v>29.55</v>
      </c>
      <c r="Q1021" s="112">
        <f ca="1">IFERROR(__xludf.DUMMYFUNCTION("""COMPUTED_VALUE"""),41757.7055555555)</f>
        <v>41757.705555555498</v>
      </c>
      <c r="R1021" s="111">
        <f ca="1">IFERROR(__xludf.DUMMYFUNCTION("""COMPUTED_VALUE"""),23.45)</f>
        <v>23.45</v>
      </c>
      <c r="S1021" s="112">
        <f ca="1">IFERROR(__xludf.DUMMYFUNCTION("""COMPUTED_VALUE"""),41771.7055555555)</f>
        <v>41771.705555555498</v>
      </c>
      <c r="T1021" s="111">
        <f ca="1">IFERROR(__xludf.DUMMYFUNCTION("""COMPUTED_VALUE"""),10.19)</f>
        <v>10.19</v>
      </c>
    </row>
    <row r="1022" spans="1:20" x14ac:dyDescent="0.3">
      <c r="A1022" s="112">
        <f ca="1">IFERROR(__xludf.DUMMYFUNCTION("""COMPUTED_VALUE"""),41767.7055555555)</f>
        <v>41767.705555555498</v>
      </c>
      <c r="B1022" s="111">
        <f ca="1">IFERROR(__xludf.DUMMYFUNCTION("""COMPUTED_VALUE"""),7.44)</f>
        <v>7.44</v>
      </c>
      <c r="C1022" s="112">
        <f ca="1">IFERROR(__xludf.DUMMYFUNCTION("""COMPUTED_VALUE"""),41774.7055555555)</f>
        <v>41774.705555555498</v>
      </c>
      <c r="D1022" s="111">
        <f ca="1">IFERROR(__xludf.DUMMYFUNCTION("""COMPUTED_VALUE"""),18.64)</f>
        <v>18.64</v>
      </c>
      <c r="E1022" s="112">
        <f ca="1">IFERROR(__xludf.DUMMYFUNCTION("""COMPUTED_VALUE"""),41775.7055555555)</f>
        <v>41775.705555555498</v>
      </c>
      <c r="F1022" s="111">
        <f ca="1">IFERROR(__xludf.DUMMYFUNCTION("""COMPUTED_VALUE"""),6.6)</f>
        <v>6.6</v>
      </c>
      <c r="G1022" s="112">
        <f ca="1">IFERROR(__xludf.DUMMYFUNCTION("""COMPUTED_VALUE"""),41768.7055555555)</f>
        <v>41768.705555555498</v>
      </c>
      <c r="H1022" s="111">
        <f ca="1">IFERROR(__xludf.DUMMYFUNCTION("""COMPUTED_VALUE"""),17.67)</f>
        <v>17.670000000000002</v>
      </c>
      <c r="K1022" s="112">
        <f ca="1">IFERROR(__xludf.DUMMYFUNCTION("""COMPUTED_VALUE"""),42219.7055555555)</f>
        <v>42219.705555555498</v>
      </c>
      <c r="L1022" s="111">
        <f ca="1">IFERROR(__xludf.DUMMYFUNCTION("""COMPUTED_VALUE"""),0.1)</f>
        <v>0.1</v>
      </c>
      <c r="M1022" s="112">
        <f ca="1">IFERROR(__xludf.DUMMYFUNCTION("""COMPUTED_VALUE"""),41681.7055555555)</f>
        <v>41681.705555555498</v>
      </c>
      <c r="N1022" s="111">
        <f ca="1">IFERROR(__xludf.DUMMYFUNCTION("""COMPUTED_VALUE"""),11.47)</f>
        <v>11.47</v>
      </c>
      <c r="O1022" s="112">
        <f ca="1">IFERROR(__xludf.DUMMYFUNCTION("""COMPUTED_VALUE"""),41761.7055555555)</f>
        <v>41761.705555555498</v>
      </c>
      <c r="P1022" s="111">
        <f ca="1">IFERROR(__xludf.DUMMYFUNCTION("""COMPUTED_VALUE"""),30.2)</f>
        <v>30.2</v>
      </c>
      <c r="Q1022" s="112">
        <f ca="1">IFERROR(__xludf.DUMMYFUNCTION("""COMPUTED_VALUE"""),41758.7055555555)</f>
        <v>41758.705555555498</v>
      </c>
      <c r="R1022" s="111">
        <f ca="1">IFERROR(__xludf.DUMMYFUNCTION("""COMPUTED_VALUE"""),23.9)</f>
        <v>23.9</v>
      </c>
      <c r="S1022" s="112">
        <f ca="1">IFERROR(__xludf.DUMMYFUNCTION("""COMPUTED_VALUE"""),41772.7055555555)</f>
        <v>41772.705555555498</v>
      </c>
      <c r="T1022" s="111">
        <f ca="1">IFERROR(__xludf.DUMMYFUNCTION("""COMPUTED_VALUE"""),10.22)</f>
        <v>10.220000000000001</v>
      </c>
    </row>
    <row r="1023" spans="1:20" x14ac:dyDescent="0.3">
      <c r="A1023" s="112">
        <f ca="1">IFERROR(__xludf.DUMMYFUNCTION("""COMPUTED_VALUE"""),41768.7055555555)</f>
        <v>41768.705555555498</v>
      </c>
      <c r="B1023" s="111">
        <f ca="1">IFERROR(__xludf.DUMMYFUNCTION("""COMPUTED_VALUE"""),6.87)</f>
        <v>6.87</v>
      </c>
      <c r="C1023" s="112">
        <f ca="1">IFERROR(__xludf.DUMMYFUNCTION("""COMPUTED_VALUE"""),41775.7055555555)</f>
        <v>41775.705555555498</v>
      </c>
      <c r="D1023" s="111">
        <f ca="1">IFERROR(__xludf.DUMMYFUNCTION("""COMPUTED_VALUE"""),18.83)</f>
        <v>18.829999999999998</v>
      </c>
      <c r="E1023" s="112">
        <f ca="1">IFERROR(__xludf.DUMMYFUNCTION("""COMPUTED_VALUE"""),41778.7055555555)</f>
        <v>41778.705555555498</v>
      </c>
      <c r="F1023" s="111">
        <f ca="1">IFERROR(__xludf.DUMMYFUNCTION("""COMPUTED_VALUE"""),6.55)</f>
        <v>6.55</v>
      </c>
      <c r="G1023" s="112">
        <f ca="1">IFERROR(__xludf.DUMMYFUNCTION("""COMPUTED_VALUE"""),41771.7055555555)</f>
        <v>41771.705555555498</v>
      </c>
      <c r="H1023" s="111">
        <f ca="1">IFERROR(__xludf.DUMMYFUNCTION("""COMPUTED_VALUE"""),18.03)</f>
        <v>18.03</v>
      </c>
      <c r="K1023" s="112">
        <f ca="1">IFERROR(__xludf.DUMMYFUNCTION("""COMPUTED_VALUE"""),42220.7055555555)</f>
        <v>42220.705555555498</v>
      </c>
      <c r="L1023" s="111">
        <f ca="1">IFERROR(__xludf.DUMMYFUNCTION("""COMPUTED_VALUE"""),0.11)</f>
        <v>0.11</v>
      </c>
      <c r="M1023" s="112">
        <f ca="1">IFERROR(__xludf.DUMMYFUNCTION("""COMPUTED_VALUE"""),41682.7055555555)</f>
        <v>41682.705555555498</v>
      </c>
      <c r="N1023" s="111">
        <f ca="1">IFERROR(__xludf.DUMMYFUNCTION("""COMPUTED_VALUE"""),11.42)</f>
        <v>11.42</v>
      </c>
      <c r="O1023" s="112">
        <f ca="1">IFERROR(__xludf.DUMMYFUNCTION("""COMPUTED_VALUE"""),41764.7055555555)</f>
        <v>41764.705555555498</v>
      </c>
      <c r="P1023" s="111">
        <f ca="1">IFERROR(__xludf.DUMMYFUNCTION("""COMPUTED_VALUE"""),30.11)</f>
        <v>30.11</v>
      </c>
      <c r="Q1023" s="112">
        <f ca="1">IFERROR(__xludf.DUMMYFUNCTION("""COMPUTED_VALUE"""),41759.7055555555)</f>
        <v>41759.705555555498</v>
      </c>
      <c r="R1023" s="111">
        <f ca="1">IFERROR(__xludf.DUMMYFUNCTION("""COMPUTED_VALUE"""),23.39)</f>
        <v>23.39</v>
      </c>
      <c r="S1023" s="112">
        <f ca="1">IFERROR(__xludf.DUMMYFUNCTION("""COMPUTED_VALUE"""),41773.7055555555)</f>
        <v>41773.705555555498</v>
      </c>
      <c r="T1023" s="111">
        <f ca="1">IFERROR(__xludf.DUMMYFUNCTION("""COMPUTED_VALUE"""),10.33)</f>
        <v>10.33</v>
      </c>
    </row>
    <row r="1024" spans="1:20" x14ac:dyDescent="0.3">
      <c r="A1024" s="112">
        <f ca="1">IFERROR(__xludf.DUMMYFUNCTION("""COMPUTED_VALUE"""),41771.7055555555)</f>
        <v>41771.705555555498</v>
      </c>
      <c r="B1024" s="111">
        <f ca="1">IFERROR(__xludf.DUMMYFUNCTION("""COMPUTED_VALUE"""),7.14)</f>
        <v>7.14</v>
      </c>
      <c r="C1024" s="112">
        <f ca="1">IFERROR(__xludf.DUMMYFUNCTION("""COMPUTED_VALUE"""),41778.7055555555)</f>
        <v>41778.705555555498</v>
      </c>
      <c r="D1024" s="111">
        <f ca="1">IFERROR(__xludf.DUMMYFUNCTION("""COMPUTED_VALUE"""),18.7)</f>
        <v>18.7</v>
      </c>
      <c r="E1024" s="112">
        <f ca="1">IFERROR(__xludf.DUMMYFUNCTION("""COMPUTED_VALUE"""),41779.7055555555)</f>
        <v>41779.705555555498</v>
      </c>
      <c r="F1024" s="111">
        <f ca="1">IFERROR(__xludf.DUMMYFUNCTION("""COMPUTED_VALUE"""),6.43)</f>
        <v>6.43</v>
      </c>
      <c r="G1024" s="112">
        <f ca="1">IFERROR(__xludf.DUMMYFUNCTION("""COMPUTED_VALUE"""),41772.7055555555)</f>
        <v>41772.705555555498</v>
      </c>
      <c r="H1024" s="111">
        <f ca="1">IFERROR(__xludf.DUMMYFUNCTION("""COMPUTED_VALUE"""),17.96)</f>
        <v>17.96</v>
      </c>
      <c r="K1024" s="112">
        <f ca="1">IFERROR(__xludf.DUMMYFUNCTION("""COMPUTED_VALUE"""),42221.7055555555)</f>
        <v>42221.705555555498</v>
      </c>
      <c r="L1024" s="111">
        <f ca="1">IFERROR(__xludf.DUMMYFUNCTION("""COMPUTED_VALUE"""),0.1)</f>
        <v>0.1</v>
      </c>
      <c r="M1024" s="112">
        <f ca="1">IFERROR(__xludf.DUMMYFUNCTION("""COMPUTED_VALUE"""),41683.7055555555)</f>
        <v>41683.705555555498</v>
      </c>
      <c r="N1024" s="111">
        <f ca="1">IFERROR(__xludf.DUMMYFUNCTION("""COMPUTED_VALUE"""),11.38)</f>
        <v>11.38</v>
      </c>
      <c r="O1024" s="112">
        <f ca="1">IFERROR(__xludf.DUMMYFUNCTION("""COMPUTED_VALUE"""),41765.7055555555)</f>
        <v>41765.705555555498</v>
      </c>
      <c r="P1024" s="111">
        <f ca="1">IFERROR(__xludf.DUMMYFUNCTION("""COMPUTED_VALUE"""),29.82)</f>
        <v>29.82</v>
      </c>
      <c r="Q1024" s="112">
        <f ca="1">IFERROR(__xludf.DUMMYFUNCTION("""COMPUTED_VALUE"""),41761.7055555555)</f>
        <v>41761.705555555498</v>
      </c>
      <c r="R1024" s="111">
        <f ca="1">IFERROR(__xludf.DUMMYFUNCTION("""COMPUTED_VALUE"""),23.84)</f>
        <v>23.84</v>
      </c>
      <c r="S1024" s="112">
        <f ca="1">IFERROR(__xludf.DUMMYFUNCTION("""COMPUTED_VALUE"""),41774.7055555555)</f>
        <v>41774.705555555498</v>
      </c>
      <c r="T1024" s="111">
        <f ca="1">IFERROR(__xludf.DUMMYFUNCTION("""COMPUTED_VALUE"""),10.32)</f>
        <v>10.32</v>
      </c>
    </row>
    <row r="1025" spans="1:20" x14ac:dyDescent="0.3">
      <c r="A1025" s="112">
        <f ca="1">IFERROR(__xludf.DUMMYFUNCTION("""COMPUTED_VALUE"""),41772.7055555555)</f>
        <v>41772.705555555498</v>
      </c>
      <c r="B1025" s="111">
        <f ca="1">IFERROR(__xludf.DUMMYFUNCTION("""COMPUTED_VALUE"""),7.26)</f>
        <v>7.26</v>
      </c>
      <c r="C1025" s="112">
        <f ca="1">IFERROR(__xludf.DUMMYFUNCTION("""COMPUTED_VALUE"""),41779.7055555555)</f>
        <v>41779.705555555498</v>
      </c>
      <c r="D1025" s="111">
        <f ca="1">IFERROR(__xludf.DUMMYFUNCTION("""COMPUTED_VALUE"""),18.37)</f>
        <v>18.37</v>
      </c>
      <c r="E1025" s="112">
        <f ca="1">IFERROR(__xludf.DUMMYFUNCTION("""COMPUTED_VALUE"""),41780.7055555555)</f>
        <v>41780.705555555498</v>
      </c>
      <c r="F1025" s="111">
        <f ca="1">IFERROR(__xludf.DUMMYFUNCTION("""COMPUTED_VALUE"""),6.28)</f>
        <v>6.28</v>
      </c>
      <c r="G1025" s="112">
        <f ca="1">IFERROR(__xludf.DUMMYFUNCTION("""COMPUTED_VALUE"""),41773.7055555555)</f>
        <v>41773.705555555498</v>
      </c>
      <c r="H1025" s="111">
        <f ca="1">IFERROR(__xludf.DUMMYFUNCTION("""COMPUTED_VALUE"""),18.29)</f>
        <v>18.29</v>
      </c>
      <c r="K1025" s="112">
        <f ca="1">IFERROR(__xludf.DUMMYFUNCTION("""COMPUTED_VALUE"""),42222.7055555555)</f>
        <v>42222.705555555498</v>
      </c>
      <c r="L1025" s="111">
        <f ca="1">IFERROR(__xludf.DUMMYFUNCTION("""COMPUTED_VALUE"""),0.1)</f>
        <v>0.1</v>
      </c>
      <c r="M1025" s="112">
        <f ca="1">IFERROR(__xludf.DUMMYFUNCTION("""COMPUTED_VALUE"""),41684.7055555555)</f>
        <v>41684.705555555498</v>
      </c>
      <c r="N1025" s="111">
        <f ca="1">IFERROR(__xludf.DUMMYFUNCTION("""COMPUTED_VALUE"""),11.51)</f>
        <v>11.51</v>
      </c>
      <c r="O1025" s="112">
        <f ca="1">IFERROR(__xludf.DUMMYFUNCTION("""COMPUTED_VALUE"""),41766.7055555555)</f>
        <v>41766.705555555498</v>
      </c>
      <c r="P1025" s="111">
        <f ca="1">IFERROR(__xludf.DUMMYFUNCTION("""COMPUTED_VALUE"""),29.97)</f>
        <v>29.97</v>
      </c>
      <c r="Q1025" s="112">
        <f ca="1">IFERROR(__xludf.DUMMYFUNCTION("""COMPUTED_VALUE"""),41764.7055555555)</f>
        <v>41764.705555555498</v>
      </c>
      <c r="R1025" s="111">
        <f ca="1">IFERROR(__xludf.DUMMYFUNCTION("""COMPUTED_VALUE"""),24.32)</f>
        <v>24.32</v>
      </c>
      <c r="S1025" s="112">
        <f ca="1">IFERROR(__xludf.DUMMYFUNCTION("""COMPUTED_VALUE"""),41775.7055555555)</f>
        <v>41775.705555555498</v>
      </c>
      <c r="T1025" s="111">
        <f ca="1">IFERROR(__xludf.DUMMYFUNCTION("""COMPUTED_VALUE"""),10.32)</f>
        <v>10.32</v>
      </c>
    </row>
    <row r="1026" spans="1:20" x14ac:dyDescent="0.3">
      <c r="A1026" s="112">
        <f ca="1">IFERROR(__xludf.DUMMYFUNCTION("""COMPUTED_VALUE"""),41773.7055555555)</f>
        <v>41773.705555555498</v>
      </c>
      <c r="B1026" s="111">
        <f ca="1">IFERROR(__xludf.DUMMYFUNCTION("""COMPUTED_VALUE"""),7.46)</f>
        <v>7.46</v>
      </c>
      <c r="C1026" s="112">
        <f ca="1">IFERROR(__xludf.DUMMYFUNCTION("""COMPUTED_VALUE"""),41780.7055555555)</f>
        <v>41780.705555555498</v>
      </c>
      <c r="D1026" s="111">
        <f ca="1">IFERROR(__xludf.DUMMYFUNCTION("""COMPUTED_VALUE"""),17.98)</f>
        <v>17.98</v>
      </c>
      <c r="E1026" s="112">
        <f ca="1">IFERROR(__xludf.DUMMYFUNCTION("""COMPUTED_VALUE"""),41781.7055555555)</f>
        <v>41781.705555555498</v>
      </c>
      <c r="F1026" s="111">
        <f ca="1">IFERROR(__xludf.DUMMYFUNCTION("""COMPUTED_VALUE"""),6.34)</f>
        <v>6.34</v>
      </c>
      <c r="G1026" s="112">
        <f ca="1">IFERROR(__xludf.DUMMYFUNCTION("""COMPUTED_VALUE"""),41774.7055555555)</f>
        <v>41774.705555555498</v>
      </c>
      <c r="H1026" s="111">
        <f ca="1">IFERROR(__xludf.DUMMYFUNCTION("""COMPUTED_VALUE"""),18.03)</f>
        <v>18.03</v>
      </c>
      <c r="K1026" s="112">
        <f ca="1">IFERROR(__xludf.DUMMYFUNCTION("""COMPUTED_VALUE"""),42223.7055555555)</f>
        <v>42223.705555555498</v>
      </c>
      <c r="L1026" s="111">
        <f ca="1">IFERROR(__xludf.DUMMYFUNCTION("""COMPUTED_VALUE"""),0.09)</f>
        <v>0.09</v>
      </c>
      <c r="M1026" s="112">
        <f ca="1">IFERROR(__xludf.DUMMYFUNCTION("""COMPUTED_VALUE"""),41687.7055555555)</f>
        <v>41687.705555555498</v>
      </c>
      <c r="N1026" s="111">
        <f ca="1">IFERROR(__xludf.DUMMYFUNCTION("""COMPUTED_VALUE"""),11.44)</f>
        <v>11.44</v>
      </c>
      <c r="O1026" s="112">
        <f ca="1">IFERROR(__xludf.DUMMYFUNCTION("""COMPUTED_VALUE"""),41767.7055555555)</f>
        <v>41767.705555555498</v>
      </c>
      <c r="P1026" s="111">
        <f ca="1">IFERROR(__xludf.DUMMYFUNCTION("""COMPUTED_VALUE"""),29.47)</f>
        <v>29.47</v>
      </c>
      <c r="Q1026" s="112">
        <f ca="1">IFERROR(__xludf.DUMMYFUNCTION("""COMPUTED_VALUE"""),41765.7055555555)</f>
        <v>41765.705555555498</v>
      </c>
      <c r="R1026" s="111">
        <f ca="1">IFERROR(__xludf.DUMMYFUNCTION("""COMPUTED_VALUE"""),24.7)</f>
        <v>24.7</v>
      </c>
      <c r="S1026" s="112">
        <f ca="1">IFERROR(__xludf.DUMMYFUNCTION("""COMPUTED_VALUE"""),41778.7055555555)</f>
        <v>41778.705555555498</v>
      </c>
      <c r="T1026" s="111">
        <f ca="1">IFERROR(__xludf.DUMMYFUNCTION("""COMPUTED_VALUE"""),10.24)</f>
        <v>10.24</v>
      </c>
    </row>
    <row r="1027" spans="1:20" x14ac:dyDescent="0.3">
      <c r="A1027" s="112">
        <f ca="1">IFERROR(__xludf.DUMMYFUNCTION("""COMPUTED_VALUE"""),41774.7055555555)</f>
        <v>41774.705555555498</v>
      </c>
      <c r="B1027" s="111">
        <f ca="1">IFERROR(__xludf.DUMMYFUNCTION("""COMPUTED_VALUE"""),7.08)</f>
        <v>7.08</v>
      </c>
      <c r="C1027" s="112">
        <f ca="1">IFERROR(__xludf.DUMMYFUNCTION("""COMPUTED_VALUE"""),41781.7055555555)</f>
        <v>41781.705555555498</v>
      </c>
      <c r="D1027" s="111">
        <f ca="1">IFERROR(__xludf.DUMMYFUNCTION("""COMPUTED_VALUE"""),18.18)</f>
        <v>18.18</v>
      </c>
      <c r="E1027" s="112">
        <f ca="1">IFERROR(__xludf.DUMMYFUNCTION("""COMPUTED_VALUE"""),41782.7055555555)</f>
        <v>41782.705555555498</v>
      </c>
      <c r="F1027" s="111">
        <f ca="1">IFERROR(__xludf.DUMMYFUNCTION("""COMPUTED_VALUE"""),6.28)</f>
        <v>6.28</v>
      </c>
      <c r="G1027" s="112">
        <f ca="1">IFERROR(__xludf.DUMMYFUNCTION("""COMPUTED_VALUE"""),41775.7055555555)</f>
        <v>41775.705555555498</v>
      </c>
      <c r="H1027" s="111">
        <f ca="1">IFERROR(__xludf.DUMMYFUNCTION("""COMPUTED_VALUE"""),18.01)</f>
        <v>18.010000000000002</v>
      </c>
      <c r="K1027" s="112">
        <f ca="1">IFERROR(__xludf.DUMMYFUNCTION("""COMPUTED_VALUE"""),42226.7055555555)</f>
        <v>42226.705555555498</v>
      </c>
      <c r="L1027" s="111">
        <f ca="1">IFERROR(__xludf.DUMMYFUNCTION("""COMPUTED_VALUE"""),0.1)</f>
        <v>0.1</v>
      </c>
      <c r="M1027" s="112">
        <f ca="1">IFERROR(__xludf.DUMMYFUNCTION("""COMPUTED_VALUE"""),41688.7055555555)</f>
        <v>41688.705555555498</v>
      </c>
      <c r="N1027" s="111">
        <f ca="1">IFERROR(__xludf.DUMMYFUNCTION("""COMPUTED_VALUE"""),11.38)</f>
        <v>11.38</v>
      </c>
      <c r="O1027" s="112">
        <f ca="1">IFERROR(__xludf.DUMMYFUNCTION("""COMPUTED_VALUE"""),41768.7055555555)</f>
        <v>41768.705555555498</v>
      </c>
      <c r="P1027" s="111">
        <f ca="1">IFERROR(__xludf.DUMMYFUNCTION("""COMPUTED_VALUE"""),29.22)</f>
        <v>29.22</v>
      </c>
      <c r="Q1027" s="112">
        <f ca="1">IFERROR(__xludf.DUMMYFUNCTION("""COMPUTED_VALUE"""),41766.7055555555)</f>
        <v>41766.705555555498</v>
      </c>
      <c r="R1027" s="111">
        <f ca="1">IFERROR(__xludf.DUMMYFUNCTION("""COMPUTED_VALUE"""),25.01)</f>
        <v>25.01</v>
      </c>
      <c r="S1027" s="112">
        <f ca="1">IFERROR(__xludf.DUMMYFUNCTION("""COMPUTED_VALUE"""),41779.7055555555)</f>
        <v>41779.705555555498</v>
      </c>
      <c r="T1027" s="111">
        <f ca="1">IFERROR(__xludf.DUMMYFUNCTION("""COMPUTED_VALUE"""),10.22)</f>
        <v>10.220000000000001</v>
      </c>
    </row>
    <row r="1028" spans="1:20" x14ac:dyDescent="0.3">
      <c r="A1028" s="112">
        <f ca="1">IFERROR(__xludf.DUMMYFUNCTION("""COMPUTED_VALUE"""),41775.7055555555)</f>
        <v>41775.705555555498</v>
      </c>
      <c r="B1028" s="111">
        <f ca="1">IFERROR(__xludf.DUMMYFUNCTION("""COMPUTED_VALUE"""),7.23)</f>
        <v>7.23</v>
      </c>
      <c r="C1028" s="112">
        <f ca="1">IFERROR(__xludf.DUMMYFUNCTION("""COMPUTED_VALUE"""),41782.7055555555)</f>
        <v>41782.705555555498</v>
      </c>
      <c r="D1028" s="111">
        <f ca="1">IFERROR(__xludf.DUMMYFUNCTION("""COMPUTED_VALUE"""),17.93)</f>
        <v>17.93</v>
      </c>
      <c r="E1028" s="112">
        <f ca="1">IFERROR(__xludf.DUMMYFUNCTION("""COMPUTED_VALUE"""),41785.7055555555)</f>
        <v>41785.705555555498</v>
      </c>
      <c r="F1028" s="111">
        <f ca="1">IFERROR(__xludf.DUMMYFUNCTION("""COMPUTED_VALUE"""),6.27)</f>
        <v>6.27</v>
      </c>
      <c r="G1028" s="112">
        <f ca="1">IFERROR(__xludf.DUMMYFUNCTION("""COMPUTED_VALUE"""),41778.7055555555)</f>
        <v>41778.705555555498</v>
      </c>
      <c r="H1028" s="111">
        <f ca="1">IFERROR(__xludf.DUMMYFUNCTION("""COMPUTED_VALUE"""),17.94)</f>
        <v>17.940000000000001</v>
      </c>
      <c r="K1028" s="112">
        <f ca="1">IFERROR(__xludf.DUMMYFUNCTION("""COMPUTED_VALUE"""),42227.7055555555)</f>
        <v>42227.705555555498</v>
      </c>
      <c r="L1028" s="111">
        <f ca="1">IFERROR(__xludf.DUMMYFUNCTION("""COMPUTED_VALUE"""),0.1)</f>
        <v>0.1</v>
      </c>
      <c r="M1028" s="112">
        <f ca="1">IFERROR(__xludf.DUMMYFUNCTION("""COMPUTED_VALUE"""),41689.7055555555)</f>
        <v>41689.705555555498</v>
      </c>
      <c r="N1028" s="111">
        <f ca="1">IFERROR(__xludf.DUMMYFUNCTION("""COMPUTED_VALUE"""),11.62)</f>
        <v>11.62</v>
      </c>
      <c r="O1028" s="112">
        <f ca="1">IFERROR(__xludf.DUMMYFUNCTION("""COMPUTED_VALUE"""),41771.7055555555)</f>
        <v>41771.705555555498</v>
      </c>
      <c r="P1028" s="111">
        <f ca="1">IFERROR(__xludf.DUMMYFUNCTION("""COMPUTED_VALUE"""),30.6)</f>
        <v>30.6</v>
      </c>
      <c r="Q1028" s="112">
        <f ca="1">IFERROR(__xludf.DUMMYFUNCTION("""COMPUTED_VALUE"""),41767.7055555555)</f>
        <v>41767.705555555498</v>
      </c>
      <c r="R1028" s="111">
        <f ca="1">IFERROR(__xludf.DUMMYFUNCTION("""COMPUTED_VALUE"""),23.94)</f>
        <v>23.94</v>
      </c>
      <c r="S1028" s="112">
        <f ca="1">IFERROR(__xludf.DUMMYFUNCTION("""COMPUTED_VALUE"""),41780.7055555555)</f>
        <v>41780.705555555498</v>
      </c>
      <c r="T1028" s="111">
        <f ca="1">IFERROR(__xludf.DUMMYFUNCTION("""COMPUTED_VALUE"""),10.14)</f>
        <v>10.14</v>
      </c>
    </row>
    <row r="1029" spans="1:20" x14ac:dyDescent="0.3">
      <c r="A1029" s="112">
        <f ca="1">IFERROR(__xludf.DUMMYFUNCTION("""COMPUTED_VALUE"""),41778.7055555555)</f>
        <v>41778.705555555498</v>
      </c>
      <c r="B1029" s="111">
        <f ca="1">IFERROR(__xludf.DUMMYFUNCTION("""COMPUTED_VALUE"""),7.07)</f>
        <v>7.07</v>
      </c>
      <c r="C1029" s="112">
        <f ca="1">IFERROR(__xludf.DUMMYFUNCTION("""COMPUTED_VALUE"""),41785.7055555555)</f>
        <v>41785.705555555498</v>
      </c>
      <c r="D1029" s="111">
        <f ca="1">IFERROR(__xludf.DUMMYFUNCTION("""COMPUTED_VALUE"""),17.87)</f>
        <v>17.87</v>
      </c>
      <c r="E1029" s="112">
        <f ca="1">IFERROR(__xludf.DUMMYFUNCTION("""COMPUTED_VALUE"""),41786.7055555555)</f>
        <v>41786.705555555498</v>
      </c>
      <c r="F1029" s="111">
        <f ca="1">IFERROR(__xludf.DUMMYFUNCTION("""COMPUTED_VALUE"""),6.23)</f>
        <v>6.23</v>
      </c>
      <c r="G1029" s="112">
        <f ca="1">IFERROR(__xludf.DUMMYFUNCTION("""COMPUTED_VALUE"""),41779.7055555555)</f>
        <v>41779.705555555498</v>
      </c>
      <c r="H1029" s="111">
        <f ca="1">IFERROR(__xludf.DUMMYFUNCTION("""COMPUTED_VALUE"""),17.3)</f>
        <v>17.3</v>
      </c>
      <c r="K1029" s="112">
        <f ca="1">IFERROR(__xludf.DUMMYFUNCTION("""COMPUTED_VALUE"""),42228.7055555555)</f>
        <v>42228.705555555498</v>
      </c>
      <c r="L1029" s="111">
        <f ca="1">IFERROR(__xludf.DUMMYFUNCTION("""COMPUTED_VALUE"""),0.09)</f>
        <v>0.09</v>
      </c>
      <c r="M1029" s="112">
        <f ca="1">IFERROR(__xludf.DUMMYFUNCTION("""COMPUTED_VALUE"""),41690.7055555555)</f>
        <v>41690.705555555498</v>
      </c>
      <c r="N1029" s="111">
        <f ca="1">IFERROR(__xludf.DUMMYFUNCTION("""COMPUTED_VALUE"""),11.52)</f>
        <v>11.52</v>
      </c>
      <c r="O1029" s="112">
        <f ca="1">IFERROR(__xludf.DUMMYFUNCTION("""COMPUTED_VALUE"""),41772.7055555555)</f>
        <v>41772.705555555498</v>
      </c>
      <c r="P1029" s="111">
        <f ca="1">IFERROR(__xludf.DUMMYFUNCTION("""COMPUTED_VALUE"""),30.65)</f>
        <v>30.65</v>
      </c>
      <c r="Q1029" s="112">
        <f ca="1">IFERROR(__xludf.DUMMYFUNCTION("""COMPUTED_VALUE"""),41768.7055555555)</f>
        <v>41768.705555555498</v>
      </c>
      <c r="R1029" s="111">
        <f ca="1">IFERROR(__xludf.DUMMYFUNCTION("""COMPUTED_VALUE"""),23.58)</f>
        <v>23.58</v>
      </c>
      <c r="S1029" s="112">
        <f ca="1">IFERROR(__xludf.DUMMYFUNCTION("""COMPUTED_VALUE"""),41781.7055555555)</f>
        <v>41781.705555555498</v>
      </c>
      <c r="T1029" s="111">
        <f ca="1">IFERROR(__xludf.DUMMYFUNCTION("""COMPUTED_VALUE"""),10.07)</f>
        <v>10.07</v>
      </c>
    </row>
    <row r="1030" spans="1:20" x14ac:dyDescent="0.3">
      <c r="A1030" s="112">
        <f ca="1">IFERROR(__xludf.DUMMYFUNCTION("""COMPUTED_VALUE"""),41779.7055555555)</f>
        <v>41779.705555555498</v>
      </c>
      <c r="B1030" s="111">
        <f ca="1">IFERROR(__xludf.DUMMYFUNCTION("""COMPUTED_VALUE"""),6.85)</f>
        <v>6.85</v>
      </c>
      <c r="C1030" s="112">
        <f ca="1">IFERROR(__xludf.DUMMYFUNCTION("""COMPUTED_VALUE"""),41786.7055555555)</f>
        <v>41786.705555555498</v>
      </c>
      <c r="D1030" s="111">
        <f ca="1">IFERROR(__xludf.DUMMYFUNCTION("""COMPUTED_VALUE"""),17.88)</f>
        <v>17.88</v>
      </c>
      <c r="E1030" s="112">
        <f ca="1">IFERROR(__xludf.DUMMYFUNCTION("""COMPUTED_VALUE"""),41787.7055555555)</f>
        <v>41787.705555555498</v>
      </c>
      <c r="F1030" s="111">
        <f ca="1">IFERROR(__xludf.DUMMYFUNCTION("""COMPUTED_VALUE"""),6.36)</f>
        <v>6.36</v>
      </c>
      <c r="G1030" s="112">
        <f ca="1">IFERROR(__xludf.DUMMYFUNCTION("""COMPUTED_VALUE"""),41780.7055555555)</f>
        <v>41780.705555555498</v>
      </c>
      <c r="H1030" s="111">
        <f ca="1">IFERROR(__xludf.DUMMYFUNCTION("""COMPUTED_VALUE"""),17.46)</f>
        <v>17.46</v>
      </c>
      <c r="K1030" s="112">
        <f ca="1">IFERROR(__xludf.DUMMYFUNCTION("""COMPUTED_VALUE"""),42229.7055555555)</f>
        <v>42229.705555555498</v>
      </c>
      <c r="L1030" s="111">
        <f ca="1">IFERROR(__xludf.DUMMYFUNCTION("""COMPUTED_VALUE"""),0.09)</f>
        <v>0.09</v>
      </c>
      <c r="M1030" s="112">
        <f ca="1">IFERROR(__xludf.DUMMYFUNCTION("""COMPUTED_VALUE"""),41691.7055555555)</f>
        <v>41691.705555555498</v>
      </c>
      <c r="N1030" s="111">
        <f ca="1">IFERROR(__xludf.DUMMYFUNCTION("""COMPUTED_VALUE"""),11.75)</f>
        <v>11.75</v>
      </c>
      <c r="O1030" s="112">
        <f ca="1">IFERROR(__xludf.DUMMYFUNCTION("""COMPUTED_VALUE"""),41773.7055555555)</f>
        <v>41773.705555555498</v>
      </c>
      <c r="P1030" s="111">
        <f ca="1">IFERROR(__xludf.DUMMYFUNCTION("""COMPUTED_VALUE"""),31.39)</f>
        <v>31.39</v>
      </c>
      <c r="Q1030" s="112">
        <f ca="1">IFERROR(__xludf.DUMMYFUNCTION("""COMPUTED_VALUE"""),41771.7055555555)</f>
        <v>41771.705555555498</v>
      </c>
      <c r="R1030" s="111">
        <f ca="1">IFERROR(__xludf.DUMMYFUNCTION("""COMPUTED_VALUE"""),23.77)</f>
        <v>23.77</v>
      </c>
      <c r="S1030" s="112">
        <f ca="1">IFERROR(__xludf.DUMMYFUNCTION("""COMPUTED_VALUE"""),41782.7055555555)</f>
        <v>41782.705555555498</v>
      </c>
      <c r="T1030" s="111">
        <f ca="1">IFERROR(__xludf.DUMMYFUNCTION("""COMPUTED_VALUE"""),9.95)</f>
        <v>9.9499999999999993</v>
      </c>
    </row>
    <row r="1031" spans="1:20" x14ac:dyDescent="0.3">
      <c r="A1031" s="112">
        <f ca="1">IFERROR(__xludf.DUMMYFUNCTION("""COMPUTED_VALUE"""),41780.7055555555)</f>
        <v>41780.705555555498</v>
      </c>
      <c r="B1031" s="111">
        <f ca="1">IFERROR(__xludf.DUMMYFUNCTION("""COMPUTED_VALUE"""),6.75)</f>
        <v>6.75</v>
      </c>
      <c r="C1031" s="112">
        <f ca="1">IFERROR(__xludf.DUMMYFUNCTION("""COMPUTED_VALUE"""),41787.7055555555)</f>
        <v>41787.705555555498</v>
      </c>
      <c r="D1031" s="111">
        <f ca="1">IFERROR(__xludf.DUMMYFUNCTION("""COMPUTED_VALUE"""),18.21)</f>
        <v>18.21</v>
      </c>
      <c r="E1031" s="112">
        <f ca="1">IFERROR(__xludf.DUMMYFUNCTION("""COMPUTED_VALUE"""),41788.7055555555)</f>
        <v>41788.705555555498</v>
      </c>
      <c r="F1031" s="111">
        <f ca="1">IFERROR(__xludf.DUMMYFUNCTION("""COMPUTED_VALUE"""),6.26)</f>
        <v>6.26</v>
      </c>
      <c r="G1031" s="112">
        <f ca="1">IFERROR(__xludf.DUMMYFUNCTION("""COMPUTED_VALUE"""),41781.7055555555)</f>
        <v>41781.705555555498</v>
      </c>
      <c r="H1031" s="111">
        <f ca="1">IFERROR(__xludf.DUMMYFUNCTION("""COMPUTED_VALUE"""),17.68)</f>
        <v>17.68</v>
      </c>
      <c r="K1031" s="112">
        <f ca="1">IFERROR(__xludf.DUMMYFUNCTION("""COMPUTED_VALUE"""),42230.7055555555)</f>
        <v>42230.705555555498</v>
      </c>
      <c r="L1031" s="111">
        <f ca="1">IFERROR(__xludf.DUMMYFUNCTION("""COMPUTED_VALUE"""),0.09)</f>
        <v>0.09</v>
      </c>
      <c r="M1031" s="112">
        <f ca="1">IFERROR(__xludf.DUMMYFUNCTION("""COMPUTED_VALUE"""),41694.7055555555)</f>
        <v>41694.705555555498</v>
      </c>
      <c r="N1031" s="111">
        <f ca="1">IFERROR(__xludf.DUMMYFUNCTION("""COMPUTED_VALUE"""),11.9)</f>
        <v>11.9</v>
      </c>
      <c r="O1031" s="112">
        <f ca="1">IFERROR(__xludf.DUMMYFUNCTION("""COMPUTED_VALUE"""),41774.7055555555)</f>
        <v>41774.705555555498</v>
      </c>
      <c r="P1031" s="111">
        <f ca="1">IFERROR(__xludf.DUMMYFUNCTION("""COMPUTED_VALUE"""),31.1)</f>
        <v>31.1</v>
      </c>
      <c r="Q1031" s="112">
        <f ca="1">IFERROR(__xludf.DUMMYFUNCTION("""COMPUTED_VALUE"""),41772.7055555555)</f>
        <v>41772.705555555498</v>
      </c>
      <c r="R1031" s="111">
        <f ca="1">IFERROR(__xludf.DUMMYFUNCTION("""COMPUTED_VALUE"""),23.91)</f>
        <v>23.91</v>
      </c>
      <c r="S1031" s="112">
        <f ca="1">IFERROR(__xludf.DUMMYFUNCTION("""COMPUTED_VALUE"""),41785.7055555555)</f>
        <v>41785.705555555498</v>
      </c>
      <c r="T1031" s="111">
        <f ca="1">IFERROR(__xludf.DUMMYFUNCTION("""COMPUTED_VALUE"""),10.11)</f>
        <v>10.11</v>
      </c>
    </row>
    <row r="1032" spans="1:20" x14ac:dyDescent="0.3">
      <c r="A1032" s="112">
        <f ca="1">IFERROR(__xludf.DUMMYFUNCTION("""COMPUTED_VALUE"""),41781.7055555555)</f>
        <v>41781.705555555498</v>
      </c>
      <c r="B1032" s="111">
        <f ca="1">IFERROR(__xludf.DUMMYFUNCTION("""COMPUTED_VALUE"""),6.87)</f>
        <v>6.87</v>
      </c>
      <c r="C1032" s="112">
        <f ca="1">IFERROR(__xludf.DUMMYFUNCTION("""COMPUTED_VALUE"""),41788.7055555555)</f>
        <v>41788.705555555498</v>
      </c>
      <c r="D1032" s="111">
        <f ca="1">IFERROR(__xludf.DUMMYFUNCTION("""COMPUTED_VALUE"""),17.93)</f>
        <v>17.93</v>
      </c>
      <c r="E1032" s="112">
        <f ca="1">IFERROR(__xludf.DUMMYFUNCTION("""COMPUTED_VALUE"""),41789.7055555555)</f>
        <v>41789.705555555498</v>
      </c>
      <c r="F1032" s="111">
        <f ca="1">IFERROR(__xludf.DUMMYFUNCTION("""COMPUTED_VALUE"""),6.1)</f>
        <v>6.1</v>
      </c>
      <c r="G1032" s="112">
        <f ca="1">IFERROR(__xludf.DUMMYFUNCTION("""COMPUTED_VALUE"""),41782.7055555555)</f>
        <v>41782.705555555498</v>
      </c>
      <c r="H1032" s="111">
        <f ca="1">IFERROR(__xludf.DUMMYFUNCTION("""COMPUTED_VALUE"""),17.7)</f>
        <v>17.7</v>
      </c>
      <c r="K1032" s="112">
        <f ca="1">IFERROR(__xludf.DUMMYFUNCTION("""COMPUTED_VALUE"""),42233.7055555555)</f>
        <v>42233.705555555498</v>
      </c>
      <c r="L1032" s="111">
        <f ca="1">IFERROR(__xludf.DUMMYFUNCTION("""COMPUTED_VALUE"""),0.09)</f>
        <v>0.09</v>
      </c>
      <c r="M1032" s="112">
        <f ca="1">IFERROR(__xludf.DUMMYFUNCTION("""COMPUTED_VALUE"""),41695.7055555555)</f>
        <v>41695.705555555498</v>
      </c>
      <c r="N1032" s="111">
        <f ca="1">IFERROR(__xludf.DUMMYFUNCTION("""COMPUTED_VALUE"""),11.62)</f>
        <v>11.62</v>
      </c>
      <c r="O1032" s="112">
        <f ca="1">IFERROR(__xludf.DUMMYFUNCTION("""COMPUTED_VALUE"""),41775.7055555555)</f>
        <v>41775.705555555498</v>
      </c>
      <c r="P1032" s="111">
        <f ca="1">IFERROR(__xludf.DUMMYFUNCTION("""COMPUTED_VALUE"""),30.36)</f>
        <v>30.36</v>
      </c>
      <c r="Q1032" s="112">
        <f ca="1">IFERROR(__xludf.DUMMYFUNCTION("""COMPUTED_VALUE"""),41773.7055555555)</f>
        <v>41773.705555555498</v>
      </c>
      <c r="R1032" s="111">
        <f ca="1">IFERROR(__xludf.DUMMYFUNCTION("""COMPUTED_VALUE"""),24.01)</f>
        <v>24.01</v>
      </c>
      <c r="S1032" s="112">
        <f ca="1">IFERROR(__xludf.DUMMYFUNCTION("""COMPUTED_VALUE"""),41786.7055555555)</f>
        <v>41786.705555555498</v>
      </c>
      <c r="T1032" s="111">
        <f ca="1">IFERROR(__xludf.DUMMYFUNCTION("""COMPUTED_VALUE"""),9.92)</f>
        <v>9.92</v>
      </c>
    </row>
    <row r="1033" spans="1:20" x14ac:dyDescent="0.3">
      <c r="A1033" s="112">
        <f ca="1">IFERROR(__xludf.DUMMYFUNCTION("""COMPUTED_VALUE"""),41782.7055555555)</f>
        <v>41782.705555555498</v>
      </c>
      <c r="B1033" s="111">
        <f ca="1">IFERROR(__xludf.DUMMYFUNCTION("""COMPUTED_VALUE"""),6.81)</f>
        <v>6.81</v>
      </c>
      <c r="C1033" s="112">
        <f ca="1">IFERROR(__xludf.DUMMYFUNCTION("""COMPUTED_VALUE"""),41789.7055555555)</f>
        <v>41789.705555555498</v>
      </c>
      <c r="D1033" s="111">
        <f ca="1">IFERROR(__xludf.DUMMYFUNCTION("""COMPUTED_VALUE"""),17.47)</f>
        <v>17.47</v>
      </c>
      <c r="E1033" s="112">
        <f ca="1">IFERROR(__xludf.DUMMYFUNCTION("""COMPUTED_VALUE"""),41792.7055555555)</f>
        <v>41792.705555555498</v>
      </c>
      <c r="F1033" s="111">
        <f ca="1">IFERROR(__xludf.DUMMYFUNCTION("""COMPUTED_VALUE"""),6.17)</f>
        <v>6.17</v>
      </c>
      <c r="G1033" s="112">
        <f ca="1">IFERROR(__xludf.DUMMYFUNCTION("""COMPUTED_VALUE"""),41785.7055555555)</f>
        <v>41785.705555555498</v>
      </c>
      <c r="H1033" s="111">
        <f ca="1">IFERROR(__xludf.DUMMYFUNCTION("""COMPUTED_VALUE"""),17.86)</f>
        <v>17.86</v>
      </c>
      <c r="K1033" s="112">
        <f ca="1">IFERROR(__xludf.DUMMYFUNCTION("""COMPUTED_VALUE"""),42234.7055555555)</f>
        <v>42234.705555555498</v>
      </c>
      <c r="L1033" s="111">
        <f ca="1">IFERROR(__xludf.DUMMYFUNCTION("""COMPUTED_VALUE"""),0.1)</f>
        <v>0.1</v>
      </c>
      <c r="M1033" s="112">
        <f ca="1">IFERROR(__xludf.DUMMYFUNCTION("""COMPUTED_VALUE"""),41696.7055555555)</f>
        <v>41696.705555555498</v>
      </c>
      <c r="N1033" s="111">
        <f ca="1">IFERROR(__xludf.DUMMYFUNCTION("""COMPUTED_VALUE"""),11.54)</f>
        <v>11.54</v>
      </c>
      <c r="O1033" s="112">
        <f ca="1">IFERROR(__xludf.DUMMYFUNCTION("""COMPUTED_VALUE"""),41778.7055555555)</f>
        <v>41778.705555555498</v>
      </c>
      <c r="P1033" s="111">
        <f ca="1">IFERROR(__xludf.DUMMYFUNCTION("""COMPUTED_VALUE"""),29.47)</f>
        <v>29.47</v>
      </c>
      <c r="Q1033" s="112">
        <f ca="1">IFERROR(__xludf.DUMMYFUNCTION("""COMPUTED_VALUE"""),41774.7055555555)</f>
        <v>41774.705555555498</v>
      </c>
      <c r="R1033" s="111">
        <f ca="1">IFERROR(__xludf.DUMMYFUNCTION("""COMPUTED_VALUE"""),23.99)</f>
        <v>23.99</v>
      </c>
      <c r="S1033" s="112">
        <f ca="1">IFERROR(__xludf.DUMMYFUNCTION("""COMPUTED_VALUE"""),41787.7055555555)</f>
        <v>41787.705555555498</v>
      </c>
      <c r="T1033" s="111">
        <f ca="1">IFERROR(__xludf.DUMMYFUNCTION("""COMPUTED_VALUE"""),10.2)</f>
        <v>10.199999999999999</v>
      </c>
    </row>
    <row r="1034" spans="1:20" x14ac:dyDescent="0.3">
      <c r="A1034" s="112">
        <f ca="1">IFERROR(__xludf.DUMMYFUNCTION("""COMPUTED_VALUE"""),41785.7055555555)</f>
        <v>41785.705555555498</v>
      </c>
      <c r="B1034" s="111">
        <f ca="1">IFERROR(__xludf.DUMMYFUNCTION("""COMPUTED_VALUE"""),6.82)</f>
        <v>6.82</v>
      </c>
      <c r="C1034" s="112">
        <f ca="1">IFERROR(__xludf.DUMMYFUNCTION("""COMPUTED_VALUE"""),41792.7055555555)</f>
        <v>41792.705555555498</v>
      </c>
      <c r="D1034" s="111">
        <f ca="1">IFERROR(__xludf.DUMMYFUNCTION("""COMPUTED_VALUE"""),17.59)</f>
        <v>17.59</v>
      </c>
      <c r="E1034" s="112">
        <f ca="1">IFERROR(__xludf.DUMMYFUNCTION("""COMPUTED_VALUE"""),41793.7055555555)</f>
        <v>41793.705555555498</v>
      </c>
      <c r="F1034" s="111">
        <f ca="1">IFERROR(__xludf.DUMMYFUNCTION("""COMPUTED_VALUE"""),6.13)</f>
        <v>6.13</v>
      </c>
      <c r="G1034" s="112">
        <f ca="1">IFERROR(__xludf.DUMMYFUNCTION("""COMPUTED_VALUE"""),41786.7055555555)</f>
        <v>41786.705555555498</v>
      </c>
      <c r="H1034" s="111">
        <f ca="1">IFERROR(__xludf.DUMMYFUNCTION("""COMPUTED_VALUE"""),17.49)</f>
        <v>17.489999999999998</v>
      </c>
      <c r="K1034" s="112">
        <f ca="1">IFERROR(__xludf.DUMMYFUNCTION("""COMPUTED_VALUE"""),42235.7055555555)</f>
        <v>42235.705555555498</v>
      </c>
      <c r="L1034" s="111">
        <f ca="1">IFERROR(__xludf.DUMMYFUNCTION("""COMPUTED_VALUE"""),0.09)</f>
        <v>0.09</v>
      </c>
      <c r="M1034" s="112">
        <f ca="1">IFERROR(__xludf.DUMMYFUNCTION("""COMPUTED_VALUE"""),41697.7055555555)</f>
        <v>41697.705555555498</v>
      </c>
      <c r="N1034" s="111">
        <f ca="1">IFERROR(__xludf.DUMMYFUNCTION("""COMPUTED_VALUE"""),11.83)</f>
        <v>11.83</v>
      </c>
      <c r="O1034" s="112">
        <f ca="1">IFERROR(__xludf.DUMMYFUNCTION("""COMPUTED_VALUE"""),41779.7055555555)</f>
        <v>41779.705555555498</v>
      </c>
      <c r="P1034" s="111">
        <f ca="1">IFERROR(__xludf.DUMMYFUNCTION("""COMPUTED_VALUE"""),28.86)</f>
        <v>28.86</v>
      </c>
      <c r="Q1034" s="112">
        <f ca="1">IFERROR(__xludf.DUMMYFUNCTION("""COMPUTED_VALUE"""),41775.7055555555)</f>
        <v>41775.705555555498</v>
      </c>
      <c r="R1034" s="111">
        <f ca="1">IFERROR(__xludf.DUMMYFUNCTION("""COMPUTED_VALUE"""),24.05)</f>
        <v>24.05</v>
      </c>
      <c r="S1034" s="112">
        <f ca="1">IFERROR(__xludf.DUMMYFUNCTION("""COMPUTED_VALUE"""),41788.7055555555)</f>
        <v>41788.705555555498</v>
      </c>
      <c r="T1034" s="111">
        <f ca="1">IFERROR(__xludf.DUMMYFUNCTION("""COMPUTED_VALUE"""),10.29)</f>
        <v>10.29</v>
      </c>
    </row>
    <row r="1035" spans="1:20" x14ac:dyDescent="0.3">
      <c r="A1035" s="112">
        <f ca="1">IFERROR(__xludf.DUMMYFUNCTION("""COMPUTED_VALUE"""),41786.7055555555)</f>
        <v>41786.705555555498</v>
      </c>
      <c r="B1035" s="111">
        <f ca="1">IFERROR(__xludf.DUMMYFUNCTION("""COMPUTED_VALUE"""),6.63)</f>
        <v>6.63</v>
      </c>
      <c r="C1035" s="112">
        <f ca="1">IFERROR(__xludf.DUMMYFUNCTION("""COMPUTED_VALUE"""),41793.7055555555)</f>
        <v>41793.705555555498</v>
      </c>
      <c r="D1035" s="111">
        <f ca="1">IFERROR(__xludf.DUMMYFUNCTION("""COMPUTED_VALUE"""),17.65)</f>
        <v>17.649999999999999</v>
      </c>
      <c r="E1035" s="112">
        <f ca="1">IFERROR(__xludf.DUMMYFUNCTION("""COMPUTED_VALUE"""),41794.7055555555)</f>
        <v>41794.705555555498</v>
      </c>
      <c r="F1035" s="111">
        <f ca="1">IFERROR(__xludf.DUMMYFUNCTION("""COMPUTED_VALUE"""),6.11)</f>
        <v>6.11</v>
      </c>
      <c r="G1035" s="112">
        <f ca="1">IFERROR(__xludf.DUMMYFUNCTION("""COMPUTED_VALUE"""),41787.7055555555)</f>
        <v>41787.705555555498</v>
      </c>
      <c r="H1035" s="111">
        <f ca="1">IFERROR(__xludf.DUMMYFUNCTION("""COMPUTED_VALUE"""),17.7)</f>
        <v>17.7</v>
      </c>
      <c r="K1035" s="112">
        <f ca="1">IFERROR(__xludf.DUMMYFUNCTION("""COMPUTED_VALUE"""),42236.7055555555)</f>
        <v>42236.705555555498</v>
      </c>
      <c r="L1035" s="111">
        <f ca="1">IFERROR(__xludf.DUMMYFUNCTION("""COMPUTED_VALUE"""),0.09)</f>
        <v>0.09</v>
      </c>
      <c r="M1035" s="112">
        <f ca="1">IFERROR(__xludf.DUMMYFUNCTION("""COMPUTED_VALUE"""),41698.7055555555)</f>
        <v>41698.705555555498</v>
      </c>
      <c r="N1035" s="111">
        <f ca="1">IFERROR(__xludf.DUMMYFUNCTION("""COMPUTED_VALUE"""),11.77)</f>
        <v>11.77</v>
      </c>
      <c r="O1035" s="112">
        <f ca="1">IFERROR(__xludf.DUMMYFUNCTION("""COMPUTED_VALUE"""),41780.7055555555)</f>
        <v>41780.705555555498</v>
      </c>
      <c r="P1035" s="111">
        <f ca="1">IFERROR(__xludf.DUMMYFUNCTION("""COMPUTED_VALUE"""),28.89)</f>
        <v>28.89</v>
      </c>
      <c r="Q1035" s="112">
        <f ca="1">IFERROR(__xludf.DUMMYFUNCTION("""COMPUTED_VALUE"""),41778.7055555555)</f>
        <v>41778.705555555498</v>
      </c>
      <c r="R1035" s="111">
        <f ca="1">IFERROR(__xludf.DUMMYFUNCTION("""COMPUTED_VALUE"""),23.8)</f>
        <v>23.8</v>
      </c>
      <c r="S1035" s="112">
        <f ca="1">IFERROR(__xludf.DUMMYFUNCTION("""COMPUTED_VALUE"""),41789.7055555555)</f>
        <v>41789.705555555498</v>
      </c>
      <c r="T1035" s="111">
        <f ca="1">IFERROR(__xludf.DUMMYFUNCTION("""COMPUTED_VALUE"""),10.17)</f>
        <v>10.17</v>
      </c>
    </row>
    <row r="1036" spans="1:20" x14ac:dyDescent="0.3">
      <c r="A1036" s="112">
        <f ca="1">IFERROR(__xludf.DUMMYFUNCTION("""COMPUTED_VALUE"""),41787.7055555555)</f>
        <v>41787.705555555498</v>
      </c>
      <c r="B1036" s="111">
        <f ca="1">IFERROR(__xludf.DUMMYFUNCTION("""COMPUTED_VALUE"""),6.62)</f>
        <v>6.62</v>
      </c>
      <c r="C1036" s="112">
        <f ca="1">IFERROR(__xludf.DUMMYFUNCTION("""COMPUTED_VALUE"""),41794.7055555555)</f>
        <v>41794.705555555498</v>
      </c>
      <c r="D1036" s="111">
        <f ca="1">IFERROR(__xludf.DUMMYFUNCTION("""COMPUTED_VALUE"""),17.45)</f>
        <v>17.45</v>
      </c>
      <c r="E1036" s="112">
        <f ca="1">IFERROR(__xludf.DUMMYFUNCTION("""COMPUTED_VALUE"""),41795.7055555555)</f>
        <v>41795.705555555498</v>
      </c>
      <c r="F1036" s="111">
        <f ca="1">IFERROR(__xludf.DUMMYFUNCTION("""COMPUTED_VALUE"""),6.06)</f>
        <v>6.06</v>
      </c>
      <c r="G1036" s="112">
        <f ca="1">IFERROR(__xludf.DUMMYFUNCTION("""COMPUTED_VALUE"""),41788.7055555555)</f>
        <v>41788.705555555498</v>
      </c>
      <c r="H1036" s="111">
        <f ca="1">IFERROR(__xludf.DUMMYFUNCTION("""COMPUTED_VALUE"""),17.3)</f>
        <v>17.3</v>
      </c>
      <c r="K1036" s="112">
        <f ca="1">IFERROR(__xludf.DUMMYFUNCTION("""COMPUTED_VALUE"""),42237.7055555555)</f>
        <v>42237.705555555498</v>
      </c>
      <c r="L1036" s="111">
        <f ca="1">IFERROR(__xludf.DUMMYFUNCTION("""COMPUTED_VALUE"""),0.09)</f>
        <v>0.09</v>
      </c>
      <c r="M1036" s="112">
        <f ca="1">IFERROR(__xludf.DUMMYFUNCTION("""COMPUTED_VALUE"""),41703.7055555555)</f>
        <v>41703.705555555498</v>
      </c>
      <c r="N1036" s="111">
        <f ca="1">IFERROR(__xludf.DUMMYFUNCTION("""COMPUTED_VALUE"""),11.65)</f>
        <v>11.65</v>
      </c>
      <c r="O1036" s="112">
        <f ca="1">IFERROR(__xludf.DUMMYFUNCTION("""COMPUTED_VALUE"""),41781.7055555555)</f>
        <v>41781.705555555498</v>
      </c>
      <c r="P1036" s="111">
        <f ca="1">IFERROR(__xludf.DUMMYFUNCTION("""COMPUTED_VALUE"""),29.31)</f>
        <v>29.31</v>
      </c>
      <c r="Q1036" s="112">
        <f ca="1">IFERROR(__xludf.DUMMYFUNCTION("""COMPUTED_VALUE"""),41779.7055555555)</f>
        <v>41779.705555555498</v>
      </c>
      <c r="R1036" s="111">
        <f ca="1">IFERROR(__xludf.DUMMYFUNCTION("""COMPUTED_VALUE"""),23.73)</f>
        <v>23.73</v>
      </c>
      <c r="S1036" s="112">
        <f ca="1">IFERROR(__xludf.DUMMYFUNCTION("""COMPUTED_VALUE"""),41792.7055555555)</f>
        <v>41792.705555555498</v>
      </c>
      <c r="T1036" s="111">
        <f ca="1">IFERROR(__xludf.DUMMYFUNCTION("""COMPUTED_VALUE"""),10.04)</f>
        <v>10.039999999999999</v>
      </c>
    </row>
    <row r="1037" spans="1:20" x14ac:dyDescent="0.3">
      <c r="A1037" s="112">
        <f ca="1">IFERROR(__xludf.DUMMYFUNCTION("""COMPUTED_VALUE"""),41788.7055555555)</f>
        <v>41788.705555555498</v>
      </c>
      <c r="B1037" s="111">
        <f ca="1">IFERROR(__xludf.DUMMYFUNCTION("""COMPUTED_VALUE"""),6.66)</f>
        <v>6.66</v>
      </c>
      <c r="C1037" s="112">
        <f ca="1">IFERROR(__xludf.DUMMYFUNCTION("""COMPUTED_VALUE"""),41795.7055555555)</f>
        <v>41795.705555555498</v>
      </c>
      <c r="D1037" s="111">
        <f ca="1">IFERROR(__xludf.DUMMYFUNCTION("""COMPUTED_VALUE"""),15.65)</f>
        <v>15.65</v>
      </c>
      <c r="E1037" s="112">
        <f ca="1">IFERROR(__xludf.DUMMYFUNCTION("""COMPUTED_VALUE"""),41796.7055555555)</f>
        <v>41796.705555555498</v>
      </c>
      <c r="F1037" s="111">
        <f ca="1">IFERROR(__xludf.DUMMYFUNCTION("""COMPUTED_VALUE"""),6.25)</f>
        <v>6.25</v>
      </c>
      <c r="G1037" s="112">
        <f ca="1">IFERROR(__xludf.DUMMYFUNCTION("""COMPUTED_VALUE"""),41789.7055555555)</f>
        <v>41789.705555555498</v>
      </c>
      <c r="H1037" s="111">
        <f ca="1">IFERROR(__xludf.DUMMYFUNCTION("""COMPUTED_VALUE"""),16.69)</f>
        <v>16.690000000000001</v>
      </c>
      <c r="K1037" s="112">
        <f ca="1">IFERROR(__xludf.DUMMYFUNCTION("""COMPUTED_VALUE"""),42240.7055555555)</f>
        <v>42240.705555555498</v>
      </c>
      <c r="L1037" s="111">
        <f ca="1">IFERROR(__xludf.DUMMYFUNCTION("""COMPUTED_VALUE"""),0.09)</f>
        <v>0.09</v>
      </c>
      <c r="M1037" s="112">
        <f ca="1">IFERROR(__xludf.DUMMYFUNCTION("""COMPUTED_VALUE"""),41704.7055555555)</f>
        <v>41704.705555555498</v>
      </c>
      <c r="N1037" s="111">
        <f ca="1">IFERROR(__xludf.DUMMYFUNCTION("""COMPUTED_VALUE"""),12.07)</f>
        <v>12.07</v>
      </c>
      <c r="O1037" s="112">
        <f ca="1">IFERROR(__xludf.DUMMYFUNCTION("""COMPUTED_VALUE"""),41782.7055555555)</f>
        <v>41782.705555555498</v>
      </c>
      <c r="P1037" s="111">
        <f ca="1">IFERROR(__xludf.DUMMYFUNCTION("""COMPUTED_VALUE"""),29.26)</f>
        <v>29.26</v>
      </c>
      <c r="Q1037" s="112">
        <f ca="1">IFERROR(__xludf.DUMMYFUNCTION("""COMPUTED_VALUE"""),41780.7055555555)</f>
        <v>41780.705555555498</v>
      </c>
      <c r="R1037" s="111">
        <f ca="1">IFERROR(__xludf.DUMMYFUNCTION("""COMPUTED_VALUE"""),22.01)</f>
        <v>22.01</v>
      </c>
      <c r="S1037" s="112">
        <f ca="1">IFERROR(__xludf.DUMMYFUNCTION("""COMPUTED_VALUE"""),41793.7055555555)</f>
        <v>41793.705555555498</v>
      </c>
      <c r="T1037" s="111">
        <f ca="1">IFERROR(__xludf.DUMMYFUNCTION("""COMPUTED_VALUE"""),10.06)</f>
        <v>10.06</v>
      </c>
    </row>
    <row r="1038" spans="1:20" x14ac:dyDescent="0.3">
      <c r="A1038" s="112">
        <f ca="1">IFERROR(__xludf.DUMMYFUNCTION("""COMPUTED_VALUE"""),41789.7055555555)</f>
        <v>41789.705555555498</v>
      </c>
      <c r="B1038" s="111">
        <f ca="1">IFERROR(__xludf.DUMMYFUNCTION("""COMPUTED_VALUE"""),6.52)</f>
        <v>6.52</v>
      </c>
      <c r="C1038" s="112">
        <f ca="1">IFERROR(__xludf.DUMMYFUNCTION("""COMPUTED_VALUE"""),41796.7055555555)</f>
        <v>41796.705555555498</v>
      </c>
      <c r="D1038" s="111">
        <f ca="1">IFERROR(__xludf.DUMMYFUNCTION("""COMPUTED_VALUE"""),17.98)</f>
        <v>17.98</v>
      </c>
      <c r="E1038" s="112">
        <f ca="1">IFERROR(__xludf.DUMMYFUNCTION("""COMPUTED_VALUE"""),41799.7055555555)</f>
        <v>41799.705555555498</v>
      </c>
      <c r="F1038" s="111">
        <f ca="1">IFERROR(__xludf.DUMMYFUNCTION("""COMPUTED_VALUE"""),6.44)</f>
        <v>6.44</v>
      </c>
      <c r="G1038" s="112">
        <f ca="1">IFERROR(__xludf.DUMMYFUNCTION("""COMPUTED_VALUE"""),41792.7055555555)</f>
        <v>41792.705555555498</v>
      </c>
      <c r="H1038" s="111">
        <f ca="1">IFERROR(__xludf.DUMMYFUNCTION("""COMPUTED_VALUE"""),16.55)</f>
        <v>16.55</v>
      </c>
      <c r="K1038" s="112">
        <f ca="1">IFERROR(__xludf.DUMMYFUNCTION("""COMPUTED_VALUE"""),42241.7055555555)</f>
        <v>42241.705555555498</v>
      </c>
      <c r="L1038" s="111">
        <f ca="1">IFERROR(__xludf.DUMMYFUNCTION("""COMPUTED_VALUE"""),0.08)</f>
        <v>0.08</v>
      </c>
      <c r="M1038" s="112">
        <f ca="1">IFERROR(__xludf.DUMMYFUNCTION("""COMPUTED_VALUE"""),41705.7055555555)</f>
        <v>41705.705555555498</v>
      </c>
      <c r="N1038" s="111">
        <f ca="1">IFERROR(__xludf.DUMMYFUNCTION("""COMPUTED_VALUE"""),11.92)</f>
        <v>11.92</v>
      </c>
      <c r="O1038" s="112">
        <f ca="1">IFERROR(__xludf.DUMMYFUNCTION("""COMPUTED_VALUE"""),41785.7055555555)</f>
        <v>41785.705555555498</v>
      </c>
      <c r="P1038" s="111">
        <f ca="1">IFERROR(__xludf.DUMMYFUNCTION("""COMPUTED_VALUE"""),29.6)</f>
        <v>29.6</v>
      </c>
      <c r="Q1038" s="112">
        <f ca="1">IFERROR(__xludf.DUMMYFUNCTION("""COMPUTED_VALUE"""),41781.7055555555)</f>
        <v>41781.705555555498</v>
      </c>
      <c r="R1038" s="111">
        <f ca="1">IFERROR(__xludf.DUMMYFUNCTION("""COMPUTED_VALUE"""),22.81)</f>
        <v>22.81</v>
      </c>
      <c r="S1038" s="112">
        <f ca="1">IFERROR(__xludf.DUMMYFUNCTION("""COMPUTED_VALUE"""),41794.7055555555)</f>
        <v>41794.705555555498</v>
      </c>
      <c r="T1038" s="111">
        <f ca="1">IFERROR(__xludf.DUMMYFUNCTION("""COMPUTED_VALUE"""),10.04)</f>
        <v>10.039999999999999</v>
      </c>
    </row>
    <row r="1039" spans="1:20" x14ac:dyDescent="0.3">
      <c r="A1039" s="112">
        <f ca="1">IFERROR(__xludf.DUMMYFUNCTION("""COMPUTED_VALUE"""),41792.7055555555)</f>
        <v>41792.705555555498</v>
      </c>
      <c r="B1039" s="111">
        <f ca="1">IFERROR(__xludf.DUMMYFUNCTION("""COMPUTED_VALUE"""),6.49)</f>
        <v>6.49</v>
      </c>
      <c r="C1039" s="112">
        <f ca="1">IFERROR(__xludf.DUMMYFUNCTION("""COMPUTED_VALUE"""),41799.7055555555)</f>
        <v>41799.705555555498</v>
      </c>
      <c r="D1039" s="111">
        <f ca="1">IFERROR(__xludf.DUMMYFUNCTION("""COMPUTED_VALUE"""),18.66)</f>
        <v>18.66</v>
      </c>
      <c r="E1039" s="112">
        <f ca="1">IFERROR(__xludf.DUMMYFUNCTION("""COMPUTED_VALUE"""),41800.7055555555)</f>
        <v>41800.705555555498</v>
      </c>
      <c r="F1039" s="111">
        <f ca="1">IFERROR(__xludf.DUMMYFUNCTION("""COMPUTED_VALUE"""),6.54)</f>
        <v>6.54</v>
      </c>
      <c r="G1039" s="112">
        <f ca="1">IFERROR(__xludf.DUMMYFUNCTION("""COMPUTED_VALUE"""),41793.7055555555)</f>
        <v>41793.705555555498</v>
      </c>
      <c r="H1039" s="111">
        <f ca="1">IFERROR(__xludf.DUMMYFUNCTION("""COMPUTED_VALUE"""),16.9)</f>
        <v>16.899999999999999</v>
      </c>
      <c r="K1039" s="112">
        <f ca="1">IFERROR(__xludf.DUMMYFUNCTION("""COMPUTED_VALUE"""),42242.7055555555)</f>
        <v>42242.705555555498</v>
      </c>
      <c r="L1039" s="111">
        <f ca="1">IFERROR(__xludf.DUMMYFUNCTION("""COMPUTED_VALUE"""),0.08)</f>
        <v>0.08</v>
      </c>
      <c r="M1039" s="112">
        <f ca="1">IFERROR(__xludf.DUMMYFUNCTION("""COMPUTED_VALUE"""),41708.7055555555)</f>
        <v>41708.705555555498</v>
      </c>
      <c r="N1039" s="111">
        <f ca="1">IFERROR(__xludf.DUMMYFUNCTION("""COMPUTED_VALUE"""),11.64)</f>
        <v>11.64</v>
      </c>
      <c r="O1039" s="112">
        <f ca="1">IFERROR(__xludf.DUMMYFUNCTION("""COMPUTED_VALUE"""),41786.7055555555)</f>
        <v>41786.705555555498</v>
      </c>
      <c r="P1039" s="111">
        <f ca="1">IFERROR(__xludf.DUMMYFUNCTION("""COMPUTED_VALUE"""),29.09)</f>
        <v>29.09</v>
      </c>
      <c r="Q1039" s="112">
        <f ca="1">IFERROR(__xludf.DUMMYFUNCTION("""COMPUTED_VALUE"""),41782.7055555555)</f>
        <v>41782.705555555498</v>
      </c>
      <c r="R1039" s="111">
        <f ca="1">IFERROR(__xludf.DUMMYFUNCTION("""COMPUTED_VALUE"""),22.4)</f>
        <v>22.4</v>
      </c>
      <c r="S1039" s="112">
        <f ca="1">IFERROR(__xludf.DUMMYFUNCTION("""COMPUTED_VALUE"""),41795.7055555555)</f>
        <v>41795.705555555498</v>
      </c>
      <c r="T1039" s="111">
        <f ca="1">IFERROR(__xludf.DUMMYFUNCTION("""COMPUTED_VALUE"""),10.15)</f>
        <v>10.15</v>
      </c>
    </row>
    <row r="1040" spans="1:20" x14ac:dyDescent="0.3">
      <c r="A1040" s="112">
        <f ca="1">IFERROR(__xludf.DUMMYFUNCTION("""COMPUTED_VALUE"""),41793.7055555555)</f>
        <v>41793.705555555498</v>
      </c>
      <c r="B1040" s="111">
        <f ca="1">IFERROR(__xludf.DUMMYFUNCTION("""COMPUTED_VALUE"""),6.57)</f>
        <v>6.57</v>
      </c>
      <c r="C1040" s="112">
        <f ca="1">IFERROR(__xludf.DUMMYFUNCTION("""COMPUTED_VALUE"""),41800.7055555555)</f>
        <v>41800.705555555498</v>
      </c>
      <c r="D1040" s="111">
        <f ca="1">IFERROR(__xludf.DUMMYFUNCTION("""COMPUTED_VALUE"""),18.85)</f>
        <v>18.850000000000001</v>
      </c>
      <c r="E1040" s="112">
        <f ca="1">IFERROR(__xludf.DUMMYFUNCTION("""COMPUTED_VALUE"""),41801.7055555555)</f>
        <v>41801.705555555498</v>
      </c>
      <c r="F1040" s="111">
        <f ca="1">IFERROR(__xludf.DUMMYFUNCTION("""COMPUTED_VALUE"""),6.62)</f>
        <v>6.62</v>
      </c>
      <c r="G1040" s="112">
        <f ca="1">IFERROR(__xludf.DUMMYFUNCTION("""COMPUTED_VALUE"""),41794.7055555555)</f>
        <v>41794.705555555498</v>
      </c>
      <c r="H1040" s="111">
        <f ca="1">IFERROR(__xludf.DUMMYFUNCTION("""COMPUTED_VALUE"""),16.6)</f>
        <v>16.600000000000001</v>
      </c>
      <c r="K1040" s="112">
        <f ca="1">IFERROR(__xludf.DUMMYFUNCTION("""COMPUTED_VALUE"""),42243.7055555555)</f>
        <v>42243.705555555498</v>
      </c>
      <c r="L1040" s="111">
        <f ca="1">IFERROR(__xludf.DUMMYFUNCTION("""COMPUTED_VALUE"""),0.08)</f>
        <v>0.08</v>
      </c>
      <c r="M1040" s="112">
        <f ca="1">IFERROR(__xludf.DUMMYFUNCTION("""COMPUTED_VALUE"""),41709.7055555555)</f>
        <v>41709.705555555498</v>
      </c>
      <c r="N1040" s="111">
        <f ca="1">IFERROR(__xludf.DUMMYFUNCTION("""COMPUTED_VALUE"""),11.69)</f>
        <v>11.69</v>
      </c>
      <c r="O1040" s="112">
        <f ca="1">IFERROR(__xludf.DUMMYFUNCTION("""COMPUTED_VALUE"""),41787.7055555555)</f>
        <v>41787.705555555498</v>
      </c>
      <c r="P1040" s="111">
        <f ca="1">IFERROR(__xludf.DUMMYFUNCTION("""COMPUTED_VALUE"""),29.09)</f>
        <v>29.09</v>
      </c>
      <c r="Q1040" s="112">
        <f ca="1">IFERROR(__xludf.DUMMYFUNCTION("""COMPUTED_VALUE"""),41785.7055555555)</f>
        <v>41785.705555555498</v>
      </c>
      <c r="R1040" s="111">
        <f ca="1">IFERROR(__xludf.DUMMYFUNCTION("""COMPUTED_VALUE"""),22.44)</f>
        <v>22.44</v>
      </c>
      <c r="S1040" s="112">
        <f ca="1">IFERROR(__xludf.DUMMYFUNCTION("""COMPUTED_VALUE"""),41796.7055555555)</f>
        <v>41796.705555555498</v>
      </c>
      <c r="T1040" s="111">
        <f ca="1">IFERROR(__xludf.DUMMYFUNCTION("""COMPUTED_VALUE"""),10.37)</f>
        <v>10.37</v>
      </c>
    </row>
    <row r="1041" spans="1:20" x14ac:dyDescent="0.3">
      <c r="A1041" s="112">
        <f ca="1">IFERROR(__xludf.DUMMYFUNCTION("""COMPUTED_VALUE"""),41794.7055555555)</f>
        <v>41794.705555555498</v>
      </c>
      <c r="B1041" s="111">
        <f ca="1">IFERROR(__xludf.DUMMYFUNCTION("""COMPUTED_VALUE"""),6.54)</f>
        <v>6.54</v>
      </c>
      <c r="C1041" s="112">
        <f ca="1">IFERROR(__xludf.DUMMYFUNCTION("""COMPUTED_VALUE"""),41801.7055555555)</f>
        <v>41801.705555555498</v>
      </c>
      <c r="D1041" s="111">
        <f ca="1">IFERROR(__xludf.DUMMYFUNCTION("""COMPUTED_VALUE"""),19)</f>
        <v>19</v>
      </c>
      <c r="E1041" s="112">
        <f ca="1">IFERROR(__xludf.DUMMYFUNCTION("""COMPUTED_VALUE"""),41803.7055555555)</f>
        <v>41803.705555555498</v>
      </c>
      <c r="F1041" s="111">
        <f ca="1">IFERROR(__xludf.DUMMYFUNCTION("""COMPUTED_VALUE"""),6.6)</f>
        <v>6.6</v>
      </c>
      <c r="G1041" s="112">
        <f ca="1">IFERROR(__xludf.DUMMYFUNCTION("""COMPUTED_VALUE"""),41795.7055555555)</f>
        <v>41795.705555555498</v>
      </c>
      <c r="H1041" s="111">
        <f ca="1">IFERROR(__xludf.DUMMYFUNCTION("""COMPUTED_VALUE"""),16.32)</f>
        <v>16.32</v>
      </c>
      <c r="K1041" s="112">
        <f ca="1">IFERROR(__xludf.DUMMYFUNCTION("""COMPUTED_VALUE"""),42244.7055555555)</f>
        <v>42244.705555555498</v>
      </c>
      <c r="L1041" s="111">
        <f ca="1">IFERROR(__xludf.DUMMYFUNCTION("""COMPUTED_VALUE"""),0.08)</f>
        <v>0.08</v>
      </c>
      <c r="M1041" s="112">
        <f ca="1">IFERROR(__xludf.DUMMYFUNCTION("""COMPUTED_VALUE"""),41710.7055555555)</f>
        <v>41710.705555555498</v>
      </c>
      <c r="N1041" s="111">
        <f ca="1">IFERROR(__xludf.DUMMYFUNCTION("""COMPUTED_VALUE"""),11.76)</f>
        <v>11.76</v>
      </c>
      <c r="O1041" s="112">
        <f ca="1">IFERROR(__xludf.DUMMYFUNCTION("""COMPUTED_VALUE"""),41788.7055555555)</f>
        <v>41788.705555555498</v>
      </c>
      <c r="P1041" s="111">
        <f ca="1">IFERROR(__xludf.DUMMYFUNCTION("""COMPUTED_VALUE"""),29.34)</f>
        <v>29.34</v>
      </c>
      <c r="Q1041" s="112">
        <f ca="1">IFERROR(__xludf.DUMMYFUNCTION("""COMPUTED_VALUE"""),41786.7055555555)</f>
        <v>41786.705555555498</v>
      </c>
      <c r="R1041" s="111">
        <f ca="1">IFERROR(__xludf.DUMMYFUNCTION("""COMPUTED_VALUE"""),22.58)</f>
        <v>22.58</v>
      </c>
      <c r="S1041" s="112">
        <f ca="1">IFERROR(__xludf.DUMMYFUNCTION("""COMPUTED_VALUE"""),41799.7055555555)</f>
        <v>41799.705555555498</v>
      </c>
      <c r="T1041" s="111">
        <f ca="1">IFERROR(__xludf.DUMMYFUNCTION("""COMPUTED_VALUE"""),10.53)</f>
        <v>10.53</v>
      </c>
    </row>
    <row r="1042" spans="1:20" x14ac:dyDescent="0.3">
      <c r="A1042" s="112">
        <f ca="1">IFERROR(__xludf.DUMMYFUNCTION("""COMPUTED_VALUE"""),41795.7055555555)</f>
        <v>41795.705555555498</v>
      </c>
      <c r="B1042" s="111">
        <f ca="1">IFERROR(__xludf.DUMMYFUNCTION("""COMPUTED_VALUE"""),6.47)</f>
        <v>6.47</v>
      </c>
      <c r="C1042" s="112">
        <f ca="1">IFERROR(__xludf.DUMMYFUNCTION("""COMPUTED_VALUE"""),41803.7055555555)</f>
        <v>41803.705555555498</v>
      </c>
      <c r="D1042" s="111">
        <f ca="1">IFERROR(__xludf.DUMMYFUNCTION("""COMPUTED_VALUE"""),18.89)</f>
        <v>18.89</v>
      </c>
      <c r="E1042" s="112">
        <f ca="1">IFERROR(__xludf.DUMMYFUNCTION("""COMPUTED_VALUE"""),41806.7055555555)</f>
        <v>41806.705555555498</v>
      </c>
      <c r="F1042" s="111">
        <f ca="1">IFERROR(__xludf.DUMMYFUNCTION("""COMPUTED_VALUE"""),6.58)</f>
        <v>6.58</v>
      </c>
      <c r="G1042" s="112">
        <f ca="1">IFERROR(__xludf.DUMMYFUNCTION("""COMPUTED_VALUE"""),41796.7055555555)</f>
        <v>41796.705555555498</v>
      </c>
      <c r="H1042" s="111">
        <f ca="1">IFERROR(__xludf.DUMMYFUNCTION("""COMPUTED_VALUE"""),17.68)</f>
        <v>17.68</v>
      </c>
      <c r="K1042" s="112">
        <f ca="1">IFERROR(__xludf.DUMMYFUNCTION("""COMPUTED_VALUE"""),42247.7055555555)</f>
        <v>42247.705555555498</v>
      </c>
      <c r="L1042" s="111">
        <f ca="1">IFERROR(__xludf.DUMMYFUNCTION("""COMPUTED_VALUE"""),0.08)</f>
        <v>0.08</v>
      </c>
      <c r="M1042" s="112">
        <f ca="1">IFERROR(__xludf.DUMMYFUNCTION("""COMPUTED_VALUE"""),41711.7055555555)</f>
        <v>41711.705555555498</v>
      </c>
      <c r="N1042" s="111">
        <f ca="1">IFERROR(__xludf.DUMMYFUNCTION("""COMPUTED_VALUE"""),11.52)</f>
        <v>11.52</v>
      </c>
      <c r="O1042" s="112">
        <f ca="1">IFERROR(__xludf.DUMMYFUNCTION("""COMPUTED_VALUE"""),41789.7055555555)</f>
        <v>41789.705555555498</v>
      </c>
      <c r="P1042" s="111">
        <f ca="1">IFERROR(__xludf.DUMMYFUNCTION("""COMPUTED_VALUE"""),28.4)</f>
        <v>28.4</v>
      </c>
      <c r="Q1042" s="112">
        <f ca="1">IFERROR(__xludf.DUMMYFUNCTION("""COMPUTED_VALUE"""),41787.7055555555)</f>
        <v>41787.705555555498</v>
      </c>
      <c r="R1042" s="111">
        <f ca="1">IFERROR(__xludf.DUMMYFUNCTION("""COMPUTED_VALUE"""),23.34)</f>
        <v>23.34</v>
      </c>
      <c r="S1042" s="112">
        <f ca="1">IFERROR(__xludf.DUMMYFUNCTION("""COMPUTED_VALUE"""),41800.7055555555)</f>
        <v>41800.705555555498</v>
      </c>
      <c r="T1042" s="111">
        <f ca="1">IFERROR(__xludf.DUMMYFUNCTION("""COMPUTED_VALUE"""),10.57)</f>
        <v>10.57</v>
      </c>
    </row>
    <row r="1043" spans="1:20" x14ac:dyDescent="0.3">
      <c r="A1043" s="112">
        <f ca="1">IFERROR(__xludf.DUMMYFUNCTION("""COMPUTED_VALUE"""),41796.7055555555)</f>
        <v>41796.705555555498</v>
      </c>
      <c r="B1043" s="111">
        <f ca="1">IFERROR(__xludf.DUMMYFUNCTION("""COMPUTED_VALUE"""),7.07)</f>
        <v>7.07</v>
      </c>
      <c r="C1043" s="112">
        <f ca="1">IFERROR(__xludf.DUMMYFUNCTION("""COMPUTED_VALUE"""),41806.7055555555)</f>
        <v>41806.705555555498</v>
      </c>
      <c r="D1043" s="111">
        <f ca="1">IFERROR(__xludf.DUMMYFUNCTION("""COMPUTED_VALUE"""),18.77)</f>
        <v>18.77</v>
      </c>
      <c r="E1043" s="112">
        <f ca="1">IFERROR(__xludf.DUMMYFUNCTION("""COMPUTED_VALUE"""),41807.7055555555)</f>
        <v>41807.705555555498</v>
      </c>
      <c r="F1043" s="111">
        <f ca="1">IFERROR(__xludf.DUMMYFUNCTION("""COMPUTED_VALUE"""),6.48)</f>
        <v>6.48</v>
      </c>
      <c r="G1043" s="112">
        <f ca="1">IFERROR(__xludf.DUMMYFUNCTION("""COMPUTED_VALUE"""),41799.7055555555)</f>
        <v>41799.705555555498</v>
      </c>
      <c r="H1043" s="111">
        <f ca="1">IFERROR(__xludf.DUMMYFUNCTION("""COMPUTED_VALUE"""),18.07)</f>
        <v>18.07</v>
      </c>
      <c r="K1043" s="112">
        <f ca="1">IFERROR(__xludf.DUMMYFUNCTION("""COMPUTED_VALUE"""),42248.7055555555)</f>
        <v>42248.705555555498</v>
      </c>
      <c r="L1043" s="111">
        <f ca="1">IFERROR(__xludf.DUMMYFUNCTION("""COMPUTED_VALUE"""),0.08)</f>
        <v>0.08</v>
      </c>
      <c r="M1043" s="112">
        <f ca="1">IFERROR(__xludf.DUMMYFUNCTION("""COMPUTED_VALUE"""),41712.7055555555)</f>
        <v>41712.705555555498</v>
      </c>
      <c r="N1043" s="111">
        <f ca="1">IFERROR(__xludf.DUMMYFUNCTION("""COMPUTED_VALUE"""),11.37)</f>
        <v>11.37</v>
      </c>
      <c r="O1043" s="112">
        <f ca="1">IFERROR(__xludf.DUMMYFUNCTION("""COMPUTED_VALUE"""),41792.7055555555)</f>
        <v>41792.705555555498</v>
      </c>
      <c r="P1043" s="111">
        <f ca="1">IFERROR(__xludf.DUMMYFUNCTION("""COMPUTED_VALUE"""),29.14)</f>
        <v>29.14</v>
      </c>
      <c r="Q1043" s="112">
        <f ca="1">IFERROR(__xludf.DUMMYFUNCTION("""COMPUTED_VALUE"""),41788.7055555555)</f>
        <v>41788.705555555498</v>
      </c>
      <c r="R1043" s="111">
        <f ca="1">IFERROR(__xludf.DUMMYFUNCTION("""COMPUTED_VALUE"""),23.2)</f>
        <v>23.2</v>
      </c>
      <c r="S1043" s="112">
        <f ca="1">IFERROR(__xludf.DUMMYFUNCTION("""COMPUTED_VALUE"""),41801.7055555555)</f>
        <v>41801.705555555498</v>
      </c>
      <c r="T1043" s="111">
        <f ca="1">IFERROR(__xludf.DUMMYFUNCTION("""COMPUTED_VALUE"""),10.48)</f>
        <v>10.48</v>
      </c>
    </row>
    <row r="1044" spans="1:20" x14ac:dyDescent="0.3">
      <c r="A1044" s="112">
        <f ca="1">IFERROR(__xludf.DUMMYFUNCTION("""COMPUTED_VALUE"""),41799.7055555555)</f>
        <v>41799.705555555498</v>
      </c>
      <c r="B1044" s="111">
        <f ca="1">IFERROR(__xludf.DUMMYFUNCTION("""COMPUTED_VALUE"""),7.15)</f>
        <v>7.15</v>
      </c>
      <c r="C1044" s="112">
        <f ca="1">IFERROR(__xludf.DUMMYFUNCTION("""COMPUTED_VALUE"""),41807.7055555555)</f>
        <v>41807.705555555498</v>
      </c>
      <c r="D1044" s="111">
        <f ca="1">IFERROR(__xludf.DUMMYFUNCTION("""COMPUTED_VALUE"""),18.52)</f>
        <v>18.52</v>
      </c>
      <c r="E1044" s="112">
        <f ca="1">IFERROR(__xludf.DUMMYFUNCTION("""COMPUTED_VALUE"""),41808.7055555555)</f>
        <v>41808.705555555498</v>
      </c>
      <c r="F1044" s="111">
        <f ca="1">IFERROR(__xludf.DUMMYFUNCTION("""COMPUTED_VALUE"""),6.57)</f>
        <v>6.57</v>
      </c>
      <c r="G1044" s="112">
        <f ca="1">IFERROR(__xludf.DUMMYFUNCTION("""COMPUTED_VALUE"""),41800.7055555555)</f>
        <v>41800.705555555498</v>
      </c>
      <c r="H1044" s="111">
        <f ca="1">IFERROR(__xludf.DUMMYFUNCTION("""COMPUTED_VALUE"""),18.67)</f>
        <v>18.670000000000002</v>
      </c>
      <c r="K1044" s="112">
        <f ca="1">IFERROR(__xludf.DUMMYFUNCTION("""COMPUTED_VALUE"""),42249.7055555555)</f>
        <v>42249.705555555498</v>
      </c>
      <c r="L1044" s="111">
        <f ca="1">IFERROR(__xludf.DUMMYFUNCTION("""COMPUTED_VALUE"""),0.08)</f>
        <v>0.08</v>
      </c>
      <c r="M1044" s="112">
        <f ca="1">IFERROR(__xludf.DUMMYFUNCTION("""COMPUTED_VALUE"""),41715.7055555555)</f>
        <v>41715.705555555498</v>
      </c>
      <c r="N1044" s="111">
        <f ca="1">IFERROR(__xludf.DUMMYFUNCTION("""COMPUTED_VALUE"""),11.61)</f>
        <v>11.61</v>
      </c>
      <c r="O1044" s="112">
        <f ca="1">IFERROR(__xludf.DUMMYFUNCTION("""COMPUTED_VALUE"""),41793.7055555555)</f>
        <v>41793.705555555498</v>
      </c>
      <c r="P1044" s="111">
        <f ca="1">IFERROR(__xludf.DUMMYFUNCTION("""COMPUTED_VALUE"""),28.85)</f>
        <v>28.85</v>
      </c>
      <c r="Q1044" s="112">
        <f ca="1">IFERROR(__xludf.DUMMYFUNCTION("""COMPUTED_VALUE"""),41789.7055555555)</f>
        <v>41789.705555555498</v>
      </c>
      <c r="R1044" s="111">
        <f ca="1">IFERROR(__xludf.DUMMYFUNCTION("""COMPUTED_VALUE"""),22.77)</f>
        <v>22.77</v>
      </c>
      <c r="S1044" s="112">
        <f ca="1">IFERROR(__xludf.DUMMYFUNCTION("""COMPUTED_VALUE"""),41803.7055555555)</f>
        <v>41803.705555555498</v>
      </c>
      <c r="T1044" s="111">
        <f ca="1">IFERROR(__xludf.DUMMYFUNCTION("""COMPUTED_VALUE"""),10.4)</f>
        <v>10.4</v>
      </c>
    </row>
    <row r="1045" spans="1:20" x14ac:dyDescent="0.3">
      <c r="A1045" s="112">
        <f ca="1">IFERROR(__xludf.DUMMYFUNCTION("""COMPUTED_VALUE"""),41800.7055555555)</f>
        <v>41800.705555555498</v>
      </c>
      <c r="B1045" s="111">
        <f ca="1">IFERROR(__xludf.DUMMYFUNCTION("""COMPUTED_VALUE"""),7.31)</f>
        <v>7.31</v>
      </c>
      <c r="C1045" s="112">
        <f ca="1">IFERROR(__xludf.DUMMYFUNCTION("""COMPUTED_VALUE"""),41808.7055555555)</f>
        <v>41808.705555555498</v>
      </c>
      <c r="D1045" s="111">
        <f ca="1">IFERROR(__xludf.DUMMYFUNCTION("""COMPUTED_VALUE"""),18.77)</f>
        <v>18.77</v>
      </c>
      <c r="E1045" s="112">
        <f ca="1">IFERROR(__xludf.DUMMYFUNCTION("""COMPUTED_VALUE"""),41810.7055555555)</f>
        <v>41810.705555555498</v>
      </c>
      <c r="F1045" s="111">
        <f ca="1">IFERROR(__xludf.DUMMYFUNCTION("""COMPUTED_VALUE"""),6.5)</f>
        <v>6.5</v>
      </c>
      <c r="G1045" s="112">
        <f ca="1">IFERROR(__xludf.DUMMYFUNCTION("""COMPUTED_VALUE"""),41801.7055555555)</f>
        <v>41801.705555555498</v>
      </c>
      <c r="H1045" s="111">
        <f ca="1">IFERROR(__xludf.DUMMYFUNCTION("""COMPUTED_VALUE"""),18.88)</f>
        <v>18.88</v>
      </c>
      <c r="K1045" s="112">
        <f ca="1">IFERROR(__xludf.DUMMYFUNCTION("""COMPUTED_VALUE"""),42250.7055555555)</f>
        <v>42250.705555555498</v>
      </c>
      <c r="L1045" s="111">
        <f ca="1">IFERROR(__xludf.DUMMYFUNCTION("""COMPUTED_VALUE"""),0.08)</f>
        <v>0.08</v>
      </c>
      <c r="M1045" s="112">
        <f ca="1">IFERROR(__xludf.DUMMYFUNCTION("""COMPUTED_VALUE"""),41716.7055555555)</f>
        <v>41716.705555555498</v>
      </c>
      <c r="N1045" s="111">
        <f ca="1">IFERROR(__xludf.DUMMYFUNCTION("""COMPUTED_VALUE"""),11.75)</f>
        <v>11.75</v>
      </c>
      <c r="O1045" s="112">
        <f ca="1">IFERROR(__xludf.DUMMYFUNCTION("""COMPUTED_VALUE"""),41794.7055555555)</f>
        <v>41794.705555555498</v>
      </c>
      <c r="P1045" s="111">
        <f ca="1">IFERROR(__xludf.DUMMYFUNCTION("""COMPUTED_VALUE"""),28.92)</f>
        <v>28.92</v>
      </c>
      <c r="Q1045" s="112">
        <f ca="1">IFERROR(__xludf.DUMMYFUNCTION("""COMPUTED_VALUE"""),41792.7055555555)</f>
        <v>41792.705555555498</v>
      </c>
      <c r="R1045" s="111">
        <f ca="1">IFERROR(__xludf.DUMMYFUNCTION("""COMPUTED_VALUE"""),22.84)</f>
        <v>22.84</v>
      </c>
      <c r="S1045" s="112">
        <f ca="1">IFERROR(__xludf.DUMMYFUNCTION("""COMPUTED_VALUE"""),41806.7055555555)</f>
        <v>41806.705555555498</v>
      </c>
      <c r="T1045" s="111">
        <f ca="1">IFERROR(__xludf.DUMMYFUNCTION("""COMPUTED_VALUE"""),10.64)</f>
        <v>10.64</v>
      </c>
    </row>
    <row r="1046" spans="1:20" x14ac:dyDescent="0.3">
      <c r="A1046" s="112">
        <f ca="1">IFERROR(__xludf.DUMMYFUNCTION("""COMPUTED_VALUE"""),41801.7055555555)</f>
        <v>41801.705555555498</v>
      </c>
      <c r="B1046" s="111">
        <f ca="1">IFERROR(__xludf.DUMMYFUNCTION("""COMPUTED_VALUE"""),7.02)</f>
        <v>7.02</v>
      </c>
      <c r="C1046" s="112">
        <f ca="1">IFERROR(__xludf.DUMMYFUNCTION("""COMPUTED_VALUE"""),41810.7055555555)</f>
        <v>41810.705555555498</v>
      </c>
      <c r="D1046" s="111">
        <f ca="1">IFERROR(__xludf.DUMMYFUNCTION("""COMPUTED_VALUE"""),18.5)</f>
        <v>18.5</v>
      </c>
      <c r="E1046" s="112">
        <f ca="1">IFERROR(__xludf.DUMMYFUNCTION("""COMPUTED_VALUE"""),41813.7055555555)</f>
        <v>41813.705555555498</v>
      </c>
      <c r="F1046" s="111">
        <f ca="1">IFERROR(__xludf.DUMMYFUNCTION("""COMPUTED_VALUE"""),6.46)</f>
        <v>6.46</v>
      </c>
      <c r="G1046" s="112">
        <f ca="1">IFERROR(__xludf.DUMMYFUNCTION("""COMPUTED_VALUE"""),41803.7055555555)</f>
        <v>41803.705555555498</v>
      </c>
      <c r="H1046" s="111">
        <f ca="1">IFERROR(__xludf.DUMMYFUNCTION("""COMPUTED_VALUE"""),18.99)</f>
        <v>18.989999999999998</v>
      </c>
      <c r="K1046" s="112">
        <f ca="1">IFERROR(__xludf.DUMMYFUNCTION("""COMPUTED_VALUE"""),42251.7055555555)</f>
        <v>42251.705555555498</v>
      </c>
      <c r="L1046" s="111">
        <f ca="1">IFERROR(__xludf.DUMMYFUNCTION("""COMPUTED_VALUE"""),0.08)</f>
        <v>0.08</v>
      </c>
      <c r="M1046" s="112">
        <f ca="1">IFERROR(__xludf.DUMMYFUNCTION("""COMPUTED_VALUE"""),41717.7055555555)</f>
        <v>41717.705555555498</v>
      </c>
      <c r="N1046" s="111">
        <f ca="1">IFERROR(__xludf.DUMMYFUNCTION("""COMPUTED_VALUE"""),11.86)</f>
        <v>11.86</v>
      </c>
      <c r="O1046" s="112">
        <f ca="1">IFERROR(__xludf.DUMMYFUNCTION("""COMPUTED_VALUE"""),41795.7055555555)</f>
        <v>41795.705555555498</v>
      </c>
      <c r="P1046" s="111">
        <f ca="1">IFERROR(__xludf.DUMMYFUNCTION("""COMPUTED_VALUE"""),28.78)</f>
        <v>28.78</v>
      </c>
      <c r="Q1046" s="112">
        <f ca="1">IFERROR(__xludf.DUMMYFUNCTION("""COMPUTED_VALUE"""),41793.7055555555)</f>
        <v>41793.705555555498</v>
      </c>
      <c r="R1046" s="111">
        <f ca="1">IFERROR(__xludf.DUMMYFUNCTION("""COMPUTED_VALUE"""),23.15)</f>
        <v>23.15</v>
      </c>
      <c r="S1046" s="112">
        <f ca="1">IFERROR(__xludf.DUMMYFUNCTION("""COMPUTED_VALUE"""),41807.7055555555)</f>
        <v>41807.705555555498</v>
      </c>
      <c r="T1046" s="111">
        <f ca="1">IFERROR(__xludf.DUMMYFUNCTION("""COMPUTED_VALUE"""),10.85)</f>
        <v>10.85</v>
      </c>
    </row>
    <row r="1047" spans="1:20" x14ac:dyDescent="0.3">
      <c r="A1047" s="112">
        <f ca="1">IFERROR(__xludf.DUMMYFUNCTION("""COMPUTED_VALUE"""),41803.7055555555)</f>
        <v>41803.705555555498</v>
      </c>
      <c r="B1047" s="111">
        <f ca="1">IFERROR(__xludf.DUMMYFUNCTION("""COMPUTED_VALUE"""),6.91)</f>
        <v>6.91</v>
      </c>
      <c r="C1047" s="112">
        <f ca="1">IFERROR(__xludf.DUMMYFUNCTION("""COMPUTED_VALUE"""),41813.7055555555)</f>
        <v>41813.705555555498</v>
      </c>
      <c r="D1047" s="111">
        <f ca="1">IFERROR(__xludf.DUMMYFUNCTION("""COMPUTED_VALUE"""),18.36)</f>
        <v>18.36</v>
      </c>
      <c r="E1047" s="112">
        <f ca="1">IFERROR(__xludf.DUMMYFUNCTION("""COMPUTED_VALUE"""),41814.7055555555)</f>
        <v>41814.705555555498</v>
      </c>
      <c r="F1047" s="111">
        <f ca="1">IFERROR(__xludf.DUMMYFUNCTION("""COMPUTED_VALUE"""),6.47)</f>
        <v>6.47</v>
      </c>
      <c r="G1047" s="112">
        <f ca="1">IFERROR(__xludf.DUMMYFUNCTION("""COMPUTED_VALUE"""),41806.7055555555)</f>
        <v>41806.705555555498</v>
      </c>
      <c r="H1047" s="111">
        <f ca="1">IFERROR(__xludf.DUMMYFUNCTION("""COMPUTED_VALUE"""),18.74)</f>
        <v>18.739999999999998</v>
      </c>
      <c r="K1047" s="112">
        <f ca="1">IFERROR(__xludf.DUMMYFUNCTION("""COMPUTED_VALUE"""),42255.7055555555)</f>
        <v>42255.705555555498</v>
      </c>
      <c r="L1047" s="111">
        <f ca="1">IFERROR(__xludf.DUMMYFUNCTION("""COMPUTED_VALUE"""),0.07)</f>
        <v>7.0000000000000007E-2</v>
      </c>
      <c r="M1047" s="112">
        <f ca="1">IFERROR(__xludf.DUMMYFUNCTION("""COMPUTED_VALUE"""),41718.7055555555)</f>
        <v>41718.705555555498</v>
      </c>
      <c r="N1047" s="111">
        <f ca="1">IFERROR(__xludf.DUMMYFUNCTION("""COMPUTED_VALUE"""),12.2)</f>
        <v>12.2</v>
      </c>
      <c r="O1047" s="112">
        <f ca="1">IFERROR(__xludf.DUMMYFUNCTION("""COMPUTED_VALUE"""),41796.7055555555)</f>
        <v>41796.705555555498</v>
      </c>
      <c r="P1047" s="111">
        <f ca="1">IFERROR(__xludf.DUMMYFUNCTION("""COMPUTED_VALUE"""),29.37)</f>
        <v>29.37</v>
      </c>
      <c r="Q1047" s="112">
        <f ca="1">IFERROR(__xludf.DUMMYFUNCTION("""COMPUTED_VALUE"""),41794.7055555555)</f>
        <v>41794.705555555498</v>
      </c>
      <c r="R1047" s="111">
        <f ca="1">IFERROR(__xludf.DUMMYFUNCTION("""COMPUTED_VALUE"""),23.09)</f>
        <v>23.09</v>
      </c>
      <c r="S1047" s="112">
        <f ca="1">IFERROR(__xludf.DUMMYFUNCTION("""COMPUTED_VALUE"""),41808.7055555555)</f>
        <v>41808.705555555498</v>
      </c>
      <c r="T1047" s="111">
        <f ca="1">IFERROR(__xludf.DUMMYFUNCTION("""COMPUTED_VALUE"""),10.95)</f>
        <v>10.95</v>
      </c>
    </row>
    <row r="1048" spans="1:20" x14ac:dyDescent="0.3">
      <c r="A1048" s="112">
        <f ca="1">IFERROR(__xludf.DUMMYFUNCTION("""COMPUTED_VALUE"""),41806.7055555555)</f>
        <v>41806.705555555498</v>
      </c>
      <c r="B1048" s="111">
        <f ca="1">IFERROR(__xludf.DUMMYFUNCTION("""COMPUTED_VALUE"""),6.81)</f>
        <v>6.81</v>
      </c>
      <c r="C1048" s="112">
        <f ca="1">IFERROR(__xludf.DUMMYFUNCTION("""COMPUTED_VALUE"""),41814.7055555555)</f>
        <v>41814.705555555498</v>
      </c>
      <c r="D1048" s="111">
        <f ca="1">IFERROR(__xludf.DUMMYFUNCTION("""COMPUTED_VALUE"""),18.39)</f>
        <v>18.39</v>
      </c>
      <c r="E1048" s="112">
        <f ca="1">IFERROR(__xludf.DUMMYFUNCTION("""COMPUTED_VALUE"""),41815.7055555555)</f>
        <v>41815.705555555498</v>
      </c>
      <c r="F1048" s="111">
        <f ca="1">IFERROR(__xludf.DUMMYFUNCTION("""COMPUTED_VALUE"""),6.28)</f>
        <v>6.28</v>
      </c>
      <c r="G1048" s="112">
        <f ca="1">IFERROR(__xludf.DUMMYFUNCTION("""COMPUTED_VALUE"""),41807.7055555555)</f>
        <v>41807.705555555498</v>
      </c>
      <c r="H1048" s="111">
        <f ca="1">IFERROR(__xludf.DUMMYFUNCTION("""COMPUTED_VALUE"""),18.32)</f>
        <v>18.32</v>
      </c>
      <c r="K1048" s="112">
        <f ca="1">IFERROR(__xludf.DUMMYFUNCTION("""COMPUTED_VALUE"""),42256.7055555555)</f>
        <v>42256.705555555498</v>
      </c>
      <c r="L1048" s="111">
        <f ca="1">IFERROR(__xludf.DUMMYFUNCTION("""COMPUTED_VALUE"""),0.08)</f>
        <v>0.08</v>
      </c>
      <c r="M1048" s="112">
        <f ca="1">IFERROR(__xludf.DUMMYFUNCTION("""COMPUTED_VALUE"""),41719.7055555555)</f>
        <v>41719.705555555498</v>
      </c>
      <c r="N1048" s="111">
        <f ca="1">IFERROR(__xludf.DUMMYFUNCTION("""COMPUTED_VALUE"""),12.18)</f>
        <v>12.18</v>
      </c>
      <c r="O1048" s="112">
        <f ca="1">IFERROR(__xludf.DUMMYFUNCTION("""COMPUTED_VALUE"""),41799.7055555555)</f>
        <v>41799.705555555498</v>
      </c>
      <c r="P1048" s="111">
        <f ca="1">IFERROR(__xludf.DUMMYFUNCTION("""COMPUTED_VALUE"""),29.63)</f>
        <v>29.63</v>
      </c>
      <c r="Q1048" s="112">
        <f ca="1">IFERROR(__xludf.DUMMYFUNCTION("""COMPUTED_VALUE"""),41795.7055555555)</f>
        <v>41795.705555555498</v>
      </c>
      <c r="R1048" s="111">
        <f ca="1">IFERROR(__xludf.DUMMYFUNCTION("""COMPUTED_VALUE"""),23.17)</f>
        <v>23.17</v>
      </c>
      <c r="S1048" s="112">
        <f ca="1">IFERROR(__xludf.DUMMYFUNCTION("""COMPUTED_VALUE"""),41810.7055555555)</f>
        <v>41810.705555555498</v>
      </c>
      <c r="T1048" s="111">
        <f ca="1">IFERROR(__xludf.DUMMYFUNCTION("""COMPUTED_VALUE"""),10.95)</f>
        <v>10.95</v>
      </c>
    </row>
    <row r="1049" spans="1:20" x14ac:dyDescent="0.3">
      <c r="A1049" s="112">
        <f ca="1">IFERROR(__xludf.DUMMYFUNCTION("""COMPUTED_VALUE"""),41807.7055555555)</f>
        <v>41807.705555555498</v>
      </c>
      <c r="B1049" s="111">
        <f ca="1">IFERROR(__xludf.DUMMYFUNCTION("""COMPUTED_VALUE"""),6.68)</f>
        <v>6.68</v>
      </c>
      <c r="C1049" s="112">
        <f ca="1">IFERROR(__xludf.DUMMYFUNCTION("""COMPUTED_VALUE"""),41815.7055555555)</f>
        <v>41815.705555555498</v>
      </c>
      <c r="D1049" s="111">
        <f ca="1">IFERROR(__xludf.DUMMYFUNCTION("""COMPUTED_VALUE"""),17.81)</f>
        <v>17.809999999999999</v>
      </c>
      <c r="E1049" s="112">
        <f ca="1">IFERROR(__xludf.DUMMYFUNCTION("""COMPUTED_VALUE"""),41816.7055555555)</f>
        <v>41816.705555555498</v>
      </c>
      <c r="F1049" s="111">
        <f ca="1">IFERROR(__xludf.DUMMYFUNCTION("""COMPUTED_VALUE"""),6.25)</f>
        <v>6.25</v>
      </c>
      <c r="G1049" s="112">
        <f ca="1">IFERROR(__xludf.DUMMYFUNCTION("""COMPUTED_VALUE"""),41808.7055555555)</f>
        <v>41808.705555555498</v>
      </c>
      <c r="H1049" s="111">
        <f ca="1">IFERROR(__xludf.DUMMYFUNCTION("""COMPUTED_VALUE"""),19)</f>
        <v>19</v>
      </c>
      <c r="K1049" s="112">
        <f ca="1">IFERROR(__xludf.DUMMYFUNCTION("""COMPUTED_VALUE"""),42257.7055555555)</f>
        <v>42257.705555555498</v>
      </c>
      <c r="L1049" s="111">
        <f ca="1">IFERROR(__xludf.DUMMYFUNCTION("""COMPUTED_VALUE"""),0.08)</f>
        <v>0.08</v>
      </c>
      <c r="M1049" s="112">
        <f ca="1">IFERROR(__xludf.DUMMYFUNCTION("""COMPUTED_VALUE"""),41722.7055555555)</f>
        <v>41722.705555555498</v>
      </c>
      <c r="N1049" s="111">
        <f ca="1">IFERROR(__xludf.DUMMYFUNCTION("""COMPUTED_VALUE"""),12.52)</f>
        <v>12.52</v>
      </c>
      <c r="O1049" s="112">
        <f ca="1">IFERROR(__xludf.DUMMYFUNCTION("""COMPUTED_VALUE"""),41800.7055555555)</f>
        <v>41800.705555555498</v>
      </c>
      <c r="P1049" s="111">
        <f ca="1">IFERROR(__xludf.DUMMYFUNCTION("""COMPUTED_VALUE"""),29.71)</f>
        <v>29.71</v>
      </c>
      <c r="Q1049" s="112">
        <f ca="1">IFERROR(__xludf.DUMMYFUNCTION("""COMPUTED_VALUE"""),41796.7055555555)</f>
        <v>41796.705555555498</v>
      </c>
      <c r="R1049" s="111">
        <f ca="1">IFERROR(__xludf.DUMMYFUNCTION("""COMPUTED_VALUE"""),24.4)</f>
        <v>24.4</v>
      </c>
      <c r="S1049" s="112">
        <f ca="1">IFERROR(__xludf.DUMMYFUNCTION("""COMPUTED_VALUE"""),41813.7055555555)</f>
        <v>41813.705555555498</v>
      </c>
      <c r="T1049" s="111">
        <f ca="1">IFERROR(__xludf.DUMMYFUNCTION("""COMPUTED_VALUE"""),10.9)</f>
        <v>10.9</v>
      </c>
    </row>
    <row r="1050" spans="1:20" x14ac:dyDescent="0.3">
      <c r="A1050" s="112">
        <f ca="1">IFERROR(__xludf.DUMMYFUNCTION("""COMPUTED_VALUE"""),41808.7055555555)</f>
        <v>41808.705555555498</v>
      </c>
      <c r="B1050" s="111">
        <f ca="1">IFERROR(__xludf.DUMMYFUNCTION("""COMPUTED_VALUE"""),6.89)</f>
        <v>6.89</v>
      </c>
      <c r="C1050" s="112">
        <f ca="1">IFERROR(__xludf.DUMMYFUNCTION("""COMPUTED_VALUE"""),41816.7055555555)</f>
        <v>41816.705555555498</v>
      </c>
      <c r="D1050" s="111">
        <f ca="1">IFERROR(__xludf.DUMMYFUNCTION("""COMPUTED_VALUE"""),17.75)</f>
        <v>17.75</v>
      </c>
      <c r="E1050" s="112">
        <f ca="1">IFERROR(__xludf.DUMMYFUNCTION("""COMPUTED_VALUE"""),41817.7055555555)</f>
        <v>41817.705555555498</v>
      </c>
      <c r="F1050" s="111">
        <f ca="1">IFERROR(__xludf.DUMMYFUNCTION("""COMPUTED_VALUE"""),6.23)</f>
        <v>6.23</v>
      </c>
      <c r="G1050" s="112">
        <f ca="1">IFERROR(__xludf.DUMMYFUNCTION("""COMPUTED_VALUE"""),41810.7055555555)</f>
        <v>41810.705555555498</v>
      </c>
      <c r="H1050" s="111">
        <f ca="1">IFERROR(__xludf.DUMMYFUNCTION("""COMPUTED_VALUE"""),18.7)</f>
        <v>18.7</v>
      </c>
      <c r="K1050" s="112">
        <f ca="1">IFERROR(__xludf.DUMMYFUNCTION("""COMPUTED_VALUE"""),42258.7055555555)</f>
        <v>42258.705555555498</v>
      </c>
      <c r="L1050" s="111">
        <f ca="1">IFERROR(__xludf.DUMMYFUNCTION("""COMPUTED_VALUE"""),0.07)</f>
        <v>7.0000000000000007E-2</v>
      </c>
      <c r="M1050" s="112">
        <f ca="1">IFERROR(__xludf.DUMMYFUNCTION("""COMPUTED_VALUE"""),41723.7055555555)</f>
        <v>41723.705555555498</v>
      </c>
      <c r="N1050" s="111">
        <f ca="1">IFERROR(__xludf.DUMMYFUNCTION("""COMPUTED_VALUE"""),12.45)</f>
        <v>12.45</v>
      </c>
      <c r="O1050" s="112">
        <f ca="1">IFERROR(__xludf.DUMMYFUNCTION("""COMPUTED_VALUE"""),41801.7055555555)</f>
        <v>41801.705555555498</v>
      </c>
      <c r="P1050" s="111">
        <f ca="1">IFERROR(__xludf.DUMMYFUNCTION("""COMPUTED_VALUE"""),29.64)</f>
        <v>29.64</v>
      </c>
      <c r="Q1050" s="112">
        <f ca="1">IFERROR(__xludf.DUMMYFUNCTION("""COMPUTED_VALUE"""),41799.7055555555)</f>
        <v>41799.705555555498</v>
      </c>
      <c r="R1050" s="111">
        <f ca="1">IFERROR(__xludf.DUMMYFUNCTION("""COMPUTED_VALUE"""),25.11)</f>
        <v>25.11</v>
      </c>
      <c r="S1050" s="112">
        <f ca="1">IFERROR(__xludf.DUMMYFUNCTION("""COMPUTED_VALUE"""),41814.7055555555)</f>
        <v>41814.705555555498</v>
      </c>
      <c r="T1050" s="111">
        <f ca="1">IFERROR(__xludf.DUMMYFUNCTION("""COMPUTED_VALUE"""),11.04)</f>
        <v>11.04</v>
      </c>
    </row>
    <row r="1051" spans="1:20" x14ac:dyDescent="0.3">
      <c r="A1051" s="112">
        <f ca="1">IFERROR(__xludf.DUMMYFUNCTION("""COMPUTED_VALUE"""),41810.7055555555)</f>
        <v>41810.705555555498</v>
      </c>
      <c r="B1051" s="111">
        <f ca="1">IFERROR(__xludf.DUMMYFUNCTION("""COMPUTED_VALUE"""),6.51)</f>
        <v>6.51</v>
      </c>
      <c r="C1051" s="112">
        <f ca="1">IFERROR(__xludf.DUMMYFUNCTION("""COMPUTED_VALUE"""),41817.7055555555)</f>
        <v>41817.705555555498</v>
      </c>
      <c r="D1051" s="111">
        <f ca="1">IFERROR(__xludf.DUMMYFUNCTION("""COMPUTED_VALUE"""),17.69)</f>
        <v>17.690000000000001</v>
      </c>
      <c r="E1051" s="112">
        <f ca="1">IFERROR(__xludf.DUMMYFUNCTION("""COMPUTED_VALUE"""),41820.7055555555)</f>
        <v>41820.705555555498</v>
      </c>
      <c r="F1051" s="111">
        <f ca="1">IFERROR(__xludf.DUMMYFUNCTION("""COMPUTED_VALUE"""),6.22)</f>
        <v>6.22</v>
      </c>
      <c r="G1051" s="112">
        <f ca="1">IFERROR(__xludf.DUMMYFUNCTION("""COMPUTED_VALUE"""),41813.7055555555)</f>
        <v>41813.705555555498</v>
      </c>
      <c r="H1051" s="111">
        <f ca="1">IFERROR(__xludf.DUMMYFUNCTION("""COMPUTED_VALUE"""),18.3)</f>
        <v>18.3</v>
      </c>
      <c r="K1051" s="112">
        <f ca="1">IFERROR(__xludf.DUMMYFUNCTION("""COMPUTED_VALUE"""),42261.7055555555)</f>
        <v>42261.705555555498</v>
      </c>
      <c r="L1051" s="111">
        <f ca="1">IFERROR(__xludf.DUMMYFUNCTION("""COMPUTED_VALUE"""),0.07)</f>
        <v>7.0000000000000007E-2</v>
      </c>
      <c r="M1051" s="112">
        <f ca="1">IFERROR(__xludf.DUMMYFUNCTION("""COMPUTED_VALUE"""),41724.7055555555)</f>
        <v>41724.705555555498</v>
      </c>
      <c r="N1051" s="111">
        <f ca="1">IFERROR(__xludf.DUMMYFUNCTION("""COMPUTED_VALUE"""),12.73)</f>
        <v>12.73</v>
      </c>
      <c r="O1051" s="112">
        <f ca="1">IFERROR(__xludf.DUMMYFUNCTION("""COMPUTED_VALUE"""),41803.7055555555)</f>
        <v>41803.705555555498</v>
      </c>
      <c r="P1051" s="111">
        <f ca="1">IFERROR(__xludf.DUMMYFUNCTION("""COMPUTED_VALUE"""),28.6)</f>
        <v>28.6</v>
      </c>
      <c r="Q1051" s="112">
        <f ca="1">IFERROR(__xludf.DUMMYFUNCTION("""COMPUTED_VALUE"""),41800.7055555555)</f>
        <v>41800.705555555498</v>
      </c>
      <c r="R1051" s="111">
        <f ca="1">IFERROR(__xludf.DUMMYFUNCTION("""COMPUTED_VALUE"""),26.08)</f>
        <v>26.08</v>
      </c>
      <c r="S1051" s="112">
        <f ca="1">IFERROR(__xludf.DUMMYFUNCTION("""COMPUTED_VALUE"""),41815.7055555555)</f>
        <v>41815.705555555498</v>
      </c>
      <c r="T1051" s="111">
        <f ca="1">IFERROR(__xludf.DUMMYFUNCTION("""COMPUTED_VALUE"""),10.97)</f>
        <v>10.97</v>
      </c>
    </row>
    <row r="1052" spans="1:20" x14ac:dyDescent="0.3">
      <c r="A1052" s="112">
        <f ca="1">IFERROR(__xludf.DUMMYFUNCTION("""COMPUTED_VALUE"""),41813.7055555555)</f>
        <v>41813.705555555498</v>
      </c>
      <c r="B1052" s="111">
        <f ca="1">IFERROR(__xludf.DUMMYFUNCTION("""COMPUTED_VALUE"""),6.48)</f>
        <v>6.48</v>
      </c>
      <c r="C1052" s="112">
        <f ca="1">IFERROR(__xludf.DUMMYFUNCTION("""COMPUTED_VALUE"""),41820.7055555555)</f>
        <v>41820.705555555498</v>
      </c>
      <c r="D1052" s="111">
        <f ca="1">IFERROR(__xludf.DUMMYFUNCTION("""COMPUTED_VALUE"""),17.6)</f>
        <v>17.600000000000001</v>
      </c>
      <c r="E1052" s="112">
        <f ca="1">IFERROR(__xludf.DUMMYFUNCTION("""COMPUTED_VALUE"""),41821.7055555555)</f>
        <v>41821.705555555498</v>
      </c>
      <c r="F1052" s="111">
        <f ca="1">IFERROR(__xludf.DUMMYFUNCTION("""COMPUTED_VALUE"""),6.23)</f>
        <v>6.23</v>
      </c>
      <c r="G1052" s="112">
        <f ca="1">IFERROR(__xludf.DUMMYFUNCTION("""COMPUTED_VALUE"""),41814.7055555555)</f>
        <v>41814.705555555498</v>
      </c>
      <c r="H1052" s="111">
        <f ca="1">IFERROR(__xludf.DUMMYFUNCTION("""COMPUTED_VALUE"""),17.64)</f>
        <v>17.64</v>
      </c>
      <c r="K1052" s="112">
        <f ca="1">IFERROR(__xludf.DUMMYFUNCTION("""COMPUTED_VALUE"""),42262.7055555555)</f>
        <v>42262.705555555498</v>
      </c>
      <c r="L1052" s="111">
        <f ca="1">IFERROR(__xludf.DUMMYFUNCTION("""COMPUTED_VALUE"""),0.07)</f>
        <v>7.0000000000000007E-2</v>
      </c>
      <c r="M1052" s="112">
        <f ca="1">IFERROR(__xludf.DUMMYFUNCTION("""COMPUTED_VALUE"""),41725.7055555555)</f>
        <v>41725.705555555498</v>
      </c>
      <c r="N1052" s="111">
        <f ca="1">IFERROR(__xludf.DUMMYFUNCTION("""COMPUTED_VALUE"""),13.21)</f>
        <v>13.21</v>
      </c>
      <c r="O1052" s="112">
        <f ca="1">IFERROR(__xludf.DUMMYFUNCTION("""COMPUTED_VALUE"""),41806.7055555555)</f>
        <v>41806.705555555498</v>
      </c>
      <c r="P1052" s="111">
        <f ca="1">IFERROR(__xludf.DUMMYFUNCTION("""COMPUTED_VALUE"""),28.42)</f>
        <v>28.42</v>
      </c>
      <c r="Q1052" s="112">
        <f ca="1">IFERROR(__xludf.DUMMYFUNCTION("""COMPUTED_VALUE"""),41801.7055555555)</f>
        <v>41801.705555555498</v>
      </c>
      <c r="R1052" s="111">
        <f ca="1">IFERROR(__xludf.DUMMYFUNCTION("""COMPUTED_VALUE"""),26.07)</f>
        <v>26.07</v>
      </c>
      <c r="S1052" s="112">
        <f ca="1">IFERROR(__xludf.DUMMYFUNCTION("""COMPUTED_VALUE"""),41816.7055555555)</f>
        <v>41816.705555555498</v>
      </c>
      <c r="T1052" s="111">
        <f ca="1">IFERROR(__xludf.DUMMYFUNCTION("""COMPUTED_VALUE"""),10.94)</f>
        <v>10.94</v>
      </c>
    </row>
    <row r="1053" spans="1:20" x14ac:dyDescent="0.3">
      <c r="A1053" s="112">
        <f ca="1">IFERROR(__xludf.DUMMYFUNCTION("""COMPUTED_VALUE"""),41814.7055555555)</f>
        <v>41814.705555555498</v>
      </c>
      <c r="B1053" s="111">
        <f ca="1">IFERROR(__xludf.DUMMYFUNCTION("""COMPUTED_VALUE"""),6.45)</f>
        <v>6.45</v>
      </c>
      <c r="C1053" s="112">
        <f ca="1">IFERROR(__xludf.DUMMYFUNCTION("""COMPUTED_VALUE"""),41821.7055555555)</f>
        <v>41821.705555555498</v>
      </c>
      <c r="D1053" s="111">
        <f ca="1">IFERROR(__xludf.DUMMYFUNCTION("""COMPUTED_VALUE"""),17.67)</f>
        <v>17.670000000000002</v>
      </c>
      <c r="E1053" s="112">
        <f ca="1">IFERROR(__xludf.DUMMYFUNCTION("""COMPUTED_VALUE"""),41822.7055555555)</f>
        <v>41822.705555555498</v>
      </c>
      <c r="F1053" s="111">
        <f ca="1">IFERROR(__xludf.DUMMYFUNCTION("""COMPUTED_VALUE"""),6.14)</f>
        <v>6.14</v>
      </c>
      <c r="G1053" s="112">
        <f ca="1">IFERROR(__xludf.DUMMYFUNCTION("""COMPUTED_VALUE"""),41815.7055555555)</f>
        <v>41815.705555555498</v>
      </c>
      <c r="H1053" s="111">
        <f ca="1">IFERROR(__xludf.DUMMYFUNCTION("""COMPUTED_VALUE"""),17.29)</f>
        <v>17.29</v>
      </c>
      <c r="K1053" s="112">
        <f ca="1">IFERROR(__xludf.DUMMYFUNCTION("""COMPUTED_VALUE"""),42263.7055555555)</f>
        <v>42263.705555555498</v>
      </c>
      <c r="L1053" s="111">
        <f ca="1">IFERROR(__xludf.DUMMYFUNCTION("""COMPUTED_VALUE"""),0.07)</f>
        <v>7.0000000000000007E-2</v>
      </c>
      <c r="M1053" s="112">
        <f ca="1">IFERROR(__xludf.DUMMYFUNCTION("""COMPUTED_VALUE"""),41726.7055555555)</f>
        <v>41726.705555555498</v>
      </c>
      <c r="N1053" s="111">
        <f ca="1">IFERROR(__xludf.DUMMYFUNCTION("""COMPUTED_VALUE"""),13.24)</f>
        <v>13.24</v>
      </c>
      <c r="O1053" s="112">
        <f ca="1">IFERROR(__xludf.DUMMYFUNCTION("""COMPUTED_VALUE"""),41807.7055555555)</f>
        <v>41807.705555555498</v>
      </c>
      <c r="P1053" s="111">
        <f ca="1">IFERROR(__xludf.DUMMYFUNCTION("""COMPUTED_VALUE"""),28.45)</f>
        <v>28.45</v>
      </c>
      <c r="Q1053" s="112">
        <f ca="1">IFERROR(__xludf.DUMMYFUNCTION("""COMPUTED_VALUE"""),41803.7055555555)</f>
        <v>41803.705555555498</v>
      </c>
      <c r="R1053" s="111">
        <f ca="1">IFERROR(__xludf.DUMMYFUNCTION("""COMPUTED_VALUE"""),26.36)</f>
        <v>26.36</v>
      </c>
      <c r="S1053" s="112">
        <f ca="1">IFERROR(__xludf.DUMMYFUNCTION("""COMPUTED_VALUE"""),41817.7055555555)</f>
        <v>41817.705555555498</v>
      </c>
      <c r="T1053" s="111">
        <f ca="1">IFERROR(__xludf.DUMMYFUNCTION("""COMPUTED_VALUE"""),10.73)</f>
        <v>10.73</v>
      </c>
    </row>
    <row r="1054" spans="1:20" x14ac:dyDescent="0.3">
      <c r="A1054" s="112">
        <f ca="1">IFERROR(__xludf.DUMMYFUNCTION("""COMPUTED_VALUE"""),41815.7055555555)</f>
        <v>41815.705555555498</v>
      </c>
      <c r="B1054" s="111">
        <f ca="1">IFERROR(__xludf.DUMMYFUNCTION("""COMPUTED_VALUE"""),6.44)</f>
        <v>6.44</v>
      </c>
      <c r="C1054" s="112">
        <f ca="1">IFERROR(__xludf.DUMMYFUNCTION("""COMPUTED_VALUE"""),41822.7055555555)</f>
        <v>41822.705555555498</v>
      </c>
      <c r="D1054" s="111">
        <f ca="1">IFERROR(__xludf.DUMMYFUNCTION("""COMPUTED_VALUE"""),17.39)</f>
        <v>17.39</v>
      </c>
      <c r="E1054" s="112">
        <f ca="1">IFERROR(__xludf.DUMMYFUNCTION("""COMPUTED_VALUE"""),41823.7055555555)</f>
        <v>41823.705555555498</v>
      </c>
      <c r="F1054" s="111">
        <f ca="1">IFERROR(__xludf.DUMMYFUNCTION("""COMPUTED_VALUE"""),6.21)</f>
        <v>6.21</v>
      </c>
      <c r="G1054" s="112">
        <f ca="1">IFERROR(__xludf.DUMMYFUNCTION("""COMPUTED_VALUE"""),41816.7055555555)</f>
        <v>41816.705555555498</v>
      </c>
      <c r="H1054" s="111">
        <f ca="1">IFERROR(__xludf.DUMMYFUNCTION("""COMPUTED_VALUE"""),17.32)</f>
        <v>17.32</v>
      </c>
      <c r="K1054" s="112">
        <f ca="1">IFERROR(__xludf.DUMMYFUNCTION("""COMPUTED_VALUE"""),42264.7055555555)</f>
        <v>42264.705555555498</v>
      </c>
      <c r="L1054" s="111">
        <f ca="1">IFERROR(__xludf.DUMMYFUNCTION("""COMPUTED_VALUE"""),0.07)</f>
        <v>7.0000000000000007E-2</v>
      </c>
      <c r="M1054" s="112">
        <f ca="1">IFERROR(__xludf.DUMMYFUNCTION("""COMPUTED_VALUE"""),41729.7055555555)</f>
        <v>41729.705555555498</v>
      </c>
      <c r="N1054" s="111">
        <f ca="1">IFERROR(__xludf.DUMMYFUNCTION("""COMPUTED_VALUE"""),13.45)</f>
        <v>13.45</v>
      </c>
      <c r="O1054" s="112">
        <f ca="1">IFERROR(__xludf.DUMMYFUNCTION("""COMPUTED_VALUE"""),41808.7055555555)</f>
        <v>41808.705555555498</v>
      </c>
      <c r="P1054" s="111">
        <f ca="1">IFERROR(__xludf.DUMMYFUNCTION("""COMPUTED_VALUE"""),28.85)</f>
        <v>28.85</v>
      </c>
      <c r="Q1054" s="112">
        <f ca="1">IFERROR(__xludf.DUMMYFUNCTION("""COMPUTED_VALUE"""),41806.7055555555)</f>
        <v>41806.705555555498</v>
      </c>
      <c r="R1054" s="111">
        <f ca="1">IFERROR(__xludf.DUMMYFUNCTION("""COMPUTED_VALUE"""),26.58)</f>
        <v>26.58</v>
      </c>
      <c r="S1054" s="112">
        <f ca="1">IFERROR(__xludf.DUMMYFUNCTION("""COMPUTED_VALUE"""),41820.7055555555)</f>
        <v>41820.705555555498</v>
      </c>
      <c r="T1054" s="111">
        <f ca="1">IFERROR(__xludf.DUMMYFUNCTION("""COMPUTED_VALUE"""),10.64)</f>
        <v>10.64</v>
      </c>
    </row>
    <row r="1055" spans="1:20" x14ac:dyDescent="0.3">
      <c r="A1055" s="112">
        <f ca="1">IFERROR(__xludf.DUMMYFUNCTION("""COMPUTED_VALUE"""),41816.7055555555)</f>
        <v>41816.705555555498</v>
      </c>
      <c r="B1055" s="111">
        <f ca="1">IFERROR(__xludf.DUMMYFUNCTION("""COMPUTED_VALUE"""),6.44)</f>
        <v>6.44</v>
      </c>
      <c r="C1055" s="112">
        <f ca="1">IFERROR(__xludf.DUMMYFUNCTION("""COMPUTED_VALUE"""),41823.7055555555)</f>
        <v>41823.705555555498</v>
      </c>
      <c r="D1055" s="111">
        <f ca="1">IFERROR(__xludf.DUMMYFUNCTION("""COMPUTED_VALUE"""),17.52)</f>
        <v>17.52</v>
      </c>
      <c r="E1055" s="112">
        <f ca="1">IFERROR(__xludf.DUMMYFUNCTION("""COMPUTED_VALUE"""),41824.7055555555)</f>
        <v>41824.705555555498</v>
      </c>
      <c r="F1055" s="111">
        <f ca="1">IFERROR(__xludf.DUMMYFUNCTION("""COMPUTED_VALUE"""),6.16)</f>
        <v>6.16</v>
      </c>
      <c r="G1055" s="112">
        <f ca="1">IFERROR(__xludf.DUMMYFUNCTION("""COMPUTED_VALUE"""),41817.7055555555)</f>
        <v>41817.705555555498</v>
      </c>
      <c r="H1055" s="111">
        <f ca="1">IFERROR(__xludf.DUMMYFUNCTION("""COMPUTED_VALUE"""),17.2)</f>
        <v>17.2</v>
      </c>
      <c r="K1055" s="112">
        <f ca="1">IFERROR(__xludf.DUMMYFUNCTION("""COMPUTED_VALUE"""),42265.7055555555)</f>
        <v>42265.705555555498</v>
      </c>
      <c r="L1055" s="111">
        <f ca="1">IFERROR(__xludf.DUMMYFUNCTION("""COMPUTED_VALUE"""),0.06)</f>
        <v>0.06</v>
      </c>
      <c r="M1055" s="112">
        <f ca="1">IFERROR(__xludf.DUMMYFUNCTION("""COMPUTED_VALUE"""),41730.7055555555)</f>
        <v>41730.705555555498</v>
      </c>
      <c r="N1055" s="111">
        <f ca="1">IFERROR(__xludf.DUMMYFUNCTION("""COMPUTED_VALUE"""),13.6)</f>
        <v>13.6</v>
      </c>
      <c r="O1055" s="112">
        <f ca="1">IFERROR(__xludf.DUMMYFUNCTION("""COMPUTED_VALUE"""),41810.7055555555)</f>
        <v>41810.705555555498</v>
      </c>
      <c r="P1055" s="111">
        <f ca="1">IFERROR(__xludf.DUMMYFUNCTION("""COMPUTED_VALUE"""),28.77)</f>
        <v>28.77</v>
      </c>
      <c r="Q1055" s="112">
        <f ca="1">IFERROR(__xludf.DUMMYFUNCTION("""COMPUTED_VALUE"""),41807.7055555555)</f>
        <v>41807.705555555498</v>
      </c>
      <c r="R1055" s="111">
        <f ca="1">IFERROR(__xludf.DUMMYFUNCTION("""COMPUTED_VALUE"""),26.14)</f>
        <v>26.14</v>
      </c>
      <c r="S1055" s="112">
        <f ca="1">IFERROR(__xludf.DUMMYFUNCTION("""COMPUTED_VALUE"""),41821.7055555555)</f>
        <v>41821.705555555498</v>
      </c>
      <c r="T1055" s="111">
        <f ca="1">IFERROR(__xludf.DUMMYFUNCTION("""COMPUTED_VALUE"""),10.63)</f>
        <v>10.63</v>
      </c>
    </row>
    <row r="1056" spans="1:20" x14ac:dyDescent="0.3">
      <c r="A1056" s="112">
        <f ca="1">IFERROR(__xludf.DUMMYFUNCTION("""COMPUTED_VALUE"""),41817.7055555555)</f>
        <v>41817.705555555498</v>
      </c>
      <c r="B1056" s="111">
        <f ca="1">IFERROR(__xludf.DUMMYFUNCTION("""COMPUTED_VALUE"""),6.37)</f>
        <v>6.37</v>
      </c>
      <c r="C1056" s="112">
        <f ca="1">IFERROR(__xludf.DUMMYFUNCTION("""COMPUTED_VALUE"""),41824.7055555555)</f>
        <v>41824.705555555498</v>
      </c>
      <c r="D1056" s="111">
        <f ca="1">IFERROR(__xludf.DUMMYFUNCTION("""COMPUTED_VALUE"""),17.5)</f>
        <v>17.5</v>
      </c>
      <c r="E1056" s="112">
        <f ca="1">IFERROR(__xludf.DUMMYFUNCTION("""COMPUTED_VALUE"""),41827.7055555555)</f>
        <v>41827.705555555498</v>
      </c>
      <c r="F1056" s="111">
        <f ca="1">IFERROR(__xludf.DUMMYFUNCTION("""COMPUTED_VALUE"""),6.22)</f>
        <v>6.22</v>
      </c>
      <c r="G1056" s="112">
        <f ca="1">IFERROR(__xludf.DUMMYFUNCTION("""COMPUTED_VALUE"""),41820.7055555555)</f>
        <v>41820.705555555498</v>
      </c>
      <c r="H1056" s="111">
        <f ca="1">IFERROR(__xludf.DUMMYFUNCTION("""COMPUTED_VALUE"""),17.29)</f>
        <v>17.29</v>
      </c>
      <c r="K1056" s="112">
        <f ca="1">IFERROR(__xludf.DUMMYFUNCTION("""COMPUTED_VALUE"""),42268.7055555555)</f>
        <v>42268.705555555498</v>
      </c>
      <c r="L1056" s="111">
        <f ca="1">IFERROR(__xludf.DUMMYFUNCTION("""COMPUTED_VALUE"""),0.06)</f>
        <v>0.06</v>
      </c>
      <c r="M1056" s="112">
        <f ca="1">IFERROR(__xludf.DUMMYFUNCTION("""COMPUTED_VALUE"""),41731.7055555555)</f>
        <v>41731.705555555498</v>
      </c>
      <c r="N1056" s="111">
        <f ca="1">IFERROR(__xludf.DUMMYFUNCTION("""COMPUTED_VALUE"""),13.93)</f>
        <v>13.93</v>
      </c>
      <c r="O1056" s="112">
        <f ca="1">IFERROR(__xludf.DUMMYFUNCTION("""COMPUTED_VALUE"""),41813.7055555555)</f>
        <v>41813.705555555498</v>
      </c>
      <c r="P1056" s="111">
        <f ca="1">IFERROR(__xludf.DUMMYFUNCTION("""COMPUTED_VALUE"""),29.11)</f>
        <v>29.11</v>
      </c>
      <c r="Q1056" s="112">
        <f ca="1">IFERROR(__xludf.DUMMYFUNCTION("""COMPUTED_VALUE"""),41808.7055555555)</f>
        <v>41808.705555555498</v>
      </c>
      <c r="R1056" s="111">
        <f ca="1">IFERROR(__xludf.DUMMYFUNCTION("""COMPUTED_VALUE"""),25.87)</f>
        <v>25.87</v>
      </c>
      <c r="S1056" s="112">
        <f ca="1">IFERROR(__xludf.DUMMYFUNCTION("""COMPUTED_VALUE"""),41822.7055555555)</f>
        <v>41822.705555555498</v>
      </c>
      <c r="T1056" s="111">
        <f ca="1">IFERROR(__xludf.DUMMYFUNCTION("""COMPUTED_VALUE"""),10.42)</f>
        <v>10.42</v>
      </c>
    </row>
    <row r="1057" spans="1:20" x14ac:dyDescent="0.3">
      <c r="A1057" s="112">
        <f ca="1">IFERROR(__xludf.DUMMYFUNCTION("""COMPUTED_VALUE"""),41820.7055555555)</f>
        <v>41820.705555555498</v>
      </c>
      <c r="B1057" s="111">
        <f ca="1">IFERROR(__xludf.DUMMYFUNCTION("""COMPUTED_VALUE"""),6.32)</f>
        <v>6.32</v>
      </c>
      <c r="C1057" s="112">
        <f ca="1">IFERROR(__xludf.DUMMYFUNCTION("""COMPUTED_VALUE"""),41827.7055555555)</f>
        <v>41827.705555555498</v>
      </c>
      <c r="D1057" s="111">
        <f ca="1">IFERROR(__xludf.DUMMYFUNCTION("""COMPUTED_VALUE"""),17.52)</f>
        <v>17.52</v>
      </c>
      <c r="E1057" s="112">
        <f ca="1">IFERROR(__xludf.DUMMYFUNCTION("""COMPUTED_VALUE"""),41828.7055555555)</f>
        <v>41828.705555555498</v>
      </c>
      <c r="F1057" s="111">
        <f ca="1">IFERROR(__xludf.DUMMYFUNCTION("""COMPUTED_VALUE"""),6.18)</f>
        <v>6.18</v>
      </c>
      <c r="G1057" s="112">
        <f ca="1">IFERROR(__xludf.DUMMYFUNCTION("""COMPUTED_VALUE"""),41821.7055555555)</f>
        <v>41821.705555555498</v>
      </c>
      <c r="H1057" s="111">
        <f ca="1">IFERROR(__xludf.DUMMYFUNCTION("""COMPUTED_VALUE"""),17.19)</f>
        <v>17.190000000000001</v>
      </c>
      <c r="K1057" s="112">
        <f ca="1">IFERROR(__xludf.DUMMYFUNCTION("""COMPUTED_VALUE"""),42269.7055555555)</f>
        <v>42269.705555555498</v>
      </c>
      <c r="L1057" s="111">
        <f ca="1">IFERROR(__xludf.DUMMYFUNCTION("""COMPUTED_VALUE"""),0.06)</f>
        <v>0.06</v>
      </c>
      <c r="M1057" s="112">
        <f ca="1">IFERROR(__xludf.DUMMYFUNCTION("""COMPUTED_VALUE"""),41732.7055555555)</f>
        <v>41732.705555555498</v>
      </c>
      <c r="N1057" s="111">
        <f ca="1">IFERROR(__xludf.DUMMYFUNCTION("""COMPUTED_VALUE"""),13.85)</f>
        <v>13.85</v>
      </c>
      <c r="O1057" s="112">
        <f ca="1">IFERROR(__xludf.DUMMYFUNCTION("""COMPUTED_VALUE"""),41814.7055555555)</f>
        <v>41814.705555555498</v>
      </c>
      <c r="P1057" s="111">
        <f ca="1">IFERROR(__xludf.DUMMYFUNCTION("""COMPUTED_VALUE"""),28.71)</f>
        <v>28.71</v>
      </c>
      <c r="Q1057" s="112">
        <f ca="1">IFERROR(__xludf.DUMMYFUNCTION("""COMPUTED_VALUE"""),41810.7055555555)</f>
        <v>41810.705555555498</v>
      </c>
      <c r="R1057" s="111">
        <f ca="1">IFERROR(__xludf.DUMMYFUNCTION("""COMPUTED_VALUE"""),25.62)</f>
        <v>25.62</v>
      </c>
      <c r="S1057" s="112">
        <f ca="1">IFERROR(__xludf.DUMMYFUNCTION("""COMPUTED_VALUE"""),41823.7055555555)</f>
        <v>41823.705555555498</v>
      </c>
      <c r="T1057" s="111">
        <f ca="1">IFERROR(__xludf.DUMMYFUNCTION("""COMPUTED_VALUE"""),10.58)</f>
        <v>10.58</v>
      </c>
    </row>
    <row r="1058" spans="1:20" x14ac:dyDescent="0.3">
      <c r="A1058" s="112">
        <f ca="1">IFERROR(__xludf.DUMMYFUNCTION("""COMPUTED_VALUE"""),41821.7055555555)</f>
        <v>41821.705555555498</v>
      </c>
      <c r="B1058" s="111">
        <f ca="1">IFERROR(__xludf.DUMMYFUNCTION("""COMPUTED_VALUE"""),6.08)</f>
        <v>6.08</v>
      </c>
      <c r="C1058" s="112">
        <f ca="1">IFERROR(__xludf.DUMMYFUNCTION("""COMPUTED_VALUE"""),41828.7055555555)</f>
        <v>41828.705555555498</v>
      </c>
      <c r="D1058" s="111">
        <f ca="1">IFERROR(__xludf.DUMMYFUNCTION("""COMPUTED_VALUE"""),17.48)</f>
        <v>17.48</v>
      </c>
      <c r="E1058" s="112">
        <f ca="1">IFERROR(__xludf.DUMMYFUNCTION("""COMPUTED_VALUE"""),41830.7055555555)</f>
        <v>41830.705555555498</v>
      </c>
      <c r="F1058" s="111">
        <f ca="1">IFERROR(__xludf.DUMMYFUNCTION("""COMPUTED_VALUE"""),6.4)</f>
        <v>6.4</v>
      </c>
      <c r="G1058" s="112">
        <f ca="1">IFERROR(__xludf.DUMMYFUNCTION("""COMPUTED_VALUE"""),41822.7055555555)</f>
        <v>41822.705555555498</v>
      </c>
      <c r="H1058" s="111">
        <f ca="1">IFERROR(__xludf.DUMMYFUNCTION("""COMPUTED_VALUE"""),17.12)</f>
        <v>17.12</v>
      </c>
      <c r="K1058" s="112">
        <f ca="1">IFERROR(__xludf.DUMMYFUNCTION("""COMPUTED_VALUE"""),42270.7055555555)</f>
        <v>42270.705555555498</v>
      </c>
      <c r="L1058" s="111">
        <f ca="1">IFERROR(__xludf.DUMMYFUNCTION("""COMPUTED_VALUE"""),0.06)</f>
        <v>0.06</v>
      </c>
      <c r="M1058" s="112">
        <f ca="1">IFERROR(__xludf.DUMMYFUNCTION("""COMPUTED_VALUE"""),41733.7055555555)</f>
        <v>41733.705555555498</v>
      </c>
      <c r="N1058" s="111">
        <f ca="1">IFERROR(__xludf.DUMMYFUNCTION("""COMPUTED_VALUE"""),13.69)</f>
        <v>13.69</v>
      </c>
      <c r="O1058" s="112">
        <f ca="1">IFERROR(__xludf.DUMMYFUNCTION("""COMPUTED_VALUE"""),41815.7055555555)</f>
        <v>41815.705555555498</v>
      </c>
      <c r="P1058" s="111">
        <f ca="1">IFERROR(__xludf.DUMMYFUNCTION("""COMPUTED_VALUE"""),28.66)</f>
        <v>28.66</v>
      </c>
      <c r="Q1058" s="112">
        <f ca="1">IFERROR(__xludf.DUMMYFUNCTION("""COMPUTED_VALUE"""),41813.7055555555)</f>
        <v>41813.705555555498</v>
      </c>
      <c r="R1058" s="111">
        <f ca="1">IFERROR(__xludf.DUMMYFUNCTION("""COMPUTED_VALUE"""),25.41)</f>
        <v>25.41</v>
      </c>
      <c r="S1058" s="112">
        <f ca="1">IFERROR(__xludf.DUMMYFUNCTION("""COMPUTED_VALUE"""),41824.7055555555)</f>
        <v>41824.705555555498</v>
      </c>
      <c r="T1058" s="111">
        <f ca="1">IFERROR(__xludf.DUMMYFUNCTION("""COMPUTED_VALUE"""),10.68)</f>
        <v>10.68</v>
      </c>
    </row>
    <row r="1059" spans="1:20" x14ac:dyDescent="0.3">
      <c r="A1059" s="112">
        <f ca="1">IFERROR(__xludf.DUMMYFUNCTION("""COMPUTED_VALUE"""),41822.7055555555)</f>
        <v>41822.705555555498</v>
      </c>
      <c r="B1059" s="111">
        <f ca="1">IFERROR(__xludf.DUMMYFUNCTION("""COMPUTED_VALUE"""),6.13)</f>
        <v>6.13</v>
      </c>
      <c r="C1059" s="112">
        <f ca="1">IFERROR(__xludf.DUMMYFUNCTION("""COMPUTED_VALUE"""),41830.7055555555)</f>
        <v>41830.705555555498</v>
      </c>
      <c r="D1059" s="111">
        <f ca="1">IFERROR(__xludf.DUMMYFUNCTION("""COMPUTED_VALUE"""),18.29)</f>
        <v>18.29</v>
      </c>
      <c r="E1059" s="112">
        <f ca="1">IFERROR(__xludf.DUMMYFUNCTION("""COMPUTED_VALUE"""),41831.7055555555)</f>
        <v>41831.705555555498</v>
      </c>
      <c r="F1059" s="111">
        <f ca="1">IFERROR(__xludf.DUMMYFUNCTION("""COMPUTED_VALUE"""),6.39)</f>
        <v>6.39</v>
      </c>
      <c r="G1059" s="112">
        <f ca="1">IFERROR(__xludf.DUMMYFUNCTION("""COMPUTED_VALUE"""),41823.7055555555)</f>
        <v>41823.705555555498</v>
      </c>
      <c r="H1059" s="111">
        <f ca="1">IFERROR(__xludf.DUMMYFUNCTION("""COMPUTED_VALUE"""),17.52)</f>
        <v>17.52</v>
      </c>
      <c r="K1059" s="112">
        <f ca="1">IFERROR(__xludf.DUMMYFUNCTION("""COMPUTED_VALUE"""),42271.7055555555)</f>
        <v>42271.705555555498</v>
      </c>
      <c r="L1059" s="111">
        <f ca="1">IFERROR(__xludf.DUMMYFUNCTION("""COMPUTED_VALUE"""),0.06)</f>
        <v>0.06</v>
      </c>
      <c r="M1059" s="112">
        <f ca="1">IFERROR(__xludf.DUMMYFUNCTION("""COMPUTED_VALUE"""),41736.7055555555)</f>
        <v>41736.705555555498</v>
      </c>
      <c r="N1059" s="111">
        <f ca="1">IFERROR(__xludf.DUMMYFUNCTION("""COMPUTED_VALUE"""),14.25)</f>
        <v>14.25</v>
      </c>
      <c r="O1059" s="112">
        <f ca="1">IFERROR(__xludf.DUMMYFUNCTION("""COMPUTED_VALUE"""),41816.7055555555)</f>
        <v>41816.705555555498</v>
      </c>
      <c r="P1059" s="111">
        <f ca="1">IFERROR(__xludf.DUMMYFUNCTION("""COMPUTED_VALUE"""),29.34)</f>
        <v>29.34</v>
      </c>
      <c r="Q1059" s="112">
        <f ca="1">IFERROR(__xludf.DUMMYFUNCTION("""COMPUTED_VALUE"""),41814.7055555555)</f>
        <v>41814.705555555498</v>
      </c>
      <c r="R1059" s="111">
        <f ca="1">IFERROR(__xludf.DUMMYFUNCTION("""COMPUTED_VALUE"""),25.79)</f>
        <v>25.79</v>
      </c>
      <c r="S1059" s="112">
        <f ca="1">IFERROR(__xludf.DUMMYFUNCTION("""COMPUTED_VALUE"""),41827.7055555555)</f>
        <v>41827.705555555498</v>
      </c>
      <c r="T1059" s="111">
        <f ca="1">IFERROR(__xludf.DUMMYFUNCTION("""COMPUTED_VALUE"""),10.67)</f>
        <v>10.67</v>
      </c>
    </row>
    <row r="1060" spans="1:20" x14ac:dyDescent="0.3">
      <c r="A1060" s="112">
        <f ca="1">IFERROR(__xludf.DUMMYFUNCTION("""COMPUTED_VALUE"""),41823.7055555555)</f>
        <v>41823.705555555498</v>
      </c>
      <c r="B1060" s="111">
        <f ca="1">IFERROR(__xludf.DUMMYFUNCTION("""COMPUTED_VALUE"""),6.13)</f>
        <v>6.13</v>
      </c>
      <c r="C1060" s="112">
        <f ca="1">IFERROR(__xludf.DUMMYFUNCTION("""COMPUTED_VALUE"""),41831.7055555555)</f>
        <v>41831.705555555498</v>
      </c>
      <c r="D1060" s="111">
        <f ca="1">IFERROR(__xludf.DUMMYFUNCTION("""COMPUTED_VALUE"""),18.26)</f>
        <v>18.260000000000002</v>
      </c>
      <c r="E1060" s="112">
        <f ca="1">IFERROR(__xludf.DUMMYFUNCTION("""COMPUTED_VALUE"""),41834.7055555555)</f>
        <v>41834.705555555498</v>
      </c>
      <c r="F1060" s="111">
        <f ca="1">IFERROR(__xludf.DUMMYFUNCTION("""COMPUTED_VALUE"""),6.54)</f>
        <v>6.54</v>
      </c>
      <c r="G1060" s="112">
        <f ca="1">IFERROR(__xludf.DUMMYFUNCTION("""COMPUTED_VALUE"""),41824.7055555555)</f>
        <v>41824.705555555498</v>
      </c>
      <c r="H1060" s="111">
        <f ca="1">IFERROR(__xludf.DUMMYFUNCTION("""COMPUTED_VALUE"""),17.5)</f>
        <v>17.5</v>
      </c>
      <c r="K1060" s="112">
        <f ca="1">IFERROR(__xludf.DUMMYFUNCTION("""COMPUTED_VALUE"""),42272.7055555555)</f>
        <v>42272.705555555498</v>
      </c>
      <c r="L1060" s="111">
        <f ca="1">IFERROR(__xludf.DUMMYFUNCTION("""COMPUTED_VALUE"""),0.06)</f>
        <v>0.06</v>
      </c>
      <c r="M1060" s="112">
        <f ca="1">IFERROR(__xludf.DUMMYFUNCTION("""COMPUTED_VALUE"""),41737.7055555555)</f>
        <v>41737.705555555498</v>
      </c>
      <c r="N1060" s="111">
        <f ca="1">IFERROR(__xludf.DUMMYFUNCTION("""COMPUTED_VALUE"""),13.96)</f>
        <v>13.96</v>
      </c>
      <c r="O1060" s="112">
        <f ca="1">IFERROR(__xludf.DUMMYFUNCTION("""COMPUTED_VALUE"""),41817.7055555555)</f>
        <v>41817.705555555498</v>
      </c>
      <c r="P1060" s="111">
        <f ca="1">IFERROR(__xludf.DUMMYFUNCTION("""COMPUTED_VALUE"""),29.06)</f>
        <v>29.06</v>
      </c>
      <c r="Q1060" s="112">
        <f ca="1">IFERROR(__xludf.DUMMYFUNCTION("""COMPUTED_VALUE"""),41815.7055555555)</f>
        <v>41815.705555555498</v>
      </c>
      <c r="R1060" s="111">
        <f ca="1">IFERROR(__xludf.DUMMYFUNCTION("""COMPUTED_VALUE"""),25.46)</f>
        <v>25.46</v>
      </c>
      <c r="S1060" s="112">
        <f ca="1">IFERROR(__xludf.DUMMYFUNCTION("""COMPUTED_VALUE"""),41828.7055555555)</f>
        <v>41828.705555555498</v>
      </c>
      <c r="T1060" s="111">
        <f ca="1">IFERROR(__xludf.DUMMYFUNCTION("""COMPUTED_VALUE"""),10.76)</f>
        <v>10.76</v>
      </c>
    </row>
    <row r="1061" spans="1:20" x14ac:dyDescent="0.3">
      <c r="A1061" s="112">
        <f ca="1">IFERROR(__xludf.DUMMYFUNCTION("""COMPUTED_VALUE"""),41824.7055555555)</f>
        <v>41824.705555555498</v>
      </c>
      <c r="B1061" s="111">
        <f ca="1">IFERROR(__xludf.DUMMYFUNCTION("""COMPUTED_VALUE"""),6.16)</f>
        <v>6.16</v>
      </c>
      <c r="C1061" s="112">
        <f ca="1">IFERROR(__xludf.DUMMYFUNCTION("""COMPUTED_VALUE"""),41834.7055555555)</f>
        <v>41834.705555555498</v>
      </c>
      <c r="D1061" s="111">
        <f ca="1">IFERROR(__xludf.DUMMYFUNCTION("""COMPUTED_VALUE"""),18.69)</f>
        <v>18.690000000000001</v>
      </c>
      <c r="E1061" s="112">
        <f ca="1">IFERROR(__xludf.DUMMYFUNCTION("""COMPUTED_VALUE"""),41835.7055555555)</f>
        <v>41835.705555555498</v>
      </c>
      <c r="F1061" s="111">
        <f ca="1">IFERROR(__xludf.DUMMYFUNCTION("""COMPUTED_VALUE"""),6.6)</f>
        <v>6.6</v>
      </c>
      <c r="G1061" s="112">
        <f ca="1">IFERROR(__xludf.DUMMYFUNCTION("""COMPUTED_VALUE"""),41827.7055555555)</f>
        <v>41827.705555555498</v>
      </c>
      <c r="H1061" s="111">
        <f ca="1">IFERROR(__xludf.DUMMYFUNCTION("""COMPUTED_VALUE"""),17.32)</f>
        <v>17.32</v>
      </c>
      <c r="K1061" s="112">
        <f ca="1">IFERROR(__xludf.DUMMYFUNCTION("""COMPUTED_VALUE"""),42275.7055555555)</f>
        <v>42275.705555555498</v>
      </c>
      <c r="L1061" s="111">
        <f ca="1">IFERROR(__xludf.DUMMYFUNCTION("""COMPUTED_VALUE"""),0.06)</f>
        <v>0.06</v>
      </c>
      <c r="M1061" s="112">
        <f ca="1">IFERROR(__xludf.DUMMYFUNCTION("""COMPUTED_VALUE"""),41738.7055555555)</f>
        <v>41738.705555555498</v>
      </c>
      <c r="N1061" s="111">
        <f ca="1">IFERROR(__xludf.DUMMYFUNCTION("""COMPUTED_VALUE"""),13.85)</f>
        <v>13.85</v>
      </c>
      <c r="O1061" s="112">
        <f ca="1">IFERROR(__xludf.DUMMYFUNCTION("""COMPUTED_VALUE"""),41820.7055555555)</f>
        <v>41820.705555555498</v>
      </c>
      <c r="P1061" s="111">
        <f ca="1">IFERROR(__xludf.DUMMYFUNCTION("""COMPUTED_VALUE"""),29.24)</f>
        <v>29.24</v>
      </c>
      <c r="Q1061" s="112">
        <f ca="1">IFERROR(__xludf.DUMMYFUNCTION("""COMPUTED_VALUE"""),41816.7055555555)</f>
        <v>41816.705555555498</v>
      </c>
      <c r="R1061" s="111">
        <f ca="1">IFERROR(__xludf.DUMMYFUNCTION("""COMPUTED_VALUE"""),25.31)</f>
        <v>25.31</v>
      </c>
      <c r="S1061" s="112">
        <f ca="1">IFERROR(__xludf.DUMMYFUNCTION("""COMPUTED_VALUE"""),41830.7055555555)</f>
        <v>41830.705555555498</v>
      </c>
      <c r="T1061" s="111">
        <f ca="1">IFERROR(__xludf.DUMMYFUNCTION("""COMPUTED_VALUE"""),10.82)</f>
        <v>10.82</v>
      </c>
    </row>
    <row r="1062" spans="1:20" x14ac:dyDescent="0.3">
      <c r="A1062" s="112">
        <f ca="1">IFERROR(__xludf.DUMMYFUNCTION("""COMPUTED_VALUE"""),41827.7055555555)</f>
        <v>41827.705555555498</v>
      </c>
      <c r="B1062" s="111">
        <f ca="1">IFERROR(__xludf.DUMMYFUNCTION("""COMPUTED_VALUE"""),6.32)</f>
        <v>6.32</v>
      </c>
      <c r="C1062" s="112">
        <f ca="1">IFERROR(__xludf.DUMMYFUNCTION("""COMPUTED_VALUE"""),41835.7055555555)</f>
        <v>41835.705555555498</v>
      </c>
      <c r="D1062" s="111">
        <f ca="1">IFERROR(__xludf.DUMMYFUNCTION("""COMPUTED_VALUE"""),18.92)</f>
        <v>18.920000000000002</v>
      </c>
      <c r="E1062" s="112">
        <f ca="1">IFERROR(__xludf.DUMMYFUNCTION("""COMPUTED_VALUE"""),41836.7055555555)</f>
        <v>41836.705555555498</v>
      </c>
      <c r="F1062" s="111">
        <f ca="1">IFERROR(__xludf.DUMMYFUNCTION("""COMPUTED_VALUE"""),6.44)</f>
        <v>6.44</v>
      </c>
      <c r="G1062" s="112">
        <f ca="1">IFERROR(__xludf.DUMMYFUNCTION("""COMPUTED_VALUE"""),41828.7055555555)</f>
        <v>41828.705555555498</v>
      </c>
      <c r="H1062" s="111">
        <f ca="1">IFERROR(__xludf.DUMMYFUNCTION("""COMPUTED_VALUE"""),17.33)</f>
        <v>17.329999999999998</v>
      </c>
      <c r="K1062" s="112">
        <f ca="1">IFERROR(__xludf.DUMMYFUNCTION("""COMPUTED_VALUE"""),42276.7055555555)</f>
        <v>42276.705555555498</v>
      </c>
      <c r="L1062" s="111">
        <f ca="1">IFERROR(__xludf.DUMMYFUNCTION("""COMPUTED_VALUE"""),0.06)</f>
        <v>0.06</v>
      </c>
      <c r="M1062" s="112">
        <f ca="1">IFERROR(__xludf.DUMMYFUNCTION("""COMPUTED_VALUE"""),41739.7055555555)</f>
        <v>41739.705555555498</v>
      </c>
      <c r="N1062" s="111">
        <f ca="1">IFERROR(__xludf.DUMMYFUNCTION("""COMPUTED_VALUE"""),13.94)</f>
        <v>13.94</v>
      </c>
      <c r="O1062" s="112">
        <f ca="1">IFERROR(__xludf.DUMMYFUNCTION("""COMPUTED_VALUE"""),41821.7055555555)</f>
        <v>41821.705555555498</v>
      </c>
      <c r="P1062" s="111">
        <f ca="1">IFERROR(__xludf.DUMMYFUNCTION("""COMPUTED_VALUE"""),29.65)</f>
        <v>29.65</v>
      </c>
      <c r="Q1062" s="112">
        <f ca="1">IFERROR(__xludf.DUMMYFUNCTION("""COMPUTED_VALUE"""),41817.7055555555)</f>
        <v>41817.705555555498</v>
      </c>
      <c r="R1062" s="111">
        <f ca="1">IFERROR(__xludf.DUMMYFUNCTION("""COMPUTED_VALUE"""),25.18)</f>
        <v>25.18</v>
      </c>
      <c r="S1062" s="112">
        <f ca="1">IFERROR(__xludf.DUMMYFUNCTION("""COMPUTED_VALUE"""),41831.7055555555)</f>
        <v>41831.705555555498</v>
      </c>
      <c r="T1062" s="111">
        <f ca="1">IFERROR(__xludf.DUMMYFUNCTION("""COMPUTED_VALUE"""),10.88)</f>
        <v>10.88</v>
      </c>
    </row>
    <row r="1063" spans="1:20" x14ac:dyDescent="0.3">
      <c r="A1063" s="112">
        <f ca="1">IFERROR(__xludf.DUMMYFUNCTION("""COMPUTED_VALUE"""),41828.7055555555)</f>
        <v>41828.705555555498</v>
      </c>
      <c r="B1063" s="111">
        <f ca="1">IFERROR(__xludf.DUMMYFUNCTION("""COMPUTED_VALUE"""),6.32)</f>
        <v>6.32</v>
      </c>
      <c r="C1063" s="112">
        <f ca="1">IFERROR(__xludf.DUMMYFUNCTION("""COMPUTED_VALUE"""),41836.7055555555)</f>
        <v>41836.705555555498</v>
      </c>
      <c r="D1063" s="111">
        <f ca="1">IFERROR(__xludf.DUMMYFUNCTION("""COMPUTED_VALUE"""),18.43)</f>
        <v>18.43</v>
      </c>
      <c r="E1063" s="112">
        <f ca="1">IFERROR(__xludf.DUMMYFUNCTION("""COMPUTED_VALUE"""),41837.7055555555)</f>
        <v>41837.705555555498</v>
      </c>
      <c r="F1063" s="111">
        <f ca="1">IFERROR(__xludf.DUMMYFUNCTION("""COMPUTED_VALUE"""),6.46)</f>
        <v>6.46</v>
      </c>
      <c r="G1063" s="112">
        <f ca="1">IFERROR(__xludf.DUMMYFUNCTION("""COMPUTED_VALUE"""),41830.7055555555)</f>
        <v>41830.705555555498</v>
      </c>
      <c r="H1063" s="111">
        <f ca="1">IFERROR(__xludf.DUMMYFUNCTION("""COMPUTED_VALUE"""),18.11)</f>
        <v>18.11</v>
      </c>
      <c r="K1063" s="112">
        <f ca="1">IFERROR(__xludf.DUMMYFUNCTION("""COMPUTED_VALUE"""),42277.7055555555)</f>
        <v>42277.705555555498</v>
      </c>
      <c r="L1063" s="111">
        <f ca="1">IFERROR(__xludf.DUMMYFUNCTION("""COMPUTED_VALUE"""),0.06)</f>
        <v>0.06</v>
      </c>
      <c r="M1063" s="112">
        <f ca="1">IFERROR(__xludf.DUMMYFUNCTION("""COMPUTED_VALUE"""),41740.7055555555)</f>
        <v>41740.705555555498</v>
      </c>
      <c r="N1063" s="111">
        <f ca="1">IFERROR(__xludf.DUMMYFUNCTION("""COMPUTED_VALUE"""),14.3)</f>
        <v>14.3</v>
      </c>
      <c r="O1063" s="112">
        <f ca="1">IFERROR(__xludf.DUMMYFUNCTION("""COMPUTED_VALUE"""),41822.7055555555)</f>
        <v>41822.705555555498</v>
      </c>
      <c r="P1063" s="111">
        <f ca="1">IFERROR(__xludf.DUMMYFUNCTION("""COMPUTED_VALUE"""),30.44)</f>
        <v>30.44</v>
      </c>
      <c r="Q1063" s="112">
        <f ca="1">IFERROR(__xludf.DUMMYFUNCTION("""COMPUTED_VALUE"""),41820.7055555555)</f>
        <v>41820.705555555498</v>
      </c>
      <c r="R1063" s="111">
        <f ca="1">IFERROR(__xludf.DUMMYFUNCTION("""COMPUTED_VALUE"""),24.85)</f>
        <v>24.85</v>
      </c>
      <c r="S1063" s="112">
        <f ca="1">IFERROR(__xludf.DUMMYFUNCTION("""COMPUTED_VALUE"""),41834.7055555555)</f>
        <v>41834.705555555498</v>
      </c>
      <c r="T1063" s="111">
        <f ca="1">IFERROR(__xludf.DUMMYFUNCTION("""COMPUTED_VALUE"""),10.97)</f>
        <v>10.97</v>
      </c>
    </row>
    <row r="1064" spans="1:20" x14ac:dyDescent="0.3">
      <c r="A1064" s="112">
        <f ca="1">IFERROR(__xludf.DUMMYFUNCTION("""COMPUTED_VALUE"""),41830.7055555555)</f>
        <v>41830.705555555498</v>
      </c>
      <c r="B1064" s="111">
        <f ca="1">IFERROR(__xludf.DUMMYFUNCTION("""COMPUTED_VALUE"""),6.28)</f>
        <v>6.28</v>
      </c>
      <c r="C1064" s="112">
        <f ca="1">IFERROR(__xludf.DUMMYFUNCTION("""COMPUTED_VALUE"""),41837.7055555555)</f>
        <v>41837.705555555498</v>
      </c>
      <c r="D1064" s="111">
        <f ca="1">IFERROR(__xludf.DUMMYFUNCTION("""COMPUTED_VALUE"""),18.46)</f>
        <v>18.46</v>
      </c>
      <c r="E1064" s="112">
        <f ca="1">IFERROR(__xludf.DUMMYFUNCTION("""COMPUTED_VALUE"""),41838.7055555555)</f>
        <v>41838.705555555498</v>
      </c>
      <c r="F1064" s="111">
        <f ca="1">IFERROR(__xludf.DUMMYFUNCTION("""COMPUTED_VALUE"""),6.74)</f>
        <v>6.74</v>
      </c>
      <c r="G1064" s="112">
        <f ca="1">IFERROR(__xludf.DUMMYFUNCTION("""COMPUTED_VALUE"""),41831.7055555555)</f>
        <v>41831.705555555498</v>
      </c>
      <c r="H1064" s="111">
        <f ca="1">IFERROR(__xludf.DUMMYFUNCTION("""COMPUTED_VALUE"""),18.24)</f>
        <v>18.239999999999998</v>
      </c>
      <c r="K1064" s="112">
        <f ca="1">IFERROR(__xludf.DUMMYFUNCTION("""COMPUTED_VALUE"""),42278.7055555555)</f>
        <v>42278.705555555498</v>
      </c>
      <c r="L1064" s="111">
        <f ca="1">IFERROR(__xludf.DUMMYFUNCTION("""COMPUTED_VALUE"""),0.05)</f>
        <v>0.05</v>
      </c>
      <c r="M1064" s="112">
        <f ca="1">IFERROR(__xludf.DUMMYFUNCTION("""COMPUTED_VALUE"""),41743.7055555555)</f>
        <v>41743.705555555498</v>
      </c>
      <c r="N1064" s="111">
        <f ca="1">IFERROR(__xludf.DUMMYFUNCTION("""COMPUTED_VALUE"""),14.13)</f>
        <v>14.13</v>
      </c>
      <c r="O1064" s="112">
        <f ca="1">IFERROR(__xludf.DUMMYFUNCTION("""COMPUTED_VALUE"""),41823.7055555555)</f>
        <v>41823.705555555498</v>
      </c>
      <c r="P1064" s="111">
        <f ca="1">IFERROR(__xludf.DUMMYFUNCTION("""COMPUTED_VALUE"""),31.19)</f>
        <v>31.19</v>
      </c>
      <c r="Q1064" s="112">
        <f ca="1">IFERROR(__xludf.DUMMYFUNCTION("""COMPUTED_VALUE"""),41821.7055555555)</f>
        <v>41821.705555555498</v>
      </c>
      <c r="R1064" s="111">
        <f ca="1">IFERROR(__xludf.DUMMYFUNCTION("""COMPUTED_VALUE"""),24.94)</f>
        <v>24.94</v>
      </c>
      <c r="S1064" s="112">
        <f ca="1">IFERROR(__xludf.DUMMYFUNCTION("""COMPUTED_VALUE"""),41835.7055555555)</f>
        <v>41835.705555555498</v>
      </c>
      <c r="T1064" s="111">
        <f ca="1">IFERROR(__xludf.DUMMYFUNCTION("""COMPUTED_VALUE"""),11.04)</f>
        <v>11.04</v>
      </c>
    </row>
    <row r="1065" spans="1:20" x14ac:dyDescent="0.3">
      <c r="A1065" s="112">
        <f ca="1">IFERROR(__xludf.DUMMYFUNCTION("""COMPUTED_VALUE"""),41831.7055555555)</f>
        <v>41831.705555555498</v>
      </c>
      <c r="B1065" s="111">
        <f ca="1">IFERROR(__xludf.DUMMYFUNCTION("""COMPUTED_VALUE"""),6.24)</f>
        <v>6.24</v>
      </c>
      <c r="C1065" s="112">
        <f ca="1">IFERROR(__xludf.DUMMYFUNCTION("""COMPUTED_VALUE"""),41838.7055555555)</f>
        <v>41838.705555555498</v>
      </c>
      <c r="D1065" s="111">
        <f ca="1">IFERROR(__xludf.DUMMYFUNCTION("""COMPUTED_VALUE"""),19.36)</f>
        <v>19.36</v>
      </c>
      <c r="E1065" s="112">
        <f ca="1">IFERROR(__xludf.DUMMYFUNCTION("""COMPUTED_VALUE"""),41841.7055555555)</f>
        <v>41841.705555555498</v>
      </c>
      <c r="F1065" s="111">
        <f ca="1">IFERROR(__xludf.DUMMYFUNCTION("""COMPUTED_VALUE"""),6.77)</f>
        <v>6.77</v>
      </c>
      <c r="G1065" s="112">
        <f ca="1">IFERROR(__xludf.DUMMYFUNCTION("""COMPUTED_VALUE"""),41834.7055555555)</f>
        <v>41834.705555555498</v>
      </c>
      <c r="H1065" s="111">
        <f ca="1">IFERROR(__xludf.DUMMYFUNCTION("""COMPUTED_VALUE"""),19.1)</f>
        <v>19.100000000000001</v>
      </c>
      <c r="K1065" s="112">
        <f ca="1">IFERROR(__xludf.DUMMYFUNCTION("""COMPUTED_VALUE"""),42279.7055555555)</f>
        <v>42279.705555555498</v>
      </c>
      <c r="L1065" s="111">
        <f ca="1">IFERROR(__xludf.DUMMYFUNCTION("""COMPUTED_VALUE"""),0.05)</f>
        <v>0.05</v>
      </c>
      <c r="M1065" s="112">
        <f ca="1">IFERROR(__xludf.DUMMYFUNCTION("""COMPUTED_VALUE"""),41744.7055555555)</f>
        <v>41744.705555555498</v>
      </c>
      <c r="N1065" s="111">
        <f ca="1">IFERROR(__xludf.DUMMYFUNCTION("""COMPUTED_VALUE"""),13.99)</f>
        <v>13.99</v>
      </c>
      <c r="O1065" s="112">
        <f ca="1">IFERROR(__xludf.DUMMYFUNCTION("""COMPUTED_VALUE"""),41824.7055555555)</f>
        <v>41824.705555555498</v>
      </c>
      <c r="P1065" s="111">
        <f ca="1">IFERROR(__xludf.DUMMYFUNCTION("""COMPUTED_VALUE"""),31.22)</f>
        <v>31.22</v>
      </c>
      <c r="Q1065" s="112">
        <f ca="1">IFERROR(__xludf.DUMMYFUNCTION("""COMPUTED_VALUE"""),41822.7055555555)</f>
        <v>41822.705555555498</v>
      </c>
      <c r="R1065" s="111">
        <f ca="1">IFERROR(__xludf.DUMMYFUNCTION("""COMPUTED_VALUE"""),24.52)</f>
        <v>24.52</v>
      </c>
      <c r="S1065" s="112">
        <f ca="1">IFERROR(__xludf.DUMMYFUNCTION("""COMPUTED_VALUE"""),41836.7055555555)</f>
        <v>41836.705555555498</v>
      </c>
      <c r="T1065" s="111">
        <f ca="1">IFERROR(__xludf.DUMMYFUNCTION("""COMPUTED_VALUE"""),10.96)</f>
        <v>10.96</v>
      </c>
    </row>
    <row r="1066" spans="1:20" x14ac:dyDescent="0.3">
      <c r="A1066" s="112">
        <f ca="1">IFERROR(__xludf.DUMMYFUNCTION("""COMPUTED_VALUE"""),41834.7055555555)</f>
        <v>41834.705555555498</v>
      </c>
      <c r="B1066" s="111">
        <f ca="1">IFERROR(__xludf.DUMMYFUNCTION("""COMPUTED_VALUE"""),6.5)</f>
        <v>6.5</v>
      </c>
      <c r="C1066" s="112">
        <f ca="1">IFERROR(__xludf.DUMMYFUNCTION("""COMPUTED_VALUE"""),41841.7055555555)</f>
        <v>41841.705555555498</v>
      </c>
      <c r="D1066" s="111">
        <f ca="1">IFERROR(__xludf.DUMMYFUNCTION("""COMPUTED_VALUE"""),19.49)</f>
        <v>19.489999999999998</v>
      </c>
      <c r="E1066" s="112">
        <f ca="1">IFERROR(__xludf.DUMMYFUNCTION("""COMPUTED_VALUE"""),41842.7055555555)</f>
        <v>41842.705555555498</v>
      </c>
      <c r="F1066" s="111">
        <f ca="1">IFERROR(__xludf.DUMMYFUNCTION("""COMPUTED_VALUE"""),6.82)</f>
        <v>6.82</v>
      </c>
      <c r="G1066" s="112">
        <f ca="1">IFERROR(__xludf.DUMMYFUNCTION("""COMPUTED_VALUE"""),41835.7055555555)</f>
        <v>41835.705555555498</v>
      </c>
      <c r="H1066" s="111">
        <f ca="1">IFERROR(__xludf.DUMMYFUNCTION("""COMPUTED_VALUE"""),19.26)</f>
        <v>19.260000000000002</v>
      </c>
      <c r="K1066" s="112">
        <f ca="1">IFERROR(__xludf.DUMMYFUNCTION("""COMPUTED_VALUE"""),42282.7055555555)</f>
        <v>42282.705555555498</v>
      </c>
      <c r="L1066" s="111">
        <f ca="1">IFERROR(__xludf.DUMMYFUNCTION("""COMPUTED_VALUE"""),0.05)</f>
        <v>0.05</v>
      </c>
      <c r="M1066" s="112">
        <f ca="1">IFERROR(__xludf.DUMMYFUNCTION("""COMPUTED_VALUE"""),41745.7055555555)</f>
        <v>41745.705555555498</v>
      </c>
      <c r="N1066" s="111">
        <f ca="1">IFERROR(__xludf.DUMMYFUNCTION("""COMPUTED_VALUE"""),14.15)</f>
        <v>14.15</v>
      </c>
      <c r="O1066" s="112">
        <f ca="1">IFERROR(__xludf.DUMMYFUNCTION("""COMPUTED_VALUE"""),41827.7055555555)</f>
        <v>41827.705555555498</v>
      </c>
      <c r="P1066" s="111">
        <f ca="1">IFERROR(__xludf.DUMMYFUNCTION("""COMPUTED_VALUE"""),30.8)</f>
        <v>30.8</v>
      </c>
      <c r="Q1066" s="112">
        <f ca="1">IFERROR(__xludf.DUMMYFUNCTION("""COMPUTED_VALUE"""),41823.7055555555)</f>
        <v>41823.705555555498</v>
      </c>
      <c r="R1066" s="111">
        <f ca="1">IFERROR(__xludf.DUMMYFUNCTION("""COMPUTED_VALUE"""),24.65)</f>
        <v>24.65</v>
      </c>
      <c r="S1066" s="112">
        <f ca="1">IFERROR(__xludf.DUMMYFUNCTION("""COMPUTED_VALUE"""),41837.7055555555)</f>
        <v>41837.705555555498</v>
      </c>
      <c r="T1066" s="111">
        <f ca="1">IFERROR(__xludf.DUMMYFUNCTION("""COMPUTED_VALUE"""),10.86)</f>
        <v>10.86</v>
      </c>
    </row>
    <row r="1067" spans="1:20" x14ac:dyDescent="0.3">
      <c r="A1067" s="112">
        <f ca="1">IFERROR(__xludf.DUMMYFUNCTION("""COMPUTED_VALUE"""),41835.7055555555)</f>
        <v>41835.705555555498</v>
      </c>
      <c r="B1067" s="111">
        <f ca="1">IFERROR(__xludf.DUMMYFUNCTION("""COMPUTED_VALUE"""),6.59)</f>
        <v>6.59</v>
      </c>
      <c r="C1067" s="112">
        <f ca="1">IFERROR(__xludf.DUMMYFUNCTION("""COMPUTED_VALUE"""),41842.7055555555)</f>
        <v>41842.705555555498</v>
      </c>
      <c r="D1067" s="111">
        <f ca="1">IFERROR(__xludf.DUMMYFUNCTION("""COMPUTED_VALUE"""),19.49)</f>
        <v>19.489999999999998</v>
      </c>
      <c r="E1067" s="112">
        <f ca="1">IFERROR(__xludf.DUMMYFUNCTION("""COMPUTED_VALUE"""),41843.7055555555)</f>
        <v>41843.705555555498</v>
      </c>
      <c r="F1067" s="111">
        <f ca="1">IFERROR(__xludf.DUMMYFUNCTION("""COMPUTED_VALUE"""),6.8)</f>
        <v>6.8</v>
      </c>
      <c r="G1067" s="112">
        <f ca="1">IFERROR(__xludf.DUMMYFUNCTION("""COMPUTED_VALUE"""),41836.7055555555)</f>
        <v>41836.705555555498</v>
      </c>
      <c r="H1067" s="111">
        <f ca="1">IFERROR(__xludf.DUMMYFUNCTION("""COMPUTED_VALUE"""),19.31)</f>
        <v>19.309999999999999</v>
      </c>
      <c r="K1067" s="112">
        <f ca="1">IFERROR(__xludf.DUMMYFUNCTION("""COMPUTED_VALUE"""),42283.7055555555)</f>
        <v>42283.705555555498</v>
      </c>
      <c r="L1067" s="111">
        <f ca="1">IFERROR(__xludf.DUMMYFUNCTION("""COMPUTED_VALUE"""),0.06)</f>
        <v>0.06</v>
      </c>
      <c r="M1067" s="112">
        <f ca="1">IFERROR(__xludf.DUMMYFUNCTION("""COMPUTED_VALUE"""),41746.7055555555)</f>
        <v>41746.705555555498</v>
      </c>
      <c r="N1067" s="111">
        <f ca="1">IFERROR(__xludf.DUMMYFUNCTION("""COMPUTED_VALUE"""),14.42)</f>
        <v>14.42</v>
      </c>
      <c r="O1067" s="112">
        <f ca="1">IFERROR(__xludf.DUMMYFUNCTION("""COMPUTED_VALUE"""),41828.7055555555)</f>
        <v>41828.705555555498</v>
      </c>
      <c r="P1067" s="111">
        <f ca="1">IFERROR(__xludf.DUMMYFUNCTION("""COMPUTED_VALUE"""),30.81)</f>
        <v>30.81</v>
      </c>
      <c r="Q1067" s="112">
        <f ca="1">IFERROR(__xludf.DUMMYFUNCTION("""COMPUTED_VALUE"""),41824.7055555555)</f>
        <v>41824.705555555498</v>
      </c>
      <c r="R1067" s="111">
        <f ca="1">IFERROR(__xludf.DUMMYFUNCTION("""COMPUTED_VALUE"""),24.61)</f>
        <v>24.61</v>
      </c>
      <c r="S1067" s="112">
        <f ca="1">IFERROR(__xludf.DUMMYFUNCTION("""COMPUTED_VALUE"""),41838.7055555555)</f>
        <v>41838.705555555498</v>
      </c>
      <c r="T1067" s="111">
        <f ca="1">IFERROR(__xludf.DUMMYFUNCTION("""COMPUTED_VALUE"""),10.92)</f>
        <v>10.92</v>
      </c>
    </row>
    <row r="1068" spans="1:20" x14ac:dyDescent="0.3">
      <c r="A1068" s="112">
        <f ca="1">IFERROR(__xludf.DUMMYFUNCTION("""COMPUTED_VALUE"""),41836.7055555555)</f>
        <v>41836.705555555498</v>
      </c>
      <c r="B1068" s="111">
        <f ca="1">IFERROR(__xludf.DUMMYFUNCTION("""COMPUTED_VALUE"""),6.46)</f>
        <v>6.46</v>
      </c>
      <c r="C1068" s="112">
        <f ca="1">IFERROR(__xludf.DUMMYFUNCTION("""COMPUTED_VALUE"""),41843.7055555555)</f>
        <v>41843.705555555498</v>
      </c>
      <c r="D1068" s="111">
        <f ca="1">IFERROR(__xludf.DUMMYFUNCTION("""COMPUTED_VALUE"""),19.53)</f>
        <v>19.53</v>
      </c>
      <c r="E1068" s="112">
        <f ca="1">IFERROR(__xludf.DUMMYFUNCTION("""COMPUTED_VALUE"""),41844.7055555555)</f>
        <v>41844.705555555498</v>
      </c>
      <c r="F1068" s="111">
        <f ca="1">IFERROR(__xludf.DUMMYFUNCTION("""COMPUTED_VALUE"""),6.88)</f>
        <v>6.88</v>
      </c>
      <c r="G1068" s="112">
        <f ca="1">IFERROR(__xludf.DUMMYFUNCTION("""COMPUTED_VALUE"""),41837.7055555555)</f>
        <v>41837.705555555498</v>
      </c>
      <c r="H1068" s="111">
        <f ca="1">IFERROR(__xludf.DUMMYFUNCTION("""COMPUTED_VALUE"""),19.56)</f>
        <v>19.559999999999999</v>
      </c>
      <c r="K1068" s="112">
        <f ca="1">IFERROR(__xludf.DUMMYFUNCTION("""COMPUTED_VALUE"""),42284.7055555555)</f>
        <v>42284.705555555498</v>
      </c>
      <c r="L1068" s="111">
        <f ca="1">IFERROR(__xludf.DUMMYFUNCTION("""COMPUTED_VALUE"""),0.06)</f>
        <v>0.06</v>
      </c>
      <c r="M1068" s="112">
        <f ca="1">IFERROR(__xludf.DUMMYFUNCTION("""COMPUTED_VALUE"""),41751.7055555555)</f>
        <v>41751.705555555498</v>
      </c>
      <c r="N1068" s="111">
        <f ca="1">IFERROR(__xludf.DUMMYFUNCTION("""COMPUTED_VALUE"""),14.36)</f>
        <v>14.36</v>
      </c>
      <c r="O1068" s="112">
        <f ca="1">IFERROR(__xludf.DUMMYFUNCTION("""COMPUTED_VALUE"""),41830.7055555555)</f>
        <v>41830.705555555498</v>
      </c>
      <c r="P1068" s="111">
        <f ca="1">IFERROR(__xludf.DUMMYFUNCTION("""COMPUTED_VALUE"""),30.8)</f>
        <v>30.8</v>
      </c>
      <c r="Q1068" s="112">
        <f ca="1">IFERROR(__xludf.DUMMYFUNCTION("""COMPUTED_VALUE"""),41827.7055555555)</f>
        <v>41827.705555555498</v>
      </c>
      <c r="R1068" s="111">
        <f ca="1">IFERROR(__xludf.DUMMYFUNCTION("""COMPUTED_VALUE"""),24.85)</f>
        <v>24.85</v>
      </c>
      <c r="S1068" s="112">
        <f ca="1">IFERROR(__xludf.DUMMYFUNCTION("""COMPUTED_VALUE"""),41841.7055555555)</f>
        <v>41841.705555555498</v>
      </c>
      <c r="T1068" s="111">
        <f ca="1">IFERROR(__xludf.DUMMYFUNCTION("""COMPUTED_VALUE"""),11.04)</f>
        <v>11.04</v>
      </c>
    </row>
    <row r="1069" spans="1:20" x14ac:dyDescent="0.3">
      <c r="A1069" s="112">
        <f ca="1">IFERROR(__xludf.DUMMYFUNCTION("""COMPUTED_VALUE"""),41837.7055555555)</f>
        <v>41837.705555555498</v>
      </c>
      <c r="B1069" s="111">
        <f ca="1">IFERROR(__xludf.DUMMYFUNCTION("""COMPUTED_VALUE"""),6.38)</f>
        <v>6.38</v>
      </c>
      <c r="C1069" s="112">
        <f ca="1">IFERROR(__xludf.DUMMYFUNCTION("""COMPUTED_VALUE"""),41844.7055555555)</f>
        <v>41844.705555555498</v>
      </c>
      <c r="D1069" s="111">
        <f ca="1">IFERROR(__xludf.DUMMYFUNCTION("""COMPUTED_VALUE"""),19.78)</f>
        <v>19.78</v>
      </c>
      <c r="E1069" s="112">
        <f ca="1">IFERROR(__xludf.DUMMYFUNCTION("""COMPUTED_VALUE"""),41845.7055555555)</f>
        <v>41845.705555555498</v>
      </c>
      <c r="F1069" s="111">
        <f ca="1">IFERROR(__xludf.DUMMYFUNCTION("""COMPUTED_VALUE"""),6.86)</f>
        <v>6.86</v>
      </c>
      <c r="G1069" s="112">
        <f ca="1">IFERROR(__xludf.DUMMYFUNCTION("""COMPUTED_VALUE"""),41838.7055555555)</f>
        <v>41838.705555555498</v>
      </c>
      <c r="H1069" s="111">
        <f ca="1">IFERROR(__xludf.DUMMYFUNCTION("""COMPUTED_VALUE"""),20.52)</f>
        <v>20.52</v>
      </c>
      <c r="K1069" s="112">
        <f ca="1">IFERROR(__xludf.DUMMYFUNCTION("""COMPUTED_VALUE"""),42285.7055555555)</f>
        <v>42285.705555555498</v>
      </c>
      <c r="L1069" s="111">
        <f ca="1">IFERROR(__xludf.DUMMYFUNCTION("""COMPUTED_VALUE"""),0.06)</f>
        <v>0.06</v>
      </c>
      <c r="M1069" s="112">
        <f ca="1">IFERROR(__xludf.DUMMYFUNCTION("""COMPUTED_VALUE"""),41752.7055555555)</f>
        <v>41752.705555555498</v>
      </c>
      <c r="N1069" s="111">
        <f ca="1">IFERROR(__xludf.DUMMYFUNCTION("""COMPUTED_VALUE"""),14.23)</f>
        <v>14.23</v>
      </c>
      <c r="O1069" s="112">
        <f ca="1">IFERROR(__xludf.DUMMYFUNCTION("""COMPUTED_VALUE"""),41831.7055555555)</f>
        <v>41831.705555555498</v>
      </c>
      <c r="P1069" s="111">
        <f ca="1">IFERROR(__xludf.DUMMYFUNCTION("""COMPUTED_VALUE"""),30.71)</f>
        <v>30.71</v>
      </c>
      <c r="Q1069" s="112">
        <f ca="1">IFERROR(__xludf.DUMMYFUNCTION("""COMPUTED_VALUE"""),41828.7055555555)</f>
        <v>41828.705555555498</v>
      </c>
      <c r="R1069" s="111">
        <f ca="1">IFERROR(__xludf.DUMMYFUNCTION("""COMPUTED_VALUE"""),25.26)</f>
        <v>25.26</v>
      </c>
      <c r="S1069" s="112">
        <f ca="1">IFERROR(__xludf.DUMMYFUNCTION("""COMPUTED_VALUE"""),41842.7055555555)</f>
        <v>41842.705555555498</v>
      </c>
      <c r="T1069" s="111">
        <f ca="1">IFERROR(__xludf.DUMMYFUNCTION("""COMPUTED_VALUE"""),11.01)</f>
        <v>11.01</v>
      </c>
    </row>
    <row r="1070" spans="1:20" x14ac:dyDescent="0.3">
      <c r="A1070" s="112">
        <f ca="1">IFERROR(__xludf.DUMMYFUNCTION("""COMPUTED_VALUE"""),41838.7055555555)</f>
        <v>41838.705555555498</v>
      </c>
      <c r="B1070" s="111">
        <f ca="1">IFERROR(__xludf.DUMMYFUNCTION("""COMPUTED_VALUE"""),6.77)</f>
        <v>6.77</v>
      </c>
      <c r="C1070" s="112">
        <f ca="1">IFERROR(__xludf.DUMMYFUNCTION("""COMPUTED_VALUE"""),41845.7055555555)</f>
        <v>41845.705555555498</v>
      </c>
      <c r="D1070" s="111">
        <f ca="1">IFERROR(__xludf.DUMMYFUNCTION("""COMPUTED_VALUE"""),19.7)</f>
        <v>19.7</v>
      </c>
      <c r="E1070" s="112">
        <f ca="1">IFERROR(__xludf.DUMMYFUNCTION("""COMPUTED_VALUE"""),41848.7055555555)</f>
        <v>41848.705555555498</v>
      </c>
      <c r="F1070" s="111">
        <f ca="1">IFERROR(__xludf.DUMMYFUNCTION("""COMPUTED_VALUE"""),6.83)</f>
        <v>6.83</v>
      </c>
      <c r="G1070" s="112">
        <f ca="1">IFERROR(__xludf.DUMMYFUNCTION("""COMPUTED_VALUE"""),41841.7055555555)</f>
        <v>41841.705555555498</v>
      </c>
      <c r="H1070" s="111">
        <f ca="1">IFERROR(__xludf.DUMMYFUNCTION("""COMPUTED_VALUE"""),20.94)</f>
        <v>20.94</v>
      </c>
      <c r="K1070" s="112">
        <f ca="1">IFERROR(__xludf.DUMMYFUNCTION("""COMPUTED_VALUE"""),42286.7055555555)</f>
        <v>42286.705555555498</v>
      </c>
      <c r="L1070" s="111">
        <f ca="1">IFERROR(__xludf.DUMMYFUNCTION("""COMPUTED_VALUE"""),0.06)</f>
        <v>0.06</v>
      </c>
      <c r="M1070" s="112">
        <f ca="1">IFERROR(__xludf.DUMMYFUNCTION("""COMPUTED_VALUE"""),41753.7055555555)</f>
        <v>41753.705555555498</v>
      </c>
      <c r="N1070" s="111">
        <f ca="1">IFERROR(__xludf.DUMMYFUNCTION("""COMPUTED_VALUE"""),14.49)</f>
        <v>14.49</v>
      </c>
      <c r="O1070" s="112">
        <f ca="1">IFERROR(__xludf.DUMMYFUNCTION("""COMPUTED_VALUE"""),41834.7055555555)</f>
        <v>41834.705555555498</v>
      </c>
      <c r="P1070" s="111">
        <f ca="1">IFERROR(__xludf.DUMMYFUNCTION("""COMPUTED_VALUE"""),30.86)</f>
        <v>30.86</v>
      </c>
      <c r="Q1070" s="112">
        <f ca="1">IFERROR(__xludf.DUMMYFUNCTION("""COMPUTED_VALUE"""),41830.7055555555)</f>
        <v>41830.705555555498</v>
      </c>
      <c r="R1070" s="111">
        <f ca="1">IFERROR(__xludf.DUMMYFUNCTION("""COMPUTED_VALUE"""),26.26)</f>
        <v>26.26</v>
      </c>
      <c r="S1070" s="112">
        <f ca="1">IFERROR(__xludf.DUMMYFUNCTION("""COMPUTED_VALUE"""),41843.7055555555)</f>
        <v>41843.705555555498</v>
      </c>
      <c r="T1070" s="111">
        <f ca="1">IFERROR(__xludf.DUMMYFUNCTION("""COMPUTED_VALUE"""),10.79)</f>
        <v>10.79</v>
      </c>
    </row>
    <row r="1071" spans="1:20" x14ac:dyDescent="0.3">
      <c r="A1071" s="112">
        <f ca="1">IFERROR(__xludf.DUMMYFUNCTION("""COMPUTED_VALUE"""),41841.7055555555)</f>
        <v>41841.705555555498</v>
      </c>
      <c r="B1071" s="111">
        <f ca="1">IFERROR(__xludf.DUMMYFUNCTION("""COMPUTED_VALUE"""),6.88)</f>
        <v>6.88</v>
      </c>
      <c r="C1071" s="112">
        <f ca="1">IFERROR(__xludf.DUMMYFUNCTION("""COMPUTED_VALUE"""),41848.7055555555)</f>
        <v>41848.705555555498</v>
      </c>
      <c r="D1071" s="111">
        <f ca="1">IFERROR(__xludf.DUMMYFUNCTION("""COMPUTED_VALUE"""),19.56)</f>
        <v>19.559999999999999</v>
      </c>
      <c r="E1071" s="112">
        <f ca="1">IFERROR(__xludf.DUMMYFUNCTION("""COMPUTED_VALUE"""),41849.7055555555)</f>
        <v>41849.705555555498</v>
      </c>
      <c r="F1071" s="111">
        <f ca="1">IFERROR(__xludf.DUMMYFUNCTION("""COMPUTED_VALUE"""),6.84)</f>
        <v>6.84</v>
      </c>
      <c r="G1071" s="112">
        <f ca="1">IFERROR(__xludf.DUMMYFUNCTION("""COMPUTED_VALUE"""),41842.7055555555)</f>
        <v>41842.705555555498</v>
      </c>
      <c r="H1071" s="111">
        <f ca="1">IFERROR(__xludf.DUMMYFUNCTION("""COMPUTED_VALUE"""),21.05)</f>
        <v>21.05</v>
      </c>
      <c r="K1071" s="112">
        <f ca="1">IFERROR(__xludf.DUMMYFUNCTION("""COMPUTED_VALUE"""),42290.7055555555)</f>
        <v>42290.705555555498</v>
      </c>
      <c r="L1071" s="111">
        <f ca="1">IFERROR(__xludf.DUMMYFUNCTION("""COMPUTED_VALUE"""),0.05)</f>
        <v>0.05</v>
      </c>
      <c r="M1071" s="112">
        <f ca="1">IFERROR(__xludf.DUMMYFUNCTION("""COMPUTED_VALUE"""),41754.7055555555)</f>
        <v>41754.705555555498</v>
      </c>
      <c r="N1071" s="111">
        <f ca="1">IFERROR(__xludf.DUMMYFUNCTION("""COMPUTED_VALUE"""),14.45)</f>
        <v>14.45</v>
      </c>
      <c r="O1071" s="112">
        <f ca="1">IFERROR(__xludf.DUMMYFUNCTION("""COMPUTED_VALUE"""),41835.7055555555)</f>
        <v>41835.705555555498</v>
      </c>
      <c r="P1071" s="111">
        <f ca="1">IFERROR(__xludf.DUMMYFUNCTION("""COMPUTED_VALUE"""),31.06)</f>
        <v>31.06</v>
      </c>
      <c r="Q1071" s="112">
        <f ca="1">IFERROR(__xludf.DUMMYFUNCTION("""COMPUTED_VALUE"""),41831.7055555555)</f>
        <v>41831.705555555498</v>
      </c>
      <c r="R1071" s="111">
        <f ca="1">IFERROR(__xludf.DUMMYFUNCTION("""COMPUTED_VALUE"""),26.12)</f>
        <v>26.12</v>
      </c>
      <c r="S1071" s="112">
        <f ca="1">IFERROR(__xludf.DUMMYFUNCTION("""COMPUTED_VALUE"""),41844.7055555555)</f>
        <v>41844.705555555498</v>
      </c>
      <c r="T1071" s="111">
        <f ca="1">IFERROR(__xludf.DUMMYFUNCTION("""COMPUTED_VALUE"""),10.67)</f>
        <v>10.67</v>
      </c>
    </row>
    <row r="1072" spans="1:20" x14ac:dyDescent="0.3">
      <c r="A1072" s="112">
        <f ca="1">IFERROR(__xludf.DUMMYFUNCTION("""COMPUTED_VALUE"""),41842.7055555555)</f>
        <v>41842.705555555498</v>
      </c>
      <c r="B1072" s="111">
        <f ca="1">IFERROR(__xludf.DUMMYFUNCTION("""COMPUTED_VALUE"""),6.76)</f>
        <v>6.76</v>
      </c>
      <c r="C1072" s="112">
        <f ca="1">IFERROR(__xludf.DUMMYFUNCTION("""COMPUTED_VALUE"""),41849.7055555555)</f>
        <v>41849.705555555498</v>
      </c>
      <c r="D1072" s="111">
        <f ca="1">IFERROR(__xludf.DUMMYFUNCTION("""COMPUTED_VALUE"""),19.65)</f>
        <v>19.649999999999999</v>
      </c>
      <c r="E1072" s="112">
        <f ca="1">IFERROR(__xludf.DUMMYFUNCTION("""COMPUTED_VALUE"""),41850.7055555555)</f>
        <v>41850.705555555498</v>
      </c>
      <c r="F1072" s="111">
        <f ca="1">IFERROR(__xludf.DUMMYFUNCTION("""COMPUTED_VALUE"""),6.84)</f>
        <v>6.84</v>
      </c>
      <c r="G1072" s="112">
        <f ca="1">IFERROR(__xludf.DUMMYFUNCTION("""COMPUTED_VALUE"""),41843.7055555555)</f>
        <v>41843.705555555498</v>
      </c>
      <c r="H1072" s="111">
        <f ca="1">IFERROR(__xludf.DUMMYFUNCTION("""COMPUTED_VALUE"""),20.25)</f>
        <v>20.25</v>
      </c>
      <c r="K1072" s="112">
        <f ca="1">IFERROR(__xludf.DUMMYFUNCTION("""COMPUTED_VALUE"""),42291.7055555555)</f>
        <v>42291.705555555498</v>
      </c>
      <c r="L1072" s="111">
        <f ca="1">IFERROR(__xludf.DUMMYFUNCTION("""COMPUTED_VALUE"""),0.05)</f>
        <v>0.05</v>
      </c>
      <c r="M1072" s="112">
        <f ca="1">IFERROR(__xludf.DUMMYFUNCTION("""COMPUTED_VALUE"""),41757.7055555555)</f>
        <v>41757.705555555498</v>
      </c>
      <c r="N1072" s="111">
        <f ca="1">IFERROR(__xludf.DUMMYFUNCTION("""COMPUTED_VALUE"""),14.35)</f>
        <v>14.35</v>
      </c>
      <c r="O1072" s="112">
        <f ca="1">IFERROR(__xludf.DUMMYFUNCTION("""COMPUTED_VALUE"""),41836.7055555555)</f>
        <v>41836.705555555498</v>
      </c>
      <c r="P1072" s="111">
        <f ca="1">IFERROR(__xludf.DUMMYFUNCTION("""COMPUTED_VALUE"""),31.92)</f>
        <v>31.92</v>
      </c>
      <c r="Q1072" s="112">
        <f ca="1">IFERROR(__xludf.DUMMYFUNCTION("""COMPUTED_VALUE"""),41834.7055555555)</f>
        <v>41834.705555555498</v>
      </c>
      <c r="R1072" s="111">
        <f ca="1">IFERROR(__xludf.DUMMYFUNCTION("""COMPUTED_VALUE"""),26.97)</f>
        <v>26.97</v>
      </c>
      <c r="S1072" s="112">
        <f ca="1">IFERROR(__xludf.DUMMYFUNCTION("""COMPUTED_VALUE"""),41845.7055555555)</f>
        <v>41845.705555555498</v>
      </c>
      <c r="T1072" s="111">
        <f ca="1">IFERROR(__xludf.DUMMYFUNCTION("""COMPUTED_VALUE"""),10.75)</f>
        <v>10.75</v>
      </c>
    </row>
    <row r="1073" spans="1:20" x14ac:dyDescent="0.3">
      <c r="A1073" s="112">
        <f ca="1">IFERROR(__xludf.DUMMYFUNCTION("""COMPUTED_VALUE"""),41843.7055555555)</f>
        <v>41843.705555555498</v>
      </c>
      <c r="B1073" s="111">
        <f ca="1">IFERROR(__xludf.DUMMYFUNCTION("""COMPUTED_VALUE"""),6.5)</f>
        <v>6.5</v>
      </c>
      <c r="C1073" s="112">
        <f ca="1">IFERROR(__xludf.DUMMYFUNCTION("""COMPUTED_VALUE"""),41850.7055555555)</f>
        <v>41850.705555555498</v>
      </c>
      <c r="D1073" s="111">
        <f ca="1">IFERROR(__xludf.DUMMYFUNCTION("""COMPUTED_VALUE"""),19.75)</f>
        <v>19.75</v>
      </c>
      <c r="E1073" s="112">
        <f ca="1">IFERROR(__xludf.DUMMYFUNCTION("""COMPUTED_VALUE"""),41851.7055555555)</f>
        <v>41851.705555555498</v>
      </c>
      <c r="F1073" s="111">
        <f ca="1">IFERROR(__xludf.DUMMYFUNCTION("""COMPUTED_VALUE"""),6.79)</f>
        <v>6.79</v>
      </c>
      <c r="G1073" s="112">
        <f ca="1">IFERROR(__xludf.DUMMYFUNCTION("""COMPUTED_VALUE"""),41844.7055555555)</f>
        <v>41844.705555555498</v>
      </c>
      <c r="H1073" s="111">
        <f ca="1">IFERROR(__xludf.DUMMYFUNCTION("""COMPUTED_VALUE"""),20.31)</f>
        <v>20.309999999999999</v>
      </c>
      <c r="K1073" s="112">
        <f ca="1">IFERROR(__xludf.DUMMYFUNCTION("""COMPUTED_VALUE"""),42292.7055555555)</f>
        <v>42292.705555555498</v>
      </c>
      <c r="L1073" s="111">
        <f ca="1">IFERROR(__xludf.DUMMYFUNCTION("""COMPUTED_VALUE"""),0.05)</f>
        <v>0.05</v>
      </c>
      <c r="M1073" s="112">
        <f ca="1">IFERROR(__xludf.DUMMYFUNCTION("""COMPUTED_VALUE"""),41758.7055555555)</f>
        <v>41758.705555555498</v>
      </c>
      <c r="N1073" s="111">
        <f ca="1">IFERROR(__xludf.DUMMYFUNCTION("""COMPUTED_VALUE"""),14.46)</f>
        <v>14.46</v>
      </c>
      <c r="O1073" s="112">
        <f ca="1">IFERROR(__xludf.DUMMYFUNCTION("""COMPUTED_VALUE"""),41837.7055555555)</f>
        <v>41837.705555555498</v>
      </c>
      <c r="P1073" s="111">
        <f ca="1">IFERROR(__xludf.DUMMYFUNCTION("""COMPUTED_VALUE"""),31.48)</f>
        <v>31.48</v>
      </c>
      <c r="Q1073" s="112">
        <f ca="1">IFERROR(__xludf.DUMMYFUNCTION("""COMPUTED_VALUE"""),41835.7055555555)</f>
        <v>41835.705555555498</v>
      </c>
      <c r="R1073" s="111">
        <f ca="1">IFERROR(__xludf.DUMMYFUNCTION("""COMPUTED_VALUE"""),27.15)</f>
        <v>27.15</v>
      </c>
      <c r="S1073" s="112">
        <f ca="1">IFERROR(__xludf.DUMMYFUNCTION("""COMPUTED_VALUE"""),41848.7055555555)</f>
        <v>41848.705555555498</v>
      </c>
      <c r="T1073" s="111">
        <f ca="1">IFERROR(__xludf.DUMMYFUNCTION("""COMPUTED_VALUE"""),10.99)</f>
        <v>10.99</v>
      </c>
    </row>
    <row r="1074" spans="1:20" x14ac:dyDescent="0.3">
      <c r="A1074" s="112">
        <f ca="1">IFERROR(__xludf.DUMMYFUNCTION("""COMPUTED_VALUE"""),41844.7055555555)</f>
        <v>41844.705555555498</v>
      </c>
      <c r="B1074" s="111">
        <f ca="1">IFERROR(__xludf.DUMMYFUNCTION("""COMPUTED_VALUE"""),6.55)</f>
        <v>6.55</v>
      </c>
      <c r="C1074" s="112">
        <f ca="1">IFERROR(__xludf.DUMMYFUNCTION("""COMPUTED_VALUE"""),41851.7055555555)</f>
        <v>41851.705555555498</v>
      </c>
      <c r="D1074" s="111">
        <f ca="1">IFERROR(__xludf.DUMMYFUNCTION("""COMPUTED_VALUE"""),19.33)</f>
        <v>19.329999999999998</v>
      </c>
      <c r="E1074" s="112">
        <f ca="1">IFERROR(__xludf.DUMMYFUNCTION("""COMPUTED_VALUE"""),41852.7055555555)</f>
        <v>41852.705555555498</v>
      </c>
      <c r="F1074" s="111">
        <f ca="1">IFERROR(__xludf.DUMMYFUNCTION("""COMPUTED_VALUE"""),6.72)</f>
        <v>6.72</v>
      </c>
      <c r="G1074" s="112">
        <f ca="1">IFERROR(__xludf.DUMMYFUNCTION("""COMPUTED_VALUE"""),41845.7055555555)</f>
        <v>41845.705555555498</v>
      </c>
      <c r="H1074" s="111">
        <f ca="1">IFERROR(__xludf.DUMMYFUNCTION("""COMPUTED_VALUE"""),20.49)</f>
        <v>20.49</v>
      </c>
      <c r="K1074" s="112">
        <f ca="1">IFERROR(__xludf.DUMMYFUNCTION("""COMPUTED_VALUE"""),42293.7055555555)</f>
        <v>42293.705555555498</v>
      </c>
      <c r="L1074" s="111">
        <f ca="1">IFERROR(__xludf.DUMMYFUNCTION("""COMPUTED_VALUE"""),0.05)</f>
        <v>0.05</v>
      </c>
      <c r="M1074" s="112">
        <f ca="1">IFERROR(__xludf.DUMMYFUNCTION("""COMPUTED_VALUE"""),41759.7055555555)</f>
        <v>41759.705555555498</v>
      </c>
      <c r="N1074" s="111">
        <f ca="1">IFERROR(__xludf.DUMMYFUNCTION("""COMPUTED_VALUE"""),14.31)</f>
        <v>14.31</v>
      </c>
      <c r="O1074" s="112">
        <f ca="1">IFERROR(__xludf.DUMMYFUNCTION("""COMPUTED_VALUE"""),41838.7055555555)</f>
        <v>41838.705555555498</v>
      </c>
      <c r="P1074" s="111">
        <f ca="1">IFERROR(__xludf.DUMMYFUNCTION("""COMPUTED_VALUE"""),31.45)</f>
        <v>31.45</v>
      </c>
      <c r="Q1074" s="112">
        <f ca="1">IFERROR(__xludf.DUMMYFUNCTION("""COMPUTED_VALUE"""),41836.7055555555)</f>
        <v>41836.705555555498</v>
      </c>
      <c r="R1074" s="111">
        <f ca="1">IFERROR(__xludf.DUMMYFUNCTION("""COMPUTED_VALUE"""),27.35)</f>
        <v>27.35</v>
      </c>
      <c r="S1074" s="112">
        <f ca="1">IFERROR(__xludf.DUMMYFUNCTION("""COMPUTED_VALUE"""),41849.7055555555)</f>
        <v>41849.705555555498</v>
      </c>
      <c r="T1074" s="111">
        <f ca="1">IFERROR(__xludf.DUMMYFUNCTION("""COMPUTED_VALUE"""),10.7)</f>
        <v>10.7</v>
      </c>
    </row>
    <row r="1075" spans="1:20" x14ac:dyDescent="0.3">
      <c r="A1075" s="112">
        <f ca="1">IFERROR(__xludf.DUMMYFUNCTION("""COMPUTED_VALUE"""),41845.7055555555)</f>
        <v>41845.705555555498</v>
      </c>
      <c r="B1075" s="111">
        <f ca="1">IFERROR(__xludf.DUMMYFUNCTION("""COMPUTED_VALUE"""),6.51)</f>
        <v>6.51</v>
      </c>
      <c r="C1075" s="112">
        <f ca="1">IFERROR(__xludf.DUMMYFUNCTION("""COMPUTED_VALUE"""),41852.7055555555)</f>
        <v>41852.705555555498</v>
      </c>
      <c r="D1075" s="111">
        <f ca="1">IFERROR(__xludf.DUMMYFUNCTION("""COMPUTED_VALUE"""),19.3)</f>
        <v>19.3</v>
      </c>
      <c r="E1075" s="112">
        <f ca="1">IFERROR(__xludf.DUMMYFUNCTION("""COMPUTED_VALUE"""),41855.7055555555)</f>
        <v>41855.705555555498</v>
      </c>
      <c r="F1075" s="111">
        <f ca="1">IFERROR(__xludf.DUMMYFUNCTION("""COMPUTED_VALUE"""),6.8)</f>
        <v>6.8</v>
      </c>
      <c r="G1075" s="112">
        <f ca="1">IFERROR(__xludf.DUMMYFUNCTION("""COMPUTED_VALUE"""),41848.7055555555)</f>
        <v>41848.705555555498</v>
      </c>
      <c r="H1075" s="111">
        <f ca="1">IFERROR(__xludf.DUMMYFUNCTION("""COMPUTED_VALUE"""),20.15)</f>
        <v>20.149999999999999</v>
      </c>
      <c r="K1075" s="112">
        <f ca="1">IFERROR(__xludf.DUMMYFUNCTION("""COMPUTED_VALUE"""),42296.7055555555)</f>
        <v>42296.705555555498</v>
      </c>
      <c r="L1075" s="111">
        <f ca="1">IFERROR(__xludf.DUMMYFUNCTION("""COMPUTED_VALUE"""),0.05)</f>
        <v>0.05</v>
      </c>
      <c r="M1075" s="112">
        <f ca="1">IFERROR(__xludf.DUMMYFUNCTION("""COMPUTED_VALUE"""),41761.7055555555)</f>
        <v>41761.705555555498</v>
      </c>
      <c r="N1075" s="111">
        <f ca="1">IFERROR(__xludf.DUMMYFUNCTION("""COMPUTED_VALUE"""),14.49)</f>
        <v>14.49</v>
      </c>
      <c r="O1075" s="112">
        <f ca="1">IFERROR(__xludf.DUMMYFUNCTION("""COMPUTED_VALUE"""),41841.7055555555)</f>
        <v>41841.705555555498</v>
      </c>
      <c r="P1075" s="111">
        <f ca="1">IFERROR(__xludf.DUMMYFUNCTION("""COMPUTED_VALUE"""),31.56)</f>
        <v>31.56</v>
      </c>
      <c r="Q1075" s="112">
        <f ca="1">IFERROR(__xludf.DUMMYFUNCTION("""COMPUTED_VALUE"""),41837.7055555555)</f>
        <v>41837.705555555498</v>
      </c>
      <c r="R1075" s="111">
        <f ca="1">IFERROR(__xludf.DUMMYFUNCTION("""COMPUTED_VALUE"""),27.5)</f>
        <v>27.5</v>
      </c>
      <c r="S1075" s="112">
        <f ca="1">IFERROR(__xludf.DUMMYFUNCTION("""COMPUTED_VALUE"""),41850.7055555555)</f>
        <v>41850.705555555498</v>
      </c>
      <c r="T1075" s="111">
        <f ca="1">IFERROR(__xludf.DUMMYFUNCTION("""COMPUTED_VALUE"""),10.61)</f>
        <v>10.61</v>
      </c>
    </row>
    <row r="1076" spans="1:20" x14ac:dyDescent="0.3">
      <c r="A1076" s="112">
        <f ca="1">IFERROR(__xludf.DUMMYFUNCTION("""COMPUTED_VALUE"""),41848.7055555555)</f>
        <v>41848.705555555498</v>
      </c>
      <c r="B1076" s="111">
        <f ca="1">IFERROR(__xludf.DUMMYFUNCTION("""COMPUTED_VALUE"""),6.32)</f>
        <v>6.32</v>
      </c>
      <c r="C1076" s="112">
        <f ca="1">IFERROR(__xludf.DUMMYFUNCTION("""COMPUTED_VALUE"""),41855.7055555555)</f>
        <v>41855.705555555498</v>
      </c>
      <c r="D1076" s="111">
        <f ca="1">IFERROR(__xludf.DUMMYFUNCTION("""COMPUTED_VALUE"""),19.61)</f>
        <v>19.61</v>
      </c>
      <c r="E1076" s="112">
        <f ca="1">IFERROR(__xludf.DUMMYFUNCTION("""COMPUTED_VALUE"""),41856.7055555555)</f>
        <v>41856.705555555498</v>
      </c>
      <c r="F1076" s="111">
        <f ca="1">IFERROR(__xludf.DUMMYFUNCTION("""COMPUTED_VALUE"""),6.88)</f>
        <v>6.88</v>
      </c>
      <c r="G1076" s="112">
        <f ca="1">IFERROR(__xludf.DUMMYFUNCTION("""COMPUTED_VALUE"""),41849.7055555555)</f>
        <v>41849.705555555498</v>
      </c>
      <c r="H1076" s="111">
        <f ca="1">IFERROR(__xludf.DUMMYFUNCTION("""COMPUTED_VALUE"""),19.62)</f>
        <v>19.62</v>
      </c>
      <c r="K1076" s="112">
        <f ca="1">IFERROR(__xludf.DUMMYFUNCTION("""COMPUTED_VALUE"""),42297.7055555555)</f>
        <v>42297.705555555498</v>
      </c>
      <c r="L1076" s="111">
        <f ca="1">IFERROR(__xludf.DUMMYFUNCTION("""COMPUTED_VALUE"""),0.05)</f>
        <v>0.05</v>
      </c>
      <c r="M1076" s="112">
        <f ca="1">IFERROR(__xludf.DUMMYFUNCTION("""COMPUTED_VALUE"""),41764.7055555555)</f>
        <v>41764.705555555498</v>
      </c>
      <c r="N1076" s="111">
        <f ca="1">IFERROR(__xludf.DUMMYFUNCTION("""COMPUTED_VALUE"""),14.79)</f>
        <v>14.79</v>
      </c>
      <c r="O1076" s="112">
        <f ca="1">IFERROR(__xludf.DUMMYFUNCTION("""COMPUTED_VALUE"""),41842.7055555555)</f>
        <v>41842.705555555498</v>
      </c>
      <c r="P1076" s="111">
        <f ca="1">IFERROR(__xludf.DUMMYFUNCTION("""COMPUTED_VALUE"""),31.87)</f>
        <v>31.87</v>
      </c>
      <c r="Q1076" s="112">
        <f ca="1">IFERROR(__xludf.DUMMYFUNCTION("""COMPUTED_VALUE"""),41838.7055555555)</f>
        <v>41838.705555555498</v>
      </c>
      <c r="R1076" s="111">
        <f ca="1">IFERROR(__xludf.DUMMYFUNCTION("""COMPUTED_VALUE"""),28.23)</f>
        <v>28.23</v>
      </c>
      <c r="S1076" s="112">
        <f ca="1">IFERROR(__xludf.DUMMYFUNCTION("""COMPUTED_VALUE"""),41851.7055555555)</f>
        <v>41851.705555555498</v>
      </c>
      <c r="T1076" s="111">
        <f ca="1">IFERROR(__xludf.DUMMYFUNCTION("""COMPUTED_VALUE"""),10.29)</f>
        <v>10.29</v>
      </c>
    </row>
    <row r="1077" spans="1:20" x14ac:dyDescent="0.3">
      <c r="A1077" s="112">
        <f ca="1">IFERROR(__xludf.DUMMYFUNCTION("""COMPUTED_VALUE"""),41849.7055555555)</f>
        <v>41849.705555555498</v>
      </c>
      <c r="B1077" s="111">
        <f ca="1">IFERROR(__xludf.DUMMYFUNCTION("""COMPUTED_VALUE"""),6.3)</f>
        <v>6.3</v>
      </c>
      <c r="C1077" s="112">
        <f ca="1">IFERROR(__xludf.DUMMYFUNCTION("""COMPUTED_VALUE"""),41856.7055555555)</f>
        <v>41856.705555555498</v>
      </c>
      <c r="D1077" s="111">
        <f ca="1">IFERROR(__xludf.DUMMYFUNCTION("""COMPUTED_VALUE"""),19.81)</f>
        <v>19.809999999999999</v>
      </c>
      <c r="E1077" s="112">
        <f ca="1">IFERROR(__xludf.DUMMYFUNCTION("""COMPUTED_VALUE"""),41857.7055555555)</f>
        <v>41857.705555555498</v>
      </c>
      <c r="F1077" s="111">
        <f ca="1">IFERROR(__xludf.DUMMYFUNCTION("""COMPUTED_VALUE"""),6.88)</f>
        <v>6.88</v>
      </c>
      <c r="G1077" s="112">
        <f ca="1">IFERROR(__xludf.DUMMYFUNCTION("""COMPUTED_VALUE"""),41850.7055555555)</f>
        <v>41850.705555555498</v>
      </c>
      <c r="H1077" s="111">
        <f ca="1">IFERROR(__xludf.DUMMYFUNCTION("""COMPUTED_VALUE"""),19.85)</f>
        <v>19.850000000000001</v>
      </c>
      <c r="K1077" s="112">
        <f ca="1">IFERROR(__xludf.DUMMYFUNCTION("""COMPUTED_VALUE"""),42298.7055555555)</f>
        <v>42298.705555555498</v>
      </c>
      <c r="L1077" s="111">
        <f ca="1">IFERROR(__xludf.DUMMYFUNCTION("""COMPUTED_VALUE"""),0.05)</f>
        <v>0.05</v>
      </c>
      <c r="M1077" s="112">
        <f ca="1">IFERROR(__xludf.DUMMYFUNCTION("""COMPUTED_VALUE"""),41765.7055555555)</f>
        <v>41765.705555555498</v>
      </c>
      <c r="N1077" s="111">
        <f ca="1">IFERROR(__xludf.DUMMYFUNCTION("""COMPUTED_VALUE"""),14.9)</f>
        <v>14.9</v>
      </c>
      <c r="O1077" s="112">
        <f ca="1">IFERROR(__xludf.DUMMYFUNCTION("""COMPUTED_VALUE"""),41843.7055555555)</f>
        <v>41843.705555555498</v>
      </c>
      <c r="P1077" s="111">
        <f ca="1">IFERROR(__xludf.DUMMYFUNCTION("""COMPUTED_VALUE"""),31.83)</f>
        <v>31.83</v>
      </c>
      <c r="Q1077" s="112">
        <f ca="1">IFERROR(__xludf.DUMMYFUNCTION("""COMPUTED_VALUE"""),41841.7055555555)</f>
        <v>41841.705555555498</v>
      </c>
      <c r="R1077" s="111">
        <f ca="1">IFERROR(__xludf.DUMMYFUNCTION("""COMPUTED_VALUE"""),28.92)</f>
        <v>28.92</v>
      </c>
      <c r="S1077" s="112">
        <f ca="1">IFERROR(__xludf.DUMMYFUNCTION("""COMPUTED_VALUE"""),41852.7055555555)</f>
        <v>41852.705555555498</v>
      </c>
      <c r="T1077" s="111">
        <f ca="1">IFERROR(__xludf.DUMMYFUNCTION("""COMPUTED_VALUE"""),10.41)</f>
        <v>10.41</v>
      </c>
    </row>
    <row r="1078" spans="1:20" x14ac:dyDescent="0.3">
      <c r="A1078" s="112">
        <f ca="1">IFERROR(__xludf.DUMMYFUNCTION("""COMPUTED_VALUE"""),41850.7055555555)</f>
        <v>41850.705555555498</v>
      </c>
      <c r="B1078" s="111">
        <f ca="1">IFERROR(__xludf.DUMMYFUNCTION("""COMPUTED_VALUE"""),6.27)</f>
        <v>6.27</v>
      </c>
      <c r="C1078" s="112">
        <f ca="1">IFERROR(__xludf.DUMMYFUNCTION("""COMPUTED_VALUE"""),41857.7055555555)</f>
        <v>41857.705555555498</v>
      </c>
      <c r="D1078" s="111">
        <f ca="1">IFERROR(__xludf.DUMMYFUNCTION("""COMPUTED_VALUE"""),19.72)</f>
        <v>19.72</v>
      </c>
      <c r="E1078" s="112">
        <f ca="1">IFERROR(__xludf.DUMMYFUNCTION("""COMPUTED_VALUE"""),41858.7055555555)</f>
        <v>41858.705555555498</v>
      </c>
      <c r="F1078" s="111">
        <f ca="1">IFERROR(__xludf.DUMMYFUNCTION("""COMPUTED_VALUE"""),6.8)</f>
        <v>6.8</v>
      </c>
      <c r="G1078" s="112">
        <f ca="1">IFERROR(__xludf.DUMMYFUNCTION("""COMPUTED_VALUE"""),41851.7055555555)</f>
        <v>41851.705555555498</v>
      </c>
      <c r="H1078" s="111">
        <f ca="1">IFERROR(__xludf.DUMMYFUNCTION("""COMPUTED_VALUE"""),19.1)</f>
        <v>19.100000000000001</v>
      </c>
      <c r="K1078" s="112">
        <f ca="1">IFERROR(__xludf.DUMMYFUNCTION("""COMPUTED_VALUE"""),42299.7055555555)</f>
        <v>42299.705555555498</v>
      </c>
      <c r="L1078" s="111">
        <f ca="1">IFERROR(__xludf.DUMMYFUNCTION("""COMPUTED_VALUE"""),0.05)</f>
        <v>0.05</v>
      </c>
      <c r="M1078" s="112">
        <f ca="1">IFERROR(__xludf.DUMMYFUNCTION("""COMPUTED_VALUE"""),41766.7055555555)</f>
        <v>41766.705555555498</v>
      </c>
      <c r="N1078" s="111">
        <f ca="1">IFERROR(__xludf.DUMMYFUNCTION("""COMPUTED_VALUE"""),15.08)</f>
        <v>15.08</v>
      </c>
      <c r="O1078" s="112">
        <f ca="1">IFERROR(__xludf.DUMMYFUNCTION("""COMPUTED_VALUE"""),41844.7055555555)</f>
        <v>41844.705555555498</v>
      </c>
      <c r="P1078" s="111">
        <f ca="1">IFERROR(__xludf.DUMMYFUNCTION("""COMPUTED_VALUE"""),32.34)</f>
        <v>32.340000000000003</v>
      </c>
      <c r="Q1078" s="112">
        <f ca="1">IFERROR(__xludf.DUMMYFUNCTION("""COMPUTED_VALUE"""),41842.7055555555)</f>
        <v>41842.705555555498</v>
      </c>
      <c r="R1078" s="111">
        <f ca="1">IFERROR(__xludf.DUMMYFUNCTION("""COMPUTED_VALUE"""),29.08)</f>
        <v>29.08</v>
      </c>
      <c r="S1078" s="112">
        <f ca="1">IFERROR(__xludf.DUMMYFUNCTION("""COMPUTED_VALUE"""),41855.7055555555)</f>
        <v>41855.705555555498</v>
      </c>
      <c r="T1078" s="111">
        <f ca="1">IFERROR(__xludf.DUMMYFUNCTION("""COMPUTED_VALUE"""),10.77)</f>
        <v>10.77</v>
      </c>
    </row>
    <row r="1079" spans="1:20" x14ac:dyDescent="0.3">
      <c r="A1079" s="112">
        <f ca="1">IFERROR(__xludf.DUMMYFUNCTION("""COMPUTED_VALUE"""),41851.7055555555)</f>
        <v>41851.705555555498</v>
      </c>
      <c r="B1079" s="111">
        <f ca="1">IFERROR(__xludf.DUMMYFUNCTION("""COMPUTED_VALUE"""),6.18)</f>
        <v>6.18</v>
      </c>
      <c r="C1079" s="112">
        <f ca="1">IFERROR(__xludf.DUMMYFUNCTION("""COMPUTED_VALUE"""),41858.7055555555)</f>
        <v>41858.705555555498</v>
      </c>
      <c r="D1079" s="111">
        <f ca="1">IFERROR(__xludf.DUMMYFUNCTION("""COMPUTED_VALUE"""),19.55)</f>
        <v>19.55</v>
      </c>
      <c r="E1079" s="112">
        <f ca="1">IFERROR(__xludf.DUMMYFUNCTION("""COMPUTED_VALUE"""),41859.7055555555)</f>
        <v>41859.705555555498</v>
      </c>
      <c r="F1079" s="111">
        <f ca="1">IFERROR(__xludf.DUMMYFUNCTION("""COMPUTED_VALUE"""),6.75)</f>
        <v>6.75</v>
      </c>
      <c r="G1079" s="112">
        <f ca="1">IFERROR(__xludf.DUMMYFUNCTION("""COMPUTED_VALUE"""),41852.7055555555)</f>
        <v>41852.705555555498</v>
      </c>
      <c r="H1079" s="111">
        <f ca="1">IFERROR(__xludf.DUMMYFUNCTION("""COMPUTED_VALUE"""),19)</f>
        <v>19</v>
      </c>
      <c r="K1079" s="112">
        <f ca="1">IFERROR(__xludf.DUMMYFUNCTION("""COMPUTED_VALUE"""),42300.7055555555)</f>
        <v>42300.705555555498</v>
      </c>
      <c r="L1079" s="111">
        <f ca="1">IFERROR(__xludf.DUMMYFUNCTION("""COMPUTED_VALUE"""),0.05)</f>
        <v>0.05</v>
      </c>
      <c r="M1079" s="112">
        <f ca="1">IFERROR(__xludf.DUMMYFUNCTION("""COMPUTED_VALUE"""),41767.7055555555)</f>
        <v>41767.705555555498</v>
      </c>
      <c r="N1079" s="111">
        <f ca="1">IFERROR(__xludf.DUMMYFUNCTION("""COMPUTED_VALUE"""),14.91)</f>
        <v>14.91</v>
      </c>
      <c r="O1079" s="112">
        <f ca="1">IFERROR(__xludf.DUMMYFUNCTION("""COMPUTED_VALUE"""),41845.7055555555)</f>
        <v>41845.705555555498</v>
      </c>
      <c r="P1079" s="111">
        <f ca="1">IFERROR(__xludf.DUMMYFUNCTION("""COMPUTED_VALUE"""),32.38)</f>
        <v>32.380000000000003</v>
      </c>
      <c r="Q1079" s="112">
        <f ca="1">IFERROR(__xludf.DUMMYFUNCTION("""COMPUTED_VALUE"""),41843.7055555555)</f>
        <v>41843.705555555498</v>
      </c>
      <c r="R1079" s="111">
        <f ca="1">IFERROR(__xludf.DUMMYFUNCTION("""COMPUTED_VALUE"""),29.4)</f>
        <v>29.4</v>
      </c>
      <c r="S1079" s="112">
        <f ca="1">IFERROR(__xludf.DUMMYFUNCTION("""COMPUTED_VALUE"""),41856.7055555555)</f>
        <v>41856.705555555498</v>
      </c>
      <c r="T1079" s="111">
        <f ca="1">IFERROR(__xludf.DUMMYFUNCTION("""COMPUTED_VALUE"""),10.54)</f>
        <v>10.54</v>
      </c>
    </row>
    <row r="1080" spans="1:20" x14ac:dyDescent="0.3">
      <c r="A1080" s="112">
        <f ca="1">IFERROR(__xludf.DUMMYFUNCTION("""COMPUTED_VALUE"""),41852.7055555555)</f>
        <v>41852.705555555498</v>
      </c>
      <c r="B1080" s="111">
        <f ca="1">IFERROR(__xludf.DUMMYFUNCTION("""COMPUTED_VALUE"""),6.21)</f>
        <v>6.21</v>
      </c>
      <c r="C1080" s="112">
        <f ca="1">IFERROR(__xludf.DUMMYFUNCTION("""COMPUTED_VALUE"""),41859.7055555555)</f>
        <v>41859.705555555498</v>
      </c>
      <c r="D1080" s="111">
        <f ca="1">IFERROR(__xludf.DUMMYFUNCTION("""COMPUTED_VALUE"""),19.28)</f>
        <v>19.28</v>
      </c>
      <c r="E1080" s="112">
        <f ca="1">IFERROR(__xludf.DUMMYFUNCTION("""COMPUTED_VALUE"""),41862.7055555555)</f>
        <v>41862.705555555498</v>
      </c>
      <c r="F1080" s="111">
        <f ca="1">IFERROR(__xludf.DUMMYFUNCTION("""COMPUTED_VALUE"""),6.88)</f>
        <v>6.88</v>
      </c>
      <c r="G1080" s="112">
        <f ca="1">IFERROR(__xludf.DUMMYFUNCTION("""COMPUTED_VALUE"""),41855.7055555555)</f>
        <v>41855.705555555498</v>
      </c>
      <c r="H1080" s="111">
        <f ca="1">IFERROR(__xludf.DUMMYFUNCTION("""COMPUTED_VALUE"""),19.55)</f>
        <v>19.55</v>
      </c>
      <c r="K1080" s="112">
        <f ca="1">IFERROR(__xludf.DUMMYFUNCTION("""COMPUTED_VALUE"""),42303.7055555555)</f>
        <v>42303.705555555498</v>
      </c>
      <c r="L1080" s="111">
        <f ca="1">IFERROR(__xludf.DUMMYFUNCTION("""COMPUTED_VALUE"""),0.05)</f>
        <v>0.05</v>
      </c>
      <c r="M1080" s="112">
        <f ca="1">IFERROR(__xludf.DUMMYFUNCTION("""COMPUTED_VALUE"""),41768.7055555555)</f>
        <v>41768.705555555498</v>
      </c>
      <c r="N1080" s="111">
        <f ca="1">IFERROR(__xludf.DUMMYFUNCTION("""COMPUTED_VALUE"""),14.78)</f>
        <v>14.78</v>
      </c>
      <c r="O1080" s="112">
        <f ca="1">IFERROR(__xludf.DUMMYFUNCTION("""COMPUTED_VALUE"""),41848.7055555555)</f>
        <v>41848.705555555498</v>
      </c>
      <c r="P1080" s="111">
        <f ca="1">IFERROR(__xludf.DUMMYFUNCTION("""COMPUTED_VALUE"""),32.82)</f>
        <v>32.82</v>
      </c>
      <c r="Q1080" s="112">
        <f ca="1">IFERROR(__xludf.DUMMYFUNCTION("""COMPUTED_VALUE"""),41844.7055555555)</f>
        <v>41844.705555555498</v>
      </c>
      <c r="R1080" s="111">
        <f ca="1">IFERROR(__xludf.DUMMYFUNCTION("""COMPUTED_VALUE"""),29.61)</f>
        <v>29.61</v>
      </c>
      <c r="S1080" s="112">
        <f ca="1">IFERROR(__xludf.DUMMYFUNCTION("""COMPUTED_VALUE"""),41857.7055555555)</f>
        <v>41857.705555555498</v>
      </c>
      <c r="T1080" s="111">
        <f ca="1">IFERROR(__xludf.DUMMYFUNCTION("""COMPUTED_VALUE"""),10.65)</f>
        <v>10.65</v>
      </c>
    </row>
    <row r="1081" spans="1:20" x14ac:dyDescent="0.3">
      <c r="A1081" s="112">
        <f ca="1">IFERROR(__xludf.DUMMYFUNCTION("""COMPUTED_VALUE"""),41855.7055555555)</f>
        <v>41855.705555555498</v>
      </c>
      <c r="B1081" s="111">
        <f ca="1">IFERROR(__xludf.DUMMYFUNCTION("""COMPUTED_VALUE"""),6.38)</f>
        <v>6.38</v>
      </c>
      <c r="C1081" s="112">
        <f ca="1">IFERROR(__xludf.DUMMYFUNCTION("""COMPUTED_VALUE"""),41862.7055555555)</f>
        <v>41862.705555555498</v>
      </c>
      <c r="D1081" s="111">
        <f ca="1">IFERROR(__xludf.DUMMYFUNCTION("""COMPUTED_VALUE"""),19.64)</f>
        <v>19.64</v>
      </c>
      <c r="E1081" s="112">
        <f ca="1">IFERROR(__xludf.DUMMYFUNCTION("""COMPUTED_VALUE"""),41863.7055555555)</f>
        <v>41863.705555555498</v>
      </c>
      <c r="F1081" s="111">
        <f ca="1">IFERROR(__xludf.DUMMYFUNCTION("""COMPUTED_VALUE"""),6.88)</f>
        <v>6.88</v>
      </c>
      <c r="G1081" s="112">
        <f ca="1">IFERROR(__xludf.DUMMYFUNCTION("""COMPUTED_VALUE"""),41856.7055555555)</f>
        <v>41856.705555555498</v>
      </c>
      <c r="H1081" s="111">
        <f ca="1">IFERROR(__xludf.DUMMYFUNCTION("""COMPUTED_VALUE"""),19.7)</f>
        <v>19.7</v>
      </c>
      <c r="K1081" s="112">
        <f ca="1">IFERROR(__xludf.DUMMYFUNCTION("""COMPUTED_VALUE"""),42304.7055555555)</f>
        <v>42304.705555555498</v>
      </c>
      <c r="L1081" s="111">
        <f ca="1">IFERROR(__xludf.DUMMYFUNCTION("""COMPUTED_VALUE"""),0.05)</f>
        <v>0.05</v>
      </c>
      <c r="M1081" s="112">
        <f ca="1">IFERROR(__xludf.DUMMYFUNCTION("""COMPUTED_VALUE"""),41771.7055555555)</f>
        <v>41771.705555555498</v>
      </c>
      <c r="N1081" s="111">
        <f ca="1">IFERROR(__xludf.DUMMYFUNCTION("""COMPUTED_VALUE"""),15.05)</f>
        <v>15.05</v>
      </c>
      <c r="O1081" s="112">
        <f ca="1">IFERROR(__xludf.DUMMYFUNCTION("""COMPUTED_VALUE"""),41849.7055555555)</f>
        <v>41849.705555555498</v>
      </c>
      <c r="P1081" s="111">
        <f ca="1">IFERROR(__xludf.DUMMYFUNCTION("""COMPUTED_VALUE"""),32.92)</f>
        <v>32.92</v>
      </c>
      <c r="Q1081" s="112">
        <f ca="1">IFERROR(__xludf.DUMMYFUNCTION("""COMPUTED_VALUE"""),41845.7055555555)</f>
        <v>41845.705555555498</v>
      </c>
      <c r="R1081" s="111">
        <f ca="1">IFERROR(__xludf.DUMMYFUNCTION("""COMPUTED_VALUE"""),29.29)</f>
        <v>29.29</v>
      </c>
      <c r="S1081" s="112">
        <f ca="1">IFERROR(__xludf.DUMMYFUNCTION("""COMPUTED_VALUE"""),41858.7055555555)</f>
        <v>41858.705555555498</v>
      </c>
      <c r="T1081" s="111">
        <f ca="1">IFERROR(__xludf.DUMMYFUNCTION("""COMPUTED_VALUE"""),10.58)</f>
        <v>10.58</v>
      </c>
    </row>
    <row r="1082" spans="1:20" x14ac:dyDescent="0.3">
      <c r="A1082" s="112">
        <f ca="1">IFERROR(__xludf.DUMMYFUNCTION("""COMPUTED_VALUE"""),41856.7055555555)</f>
        <v>41856.705555555498</v>
      </c>
      <c r="B1082" s="111">
        <f ca="1">IFERROR(__xludf.DUMMYFUNCTION("""COMPUTED_VALUE"""),6.3)</f>
        <v>6.3</v>
      </c>
      <c r="C1082" s="112">
        <f ca="1">IFERROR(__xludf.DUMMYFUNCTION("""COMPUTED_VALUE"""),41863.7055555555)</f>
        <v>41863.705555555498</v>
      </c>
      <c r="D1082" s="111">
        <f ca="1">IFERROR(__xludf.DUMMYFUNCTION("""COMPUTED_VALUE"""),19.58)</f>
        <v>19.579999999999998</v>
      </c>
      <c r="E1082" s="112">
        <f ca="1">IFERROR(__xludf.DUMMYFUNCTION("""COMPUTED_VALUE"""),41864.7055555555)</f>
        <v>41864.705555555498</v>
      </c>
      <c r="F1082" s="111">
        <f ca="1">IFERROR(__xludf.DUMMYFUNCTION("""COMPUTED_VALUE"""),6.73)</f>
        <v>6.73</v>
      </c>
      <c r="G1082" s="112">
        <f ca="1">IFERROR(__xludf.DUMMYFUNCTION("""COMPUTED_VALUE"""),41857.7055555555)</f>
        <v>41857.705555555498</v>
      </c>
      <c r="H1082" s="111">
        <f ca="1">IFERROR(__xludf.DUMMYFUNCTION("""COMPUTED_VALUE"""),20.31)</f>
        <v>20.309999999999999</v>
      </c>
      <c r="K1082" s="112">
        <f ca="1">IFERROR(__xludf.DUMMYFUNCTION("""COMPUTED_VALUE"""),42305.7055555555)</f>
        <v>42305.705555555498</v>
      </c>
      <c r="L1082" s="111">
        <f ca="1">IFERROR(__xludf.DUMMYFUNCTION("""COMPUTED_VALUE"""),0.05)</f>
        <v>0.05</v>
      </c>
      <c r="M1082" s="112">
        <f ca="1">IFERROR(__xludf.DUMMYFUNCTION("""COMPUTED_VALUE"""),41772.7055555555)</f>
        <v>41772.705555555498</v>
      </c>
      <c r="N1082" s="111">
        <f ca="1">IFERROR(__xludf.DUMMYFUNCTION("""COMPUTED_VALUE"""),14.98)</f>
        <v>14.98</v>
      </c>
      <c r="O1082" s="112">
        <f ca="1">IFERROR(__xludf.DUMMYFUNCTION("""COMPUTED_VALUE"""),41850.7055555555)</f>
        <v>41850.705555555498</v>
      </c>
      <c r="P1082" s="111">
        <f ca="1">IFERROR(__xludf.DUMMYFUNCTION("""COMPUTED_VALUE"""),32.22)</f>
        <v>32.22</v>
      </c>
      <c r="Q1082" s="112">
        <f ca="1">IFERROR(__xludf.DUMMYFUNCTION("""COMPUTED_VALUE"""),41848.7055555555)</f>
        <v>41848.705555555498</v>
      </c>
      <c r="R1082" s="111">
        <f ca="1">IFERROR(__xludf.DUMMYFUNCTION("""COMPUTED_VALUE"""),29.11)</f>
        <v>29.11</v>
      </c>
      <c r="S1082" s="112">
        <f ca="1">IFERROR(__xludf.DUMMYFUNCTION("""COMPUTED_VALUE"""),41859.7055555555)</f>
        <v>41859.705555555498</v>
      </c>
      <c r="T1082" s="111">
        <f ca="1">IFERROR(__xludf.DUMMYFUNCTION("""COMPUTED_VALUE"""),10.48)</f>
        <v>10.48</v>
      </c>
    </row>
    <row r="1083" spans="1:20" x14ac:dyDescent="0.3">
      <c r="A1083" s="112">
        <f ca="1">IFERROR(__xludf.DUMMYFUNCTION("""COMPUTED_VALUE"""),41857.7055555555)</f>
        <v>41857.705555555498</v>
      </c>
      <c r="B1083" s="111">
        <f ca="1">IFERROR(__xludf.DUMMYFUNCTION("""COMPUTED_VALUE"""),6.4)</f>
        <v>6.4</v>
      </c>
      <c r="C1083" s="112">
        <f ca="1">IFERROR(__xludf.DUMMYFUNCTION("""COMPUTED_VALUE"""),41864.7055555555)</f>
        <v>41864.705555555498</v>
      </c>
      <c r="D1083" s="111">
        <f ca="1">IFERROR(__xludf.DUMMYFUNCTION("""COMPUTED_VALUE"""),19.09)</f>
        <v>19.09</v>
      </c>
      <c r="E1083" s="112">
        <f ca="1">IFERROR(__xludf.DUMMYFUNCTION("""COMPUTED_VALUE"""),41865.7055555555)</f>
        <v>41865.705555555498</v>
      </c>
      <c r="F1083" s="111">
        <f ca="1">IFERROR(__xludf.DUMMYFUNCTION("""COMPUTED_VALUE"""),6.79)</f>
        <v>6.79</v>
      </c>
      <c r="G1083" s="112">
        <f ca="1">IFERROR(__xludf.DUMMYFUNCTION("""COMPUTED_VALUE"""),41858.7055555555)</f>
        <v>41858.705555555498</v>
      </c>
      <c r="H1083" s="111">
        <f ca="1">IFERROR(__xludf.DUMMYFUNCTION("""COMPUTED_VALUE"""),20.15)</f>
        <v>20.149999999999999</v>
      </c>
      <c r="K1083" s="112">
        <f ca="1">IFERROR(__xludf.DUMMYFUNCTION("""COMPUTED_VALUE"""),42306.7055555555)</f>
        <v>42306.705555555498</v>
      </c>
      <c r="L1083" s="111">
        <f ca="1">IFERROR(__xludf.DUMMYFUNCTION("""COMPUTED_VALUE"""),0.05)</f>
        <v>0.05</v>
      </c>
      <c r="M1083" s="112">
        <f ca="1">IFERROR(__xludf.DUMMYFUNCTION("""COMPUTED_VALUE"""),41773.7055555555)</f>
        <v>41773.705555555498</v>
      </c>
      <c r="N1083" s="111">
        <f ca="1">IFERROR(__xludf.DUMMYFUNCTION("""COMPUTED_VALUE"""),15.23)</f>
        <v>15.23</v>
      </c>
      <c r="O1083" s="112">
        <f ca="1">IFERROR(__xludf.DUMMYFUNCTION("""COMPUTED_VALUE"""),41851.7055555555)</f>
        <v>41851.705555555498</v>
      </c>
      <c r="P1083" s="111">
        <f ca="1">IFERROR(__xludf.DUMMYFUNCTION("""COMPUTED_VALUE"""),32.55)</f>
        <v>32.549999999999997</v>
      </c>
      <c r="Q1083" s="112">
        <f ca="1">IFERROR(__xludf.DUMMYFUNCTION("""COMPUTED_VALUE"""),41849.7055555555)</f>
        <v>41849.705555555498</v>
      </c>
      <c r="R1083" s="111">
        <f ca="1">IFERROR(__xludf.DUMMYFUNCTION("""COMPUTED_VALUE"""),28.66)</f>
        <v>28.66</v>
      </c>
      <c r="S1083" s="112">
        <f ca="1">IFERROR(__xludf.DUMMYFUNCTION("""COMPUTED_VALUE"""),41862.7055555555)</f>
        <v>41862.705555555498</v>
      </c>
      <c r="T1083" s="111">
        <f ca="1">IFERROR(__xludf.DUMMYFUNCTION("""COMPUTED_VALUE"""),10.65)</f>
        <v>10.65</v>
      </c>
    </row>
    <row r="1084" spans="1:20" x14ac:dyDescent="0.3">
      <c r="A1084" s="112">
        <f ca="1">IFERROR(__xludf.DUMMYFUNCTION("""COMPUTED_VALUE"""),41858.7055555555)</f>
        <v>41858.705555555498</v>
      </c>
      <c r="B1084" s="111">
        <f ca="1">IFERROR(__xludf.DUMMYFUNCTION("""COMPUTED_VALUE"""),6.42)</f>
        <v>6.42</v>
      </c>
      <c r="C1084" s="112">
        <f ca="1">IFERROR(__xludf.DUMMYFUNCTION("""COMPUTED_VALUE"""),41865.7055555555)</f>
        <v>41865.705555555498</v>
      </c>
      <c r="D1084" s="111">
        <f ca="1">IFERROR(__xludf.DUMMYFUNCTION("""COMPUTED_VALUE"""),19.41)</f>
        <v>19.41</v>
      </c>
      <c r="E1084" s="112">
        <f ca="1">IFERROR(__xludf.DUMMYFUNCTION("""COMPUTED_VALUE"""),41866.7055555555)</f>
        <v>41866.705555555498</v>
      </c>
      <c r="F1084" s="111">
        <f ca="1">IFERROR(__xludf.DUMMYFUNCTION("""COMPUTED_VALUE"""),6.94)</f>
        <v>6.94</v>
      </c>
      <c r="G1084" s="112">
        <f ca="1">IFERROR(__xludf.DUMMYFUNCTION("""COMPUTED_VALUE"""),41859.7055555555)</f>
        <v>41859.705555555498</v>
      </c>
      <c r="H1084" s="111">
        <f ca="1">IFERROR(__xludf.DUMMYFUNCTION("""COMPUTED_VALUE"""),19.31)</f>
        <v>19.309999999999999</v>
      </c>
      <c r="K1084" s="112">
        <f ca="1">IFERROR(__xludf.DUMMYFUNCTION("""COMPUTED_VALUE"""),42307.7055555555)</f>
        <v>42307.705555555498</v>
      </c>
      <c r="L1084" s="111">
        <f ca="1">IFERROR(__xludf.DUMMYFUNCTION("""COMPUTED_VALUE"""),0.05)</f>
        <v>0.05</v>
      </c>
      <c r="M1084" s="112">
        <f ca="1">IFERROR(__xludf.DUMMYFUNCTION("""COMPUTED_VALUE"""),41774.7055555555)</f>
        <v>41774.705555555498</v>
      </c>
      <c r="N1084" s="111">
        <f ca="1">IFERROR(__xludf.DUMMYFUNCTION("""COMPUTED_VALUE"""),15.04)</f>
        <v>15.04</v>
      </c>
      <c r="O1084" s="112">
        <f ca="1">IFERROR(__xludf.DUMMYFUNCTION("""COMPUTED_VALUE"""),41852.7055555555)</f>
        <v>41852.705555555498</v>
      </c>
      <c r="P1084" s="111">
        <f ca="1">IFERROR(__xludf.DUMMYFUNCTION("""COMPUTED_VALUE"""),31.77)</f>
        <v>31.77</v>
      </c>
      <c r="Q1084" s="112">
        <f ca="1">IFERROR(__xludf.DUMMYFUNCTION("""COMPUTED_VALUE"""),41850.7055555555)</f>
        <v>41850.705555555498</v>
      </c>
      <c r="R1084" s="111">
        <f ca="1">IFERROR(__xludf.DUMMYFUNCTION("""COMPUTED_VALUE"""),28.47)</f>
        <v>28.47</v>
      </c>
      <c r="S1084" s="112">
        <f ca="1">IFERROR(__xludf.DUMMYFUNCTION("""COMPUTED_VALUE"""),41863.7055555555)</f>
        <v>41863.705555555498</v>
      </c>
      <c r="T1084" s="111">
        <f ca="1">IFERROR(__xludf.DUMMYFUNCTION("""COMPUTED_VALUE"""),10.54)</f>
        <v>10.54</v>
      </c>
    </row>
    <row r="1085" spans="1:20" x14ac:dyDescent="0.3">
      <c r="A1085" s="112">
        <f ca="1">IFERROR(__xludf.DUMMYFUNCTION("""COMPUTED_VALUE"""),41859.7055555555)</f>
        <v>41859.705555555498</v>
      </c>
      <c r="B1085" s="111">
        <f ca="1">IFERROR(__xludf.DUMMYFUNCTION("""COMPUTED_VALUE"""),6.55)</f>
        <v>6.55</v>
      </c>
      <c r="C1085" s="112">
        <f ca="1">IFERROR(__xludf.DUMMYFUNCTION("""COMPUTED_VALUE"""),41866.7055555555)</f>
        <v>41866.705555555498</v>
      </c>
      <c r="D1085" s="111">
        <f ca="1">IFERROR(__xludf.DUMMYFUNCTION("""COMPUTED_VALUE"""),19.7)</f>
        <v>19.7</v>
      </c>
      <c r="E1085" s="112">
        <f ca="1">IFERROR(__xludf.DUMMYFUNCTION("""COMPUTED_VALUE"""),41869.7055555555)</f>
        <v>41869.705555555498</v>
      </c>
      <c r="F1085" s="111">
        <f ca="1">IFERROR(__xludf.DUMMYFUNCTION("""COMPUTED_VALUE"""),7.04)</f>
        <v>7.04</v>
      </c>
      <c r="G1085" s="112">
        <f ca="1">IFERROR(__xludf.DUMMYFUNCTION("""COMPUTED_VALUE"""),41862.7055555555)</f>
        <v>41862.705555555498</v>
      </c>
      <c r="H1085" s="111">
        <f ca="1">IFERROR(__xludf.DUMMYFUNCTION("""COMPUTED_VALUE"""),20.14)</f>
        <v>20.14</v>
      </c>
      <c r="K1085" s="112">
        <f ca="1">IFERROR(__xludf.DUMMYFUNCTION("""COMPUTED_VALUE"""),42311.7055555555)</f>
        <v>42311.705555555498</v>
      </c>
      <c r="L1085" s="111">
        <f ca="1">IFERROR(__xludf.DUMMYFUNCTION("""COMPUTED_VALUE"""),0.04)</f>
        <v>0.04</v>
      </c>
      <c r="M1085" s="112">
        <f ca="1">IFERROR(__xludf.DUMMYFUNCTION("""COMPUTED_VALUE"""),41775.7055555555)</f>
        <v>41775.705555555498</v>
      </c>
      <c r="N1085" s="111">
        <f ca="1">IFERROR(__xludf.DUMMYFUNCTION("""COMPUTED_VALUE"""),15.14)</f>
        <v>15.14</v>
      </c>
      <c r="O1085" s="112">
        <f ca="1">IFERROR(__xludf.DUMMYFUNCTION("""COMPUTED_VALUE"""),41855.7055555555)</f>
        <v>41855.705555555498</v>
      </c>
      <c r="P1085" s="111">
        <f ca="1">IFERROR(__xludf.DUMMYFUNCTION("""COMPUTED_VALUE"""),32.17)</f>
        <v>32.17</v>
      </c>
      <c r="Q1085" s="112">
        <f ca="1">IFERROR(__xludf.DUMMYFUNCTION("""COMPUTED_VALUE"""),41851.7055555555)</f>
        <v>41851.705555555498</v>
      </c>
      <c r="R1085" s="111">
        <f ca="1">IFERROR(__xludf.DUMMYFUNCTION("""COMPUTED_VALUE"""),27.72)</f>
        <v>27.72</v>
      </c>
      <c r="S1085" s="112">
        <f ca="1">IFERROR(__xludf.DUMMYFUNCTION("""COMPUTED_VALUE"""),41864.7055555555)</f>
        <v>41864.705555555498</v>
      </c>
      <c r="T1085" s="111">
        <f ca="1">IFERROR(__xludf.DUMMYFUNCTION("""COMPUTED_VALUE"""),10.52)</f>
        <v>10.52</v>
      </c>
    </row>
    <row r="1086" spans="1:20" x14ac:dyDescent="0.3">
      <c r="A1086" s="112">
        <f ca="1">IFERROR(__xludf.DUMMYFUNCTION("""COMPUTED_VALUE"""),41862.7055555555)</f>
        <v>41862.705555555498</v>
      </c>
      <c r="B1086" s="111">
        <f ca="1">IFERROR(__xludf.DUMMYFUNCTION("""COMPUTED_VALUE"""),6.64)</f>
        <v>6.64</v>
      </c>
      <c r="C1086" s="112">
        <f ca="1">IFERROR(__xludf.DUMMYFUNCTION("""COMPUTED_VALUE"""),41869.7055555555)</f>
        <v>41869.705555555498</v>
      </c>
      <c r="D1086" s="111">
        <f ca="1">IFERROR(__xludf.DUMMYFUNCTION("""COMPUTED_VALUE"""),19.98)</f>
        <v>19.98</v>
      </c>
      <c r="E1086" s="112">
        <f ca="1">IFERROR(__xludf.DUMMYFUNCTION("""COMPUTED_VALUE"""),41870.7055555555)</f>
        <v>41870.705555555498</v>
      </c>
      <c r="F1086" s="111">
        <f ca="1">IFERROR(__xludf.DUMMYFUNCTION("""COMPUTED_VALUE"""),7.21)</f>
        <v>7.21</v>
      </c>
      <c r="G1086" s="112">
        <f ca="1">IFERROR(__xludf.DUMMYFUNCTION("""COMPUTED_VALUE"""),41863.7055555555)</f>
        <v>41863.705555555498</v>
      </c>
      <c r="H1086" s="111">
        <f ca="1">IFERROR(__xludf.DUMMYFUNCTION("""COMPUTED_VALUE"""),19.67)</f>
        <v>19.670000000000002</v>
      </c>
      <c r="K1086" s="112">
        <f ca="1">IFERROR(__xludf.DUMMYFUNCTION("""COMPUTED_VALUE"""),42312.7055555555)</f>
        <v>42312.705555555498</v>
      </c>
      <c r="L1086" s="111">
        <f ca="1">IFERROR(__xludf.DUMMYFUNCTION("""COMPUTED_VALUE"""),0.05)</f>
        <v>0.05</v>
      </c>
      <c r="M1086" s="112">
        <f ca="1">IFERROR(__xludf.DUMMYFUNCTION("""COMPUTED_VALUE"""),41778.7055555555)</f>
        <v>41778.705555555498</v>
      </c>
      <c r="N1086" s="111">
        <f ca="1">IFERROR(__xludf.DUMMYFUNCTION("""COMPUTED_VALUE"""),14.87)</f>
        <v>14.87</v>
      </c>
      <c r="O1086" s="112">
        <f ca="1">IFERROR(__xludf.DUMMYFUNCTION("""COMPUTED_VALUE"""),41856.7055555555)</f>
        <v>41856.705555555498</v>
      </c>
      <c r="P1086" s="111">
        <f ca="1">IFERROR(__xludf.DUMMYFUNCTION("""COMPUTED_VALUE"""),31.62)</f>
        <v>31.62</v>
      </c>
      <c r="Q1086" s="112">
        <f ca="1">IFERROR(__xludf.DUMMYFUNCTION("""COMPUTED_VALUE"""),41852.7055555555)</f>
        <v>41852.705555555498</v>
      </c>
      <c r="R1086" s="111">
        <f ca="1">IFERROR(__xludf.DUMMYFUNCTION("""COMPUTED_VALUE"""),27.25)</f>
        <v>27.25</v>
      </c>
      <c r="S1086" s="112">
        <f ca="1">IFERROR(__xludf.DUMMYFUNCTION("""COMPUTED_VALUE"""),41865.7055555555)</f>
        <v>41865.705555555498</v>
      </c>
      <c r="T1086" s="111">
        <f ca="1">IFERROR(__xludf.DUMMYFUNCTION("""COMPUTED_VALUE"""),10.46)</f>
        <v>10.46</v>
      </c>
    </row>
    <row r="1087" spans="1:20" x14ac:dyDescent="0.3">
      <c r="A1087" s="112">
        <f ca="1">IFERROR(__xludf.DUMMYFUNCTION("""COMPUTED_VALUE"""),41863.7055555555)</f>
        <v>41863.705555555498</v>
      </c>
      <c r="B1087" s="111">
        <f ca="1">IFERROR(__xludf.DUMMYFUNCTION("""COMPUTED_VALUE"""),6.57)</f>
        <v>6.57</v>
      </c>
      <c r="C1087" s="112">
        <f ca="1">IFERROR(__xludf.DUMMYFUNCTION("""COMPUTED_VALUE"""),41870.7055555555)</f>
        <v>41870.705555555498</v>
      </c>
      <c r="D1087" s="111">
        <f ca="1">IFERROR(__xludf.DUMMYFUNCTION("""COMPUTED_VALUE"""),20.67)</f>
        <v>20.67</v>
      </c>
      <c r="E1087" s="112">
        <f ca="1">IFERROR(__xludf.DUMMYFUNCTION("""COMPUTED_VALUE"""),41871.7055555555)</f>
        <v>41871.705555555498</v>
      </c>
      <c r="F1087" s="111">
        <f ca="1">IFERROR(__xludf.DUMMYFUNCTION("""COMPUTED_VALUE"""),7.25)</f>
        <v>7.25</v>
      </c>
      <c r="G1087" s="112">
        <f ca="1">IFERROR(__xludf.DUMMYFUNCTION("""COMPUTED_VALUE"""),41864.7055555555)</f>
        <v>41864.705555555498</v>
      </c>
      <c r="H1087" s="111">
        <f ca="1">IFERROR(__xludf.DUMMYFUNCTION("""COMPUTED_VALUE"""),18.69)</f>
        <v>18.690000000000001</v>
      </c>
      <c r="K1087" s="112">
        <f ca="1">IFERROR(__xludf.DUMMYFUNCTION("""COMPUTED_VALUE"""),42313.7055555555)</f>
        <v>42313.705555555498</v>
      </c>
      <c r="L1087" s="111">
        <f ca="1">IFERROR(__xludf.DUMMYFUNCTION("""COMPUTED_VALUE"""),0.05)</f>
        <v>0.05</v>
      </c>
      <c r="M1087" s="112">
        <f ca="1">IFERROR(__xludf.DUMMYFUNCTION("""COMPUTED_VALUE"""),41779.7055555555)</f>
        <v>41779.705555555498</v>
      </c>
      <c r="N1087" s="111">
        <f ca="1">IFERROR(__xludf.DUMMYFUNCTION("""COMPUTED_VALUE"""),14.61)</f>
        <v>14.61</v>
      </c>
      <c r="O1087" s="112">
        <f ca="1">IFERROR(__xludf.DUMMYFUNCTION("""COMPUTED_VALUE"""),41857.7055555555)</f>
        <v>41857.705555555498</v>
      </c>
      <c r="P1087" s="111">
        <f ca="1">IFERROR(__xludf.DUMMYFUNCTION("""COMPUTED_VALUE"""),31.8)</f>
        <v>31.8</v>
      </c>
      <c r="Q1087" s="112">
        <f ca="1">IFERROR(__xludf.DUMMYFUNCTION("""COMPUTED_VALUE"""),41855.7055555555)</f>
        <v>41855.705555555498</v>
      </c>
      <c r="R1087" s="111">
        <f ca="1">IFERROR(__xludf.DUMMYFUNCTION("""COMPUTED_VALUE"""),27.69)</f>
        <v>27.69</v>
      </c>
      <c r="S1087" s="112">
        <f ca="1">IFERROR(__xludf.DUMMYFUNCTION("""COMPUTED_VALUE"""),41866.7055555555)</f>
        <v>41866.705555555498</v>
      </c>
      <c r="T1087" s="111">
        <f ca="1">IFERROR(__xludf.DUMMYFUNCTION("""COMPUTED_VALUE"""),10.48)</f>
        <v>10.48</v>
      </c>
    </row>
    <row r="1088" spans="1:20" x14ac:dyDescent="0.3">
      <c r="A1088" s="112">
        <f ca="1">IFERROR(__xludf.DUMMYFUNCTION("""COMPUTED_VALUE"""),41864.7055555555)</f>
        <v>41864.705555555498</v>
      </c>
      <c r="B1088" s="111">
        <f ca="1">IFERROR(__xludf.DUMMYFUNCTION("""COMPUTED_VALUE"""),6.42)</f>
        <v>6.42</v>
      </c>
      <c r="C1088" s="112">
        <f ca="1">IFERROR(__xludf.DUMMYFUNCTION("""COMPUTED_VALUE"""),41871.7055555555)</f>
        <v>41871.705555555498</v>
      </c>
      <c r="D1088" s="111">
        <f ca="1">IFERROR(__xludf.DUMMYFUNCTION("""COMPUTED_VALUE"""),20.77)</f>
        <v>20.77</v>
      </c>
      <c r="E1088" s="112">
        <f ca="1">IFERROR(__xludf.DUMMYFUNCTION("""COMPUTED_VALUE"""),41872.7055555555)</f>
        <v>41872.705555555498</v>
      </c>
      <c r="F1088" s="111">
        <f ca="1">IFERROR(__xludf.DUMMYFUNCTION("""COMPUTED_VALUE"""),7.28)</f>
        <v>7.28</v>
      </c>
      <c r="G1088" s="112">
        <f ca="1">IFERROR(__xludf.DUMMYFUNCTION("""COMPUTED_VALUE"""),41865.7055555555)</f>
        <v>41865.705555555498</v>
      </c>
      <c r="H1088" s="111">
        <f ca="1">IFERROR(__xludf.DUMMYFUNCTION("""COMPUTED_VALUE"""),18.6)</f>
        <v>18.600000000000001</v>
      </c>
      <c r="K1088" s="112">
        <f ca="1">IFERROR(__xludf.DUMMYFUNCTION("""COMPUTED_VALUE"""),42314.7055555555)</f>
        <v>42314.705555555498</v>
      </c>
      <c r="L1088" s="111">
        <f ca="1">IFERROR(__xludf.DUMMYFUNCTION("""COMPUTED_VALUE"""),0.04)</f>
        <v>0.04</v>
      </c>
      <c r="M1088" s="112">
        <f ca="1">IFERROR(__xludf.DUMMYFUNCTION("""COMPUTED_VALUE"""),41780.7055555555)</f>
        <v>41780.705555555498</v>
      </c>
      <c r="N1088" s="111">
        <f ca="1">IFERROR(__xludf.DUMMYFUNCTION("""COMPUTED_VALUE"""),14.24)</f>
        <v>14.24</v>
      </c>
      <c r="O1088" s="112">
        <f ca="1">IFERROR(__xludf.DUMMYFUNCTION("""COMPUTED_VALUE"""),41858.7055555555)</f>
        <v>41858.705555555498</v>
      </c>
      <c r="P1088" s="111">
        <f ca="1">IFERROR(__xludf.DUMMYFUNCTION("""COMPUTED_VALUE"""),31.6)</f>
        <v>31.6</v>
      </c>
      <c r="Q1088" s="112">
        <f ca="1">IFERROR(__xludf.DUMMYFUNCTION("""COMPUTED_VALUE"""),41856.7055555555)</f>
        <v>41856.705555555498</v>
      </c>
      <c r="R1088" s="111">
        <f ca="1">IFERROR(__xludf.DUMMYFUNCTION("""COMPUTED_VALUE"""),27.85)</f>
        <v>27.85</v>
      </c>
      <c r="S1088" s="112">
        <f ca="1">IFERROR(__xludf.DUMMYFUNCTION("""COMPUTED_VALUE"""),41869.7055555555)</f>
        <v>41869.705555555498</v>
      </c>
      <c r="T1088" s="111">
        <f ca="1">IFERROR(__xludf.DUMMYFUNCTION("""COMPUTED_VALUE"""),10.49)</f>
        <v>10.49</v>
      </c>
    </row>
    <row r="1089" spans="1:20" x14ac:dyDescent="0.3">
      <c r="A1089" s="112">
        <f ca="1">IFERROR(__xludf.DUMMYFUNCTION("""COMPUTED_VALUE"""),41865.7055555555)</f>
        <v>41865.705555555498</v>
      </c>
      <c r="B1089" s="111">
        <f ca="1">IFERROR(__xludf.DUMMYFUNCTION("""COMPUTED_VALUE"""),6.51)</f>
        <v>6.51</v>
      </c>
      <c r="C1089" s="112">
        <f ca="1">IFERROR(__xludf.DUMMYFUNCTION("""COMPUTED_VALUE"""),41872.7055555555)</f>
        <v>41872.705555555498</v>
      </c>
      <c r="D1089" s="111">
        <f ca="1">IFERROR(__xludf.DUMMYFUNCTION("""COMPUTED_VALUE"""),20.89)</f>
        <v>20.89</v>
      </c>
      <c r="E1089" s="112">
        <f ca="1">IFERROR(__xludf.DUMMYFUNCTION("""COMPUTED_VALUE"""),41873.7055555555)</f>
        <v>41873.705555555498</v>
      </c>
      <c r="F1089" s="111">
        <f ca="1">IFERROR(__xludf.DUMMYFUNCTION("""COMPUTED_VALUE"""),7.2)</f>
        <v>7.2</v>
      </c>
      <c r="G1089" s="112">
        <f ca="1">IFERROR(__xludf.DUMMYFUNCTION("""COMPUTED_VALUE"""),41866.7055555555)</f>
        <v>41866.705555555498</v>
      </c>
      <c r="H1089" s="111">
        <f ca="1">IFERROR(__xludf.DUMMYFUNCTION("""COMPUTED_VALUE"""),20.06)</f>
        <v>20.059999999999999</v>
      </c>
      <c r="K1089" s="112">
        <f ca="1">IFERROR(__xludf.DUMMYFUNCTION("""COMPUTED_VALUE"""),42317.7055555555)</f>
        <v>42317.705555555498</v>
      </c>
      <c r="L1089" s="111">
        <f ca="1">IFERROR(__xludf.DUMMYFUNCTION("""COMPUTED_VALUE"""),0.04)</f>
        <v>0.04</v>
      </c>
      <c r="M1089" s="112">
        <f ca="1">IFERROR(__xludf.DUMMYFUNCTION("""COMPUTED_VALUE"""),41781.7055555555)</f>
        <v>41781.705555555498</v>
      </c>
      <c r="N1089" s="111">
        <f ca="1">IFERROR(__xludf.DUMMYFUNCTION("""COMPUTED_VALUE"""),14.38)</f>
        <v>14.38</v>
      </c>
      <c r="O1089" s="112">
        <f ca="1">IFERROR(__xludf.DUMMYFUNCTION("""COMPUTED_VALUE"""),41859.7055555555)</f>
        <v>41859.705555555498</v>
      </c>
      <c r="P1089" s="111">
        <f ca="1">IFERROR(__xludf.DUMMYFUNCTION("""COMPUTED_VALUE"""),31.61)</f>
        <v>31.61</v>
      </c>
      <c r="Q1089" s="112">
        <f ca="1">IFERROR(__xludf.DUMMYFUNCTION("""COMPUTED_VALUE"""),41857.7055555555)</f>
        <v>41857.705555555498</v>
      </c>
      <c r="R1089" s="111">
        <f ca="1">IFERROR(__xludf.DUMMYFUNCTION("""COMPUTED_VALUE"""),28.19)</f>
        <v>28.19</v>
      </c>
      <c r="S1089" s="112">
        <f ca="1">IFERROR(__xludf.DUMMYFUNCTION("""COMPUTED_VALUE"""),41870.7055555555)</f>
        <v>41870.705555555498</v>
      </c>
      <c r="T1089" s="111">
        <f ca="1">IFERROR(__xludf.DUMMYFUNCTION("""COMPUTED_VALUE"""),10.62)</f>
        <v>10.62</v>
      </c>
    </row>
    <row r="1090" spans="1:20" x14ac:dyDescent="0.3">
      <c r="A1090" s="112">
        <f ca="1">IFERROR(__xludf.DUMMYFUNCTION("""COMPUTED_VALUE"""),41866.7055555555)</f>
        <v>41866.705555555498</v>
      </c>
      <c r="B1090" s="111">
        <f ca="1">IFERROR(__xludf.DUMMYFUNCTION("""COMPUTED_VALUE"""),6.74)</f>
        <v>6.74</v>
      </c>
      <c r="C1090" s="112">
        <f ca="1">IFERROR(__xludf.DUMMYFUNCTION("""COMPUTED_VALUE"""),41873.7055555555)</f>
        <v>41873.705555555498</v>
      </c>
      <c r="D1090" s="111">
        <f ca="1">IFERROR(__xludf.DUMMYFUNCTION("""COMPUTED_VALUE"""),20.65)</f>
        <v>20.65</v>
      </c>
      <c r="E1090" s="112">
        <f ca="1">IFERROR(__xludf.DUMMYFUNCTION("""COMPUTED_VALUE"""),41876.7055555555)</f>
        <v>41876.705555555498</v>
      </c>
      <c r="F1090" s="111">
        <f ca="1">IFERROR(__xludf.DUMMYFUNCTION("""COMPUTED_VALUE"""),7.38)</f>
        <v>7.38</v>
      </c>
      <c r="G1090" s="112">
        <f ca="1">IFERROR(__xludf.DUMMYFUNCTION("""COMPUTED_VALUE"""),41869.7055555555)</f>
        <v>41869.705555555498</v>
      </c>
      <c r="H1090" s="111">
        <f ca="1">IFERROR(__xludf.DUMMYFUNCTION("""COMPUTED_VALUE"""),20.4)</f>
        <v>20.399999999999999</v>
      </c>
      <c r="K1090" s="112">
        <f ca="1">IFERROR(__xludf.DUMMYFUNCTION("""COMPUTED_VALUE"""),42318.7055555555)</f>
        <v>42318.705555555498</v>
      </c>
      <c r="L1090" s="111">
        <f ca="1">IFERROR(__xludf.DUMMYFUNCTION("""COMPUTED_VALUE"""),0.04)</f>
        <v>0.04</v>
      </c>
      <c r="M1090" s="112">
        <f ca="1">IFERROR(__xludf.DUMMYFUNCTION("""COMPUTED_VALUE"""),41782.7055555555)</f>
        <v>41782.705555555498</v>
      </c>
      <c r="N1090" s="111">
        <f ca="1">IFERROR(__xludf.DUMMYFUNCTION("""COMPUTED_VALUE"""),14.15)</f>
        <v>14.15</v>
      </c>
      <c r="O1090" s="112">
        <f ca="1">IFERROR(__xludf.DUMMYFUNCTION("""COMPUTED_VALUE"""),41862.7055555555)</f>
        <v>41862.705555555498</v>
      </c>
      <c r="P1090" s="111">
        <f ca="1">IFERROR(__xludf.DUMMYFUNCTION("""COMPUTED_VALUE"""),31.84)</f>
        <v>31.84</v>
      </c>
      <c r="Q1090" s="112">
        <f ca="1">IFERROR(__xludf.DUMMYFUNCTION("""COMPUTED_VALUE"""),41858.7055555555)</f>
        <v>41858.705555555498</v>
      </c>
      <c r="R1090" s="111">
        <f ca="1">IFERROR(__xludf.DUMMYFUNCTION("""COMPUTED_VALUE"""),27.96)</f>
        <v>27.96</v>
      </c>
      <c r="S1090" s="112">
        <f ca="1">IFERROR(__xludf.DUMMYFUNCTION("""COMPUTED_VALUE"""),41871.7055555555)</f>
        <v>41871.705555555498</v>
      </c>
      <c r="T1090" s="111">
        <f ca="1">IFERROR(__xludf.DUMMYFUNCTION("""COMPUTED_VALUE"""),10.59)</f>
        <v>10.59</v>
      </c>
    </row>
    <row r="1091" spans="1:20" x14ac:dyDescent="0.3">
      <c r="A1091" s="112">
        <f ca="1">IFERROR(__xludf.DUMMYFUNCTION("""COMPUTED_VALUE"""),41869.7055555555)</f>
        <v>41869.705555555498</v>
      </c>
      <c r="B1091" s="111">
        <f ca="1">IFERROR(__xludf.DUMMYFUNCTION("""COMPUTED_VALUE"""),6.72)</f>
        <v>6.72</v>
      </c>
      <c r="C1091" s="112">
        <f ca="1">IFERROR(__xludf.DUMMYFUNCTION("""COMPUTED_VALUE"""),41876.7055555555)</f>
        <v>41876.705555555498</v>
      </c>
      <c r="D1091" s="111">
        <f ca="1">IFERROR(__xludf.DUMMYFUNCTION("""COMPUTED_VALUE"""),21.16)</f>
        <v>21.16</v>
      </c>
      <c r="E1091" s="112">
        <f ca="1">IFERROR(__xludf.DUMMYFUNCTION("""COMPUTED_VALUE"""),41877.7055555555)</f>
        <v>41877.705555555498</v>
      </c>
      <c r="F1091" s="111">
        <f ca="1">IFERROR(__xludf.DUMMYFUNCTION("""COMPUTED_VALUE"""),7.44)</f>
        <v>7.44</v>
      </c>
      <c r="G1091" s="112">
        <f ca="1">IFERROR(__xludf.DUMMYFUNCTION("""COMPUTED_VALUE"""),41870.7055555555)</f>
        <v>41870.705555555498</v>
      </c>
      <c r="H1091" s="111">
        <f ca="1">IFERROR(__xludf.DUMMYFUNCTION("""COMPUTED_VALUE"""),20.91)</f>
        <v>20.91</v>
      </c>
      <c r="K1091" s="112">
        <f ca="1">IFERROR(__xludf.DUMMYFUNCTION("""COMPUTED_VALUE"""),42319.7055555555)</f>
        <v>42319.705555555498</v>
      </c>
      <c r="L1091" s="111">
        <f ca="1">IFERROR(__xludf.DUMMYFUNCTION("""COMPUTED_VALUE"""),0.04)</f>
        <v>0.04</v>
      </c>
      <c r="M1091" s="112">
        <f ca="1">IFERROR(__xludf.DUMMYFUNCTION("""COMPUTED_VALUE"""),41785.7055555555)</f>
        <v>41785.705555555498</v>
      </c>
      <c r="N1091" s="111">
        <f ca="1">IFERROR(__xludf.DUMMYFUNCTION("""COMPUTED_VALUE"""),14.1)</f>
        <v>14.1</v>
      </c>
      <c r="O1091" s="112">
        <f ca="1">IFERROR(__xludf.DUMMYFUNCTION("""COMPUTED_VALUE"""),41863.7055555555)</f>
        <v>41863.705555555498</v>
      </c>
      <c r="P1091" s="111">
        <f ca="1">IFERROR(__xludf.DUMMYFUNCTION("""COMPUTED_VALUE"""),32.01)</f>
        <v>32.01</v>
      </c>
      <c r="Q1091" s="112">
        <f ca="1">IFERROR(__xludf.DUMMYFUNCTION("""COMPUTED_VALUE"""),41859.7055555555)</f>
        <v>41859.705555555498</v>
      </c>
      <c r="R1091" s="111">
        <f ca="1">IFERROR(__xludf.DUMMYFUNCTION("""COMPUTED_VALUE"""),27.15)</f>
        <v>27.15</v>
      </c>
      <c r="S1091" s="112">
        <f ca="1">IFERROR(__xludf.DUMMYFUNCTION("""COMPUTED_VALUE"""),41872.7055555555)</f>
        <v>41872.705555555498</v>
      </c>
      <c r="T1091" s="111">
        <f ca="1">IFERROR(__xludf.DUMMYFUNCTION("""COMPUTED_VALUE"""),10.96)</f>
        <v>10.96</v>
      </c>
    </row>
    <row r="1092" spans="1:20" x14ac:dyDescent="0.3">
      <c r="A1092" s="112">
        <f ca="1">IFERROR(__xludf.DUMMYFUNCTION("""COMPUTED_VALUE"""),41870.7055555555)</f>
        <v>41870.705555555498</v>
      </c>
      <c r="B1092" s="111">
        <f ca="1">IFERROR(__xludf.DUMMYFUNCTION("""COMPUTED_VALUE"""),6.8)</f>
        <v>6.8</v>
      </c>
      <c r="C1092" s="112">
        <f ca="1">IFERROR(__xludf.DUMMYFUNCTION("""COMPUTED_VALUE"""),41877.7055555555)</f>
        <v>41877.705555555498</v>
      </c>
      <c r="D1092" s="111">
        <f ca="1">IFERROR(__xludf.DUMMYFUNCTION("""COMPUTED_VALUE"""),21.31)</f>
        <v>21.31</v>
      </c>
      <c r="E1092" s="112">
        <f ca="1">IFERROR(__xludf.DUMMYFUNCTION("""COMPUTED_VALUE"""),41878.7055555555)</f>
        <v>41878.705555555498</v>
      </c>
      <c r="F1092" s="111">
        <f ca="1">IFERROR(__xludf.DUMMYFUNCTION("""COMPUTED_VALUE"""),7.66)</f>
        <v>7.66</v>
      </c>
      <c r="G1092" s="112">
        <f ca="1">IFERROR(__xludf.DUMMYFUNCTION("""COMPUTED_VALUE"""),41871.7055555555)</f>
        <v>41871.705555555498</v>
      </c>
      <c r="H1092" s="111">
        <f ca="1">IFERROR(__xludf.DUMMYFUNCTION("""COMPUTED_VALUE"""),21.36)</f>
        <v>21.36</v>
      </c>
      <c r="K1092" s="112">
        <f ca="1">IFERROR(__xludf.DUMMYFUNCTION("""COMPUTED_VALUE"""),42320.7055555555)</f>
        <v>42320.705555555498</v>
      </c>
      <c r="L1092" s="111">
        <f ca="1">IFERROR(__xludf.DUMMYFUNCTION("""COMPUTED_VALUE"""),0.04)</f>
        <v>0.04</v>
      </c>
      <c r="M1092" s="112">
        <f ca="1">IFERROR(__xludf.DUMMYFUNCTION("""COMPUTED_VALUE"""),41786.7055555555)</f>
        <v>41786.705555555498</v>
      </c>
      <c r="N1092" s="111">
        <f ca="1">IFERROR(__xludf.DUMMYFUNCTION("""COMPUTED_VALUE"""),13.88)</f>
        <v>13.88</v>
      </c>
      <c r="O1092" s="112">
        <f ca="1">IFERROR(__xludf.DUMMYFUNCTION("""COMPUTED_VALUE"""),41864.7055555555)</f>
        <v>41864.705555555498</v>
      </c>
      <c r="P1092" s="111">
        <f ca="1">IFERROR(__xludf.DUMMYFUNCTION("""COMPUTED_VALUE"""),31.34)</f>
        <v>31.34</v>
      </c>
      <c r="Q1092" s="112">
        <f ca="1">IFERROR(__xludf.DUMMYFUNCTION("""COMPUTED_VALUE"""),41862.7055555555)</f>
        <v>41862.705555555498</v>
      </c>
      <c r="R1092" s="111">
        <f ca="1">IFERROR(__xludf.DUMMYFUNCTION("""COMPUTED_VALUE"""),27.72)</f>
        <v>27.72</v>
      </c>
      <c r="S1092" s="112">
        <f ca="1">IFERROR(__xludf.DUMMYFUNCTION("""COMPUTED_VALUE"""),41873.7055555555)</f>
        <v>41873.705555555498</v>
      </c>
      <c r="T1092" s="111">
        <f ca="1">IFERROR(__xludf.DUMMYFUNCTION("""COMPUTED_VALUE"""),10.86)</f>
        <v>10.86</v>
      </c>
    </row>
    <row r="1093" spans="1:20" x14ac:dyDescent="0.3">
      <c r="A1093" s="112">
        <f ca="1">IFERROR(__xludf.DUMMYFUNCTION("""COMPUTED_VALUE"""),41871.7055555555)</f>
        <v>41871.705555555498</v>
      </c>
      <c r="B1093" s="111">
        <f ca="1">IFERROR(__xludf.DUMMYFUNCTION("""COMPUTED_VALUE"""),7)</f>
        <v>7</v>
      </c>
      <c r="C1093" s="112">
        <f ca="1">IFERROR(__xludf.DUMMYFUNCTION("""COMPUTED_VALUE"""),41878.7055555555)</f>
        <v>41878.705555555498</v>
      </c>
      <c r="D1093" s="111">
        <f ca="1">IFERROR(__xludf.DUMMYFUNCTION("""COMPUTED_VALUE"""),21.95)</f>
        <v>21.95</v>
      </c>
      <c r="E1093" s="112">
        <f ca="1">IFERROR(__xludf.DUMMYFUNCTION("""COMPUTED_VALUE"""),41879.7055555555)</f>
        <v>41879.705555555498</v>
      </c>
      <c r="F1093" s="111">
        <f ca="1">IFERROR(__xludf.DUMMYFUNCTION("""COMPUTED_VALUE"""),7.63)</f>
        <v>7.63</v>
      </c>
      <c r="G1093" s="112">
        <f ca="1">IFERROR(__xludf.DUMMYFUNCTION("""COMPUTED_VALUE"""),41872.7055555555)</f>
        <v>41872.705555555498</v>
      </c>
      <c r="H1093" s="111">
        <f ca="1">IFERROR(__xludf.DUMMYFUNCTION("""COMPUTED_VALUE"""),21.3)</f>
        <v>21.3</v>
      </c>
      <c r="K1093" s="112">
        <f ca="1">IFERROR(__xludf.DUMMYFUNCTION("""COMPUTED_VALUE"""),42321.7055555555)</f>
        <v>42321.705555555498</v>
      </c>
      <c r="L1093" s="111">
        <f ca="1">IFERROR(__xludf.DUMMYFUNCTION("""COMPUTED_VALUE"""),0.04)</f>
        <v>0.04</v>
      </c>
      <c r="M1093" s="112">
        <f ca="1">IFERROR(__xludf.DUMMYFUNCTION("""COMPUTED_VALUE"""),41787.7055555555)</f>
        <v>41787.705555555498</v>
      </c>
      <c r="N1093" s="111">
        <f ca="1">IFERROR(__xludf.DUMMYFUNCTION("""COMPUTED_VALUE"""),14.03)</f>
        <v>14.03</v>
      </c>
      <c r="O1093" s="112">
        <f ca="1">IFERROR(__xludf.DUMMYFUNCTION("""COMPUTED_VALUE"""),41865.7055555555)</f>
        <v>41865.705555555498</v>
      </c>
      <c r="P1093" s="111">
        <f ca="1">IFERROR(__xludf.DUMMYFUNCTION("""COMPUTED_VALUE"""),30.59)</f>
        <v>30.59</v>
      </c>
      <c r="Q1093" s="112">
        <f ca="1">IFERROR(__xludf.DUMMYFUNCTION("""COMPUTED_VALUE"""),41863.7055555555)</f>
        <v>41863.705555555498</v>
      </c>
      <c r="R1093" s="111">
        <f ca="1">IFERROR(__xludf.DUMMYFUNCTION("""COMPUTED_VALUE"""),27.58)</f>
        <v>27.58</v>
      </c>
      <c r="S1093" s="112">
        <f ca="1">IFERROR(__xludf.DUMMYFUNCTION("""COMPUTED_VALUE"""),41876.7055555555)</f>
        <v>41876.705555555498</v>
      </c>
      <c r="T1093" s="111">
        <f ca="1">IFERROR(__xludf.DUMMYFUNCTION("""COMPUTED_VALUE"""),10.91)</f>
        <v>10.91</v>
      </c>
    </row>
    <row r="1094" spans="1:20" x14ac:dyDescent="0.3">
      <c r="A1094" s="112">
        <f ca="1">IFERROR(__xludf.DUMMYFUNCTION("""COMPUTED_VALUE"""),41872.7055555555)</f>
        <v>41872.705555555498</v>
      </c>
      <c r="B1094" s="111">
        <f ca="1">IFERROR(__xludf.DUMMYFUNCTION("""COMPUTED_VALUE"""),7.13)</f>
        <v>7.13</v>
      </c>
      <c r="C1094" s="112">
        <f ca="1">IFERROR(__xludf.DUMMYFUNCTION("""COMPUTED_VALUE"""),41879.7055555555)</f>
        <v>41879.705555555498</v>
      </c>
      <c r="D1094" s="111">
        <f ca="1">IFERROR(__xludf.DUMMYFUNCTION("""COMPUTED_VALUE"""),21.74)</f>
        <v>21.74</v>
      </c>
      <c r="E1094" s="112">
        <f ca="1">IFERROR(__xludf.DUMMYFUNCTION("""COMPUTED_VALUE"""),41880.7055555555)</f>
        <v>41880.705555555498</v>
      </c>
      <c r="F1094" s="111">
        <f ca="1">IFERROR(__xludf.DUMMYFUNCTION("""COMPUTED_VALUE"""),7.84)</f>
        <v>7.84</v>
      </c>
      <c r="G1094" s="112">
        <f ca="1">IFERROR(__xludf.DUMMYFUNCTION("""COMPUTED_VALUE"""),41873.7055555555)</f>
        <v>41873.705555555498</v>
      </c>
      <c r="H1094" s="111">
        <f ca="1">IFERROR(__xludf.DUMMYFUNCTION("""COMPUTED_VALUE"""),20.92)</f>
        <v>20.92</v>
      </c>
      <c r="K1094" s="112">
        <f ca="1">IFERROR(__xludf.DUMMYFUNCTION("""COMPUTED_VALUE"""),42324.7055555555)</f>
        <v>42324.705555555498</v>
      </c>
      <c r="L1094" s="111">
        <f ca="1">IFERROR(__xludf.DUMMYFUNCTION("""COMPUTED_VALUE"""),0.04)</f>
        <v>0.04</v>
      </c>
      <c r="M1094" s="112">
        <f ca="1">IFERROR(__xludf.DUMMYFUNCTION("""COMPUTED_VALUE"""),41788.7055555555)</f>
        <v>41788.705555555498</v>
      </c>
      <c r="N1094" s="111">
        <f ca="1">IFERROR(__xludf.DUMMYFUNCTION("""COMPUTED_VALUE"""),13.87)</f>
        <v>13.87</v>
      </c>
      <c r="O1094" s="112">
        <f ca="1">IFERROR(__xludf.DUMMYFUNCTION("""COMPUTED_VALUE"""),41866.7055555555)</f>
        <v>41866.705555555498</v>
      </c>
      <c r="P1094" s="111">
        <f ca="1">IFERROR(__xludf.DUMMYFUNCTION("""COMPUTED_VALUE"""),31)</f>
        <v>31</v>
      </c>
      <c r="Q1094" s="112">
        <f ca="1">IFERROR(__xludf.DUMMYFUNCTION("""COMPUTED_VALUE"""),41864.7055555555)</f>
        <v>41864.705555555498</v>
      </c>
      <c r="R1094" s="111">
        <f ca="1">IFERROR(__xludf.DUMMYFUNCTION("""COMPUTED_VALUE"""),27.65)</f>
        <v>27.65</v>
      </c>
      <c r="S1094" s="112">
        <f ca="1">IFERROR(__xludf.DUMMYFUNCTION("""COMPUTED_VALUE"""),41877.7055555555)</f>
        <v>41877.705555555498</v>
      </c>
      <c r="T1094" s="111">
        <f ca="1">IFERROR(__xludf.DUMMYFUNCTION("""COMPUTED_VALUE"""),10.94)</f>
        <v>10.94</v>
      </c>
    </row>
    <row r="1095" spans="1:20" x14ac:dyDescent="0.3">
      <c r="A1095" s="112">
        <f ca="1">IFERROR(__xludf.DUMMYFUNCTION("""COMPUTED_VALUE"""),41873.7055555555)</f>
        <v>41873.705555555498</v>
      </c>
      <c r="B1095" s="111">
        <f ca="1">IFERROR(__xludf.DUMMYFUNCTION("""COMPUTED_VALUE"""),7.09)</f>
        <v>7.09</v>
      </c>
      <c r="C1095" s="112">
        <f ca="1">IFERROR(__xludf.DUMMYFUNCTION("""COMPUTED_VALUE"""),41880.7055555555)</f>
        <v>41880.705555555498</v>
      </c>
      <c r="D1095" s="111">
        <f ca="1">IFERROR(__xludf.DUMMYFUNCTION("""COMPUTED_VALUE"""),22.31)</f>
        <v>22.31</v>
      </c>
      <c r="E1095" s="112">
        <f ca="1">IFERROR(__xludf.DUMMYFUNCTION("""COMPUTED_VALUE"""),41883.7055555555)</f>
        <v>41883.705555555498</v>
      </c>
      <c r="F1095" s="111">
        <f ca="1">IFERROR(__xludf.DUMMYFUNCTION("""COMPUTED_VALUE"""),7.87)</f>
        <v>7.87</v>
      </c>
      <c r="G1095" s="112">
        <f ca="1">IFERROR(__xludf.DUMMYFUNCTION("""COMPUTED_VALUE"""),41876.7055555555)</f>
        <v>41876.705555555498</v>
      </c>
      <c r="H1095" s="111">
        <f ca="1">IFERROR(__xludf.DUMMYFUNCTION("""COMPUTED_VALUE"""),22.04)</f>
        <v>22.04</v>
      </c>
      <c r="K1095" s="112">
        <f ca="1">IFERROR(__xludf.DUMMYFUNCTION("""COMPUTED_VALUE"""),42325.7055555555)</f>
        <v>42325.705555555498</v>
      </c>
      <c r="L1095" s="111">
        <f ca="1">IFERROR(__xludf.DUMMYFUNCTION("""COMPUTED_VALUE"""),0.04)</f>
        <v>0.04</v>
      </c>
      <c r="M1095" s="112">
        <f ca="1">IFERROR(__xludf.DUMMYFUNCTION("""COMPUTED_VALUE"""),41789.7055555555)</f>
        <v>41789.705555555498</v>
      </c>
      <c r="N1095" s="111">
        <f ca="1">IFERROR(__xludf.DUMMYFUNCTION("""COMPUTED_VALUE"""),13.45)</f>
        <v>13.45</v>
      </c>
      <c r="O1095" s="112">
        <f ca="1">IFERROR(__xludf.DUMMYFUNCTION("""COMPUTED_VALUE"""),41869.7055555555)</f>
        <v>41869.705555555498</v>
      </c>
      <c r="P1095" s="111">
        <f ca="1">IFERROR(__xludf.DUMMYFUNCTION("""COMPUTED_VALUE"""),31.24)</f>
        <v>31.24</v>
      </c>
      <c r="Q1095" s="112">
        <f ca="1">IFERROR(__xludf.DUMMYFUNCTION("""COMPUTED_VALUE"""),41865.7055555555)</f>
        <v>41865.705555555498</v>
      </c>
      <c r="R1095" s="111">
        <f ca="1">IFERROR(__xludf.DUMMYFUNCTION("""COMPUTED_VALUE"""),28.66)</f>
        <v>28.66</v>
      </c>
      <c r="S1095" s="112">
        <f ca="1">IFERROR(__xludf.DUMMYFUNCTION("""COMPUTED_VALUE"""),41878.7055555555)</f>
        <v>41878.705555555498</v>
      </c>
      <c r="T1095" s="111">
        <f ca="1">IFERROR(__xludf.DUMMYFUNCTION("""COMPUTED_VALUE"""),11.38)</f>
        <v>11.38</v>
      </c>
    </row>
    <row r="1096" spans="1:20" x14ac:dyDescent="0.3">
      <c r="A1096" s="112">
        <f ca="1">IFERROR(__xludf.DUMMYFUNCTION("""COMPUTED_VALUE"""),41876.7055555555)</f>
        <v>41876.705555555498</v>
      </c>
      <c r="B1096" s="111">
        <f ca="1">IFERROR(__xludf.DUMMYFUNCTION("""COMPUTED_VALUE"""),7.25)</f>
        <v>7.25</v>
      </c>
      <c r="C1096" s="112">
        <f ca="1">IFERROR(__xludf.DUMMYFUNCTION("""COMPUTED_VALUE"""),41883.7055555555)</f>
        <v>41883.705555555498</v>
      </c>
      <c r="D1096" s="111">
        <f ca="1">IFERROR(__xludf.DUMMYFUNCTION("""COMPUTED_VALUE"""),22.31)</f>
        <v>22.31</v>
      </c>
      <c r="E1096" s="112">
        <f ca="1">IFERROR(__xludf.DUMMYFUNCTION("""COMPUTED_VALUE"""),41884.7055555555)</f>
        <v>41884.705555555498</v>
      </c>
      <c r="F1096" s="111">
        <f ca="1">IFERROR(__xludf.DUMMYFUNCTION("""COMPUTED_VALUE"""),8.01)</f>
        <v>8.01</v>
      </c>
      <c r="G1096" s="112">
        <f ca="1">IFERROR(__xludf.DUMMYFUNCTION("""COMPUTED_VALUE"""),41877.7055555555)</f>
        <v>41877.705555555498</v>
      </c>
      <c r="H1096" s="111">
        <f ca="1">IFERROR(__xludf.DUMMYFUNCTION("""COMPUTED_VALUE"""),21.84)</f>
        <v>21.84</v>
      </c>
      <c r="K1096" s="112">
        <f ca="1">IFERROR(__xludf.DUMMYFUNCTION("""COMPUTED_VALUE"""),42326.7055555555)</f>
        <v>42326.705555555498</v>
      </c>
      <c r="L1096" s="111">
        <f ca="1">IFERROR(__xludf.DUMMYFUNCTION("""COMPUTED_VALUE"""),0.04)</f>
        <v>0.04</v>
      </c>
      <c r="M1096" s="112">
        <f ca="1">IFERROR(__xludf.DUMMYFUNCTION("""COMPUTED_VALUE"""),41792.7055555555)</f>
        <v>41792.705555555498</v>
      </c>
      <c r="N1096" s="111">
        <f ca="1">IFERROR(__xludf.DUMMYFUNCTION("""COMPUTED_VALUE"""),13.48)</f>
        <v>13.48</v>
      </c>
      <c r="O1096" s="112">
        <f ca="1">IFERROR(__xludf.DUMMYFUNCTION("""COMPUTED_VALUE"""),41870.7055555555)</f>
        <v>41870.705555555498</v>
      </c>
      <c r="P1096" s="111">
        <f ca="1">IFERROR(__xludf.DUMMYFUNCTION("""COMPUTED_VALUE"""),31.25)</f>
        <v>31.25</v>
      </c>
      <c r="Q1096" s="112">
        <f ca="1">IFERROR(__xludf.DUMMYFUNCTION("""COMPUTED_VALUE"""),41866.7055555555)</f>
        <v>41866.705555555498</v>
      </c>
      <c r="R1096" s="111">
        <f ca="1">IFERROR(__xludf.DUMMYFUNCTION("""COMPUTED_VALUE"""),29.2)</f>
        <v>29.2</v>
      </c>
      <c r="S1096" s="112">
        <f ca="1">IFERROR(__xludf.DUMMYFUNCTION("""COMPUTED_VALUE"""),41879.7055555555)</f>
        <v>41879.705555555498</v>
      </c>
      <c r="T1096" s="111">
        <f ca="1">IFERROR(__xludf.DUMMYFUNCTION("""COMPUTED_VALUE"""),11.5)</f>
        <v>11.5</v>
      </c>
    </row>
    <row r="1097" spans="1:20" x14ac:dyDescent="0.3">
      <c r="A1097" s="112">
        <f ca="1">IFERROR(__xludf.DUMMYFUNCTION("""COMPUTED_VALUE"""),41877.7055555555)</f>
        <v>41877.705555555498</v>
      </c>
      <c r="B1097" s="111">
        <f ca="1">IFERROR(__xludf.DUMMYFUNCTION("""COMPUTED_VALUE"""),7.43)</f>
        <v>7.43</v>
      </c>
      <c r="C1097" s="112">
        <f ca="1">IFERROR(__xludf.DUMMYFUNCTION("""COMPUTED_VALUE"""),41884.7055555555)</f>
        <v>41884.705555555498</v>
      </c>
      <c r="D1097" s="111">
        <f ca="1">IFERROR(__xludf.DUMMYFUNCTION("""COMPUTED_VALUE"""),22.72)</f>
        <v>22.72</v>
      </c>
      <c r="E1097" s="112">
        <f ca="1">IFERROR(__xludf.DUMMYFUNCTION("""COMPUTED_VALUE"""),41885.7055555555)</f>
        <v>41885.705555555498</v>
      </c>
      <c r="F1097" s="111">
        <f ca="1">IFERROR(__xludf.DUMMYFUNCTION("""COMPUTED_VALUE"""),7.97)</f>
        <v>7.97</v>
      </c>
      <c r="G1097" s="112">
        <f ca="1">IFERROR(__xludf.DUMMYFUNCTION("""COMPUTED_VALUE"""),41878.7055555555)</f>
        <v>41878.705555555498</v>
      </c>
      <c r="H1097" s="111">
        <f ca="1">IFERROR(__xludf.DUMMYFUNCTION("""COMPUTED_VALUE"""),22.84)</f>
        <v>22.84</v>
      </c>
      <c r="K1097" s="112">
        <f ca="1">IFERROR(__xludf.DUMMYFUNCTION("""COMPUTED_VALUE"""),42327.7055555555)</f>
        <v>42327.705555555498</v>
      </c>
      <c r="L1097" s="111">
        <f ca="1">IFERROR(__xludf.DUMMYFUNCTION("""COMPUTED_VALUE"""),0.04)</f>
        <v>0.04</v>
      </c>
      <c r="M1097" s="112">
        <f ca="1">IFERROR(__xludf.DUMMYFUNCTION("""COMPUTED_VALUE"""),41793.7055555555)</f>
        <v>41793.705555555498</v>
      </c>
      <c r="N1097" s="111">
        <f ca="1">IFERROR(__xludf.DUMMYFUNCTION("""COMPUTED_VALUE"""),13.58)</f>
        <v>13.58</v>
      </c>
      <c r="O1097" s="112">
        <f ca="1">IFERROR(__xludf.DUMMYFUNCTION("""COMPUTED_VALUE"""),41871.7055555555)</f>
        <v>41871.705555555498</v>
      </c>
      <c r="P1097" s="111">
        <f ca="1">IFERROR(__xludf.DUMMYFUNCTION("""COMPUTED_VALUE"""),31.77)</f>
        <v>31.77</v>
      </c>
      <c r="Q1097" s="112">
        <f ca="1">IFERROR(__xludf.DUMMYFUNCTION("""COMPUTED_VALUE"""),41869.7055555555)</f>
        <v>41869.705555555498</v>
      </c>
      <c r="R1097" s="111">
        <f ca="1">IFERROR(__xludf.DUMMYFUNCTION("""COMPUTED_VALUE"""),29.23)</f>
        <v>29.23</v>
      </c>
      <c r="S1097" s="112">
        <f ca="1">IFERROR(__xludf.DUMMYFUNCTION("""COMPUTED_VALUE"""),41880.7055555555)</f>
        <v>41880.705555555498</v>
      </c>
      <c r="T1097" s="111">
        <f ca="1">IFERROR(__xludf.DUMMYFUNCTION("""COMPUTED_VALUE"""),11.54)</f>
        <v>11.54</v>
      </c>
    </row>
    <row r="1098" spans="1:20" x14ac:dyDescent="0.3">
      <c r="A1098" s="112">
        <f ca="1">IFERROR(__xludf.DUMMYFUNCTION("""COMPUTED_VALUE"""),41878.7055555555)</f>
        <v>41878.705555555498</v>
      </c>
      <c r="B1098" s="111">
        <f ca="1">IFERROR(__xludf.DUMMYFUNCTION("""COMPUTED_VALUE"""),7.91)</f>
        <v>7.91</v>
      </c>
      <c r="C1098" s="112">
        <f ca="1">IFERROR(__xludf.DUMMYFUNCTION("""COMPUTED_VALUE"""),41885.7055555555)</f>
        <v>41885.705555555498</v>
      </c>
      <c r="D1098" s="111">
        <f ca="1">IFERROR(__xludf.DUMMYFUNCTION("""COMPUTED_VALUE"""),22.64)</f>
        <v>22.64</v>
      </c>
      <c r="E1098" s="112">
        <f ca="1">IFERROR(__xludf.DUMMYFUNCTION("""COMPUTED_VALUE"""),41886.7055555555)</f>
        <v>41886.705555555498</v>
      </c>
      <c r="F1098" s="111">
        <f ca="1">IFERROR(__xludf.DUMMYFUNCTION("""COMPUTED_VALUE"""),7.79)</f>
        <v>7.79</v>
      </c>
      <c r="G1098" s="112">
        <f ca="1">IFERROR(__xludf.DUMMYFUNCTION("""COMPUTED_VALUE"""),41879.7055555555)</f>
        <v>41879.705555555498</v>
      </c>
      <c r="H1098" s="111">
        <f ca="1">IFERROR(__xludf.DUMMYFUNCTION("""COMPUTED_VALUE"""),22.84)</f>
        <v>22.84</v>
      </c>
      <c r="K1098" s="112">
        <f ca="1">IFERROR(__xludf.DUMMYFUNCTION("""COMPUTED_VALUE"""),42331.7055555555)</f>
        <v>42331.705555555498</v>
      </c>
      <c r="L1098" s="111">
        <f ca="1">IFERROR(__xludf.DUMMYFUNCTION("""COMPUTED_VALUE"""),0.04)</f>
        <v>0.04</v>
      </c>
      <c r="M1098" s="112">
        <f ca="1">IFERROR(__xludf.DUMMYFUNCTION("""COMPUTED_VALUE"""),41794.7055555555)</f>
        <v>41794.705555555498</v>
      </c>
      <c r="N1098" s="111">
        <f ca="1">IFERROR(__xludf.DUMMYFUNCTION("""COMPUTED_VALUE"""),13.46)</f>
        <v>13.46</v>
      </c>
      <c r="O1098" s="112">
        <f ca="1">IFERROR(__xludf.DUMMYFUNCTION("""COMPUTED_VALUE"""),41872.7055555555)</f>
        <v>41872.705555555498</v>
      </c>
      <c r="P1098" s="111">
        <f ca="1">IFERROR(__xludf.DUMMYFUNCTION("""COMPUTED_VALUE"""),31.56)</f>
        <v>31.56</v>
      </c>
      <c r="Q1098" s="112">
        <f ca="1">IFERROR(__xludf.DUMMYFUNCTION("""COMPUTED_VALUE"""),41870.7055555555)</f>
        <v>41870.705555555498</v>
      </c>
      <c r="R1098" s="111">
        <f ca="1">IFERROR(__xludf.DUMMYFUNCTION("""COMPUTED_VALUE"""),29.82)</f>
        <v>29.82</v>
      </c>
      <c r="S1098" s="112">
        <f ca="1">IFERROR(__xludf.DUMMYFUNCTION("""COMPUTED_VALUE"""),41883.7055555555)</f>
        <v>41883.705555555498</v>
      </c>
      <c r="T1098" s="111">
        <f ca="1">IFERROR(__xludf.DUMMYFUNCTION("""COMPUTED_VALUE"""),11.39)</f>
        <v>11.39</v>
      </c>
    </row>
    <row r="1099" spans="1:20" x14ac:dyDescent="0.3">
      <c r="A1099" s="112">
        <f ca="1">IFERROR(__xludf.DUMMYFUNCTION("""COMPUTED_VALUE"""),41879.7055555555)</f>
        <v>41879.705555555498</v>
      </c>
      <c r="B1099" s="111">
        <f ca="1">IFERROR(__xludf.DUMMYFUNCTION("""COMPUTED_VALUE"""),7.64)</f>
        <v>7.64</v>
      </c>
      <c r="C1099" s="112">
        <f ca="1">IFERROR(__xludf.DUMMYFUNCTION("""COMPUTED_VALUE"""),41886.7055555555)</f>
        <v>41886.705555555498</v>
      </c>
      <c r="D1099" s="111">
        <f ca="1">IFERROR(__xludf.DUMMYFUNCTION("""COMPUTED_VALUE"""),22.18)</f>
        <v>22.18</v>
      </c>
      <c r="E1099" s="112">
        <f ca="1">IFERROR(__xludf.DUMMYFUNCTION("""COMPUTED_VALUE"""),41887.7055555555)</f>
        <v>41887.705555555498</v>
      </c>
      <c r="F1099" s="111">
        <f ca="1">IFERROR(__xludf.DUMMYFUNCTION("""COMPUTED_VALUE"""),7.8)</f>
        <v>7.8</v>
      </c>
      <c r="G1099" s="112">
        <f ca="1">IFERROR(__xludf.DUMMYFUNCTION("""COMPUTED_VALUE"""),41880.7055555555)</f>
        <v>41880.705555555498</v>
      </c>
      <c r="H1099" s="111">
        <f ca="1">IFERROR(__xludf.DUMMYFUNCTION("""COMPUTED_VALUE"""),23.36)</f>
        <v>23.36</v>
      </c>
      <c r="K1099" s="112">
        <f ca="1">IFERROR(__xludf.DUMMYFUNCTION("""COMPUTED_VALUE"""),42332.7055555555)</f>
        <v>42332.705555555498</v>
      </c>
      <c r="L1099" s="111">
        <f ca="1">IFERROR(__xludf.DUMMYFUNCTION("""COMPUTED_VALUE"""),0.04)</f>
        <v>0.04</v>
      </c>
      <c r="M1099" s="112">
        <f ca="1">IFERROR(__xludf.DUMMYFUNCTION("""COMPUTED_VALUE"""),41795.7055555555)</f>
        <v>41795.705555555498</v>
      </c>
      <c r="N1099" s="111">
        <f ca="1">IFERROR(__xludf.DUMMYFUNCTION("""COMPUTED_VALUE"""),13.36)</f>
        <v>13.36</v>
      </c>
      <c r="O1099" s="112">
        <f ca="1">IFERROR(__xludf.DUMMYFUNCTION("""COMPUTED_VALUE"""),41873.7055555555)</f>
        <v>41873.705555555498</v>
      </c>
      <c r="P1099" s="111">
        <f ca="1">IFERROR(__xludf.DUMMYFUNCTION("""COMPUTED_VALUE"""),31.37)</f>
        <v>31.37</v>
      </c>
      <c r="Q1099" s="112">
        <f ca="1">IFERROR(__xludf.DUMMYFUNCTION("""COMPUTED_VALUE"""),41871.7055555555)</f>
        <v>41871.705555555498</v>
      </c>
      <c r="R1099" s="111">
        <f ca="1">IFERROR(__xludf.DUMMYFUNCTION("""COMPUTED_VALUE"""),30.27)</f>
        <v>30.27</v>
      </c>
      <c r="S1099" s="112">
        <f ca="1">IFERROR(__xludf.DUMMYFUNCTION("""COMPUTED_VALUE"""),41884.7055555555)</f>
        <v>41884.705555555498</v>
      </c>
      <c r="T1099" s="111">
        <f ca="1">IFERROR(__xludf.DUMMYFUNCTION("""COMPUTED_VALUE"""),11.31)</f>
        <v>11.31</v>
      </c>
    </row>
    <row r="1100" spans="1:20" x14ac:dyDescent="0.3">
      <c r="A1100" s="112">
        <f ca="1">IFERROR(__xludf.DUMMYFUNCTION("""COMPUTED_VALUE"""),41880.7055555555)</f>
        <v>41880.705555555498</v>
      </c>
      <c r="B1100" s="111">
        <f ca="1">IFERROR(__xludf.DUMMYFUNCTION("""COMPUTED_VALUE"""),8.08)</f>
        <v>8.08</v>
      </c>
      <c r="C1100" s="112">
        <f ca="1">IFERROR(__xludf.DUMMYFUNCTION("""COMPUTED_VALUE"""),41887.7055555555)</f>
        <v>41887.705555555498</v>
      </c>
      <c r="D1100" s="111">
        <f ca="1">IFERROR(__xludf.DUMMYFUNCTION("""COMPUTED_VALUE"""),22.35)</f>
        <v>22.35</v>
      </c>
      <c r="E1100" s="112">
        <f ca="1">IFERROR(__xludf.DUMMYFUNCTION("""COMPUTED_VALUE"""),41890.7055555555)</f>
        <v>41890.705555555498</v>
      </c>
      <c r="F1100" s="111">
        <f ca="1">IFERROR(__xludf.DUMMYFUNCTION("""COMPUTED_VALUE"""),7.61)</f>
        <v>7.61</v>
      </c>
      <c r="G1100" s="112">
        <f ca="1">IFERROR(__xludf.DUMMYFUNCTION("""COMPUTED_VALUE"""),41883.7055555555)</f>
        <v>41883.705555555498</v>
      </c>
      <c r="H1100" s="111">
        <f ca="1">IFERROR(__xludf.DUMMYFUNCTION("""COMPUTED_VALUE"""),23.83)</f>
        <v>23.83</v>
      </c>
      <c r="K1100" s="112">
        <f ca="1">IFERROR(__xludf.DUMMYFUNCTION("""COMPUTED_VALUE"""),42333.7055555555)</f>
        <v>42333.705555555498</v>
      </c>
      <c r="L1100" s="111">
        <f ca="1">IFERROR(__xludf.DUMMYFUNCTION("""COMPUTED_VALUE"""),0.04)</f>
        <v>0.04</v>
      </c>
      <c r="M1100" s="112">
        <f ca="1">IFERROR(__xludf.DUMMYFUNCTION("""COMPUTED_VALUE"""),41796.7055555555)</f>
        <v>41796.705555555498</v>
      </c>
      <c r="N1100" s="111">
        <f ca="1">IFERROR(__xludf.DUMMYFUNCTION("""COMPUTED_VALUE"""),14.02)</f>
        <v>14.02</v>
      </c>
      <c r="O1100" s="112">
        <f ca="1">IFERROR(__xludf.DUMMYFUNCTION("""COMPUTED_VALUE"""),41876.7055555555)</f>
        <v>41876.705555555498</v>
      </c>
      <c r="P1100" s="111">
        <f ca="1">IFERROR(__xludf.DUMMYFUNCTION("""COMPUTED_VALUE"""),31.17)</f>
        <v>31.17</v>
      </c>
      <c r="Q1100" s="112">
        <f ca="1">IFERROR(__xludf.DUMMYFUNCTION("""COMPUTED_VALUE"""),41872.7055555555)</f>
        <v>41872.705555555498</v>
      </c>
      <c r="R1100" s="111">
        <f ca="1">IFERROR(__xludf.DUMMYFUNCTION("""COMPUTED_VALUE"""),30.37)</f>
        <v>30.37</v>
      </c>
      <c r="S1100" s="112">
        <f ca="1">IFERROR(__xludf.DUMMYFUNCTION("""COMPUTED_VALUE"""),41885.7055555555)</f>
        <v>41885.705555555498</v>
      </c>
      <c r="T1100" s="111">
        <f ca="1">IFERROR(__xludf.DUMMYFUNCTION("""COMPUTED_VALUE"""),11.3)</f>
        <v>11.3</v>
      </c>
    </row>
    <row r="1101" spans="1:20" x14ac:dyDescent="0.3">
      <c r="A1101" s="112">
        <f ca="1">IFERROR(__xludf.DUMMYFUNCTION("""COMPUTED_VALUE"""),41883.7055555555)</f>
        <v>41883.705555555498</v>
      </c>
      <c r="B1101" s="111">
        <f ca="1">IFERROR(__xludf.DUMMYFUNCTION("""COMPUTED_VALUE"""),8.5)</f>
        <v>8.5</v>
      </c>
      <c r="C1101" s="112">
        <f ca="1">IFERROR(__xludf.DUMMYFUNCTION("""COMPUTED_VALUE"""),41890.7055555555)</f>
        <v>41890.705555555498</v>
      </c>
      <c r="D1101" s="111">
        <f ca="1">IFERROR(__xludf.DUMMYFUNCTION("""COMPUTED_VALUE"""),21.77)</f>
        <v>21.77</v>
      </c>
      <c r="E1101" s="112">
        <f ca="1">IFERROR(__xludf.DUMMYFUNCTION("""COMPUTED_VALUE"""),41891.7055555555)</f>
        <v>41891.705555555498</v>
      </c>
      <c r="F1101" s="111">
        <f ca="1">IFERROR(__xludf.DUMMYFUNCTION("""COMPUTED_VALUE"""),7.53)</f>
        <v>7.53</v>
      </c>
      <c r="G1101" s="112">
        <f ca="1">IFERROR(__xludf.DUMMYFUNCTION("""COMPUTED_VALUE"""),41884.7055555555)</f>
        <v>41884.705555555498</v>
      </c>
      <c r="H1101" s="111">
        <f ca="1">IFERROR(__xludf.DUMMYFUNCTION("""COMPUTED_VALUE"""),24.56)</f>
        <v>24.56</v>
      </c>
      <c r="K1101" s="112">
        <f ca="1">IFERROR(__xludf.DUMMYFUNCTION("""COMPUTED_VALUE"""),42334.7055555555)</f>
        <v>42334.705555555498</v>
      </c>
      <c r="L1101" s="111">
        <f ca="1">IFERROR(__xludf.DUMMYFUNCTION("""COMPUTED_VALUE"""),0.04)</f>
        <v>0.04</v>
      </c>
      <c r="M1101" s="112">
        <f ca="1">IFERROR(__xludf.DUMMYFUNCTION("""COMPUTED_VALUE"""),41799.7055555555)</f>
        <v>41799.705555555498</v>
      </c>
      <c r="N1101" s="111">
        <f ca="1">IFERROR(__xludf.DUMMYFUNCTION("""COMPUTED_VALUE"""),14.39)</f>
        <v>14.39</v>
      </c>
      <c r="O1101" s="112">
        <f ca="1">IFERROR(__xludf.DUMMYFUNCTION("""COMPUTED_VALUE"""),41877.7055555555)</f>
        <v>41877.705555555498</v>
      </c>
      <c r="P1101" s="111">
        <f ca="1">IFERROR(__xludf.DUMMYFUNCTION("""COMPUTED_VALUE"""),31.02)</f>
        <v>31.02</v>
      </c>
      <c r="Q1101" s="112">
        <f ca="1">IFERROR(__xludf.DUMMYFUNCTION("""COMPUTED_VALUE"""),41873.7055555555)</f>
        <v>41873.705555555498</v>
      </c>
      <c r="R1101" s="111">
        <f ca="1">IFERROR(__xludf.DUMMYFUNCTION("""COMPUTED_VALUE"""),30.23)</f>
        <v>30.23</v>
      </c>
      <c r="S1101" s="112">
        <f ca="1">IFERROR(__xludf.DUMMYFUNCTION("""COMPUTED_VALUE"""),41886.7055555555)</f>
        <v>41886.705555555498</v>
      </c>
      <c r="T1101" s="111">
        <f ca="1">IFERROR(__xludf.DUMMYFUNCTION("""COMPUTED_VALUE"""),11.36)</f>
        <v>11.36</v>
      </c>
    </row>
    <row r="1102" spans="1:20" x14ac:dyDescent="0.3">
      <c r="A1102" s="112">
        <f ca="1">IFERROR(__xludf.DUMMYFUNCTION("""COMPUTED_VALUE"""),41884.7055555555)</f>
        <v>41884.705555555498</v>
      </c>
      <c r="B1102" s="111">
        <f ca="1">IFERROR(__xludf.DUMMYFUNCTION("""COMPUTED_VALUE"""),8.26)</f>
        <v>8.26</v>
      </c>
      <c r="C1102" s="112">
        <f ca="1">IFERROR(__xludf.DUMMYFUNCTION("""COMPUTED_VALUE"""),41891.7055555555)</f>
        <v>41891.705555555498</v>
      </c>
      <c r="D1102" s="111">
        <f ca="1">IFERROR(__xludf.DUMMYFUNCTION("""COMPUTED_VALUE"""),21.43)</f>
        <v>21.43</v>
      </c>
      <c r="E1102" s="112">
        <f ca="1">IFERROR(__xludf.DUMMYFUNCTION("""COMPUTED_VALUE"""),41892.7055555555)</f>
        <v>41892.705555555498</v>
      </c>
      <c r="F1102" s="111">
        <f ca="1">IFERROR(__xludf.DUMMYFUNCTION("""COMPUTED_VALUE"""),7.46)</f>
        <v>7.46</v>
      </c>
      <c r="G1102" s="112">
        <f ca="1">IFERROR(__xludf.DUMMYFUNCTION("""COMPUTED_VALUE"""),41885.7055555555)</f>
        <v>41885.705555555498</v>
      </c>
      <c r="H1102" s="111">
        <f ca="1">IFERROR(__xludf.DUMMYFUNCTION("""COMPUTED_VALUE"""),23.95)</f>
        <v>23.95</v>
      </c>
      <c r="K1102" s="112">
        <f ca="1">IFERROR(__xludf.DUMMYFUNCTION("""COMPUTED_VALUE"""),42335.7055555555)</f>
        <v>42335.705555555498</v>
      </c>
      <c r="L1102" s="111">
        <f ca="1">IFERROR(__xludf.DUMMYFUNCTION("""COMPUTED_VALUE"""),0.04)</f>
        <v>0.04</v>
      </c>
      <c r="M1102" s="112">
        <f ca="1">IFERROR(__xludf.DUMMYFUNCTION("""COMPUTED_VALUE"""),41800.7055555555)</f>
        <v>41800.705555555498</v>
      </c>
      <c r="N1102" s="111">
        <f ca="1">IFERROR(__xludf.DUMMYFUNCTION("""COMPUTED_VALUE"""),14.51)</f>
        <v>14.51</v>
      </c>
      <c r="O1102" s="112">
        <f ca="1">IFERROR(__xludf.DUMMYFUNCTION("""COMPUTED_VALUE"""),41878.7055555555)</f>
        <v>41878.705555555498</v>
      </c>
      <c r="P1102" s="111">
        <f ca="1">IFERROR(__xludf.DUMMYFUNCTION("""COMPUTED_VALUE"""),30.68)</f>
        <v>30.68</v>
      </c>
      <c r="Q1102" s="112">
        <f ca="1">IFERROR(__xludf.DUMMYFUNCTION("""COMPUTED_VALUE"""),41876.7055555555)</f>
        <v>41876.705555555498</v>
      </c>
      <c r="R1102" s="111">
        <f ca="1">IFERROR(__xludf.DUMMYFUNCTION("""COMPUTED_VALUE"""),31.24)</f>
        <v>31.24</v>
      </c>
      <c r="S1102" s="112">
        <f ca="1">IFERROR(__xludf.DUMMYFUNCTION("""COMPUTED_VALUE"""),41887.7055555555)</f>
        <v>41887.705555555498</v>
      </c>
      <c r="T1102" s="111">
        <f ca="1">IFERROR(__xludf.DUMMYFUNCTION("""COMPUTED_VALUE"""),11.2)</f>
        <v>11.2</v>
      </c>
    </row>
    <row r="1103" spans="1:20" x14ac:dyDescent="0.3">
      <c r="A1103" s="112">
        <f ca="1">IFERROR(__xludf.DUMMYFUNCTION("""COMPUTED_VALUE"""),41885.7055555555)</f>
        <v>41885.705555555498</v>
      </c>
      <c r="B1103" s="111">
        <f ca="1">IFERROR(__xludf.DUMMYFUNCTION("""COMPUTED_VALUE"""),8.19)</f>
        <v>8.19</v>
      </c>
      <c r="C1103" s="112">
        <f ca="1">IFERROR(__xludf.DUMMYFUNCTION("""COMPUTED_VALUE"""),41892.7055555555)</f>
        <v>41892.705555555498</v>
      </c>
      <c r="D1103" s="111">
        <f ca="1">IFERROR(__xludf.DUMMYFUNCTION("""COMPUTED_VALUE"""),21.2)</f>
        <v>21.2</v>
      </c>
      <c r="E1103" s="112">
        <f ca="1">IFERROR(__xludf.DUMMYFUNCTION("""COMPUTED_VALUE"""),41893.7055555555)</f>
        <v>41893.705555555498</v>
      </c>
      <c r="F1103" s="111">
        <f ca="1">IFERROR(__xludf.DUMMYFUNCTION("""COMPUTED_VALUE"""),7.45)</f>
        <v>7.45</v>
      </c>
      <c r="G1103" s="112">
        <f ca="1">IFERROR(__xludf.DUMMYFUNCTION("""COMPUTED_VALUE"""),41886.7055555555)</f>
        <v>41886.705555555498</v>
      </c>
      <c r="H1103" s="111">
        <f ca="1">IFERROR(__xludf.DUMMYFUNCTION("""COMPUTED_VALUE"""),22.79)</f>
        <v>22.79</v>
      </c>
      <c r="K1103" s="112">
        <f ca="1">IFERROR(__xludf.DUMMYFUNCTION("""COMPUTED_VALUE"""),42338.7055555555)</f>
        <v>42338.705555555498</v>
      </c>
      <c r="L1103" s="111">
        <f ca="1">IFERROR(__xludf.DUMMYFUNCTION("""COMPUTED_VALUE"""),0.03)</f>
        <v>0.03</v>
      </c>
      <c r="M1103" s="112">
        <f ca="1">IFERROR(__xludf.DUMMYFUNCTION("""COMPUTED_VALUE"""),41801.7055555555)</f>
        <v>41801.705555555498</v>
      </c>
      <c r="N1103" s="111">
        <f ca="1">IFERROR(__xludf.DUMMYFUNCTION("""COMPUTED_VALUE"""),14.85)</f>
        <v>14.85</v>
      </c>
      <c r="O1103" s="112">
        <f ca="1">IFERROR(__xludf.DUMMYFUNCTION("""COMPUTED_VALUE"""),41879.7055555555)</f>
        <v>41879.705555555498</v>
      </c>
      <c r="P1103" s="111">
        <f ca="1">IFERROR(__xludf.DUMMYFUNCTION("""COMPUTED_VALUE"""),29.37)</f>
        <v>29.37</v>
      </c>
      <c r="Q1103" s="112">
        <f ca="1">IFERROR(__xludf.DUMMYFUNCTION("""COMPUTED_VALUE"""),41877.7055555555)</f>
        <v>41877.705555555498</v>
      </c>
      <c r="R1103" s="111">
        <f ca="1">IFERROR(__xludf.DUMMYFUNCTION("""COMPUTED_VALUE"""),31.43)</f>
        <v>31.43</v>
      </c>
      <c r="S1103" s="112">
        <f ca="1">IFERROR(__xludf.DUMMYFUNCTION("""COMPUTED_VALUE"""),41890.7055555555)</f>
        <v>41890.705555555498</v>
      </c>
      <c r="T1103" s="111">
        <f ca="1">IFERROR(__xludf.DUMMYFUNCTION("""COMPUTED_VALUE"""),11.13)</f>
        <v>11.13</v>
      </c>
    </row>
    <row r="1104" spans="1:20" x14ac:dyDescent="0.3">
      <c r="A1104" s="112">
        <f ca="1">IFERROR(__xludf.DUMMYFUNCTION("""COMPUTED_VALUE"""),41886.7055555555)</f>
        <v>41886.705555555498</v>
      </c>
      <c r="B1104" s="111">
        <f ca="1">IFERROR(__xludf.DUMMYFUNCTION("""COMPUTED_VALUE"""),7.86)</f>
        <v>7.86</v>
      </c>
      <c r="C1104" s="112">
        <f ca="1">IFERROR(__xludf.DUMMYFUNCTION("""COMPUTED_VALUE"""),41893.7055555555)</f>
        <v>41893.705555555498</v>
      </c>
      <c r="D1104" s="111">
        <f ca="1">IFERROR(__xludf.DUMMYFUNCTION("""COMPUTED_VALUE"""),21.17)</f>
        <v>21.17</v>
      </c>
      <c r="E1104" s="112">
        <f ca="1">IFERROR(__xludf.DUMMYFUNCTION("""COMPUTED_VALUE"""),41894.7055555555)</f>
        <v>41894.705555555498</v>
      </c>
      <c r="F1104" s="111">
        <f ca="1">IFERROR(__xludf.DUMMYFUNCTION("""COMPUTED_VALUE"""),7.19)</f>
        <v>7.19</v>
      </c>
      <c r="G1104" s="112">
        <f ca="1">IFERROR(__xludf.DUMMYFUNCTION("""COMPUTED_VALUE"""),41887.7055555555)</f>
        <v>41887.705555555498</v>
      </c>
      <c r="H1104" s="111">
        <f ca="1">IFERROR(__xludf.DUMMYFUNCTION("""COMPUTED_VALUE"""),22.82)</f>
        <v>22.82</v>
      </c>
      <c r="K1104" s="112">
        <f ca="1">IFERROR(__xludf.DUMMYFUNCTION("""COMPUTED_VALUE"""),42339.7055555555)</f>
        <v>42339.705555555498</v>
      </c>
      <c r="L1104" s="111">
        <f ca="1">IFERROR(__xludf.DUMMYFUNCTION("""COMPUTED_VALUE"""),0.03)</f>
        <v>0.03</v>
      </c>
      <c r="M1104" s="112">
        <f ca="1">IFERROR(__xludf.DUMMYFUNCTION("""COMPUTED_VALUE"""),41803.7055555555)</f>
        <v>41803.705555555498</v>
      </c>
      <c r="N1104" s="111">
        <f ca="1">IFERROR(__xludf.DUMMYFUNCTION("""COMPUTED_VALUE"""),14.81)</f>
        <v>14.81</v>
      </c>
      <c r="O1104" s="112">
        <f ca="1">IFERROR(__xludf.DUMMYFUNCTION("""COMPUTED_VALUE"""),41880.7055555555)</f>
        <v>41880.705555555498</v>
      </c>
      <c r="P1104" s="111">
        <f ca="1">IFERROR(__xludf.DUMMYFUNCTION("""COMPUTED_VALUE"""),29.2)</f>
        <v>29.2</v>
      </c>
      <c r="Q1104" s="112">
        <f ca="1">IFERROR(__xludf.DUMMYFUNCTION("""COMPUTED_VALUE"""),41878.7055555555)</f>
        <v>41878.705555555498</v>
      </c>
      <c r="R1104" s="111">
        <f ca="1">IFERROR(__xludf.DUMMYFUNCTION("""COMPUTED_VALUE"""),32.9)</f>
        <v>32.9</v>
      </c>
      <c r="S1104" s="112">
        <f ca="1">IFERROR(__xludf.DUMMYFUNCTION("""COMPUTED_VALUE"""),41891.7055555555)</f>
        <v>41891.705555555498</v>
      </c>
      <c r="T1104" s="111">
        <f ca="1">IFERROR(__xludf.DUMMYFUNCTION("""COMPUTED_VALUE"""),10.97)</f>
        <v>10.97</v>
      </c>
    </row>
    <row r="1105" spans="1:20" x14ac:dyDescent="0.3">
      <c r="A1105" s="112">
        <f ca="1">IFERROR(__xludf.DUMMYFUNCTION("""COMPUTED_VALUE"""),41887.7055555555)</f>
        <v>41887.705555555498</v>
      </c>
      <c r="B1105" s="111">
        <f ca="1">IFERROR(__xludf.DUMMYFUNCTION("""COMPUTED_VALUE"""),7.72)</f>
        <v>7.72</v>
      </c>
      <c r="C1105" s="112">
        <f ca="1">IFERROR(__xludf.DUMMYFUNCTION("""COMPUTED_VALUE"""),41894.7055555555)</f>
        <v>41894.705555555498</v>
      </c>
      <c r="D1105" s="111">
        <f ca="1">IFERROR(__xludf.DUMMYFUNCTION("""COMPUTED_VALUE"""),20.41)</f>
        <v>20.41</v>
      </c>
      <c r="E1105" s="112">
        <f ca="1">IFERROR(__xludf.DUMMYFUNCTION("""COMPUTED_VALUE"""),41897.7055555555)</f>
        <v>41897.705555555498</v>
      </c>
      <c r="F1105" s="111">
        <f ca="1">IFERROR(__xludf.DUMMYFUNCTION("""COMPUTED_VALUE"""),7.36)</f>
        <v>7.36</v>
      </c>
      <c r="G1105" s="112">
        <f ca="1">IFERROR(__xludf.DUMMYFUNCTION("""COMPUTED_VALUE"""),41890.7055555555)</f>
        <v>41890.705555555498</v>
      </c>
      <c r="H1105" s="111">
        <f ca="1">IFERROR(__xludf.DUMMYFUNCTION("""COMPUTED_VALUE"""),21.7)</f>
        <v>21.7</v>
      </c>
      <c r="K1105" s="112">
        <f ca="1">IFERROR(__xludf.DUMMYFUNCTION("""COMPUTED_VALUE"""),42340.7055555555)</f>
        <v>42340.705555555498</v>
      </c>
      <c r="L1105" s="111">
        <f ca="1">IFERROR(__xludf.DUMMYFUNCTION("""COMPUTED_VALUE"""),0.03)</f>
        <v>0.03</v>
      </c>
      <c r="M1105" s="112">
        <f ca="1">IFERROR(__xludf.DUMMYFUNCTION("""COMPUTED_VALUE"""),41806.7055555555)</f>
        <v>41806.705555555498</v>
      </c>
      <c r="N1105" s="111">
        <f ca="1">IFERROR(__xludf.DUMMYFUNCTION("""COMPUTED_VALUE"""),14.79)</f>
        <v>14.79</v>
      </c>
      <c r="O1105" s="112">
        <f ca="1">IFERROR(__xludf.DUMMYFUNCTION("""COMPUTED_VALUE"""),41883.7055555555)</f>
        <v>41883.705555555498</v>
      </c>
      <c r="P1105" s="111">
        <f ca="1">IFERROR(__xludf.DUMMYFUNCTION("""COMPUTED_VALUE"""),28.95)</f>
        <v>28.95</v>
      </c>
      <c r="Q1105" s="112">
        <f ca="1">IFERROR(__xludf.DUMMYFUNCTION("""COMPUTED_VALUE"""),41879.7055555555)</f>
        <v>41879.705555555498</v>
      </c>
      <c r="R1105" s="111">
        <f ca="1">IFERROR(__xludf.DUMMYFUNCTION("""COMPUTED_VALUE"""),33.35)</f>
        <v>33.35</v>
      </c>
      <c r="S1105" s="112">
        <f ca="1">IFERROR(__xludf.DUMMYFUNCTION("""COMPUTED_VALUE"""),41892.7055555555)</f>
        <v>41892.705555555498</v>
      </c>
      <c r="T1105" s="111">
        <f ca="1">IFERROR(__xludf.DUMMYFUNCTION("""COMPUTED_VALUE"""),10.79)</f>
        <v>10.79</v>
      </c>
    </row>
    <row r="1106" spans="1:20" x14ac:dyDescent="0.3">
      <c r="A1106" s="112">
        <f ca="1">IFERROR(__xludf.DUMMYFUNCTION("""COMPUTED_VALUE"""),41890.7055555555)</f>
        <v>41890.705555555498</v>
      </c>
      <c r="B1106" s="111">
        <f ca="1">IFERROR(__xludf.DUMMYFUNCTION("""COMPUTED_VALUE"""),7.42)</f>
        <v>7.42</v>
      </c>
      <c r="C1106" s="112">
        <f ca="1">IFERROR(__xludf.DUMMYFUNCTION("""COMPUTED_VALUE"""),41897.7055555555)</f>
        <v>41897.705555555498</v>
      </c>
      <c r="D1106" s="111">
        <f ca="1">IFERROR(__xludf.DUMMYFUNCTION("""COMPUTED_VALUE"""),20.94)</f>
        <v>20.94</v>
      </c>
      <c r="E1106" s="112">
        <f ca="1">IFERROR(__xludf.DUMMYFUNCTION("""COMPUTED_VALUE"""),41898.7055555555)</f>
        <v>41898.705555555498</v>
      </c>
      <c r="F1106" s="111">
        <f ca="1">IFERROR(__xludf.DUMMYFUNCTION("""COMPUTED_VALUE"""),7.56)</f>
        <v>7.56</v>
      </c>
      <c r="G1106" s="112">
        <f ca="1">IFERROR(__xludf.DUMMYFUNCTION("""COMPUTED_VALUE"""),41891.7055555555)</f>
        <v>41891.705555555498</v>
      </c>
      <c r="H1106" s="111">
        <f ca="1">IFERROR(__xludf.DUMMYFUNCTION("""COMPUTED_VALUE"""),21.48)</f>
        <v>21.48</v>
      </c>
      <c r="K1106" s="112">
        <f ca="1">IFERROR(__xludf.DUMMYFUNCTION("""COMPUTED_VALUE"""),42341.7055555555)</f>
        <v>42341.705555555498</v>
      </c>
      <c r="L1106" s="111">
        <f ca="1">IFERROR(__xludf.DUMMYFUNCTION("""COMPUTED_VALUE"""),0.03)</f>
        <v>0.03</v>
      </c>
      <c r="M1106" s="112">
        <f ca="1">IFERROR(__xludf.DUMMYFUNCTION("""COMPUTED_VALUE"""),41807.7055555555)</f>
        <v>41807.705555555498</v>
      </c>
      <c r="N1106" s="111">
        <f ca="1">IFERROR(__xludf.DUMMYFUNCTION("""COMPUTED_VALUE"""),14.6)</f>
        <v>14.6</v>
      </c>
      <c r="O1106" s="112">
        <f ca="1">IFERROR(__xludf.DUMMYFUNCTION("""COMPUTED_VALUE"""),41884.7055555555)</f>
        <v>41884.705555555498</v>
      </c>
      <c r="P1106" s="111">
        <f ca="1">IFERROR(__xludf.DUMMYFUNCTION("""COMPUTED_VALUE"""),28.75)</f>
        <v>28.75</v>
      </c>
      <c r="Q1106" s="112">
        <f ca="1">IFERROR(__xludf.DUMMYFUNCTION("""COMPUTED_VALUE"""),41880.7055555555)</f>
        <v>41880.705555555498</v>
      </c>
      <c r="R1106" s="111">
        <f ca="1">IFERROR(__xludf.DUMMYFUNCTION("""COMPUTED_VALUE"""),35.2)</f>
        <v>35.200000000000003</v>
      </c>
      <c r="S1106" s="112">
        <f ca="1">IFERROR(__xludf.DUMMYFUNCTION("""COMPUTED_VALUE"""),41893.7055555555)</f>
        <v>41893.705555555498</v>
      </c>
      <c r="T1106" s="111">
        <f ca="1">IFERROR(__xludf.DUMMYFUNCTION("""COMPUTED_VALUE"""),10.78)</f>
        <v>10.78</v>
      </c>
    </row>
    <row r="1107" spans="1:20" x14ac:dyDescent="0.3">
      <c r="A1107" s="112">
        <f ca="1">IFERROR(__xludf.DUMMYFUNCTION("""COMPUTED_VALUE"""),41891.7055555555)</f>
        <v>41891.705555555498</v>
      </c>
      <c r="B1107" s="111">
        <f ca="1">IFERROR(__xludf.DUMMYFUNCTION("""COMPUTED_VALUE"""),7.21)</f>
        <v>7.21</v>
      </c>
      <c r="C1107" s="112">
        <f ca="1">IFERROR(__xludf.DUMMYFUNCTION("""COMPUTED_VALUE"""),41898.7055555555)</f>
        <v>41898.705555555498</v>
      </c>
      <c r="D1107" s="111">
        <f ca="1">IFERROR(__xludf.DUMMYFUNCTION("""COMPUTED_VALUE"""),21.47)</f>
        <v>21.47</v>
      </c>
      <c r="E1107" s="112">
        <f ca="1">IFERROR(__xludf.DUMMYFUNCTION("""COMPUTED_VALUE"""),41899.7055555555)</f>
        <v>41899.705555555498</v>
      </c>
      <c r="F1107" s="111">
        <f ca="1">IFERROR(__xludf.DUMMYFUNCTION("""COMPUTED_VALUE"""),7.57)</f>
        <v>7.57</v>
      </c>
      <c r="G1107" s="112">
        <f ca="1">IFERROR(__xludf.DUMMYFUNCTION("""COMPUTED_VALUE"""),41892.7055555555)</f>
        <v>41892.705555555498</v>
      </c>
      <c r="H1107" s="111">
        <f ca="1">IFERROR(__xludf.DUMMYFUNCTION("""COMPUTED_VALUE"""),20.95)</f>
        <v>20.95</v>
      </c>
      <c r="K1107" s="112">
        <f ca="1">IFERROR(__xludf.DUMMYFUNCTION("""COMPUTED_VALUE"""),42342.7055555555)</f>
        <v>42342.705555555498</v>
      </c>
      <c r="L1107" s="111">
        <f ca="1">IFERROR(__xludf.DUMMYFUNCTION("""COMPUTED_VALUE"""),0.03)</f>
        <v>0.03</v>
      </c>
      <c r="M1107" s="112">
        <f ca="1">IFERROR(__xludf.DUMMYFUNCTION("""COMPUTED_VALUE"""),41808.7055555555)</f>
        <v>41808.705555555498</v>
      </c>
      <c r="N1107" s="111">
        <f ca="1">IFERROR(__xludf.DUMMYFUNCTION("""COMPUTED_VALUE"""),14.85)</f>
        <v>14.85</v>
      </c>
      <c r="O1107" s="112">
        <f ca="1">IFERROR(__xludf.DUMMYFUNCTION("""COMPUTED_VALUE"""),41885.7055555555)</f>
        <v>41885.705555555498</v>
      </c>
      <c r="P1107" s="111">
        <f ca="1">IFERROR(__xludf.DUMMYFUNCTION("""COMPUTED_VALUE"""),29)</f>
        <v>29</v>
      </c>
      <c r="Q1107" s="112">
        <f ca="1">IFERROR(__xludf.DUMMYFUNCTION("""COMPUTED_VALUE"""),41883.7055555555)</f>
        <v>41883.705555555498</v>
      </c>
      <c r="R1107" s="111">
        <f ca="1">IFERROR(__xludf.DUMMYFUNCTION("""COMPUTED_VALUE"""),35.43)</f>
        <v>35.43</v>
      </c>
      <c r="S1107" s="112">
        <f ca="1">IFERROR(__xludf.DUMMYFUNCTION("""COMPUTED_VALUE"""),41894.7055555555)</f>
        <v>41894.705555555498</v>
      </c>
      <c r="T1107" s="111">
        <f ca="1">IFERROR(__xludf.DUMMYFUNCTION("""COMPUTED_VALUE"""),10.59)</f>
        <v>10.59</v>
      </c>
    </row>
    <row r="1108" spans="1:20" x14ac:dyDescent="0.3">
      <c r="A1108" s="112">
        <f ca="1">IFERROR(__xludf.DUMMYFUNCTION("""COMPUTED_VALUE"""),41892.7055555555)</f>
        <v>41892.705555555498</v>
      </c>
      <c r="B1108" s="111">
        <f ca="1">IFERROR(__xludf.DUMMYFUNCTION("""COMPUTED_VALUE"""),7.27)</f>
        <v>7.27</v>
      </c>
      <c r="C1108" s="112">
        <f ca="1">IFERROR(__xludf.DUMMYFUNCTION("""COMPUTED_VALUE"""),41899.7055555555)</f>
        <v>41899.705555555498</v>
      </c>
      <c r="D1108" s="111">
        <f ca="1">IFERROR(__xludf.DUMMYFUNCTION("""COMPUTED_VALUE"""),21.56)</f>
        <v>21.56</v>
      </c>
      <c r="E1108" s="112">
        <f ca="1">IFERROR(__xludf.DUMMYFUNCTION("""COMPUTED_VALUE"""),41900.7055555555)</f>
        <v>41900.705555555498</v>
      </c>
      <c r="F1108" s="111">
        <f ca="1">IFERROR(__xludf.DUMMYFUNCTION("""COMPUTED_VALUE"""),7.58)</f>
        <v>7.58</v>
      </c>
      <c r="G1108" s="112">
        <f ca="1">IFERROR(__xludf.DUMMYFUNCTION("""COMPUTED_VALUE"""),41893.7055555555)</f>
        <v>41893.705555555498</v>
      </c>
      <c r="H1108" s="111">
        <f ca="1">IFERROR(__xludf.DUMMYFUNCTION("""COMPUTED_VALUE"""),21.21)</f>
        <v>21.21</v>
      </c>
      <c r="K1108" s="112">
        <f ca="1">IFERROR(__xludf.DUMMYFUNCTION("""COMPUTED_VALUE"""),42345.7055555555)</f>
        <v>42345.705555555498</v>
      </c>
      <c r="L1108" s="111">
        <f ca="1">IFERROR(__xludf.DUMMYFUNCTION("""COMPUTED_VALUE"""),0.03)</f>
        <v>0.03</v>
      </c>
      <c r="M1108" s="112">
        <f ca="1">IFERROR(__xludf.DUMMYFUNCTION("""COMPUTED_VALUE"""),41810.7055555555)</f>
        <v>41810.705555555498</v>
      </c>
      <c r="N1108" s="111">
        <f ca="1">IFERROR(__xludf.DUMMYFUNCTION("""COMPUTED_VALUE"""),14.81)</f>
        <v>14.81</v>
      </c>
      <c r="O1108" s="112">
        <f ca="1">IFERROR(__xludf.DUMMYFUNCTION("""COMPUTED_VALUE"""),41886.7055555555)</f>
        <v>41886.705555555498</v>
      </c>
      <c r="P1108" s="111">
        <f ca="1">IFERROR(__xludf.DUMMYFUNCTION("""COMPUTED_VALUE"""),28.68)</f>
        <v>28.68</v>
      </c>
      <c r="Q1108" s="112">
        <f ca="1">IFERROR(__xludf.DUMMYFUNCTION("""COMPUTED_VALUE"""),41884.7055555555)</f>
        <v>41884.705555555498</v>
      </c>
      <c r="R1108" s="111">
        <f ca="1">IFERROR(__xludf.DUMMYFUNCTION("""COMPUTED_VALUE"""),37.46)</f>
        <v>37.46</v>
      </c>
      <c r="S1108" s="112">
        <f ca="1">IFERROR(__xludf.DUMMYFUNCTION("""COMPUTED_VALUE"""),41897.7055555555)</f>
        <v>41897.705555555498</v>
      </c>
      <c r="T1108" s="111">
        <f ca="1">IFERROR(__xludf.DUMMYFUNCTION("""COMPUTED_VALUE"""),10.48)</f>
        <v>10.48</v>
      </c>
    </row>
    <row r="1109" spans="1:20" x14ac:dyDescent="0.3">
      <c r="A1109" s="112">
        <f ca="1">IFERROR(__xludf.DUMMYFUNCTION("""COMPUTED_VALUE"""),41893.7055555555)</f>
        <v>41893.705555555498</v>
      </c>
      <c r="B1109" s="111">
        <f ca="1">IFERROR(__xludf.DUMMYFUNCTION("""COMPUTED_VALUE"""),7.31)</f>
        <v>7.31</v>
      </c>
      <c r="C1109" s="112">
        <f ca="1">IFERROR(__xludf.DUMMYFUNCTION("""COMPUTED_VALUE"""),41900.7055555555)</f>
        <v>41900.705555555498</v>
      </c>
      <c r="D1109" s="111">
        <f ca="1">IFERROR(__xludf.DUMMYFUNCTION("""COMPUTED_VALUE"""),21.31)</f>
        <v>21.31</v>
      </c>
      <c r="E1109" s="112">
        <f ca="1">IFERROR(__xludf.DUMMYFUNCTION("""COMPUTED_VALUE"""),41901.7055555555)</f>
        <v>41901.705555555498</v>
      </c>
      <c r="F1109" s="111">
        <f ca="1">IFERROR(__xludf.DUMMYFUNCTION("""COMPUTED_VALUE"""),7.32)</f>
        <v>7.32</v>
      </c>
      <c r="G1109" s="112">
        <f ca="1">IFERROR(__xludf.DUMMYFUNCTION("""COMPUTED_VALUE"""),41894.7055555555)</f>
        <v>41894.705555555498</v>
      </c>
      <c r="H1109" s="111">
        <f ca="1">IFERROR(__xludf.DUMMYFUNCTION("""COMPUTED_VALUE"""),20.14)</f>
        <v>20.14</v>
      </c>
      <c r="K1109" s="112">
        <f ca="1">IFERROR(__xludf.DUMMYFUNCTION("""COMPUTED_VALUE"""),42346.7055555555)</f>
        <v>42346.705555555498</v>
      </c>
      <c r="L1109" s="111">
        <f ca="1">IFERROR(__xludf.DUMMYFUNCTION("""COMPUTED_VALUE"""),0.03)</f>
        <v>0.03</v>
      </c>
      <c r="M1109" s="112">
        <f ca="1">IFERROR(__xludf.DUMMYFUNCTION("""COMPUTED_VALUE"""),41813.7055555555)</f>
        <v>41813.705555555498</v>
      </c>
      <c r="N1109" s="111">
        <f ca="1">IFERROR(__xludf.DUMMYFUNCTION("""COMPUTED_VALUE"""),14.69)</f>
        <v>14.69</v>
      </c>
      <c r="O1109" s="112">
        <f ca="1">IFERROR(__xludf.DUMMYFUNCTION("""COMPUTED_VALUE"""),41887.7055555555)</f>
        <v>41887.705555555498</v>
      </c>
      <c r="P1109" s="111">
        <f ca="1">IFERROR(__xludf.DUMMYFUNCTION("""COMPUTED_VALUE"""),28.25)</f>
        <v>28.25</v>
      </c>
      <c r="Q1109" s="112">
        <f ca="1">IFERROR(__xludf.DUMMYFUNCTION("""COMPUTED_VALUE"""),41885.7055555555)</f>
        <v>41885.705555555498</v>
      </c>
      <c r="R1109" s="111">
        <f ca="1">IFERROR(__xludf.DUMMYFUNCTION("""COMPUTED_VALUE"""),36.9)</f>
        <v>36.9</v>
      </c>
      <c r="S1109" s="112">
        <f ca="1">IFERROR(__xludf.DUMMYFUNCTION("""COMPUTED_VALUE"""),41898.7055555555)</f>
        <v>41898.705555555498</v>
      </c>
      <c r="T1109" s="111">
        <f ca="1">IFERROR(__xludf.DUMMYFUNCTION("""COMPUTED_VALUE"""),10.74)</f>
        <v>10.74</v>
      </c>
    </row>
    <row r="1110" spans="1:20" x14ac:dyDescent="0.3">
      <c r="A1110" s="112">
        <f ca="1">IFERROR(__xludf.DUMMYFUNCTION("""COMPUTED_VALUE"""),41894.7055555555)</f>
        <v>41894.705555555498</v>
      </c>
      <c r="B1110" s="111">
        <f ca="1">IFERROR(__xludf.DUMMYFUNCTION("""COMPUTED_VALUE"""),7.26)</f>
        <v>7.26</v>
      </c>
      <c r="C1110" s="112">
        <f ca="1">IFERROR(__xludf.DUMMYFUNCTION("""COMPUTED_VALUE"""),41901.7055555555)</f>
        <v>41901.705555555498</v>
      </c>
      <c r="D1110" s="111">
        <f ca="1">IFERROR(__xludf.DUMMYFUNCTION("""COMPUTED_VALUE"""),20.8)</f>
        <v>20.8</v>
      </c>
      <c r="E1110" s="112">
        <f ca="1">IFERROR(__xludf.DUMMYFUNCTION("""COMPUTED_VALUE"""),41904.7055555555)</f>
        <v>41904.705555555498</v>
      </c>
      <c r="F1110" s="111">
        <f ca="1">IFERROR(__xludf.DUMMYFUNCTION("""COMPUTED_VALUE"""),7.25)</f>
        <v>7.25</v>
      </c>
      <c r="G1110" s="112">
        <f ca="1">IFERROR(__xludf.DUMMYFUNCTION("""COMPUTED_VALUE"""),41897.7055555555)</f>
        <v>41897.705555555498</v>
      </c>
      <c r="H1110" s="111">
        <f ca="1">IFERROR(__xludf.DUMMYFUNCTION("""COMPUTED_VALUE"""),20.58)</f>
        <v>20.58</v>
      </c>
      <c r="K1110" s="112">
        <f ca="1">IFERROR(__xludf.DUMMYFUNCTION("""COMPUTED_VALUE"""),42347.7055555555)</f>
        <v>42347.705555555498</v>
      </c>
      <c r="L1110" s="111">
        <f ca="1">IFERROR(__xludf.DUMMYFUNCTION("""COMPUTED_VALUE"""),0.03)</f>
        <v>0.03</v>
      </c>
      <c r="M1110" s="112">
        <f ca="1">IFERROR(__xludf.DUMMYFUNCTION("""COMPUTED_VALUE"""),41814.7055555555)</f>
        <v>41814.705555555498</v>
      </c>
      <c r="N1110" s="111">
        <f ca="1">IFERROR(__xludf.DUMMYFUNCTION("""COMPUTED_VALUE"""),14.92)</f>
        <v>14.92</v>
      </c>
      <c r="O1110" s="112">
        <f ca="1">IFERROR(__xludf.DUMMYFUNCTION("""COMPUTED_VALUE"""),41890.7055555555)</f>
        <v>41890.705555555498</v>
      </c>
      <c r="P1110" s="111">
        <f ca="1">IFERROR(__xludf.DUMMYFUNCTION("""COMPUTED_VALUE"""),28.1)</f>
        <v>28.1</v>
      </c>
      <c r="Q1110" s="112">
        <f ca="1">IFERROR(__xludf.DUMMYFUNCTION("""COMPUTED_VALUE"""),41886.7055555555)</f>
        <v>41886.705555555498</v>
      </c>
      <c r="R1110" s="111">
        <f ca="1">IFERROR(__xludf.DUMMYFUNCTION("""COMPUTED_VALUE"""),34.77)</f>
        <v>34.770000000000003</v>
      </c>
      <c r="S1110" s="112">
        <f ca="1">IFERROR(__xludf.DUMMYFUNCTION("""COMPUTED_VALUE"""),41899.7055555555)</f>
        <v>41899.705555555498</v>
      </c>
      <c r="T1110" s="111">
        <f ca="1">IFERROR(__xludf.DUMMYFUNCTION("""COMPUTED_VALUE"""),10.72)</f>
        <v>10.72</v>
      </c>
    </row>
    <row r="1111" spans="1:20" x14ac:dyDescent="0.3">
      <c r="A1111" s="112">
        <f ca="1">IFERROR(__xludf.DUMMYFUNCTION("""COMPUTED_VALUE"""),41897.7055555555)</f>
        <v>41897.705555555498</v>
      </c>
      <c r="B1111" s="111">
        <f ca="1">IFERROR(__xludf.DUMMYFUNCTION("""COMPUTED_VALUE"""),7.22)</f>
        <v>7.22</v>
      </c>
      <c r="C1111" s="112">
        <f ca="1">IFERROR(__xludf.DUMMYFUNCTION("""COMPUTED_VALUE"""),41904.7055555555)</f>
        <v>41904.705555555498</v>
      </c>
      <c r="D1111" s="111">
        <f ca="1">IFERROR(__xludf.DUMMYFUNCTION("""COMPUTED_VALUE"""),20.52)</f>
        <v>20.52</v>
      </c>
      <c r="E1111" s="112">
        <f ca="1">IFERROR(__xludf.DUMMYFUNCTION("""COMPUTED_VALUE"""),41905.7055555555)</f>
        <v>41905.705555555498</v>
      </c>
      <c r="F1111" s="111">
        <f ca="1">IFERROR(__xludf.DUMMYFUNCTION("""COMPUTED_VALUE"""),7.16)</f>
        <v>7.16</v>
      </c>
      <c r="G1111" s="112">
        <f ca="1">IFERROR(__xludf.DUMMYFUNCTION("""COMPUTED_VALUE"""),41898.7055555555)</f>
        <v>41898.705555555498</v>
      </c>
      <c r="H1111" s="111">
        <f ca="1">IFERROR(__xludf.DUMMYFUNCTION("""COMPUTED_VALUE"""),21.55)</f>
        <v>21.55</v>
      </c>
      <c r="K1111" s="112">
        <f ca="1">IFERROR(__xludf.DUMMYFUNCTION("""COMPUTED_VALUE"""),42348.7055555555)</f>
        <v>42348.705555555498</v>
      </c>
      <c r="L1111" s="111">
        <f ca="1">IFERROR(__xludf.DUMMYFUNCTION("""COMPUTED_VALUE"""),0.03)</f>
        <v>0.03</v>
      </c>
      <c r="M1111" s="112">
        <f ca="1">IFERROR(__xludf.DUMMYFUNCTION("""COMPUTED_VALUE"""),41815.7055555555)</f>
        <v>41815.705555555498</v>
      </c>
      <c r="N1111" s="111">
        <f ca="1">IFERROR(__xludf.DUMMYFUNCTION("""COMPUTED_VALUE"""),14.15)</f>
        <v>14.15</v>
      </c>
      <c r="O1111" s="112">
        <f ca="1">IFERROR(__xludf.DUMMYFUNCTION("""COMPUTED_VALUE"""),41891.7055555555)</f>
        <v>41891.705555555498</v>
      </c>
      <c r="P1111" s="111">
        <f ca="1">IFERROR(__xludf.DUMMYFUNCTION("""COMPUTED_VALUE"""),28.61)</f>
        <v>28.61</v>
      </c>
      <c r="Q1111" s="112">
        <f ca="1">IFERROR(__xludf.DUMMYFUNCTION("""COMPUTED_VALUE"""),41887.7055555555)</f>
        <v>41887.705555555498</v>
      </c>
      <c r="R1111" s="111">
        <f ca="1">IFERROR(__xludf.DUMMYFUNCTION("""COMPUTED_VALUE"""),34.2)</f>
        <v>34.200000000000003</v>
      </c>
      <c r="S1111" s="112">
        <f ca="1">IFERROR(__xludf.DUMMYFUNCTION("""COMPUTED_VALUE"""),41900.7055555555)</f>
        <v>41900.705555555498</v>
      </c>
      <c r="T1111" s="111">
        <f ca="1">IFERROR(__xludf.DUMMYFUNCTION("""COMPUTED_VALUE"""),10.38)</f>
        <v>10.38</v>
      </c>
    </row>
    <row r="1112" spans="1:20" x14ac:dyDescent="0.3">
      <c r="A1112" s="112">
        <f ca="1">IFERROR(__xludf.DUMMYFUNCTION("""COMPUTED_VALUE"""),41898.7055555555)</f>
        <v>41898.705555555498</v>
      </c>
      <c r="B1112" s="111">
        <f ca="1">IFERROR(__xludf.DUMMYFUNCTION("""COMPUTED_VALUE"""),7.57)</f>
        <v>7.57</v>
      </c>
      <c r="C1112" s="112">
        <f ca="1">IFERROR(__xludf.DUMMYFUNCTION("""COMPUTED_VALUE"""),41905.7055555555)</f>
        <v>41905.705555555498</v>
      </c>
      <c r="D1112" s="111">
        <f ca="1">IFERROR(__xludf.DUMMYFUNCTION("""COMPUTED_VALUE"""),20.42)</f>
        <v>20.420000000000002</v>
      </c>
      <c r="E1112" s="112">
        <f ca="1">IFERROR(__xludf.DUMMYFUNCTION("""COMPUTED_VALUE"""),41906.7055555555)</f>
        <v>41906.705555555498</v>
      </c>
      <c r="F1112" s="111">
        <f ca="1">IFERROR(__xludf.DUMMYFUNCTION("""COMPUTED_VALUE"""),7.2)</f>
        <v>7.2</v>
      </c>
      <c r="G1112" s="112">
        <f ca="1">IFERROR(__xludf.DUMMYFUNCTION("""COMPUTED_VALUE"""),41899.7055555555)</f>
        <v>41899.705555555498</v>
      </c>
      <c r="H1112" s="111">
        <f ca="1">IFERROR(__xludf.DUMMYFUNCTION("""COMPUTED_VALUE"""),22.12)</f>
        <v>22.12</v>
      </c>
      <c r="K1112" s="112">
        <f ca="1">IFERROR(__xludf.DUMMYFUNCTION("""COMPUTED_VALUE"""),42349.7055555555)</f>
        <v>42349.705555555498</v>
      </c>
      <c r="L1112" s="111">
        <f ca="1">IFERROR(__xludf.DUMMYFUNCTION("""COMPUTED_VALUE"""),0.03)</f>
        <v>0.03</v>
      </c>
      <c r="M1112" s="112">
        <f ca="1">IFERROR(__xludf.DUMMYFUNCTION("""COMPUTED_VALUE"""),41816.7055555555)</f>
        <v>41816.705555555498</v>
      </c>
      <c r="N1112" s="111">
        <f ca="1">IFERROR(__xludf.DUMMYFUNCTION("""COMPUTED_VALUE"""),14.12)</f>
        <v>14.12</v>
      </c>
      <c r="O1112" s="112">
        <f ca="1">IFERROR(__xludf.DUMMYFUNCTION("""COMPUTED_VALUE"""),41892.7055555555)</f>
        <v>41892.705555555498</v>
      </c>
      <c r="P1112" s="111">
        <f ca="1">IFERROR(__xludf.DUMMYFUNCTION("""COMPUTED_VALUE"""),28.4)</f>
        <v>28.4</v>
      </c>
      <c r="Q1112" s="112">
        <f ca="1">IFERROR(__xludf.DUMMYFUNCTION("""COMPUTED_VALUE"""),41890.7055555555)</f>
        <v>41890.705555555498</v>
      </c>
      <c r="R1112" s="111">
        <f ca="1">IFERROR(__xludf.DUMMYFUNCTION("""COMPUTED_VALUE"""),32.49)</f>
        <v>32.49</v>
      </c>
      <c r="S1112" s="112">
        <f ca="1">IFERROR(__xludf.DUMMYFUNCTION("""COMPUTED_VALUE"""),41901.7055555555)</f>
        <v>41901.705555555498</v>
      </c>
      <c r="T1112" s="111">
        <f ca="1">IFERROR(__xludf.DUMMYFUNCTION("""COMPUTED_VALUE"""),10.42)</f>
        <v>10.42</v>
      </c>
    </row>
    <row r="1113" spans="1:20" x14ac:dyDescent="0.3">
      <c r="A1113" s="112">
        <f ca="1">IFERROR(__xludf.DUMMYFUNCTION("""COMPUTED_VALUE"""),41899.7055555555)</f>
        <v>41899.705555555498</v>
      </c>
      <c r="B1113" s="111">
        <f ca="1">IFERROR(__xludf.DUMMYFUNCTION("""COMPUTED_VALUE"""),7.77)</f>
        <v>7.77</v>
      </c>
      <c r="C1113" s="112">
        <f ca="1">IFERROR(__xludf.DUMMYFUNCTION("""COMPUTED_VALUE"""),41906.7055555555)</f>
        <v>41906.705555555498</v>
      </c>
      <c r="D1113" s="111">
        <f ca="1">IFERROR(__xludf.DUMMYFUNCTION("""COMPUTED_VALUE"""),20.58)</f>
        <v>20.58</v>
      </c>
      <c r="E1113" s="112">
        <f ca="1">IFERROR(__xludf.DUMMYFUNCTION("""COMPUTED_VALUE"""),41907.7055555555)</f>
        <v>41907.705555555498</v>
      </c>
      <c r="F1113" s="111">
        <f ca="1">IFERROR(__xludf.DUMMYFUNCTION("""COMPUTED_VALUE"""),6.99)</f>
        <v>6.99</v>
      </c>
      <c r="G1113" s="112">
        <f ca="1">IFERROR(__xludf.DUMMYFUNCTION("""COMPUTED_VALUE"""),41900.7055555555)</f>
        <v>41900.705555555498</v>
      </c>
      <c r="H1113" s="111">
        <f ca="1">IFERROR(__xludf.DUMMYFUNCTION("""COMPUTED_VALUE"""),21.29)</f>
        <v>21.29</v>
      </c>
      <c r="K1113" s="112">
        <f ca="1">IFERROR(__xludf.DUMMYFUNCTION("""COMPUTED_VALUE"""),42352.7055555555)</f>
        <v>42352.705555555498</v>
      </c>
      <c r="L1113" s="111">
        <f ca="1">IFERROR(__xludf.DUMMYFUNCTION("""COMPUTED_VALUE"""),0.03)</f>
        <v>0.03</v>
      </c>
      <c r="M1113" s="112">
        <f ca="1">IFERROR(__xludf.DUMMYFUNCTION("""COMPUTED_VALUE"""),41817.7055555555)</f>
        <v>41817.705555555498</v>
      </c>
      <c r="N1113" s="111">
        <f ca="1">IFERROR(__xludf.DUMMYFUNCTION("""COMPUTED_VALUE"""),13.96)</f>
        <v>13.96</v>
      </c>
      <c r="O1113" s="112">
        <f ca="1">IFERROR(__xludf.DUMMYFUNCTION("""COMPUTED_VALUE"""),41893.7055555555)</f>
        <v>41893.705555555498</v>
      </c>
      <c r="P1113" s="111">
        <f ca="1">IFERROR(__xludf.DUMMYFUNCTION("""COMPUTED_VALUE"""),28.36)</f>
        <v>28.36</v>
      </c>
      <c r="Q1113" s="112">
        <f ca="1">IFERROR(__xludf.DUMMYFUNCTION("""COMPUTED_VALUE"""),41891.7055555555)</f>
        <v>41891.705555555498</v>
      </c>
      <c r="R1113" s="111">
        <f ca="1">IFERROR(__xludf.DUMMYFUNCTION("""COMPUTED_VALUE"""),32.35)</f>
        <v>32.35</v>
      </c>
      <c r="S1113" s="112">
        <f ca="1">IFERROR(__xludf.DUMMYFUNCTION("""COMPUTED_VALUE"""),41904.7055555555)</f>
        <v>41904.705555555498</v>
      </c>
      <c r="T1113" s="111">
        <f ca="1">IFERROR(__xludf.DUMMYFUNCTION("""COMPUTED_VALUE"""),10.29)</f>
        <v>10.29</v>
      </c>
    </row>
    <row r="1114" spans="1:20" x14ac:dyDescent="0.3">
      <c r="A1114" s="112">
        <f ca="1">IFERROR(__xludf.DUMMYFUNCTION("""COMPUTED_VALUE"""),41900.7055555555)</f>
        <v>41900.705555555498</v>
      </c>
      <c r="B1114" s="111">
        <f ca="1">IFERROR(__xludf.DUMMYFUNCTION("""COMPUTED_VALUE"""),7.65)</f>
        <v>7.65</v>
      </c>
      <c r="C1114" s="112">
        <f ca="1">IFERROR(__xludf.DUMMYFUNCTION("""COMPUTED_VALUE"""),41907.7055555555)</f>
        <v>41907.705555555498</v>
      </c>
      <c r="D1114" s="111">
        <f ca="1">IFERROR(__xludf.DUMMYFUNCTION("""COMPUTED_VALUE"""),19.93)</f>
        <v>19.93</v>
      </c>
      <c r="E1114" s="112">
        <f ca="1">IFERROR(__xludf.DUMMYFUNCTION("""COMPUTED_VALUE"""),41908.7055555555)</f>
        <v>41908.705555555498</v>
      </c>
      <c r="F1114" s="111">
        <f ca="1">IFERROR(__xludf.DUMMYFUNCTION("""COMPUTED_VALUE"""),7.25)</f>
        <v>7.25</v>
      </c>
      <c r="G1114" s="112">
        <f ca="1">IFERROR(__xludf.DUMMYFUNCTION("""COMPUTED_VALUE"""),41901.7055555555)</f>
        <v>41901.705555555498</v>
      </c>
      <c r="H1114" s="111">
        <f ca="1">IFERROR(__xludf.DUMMYFUNCTION("""COMPUTED_VALUE"""),20.91)</f>
        <v>20.91</v>
      </c>
      <c r="K1114" s="112">
        <f ca="1">IFERROR(__xludf.DUMMYFUNCTION("""COMPUTED_VALUE"""),42353.7055555555)</f>
        <v>42353.705555555498</v>
      </c>
      <c r="L1114" s="111">
        <f ca="1">IFERROR(__xludf.DUMMYFUNCTION("""COMPUTED_VALUE"""),0.03)</f>
        <v>0.03</v>
      </c>
      <c r="M1114" s="112">
        <f ca="1">IFERROR(__xludf.DUMMYFUNCTION("""COMPUTED_VALUE"""),41820.7055555555)</f>
        <v>41820.705555555498</v>
      </c>
      <c r="N1114" s="111">
        <f ca="1">IFERROR(__xludf.DUMMYFUNCTION("""COMPUTED_VALUE"""),13.82)</f>
        <v>13.82</v>
      </c>
      <c r="O1114" s="112">
        <f ca="1">IFERROR(__xludf.DUMMYFUNCTION("""COMPUTED_VALUE"""),41894.7055555555)</f>
        <v>41894.705555555498</v>
      </c>
      <c r="P1114" s="111">
        <f ca="1">IFERROR(__xludf.DUMMYFUNCTION("""COMPUTED_VALUE"""),28.62)</f>
        <v>28.62</v>
      </c>
      <c r="Q1114" s="112">
        <f ca="1">IFERROR(__xludf.DUMMYFUNCTION("""COMPUTED_VALUE"""),41892.7055555555)</f>
        <v>41892.705555555498</v>
      </c>
      <c r="R1114" s="111">
        <f ca="1">IFERROR(__xludf.DUMMYFUNCTION("""COMPUTED_VALUE"""),31.84)</f>
        <v>31.84</v>
      </c>
      <c r="S1114" s="112">
        <f ca="1">IFERROR(__xludf.DUMMYFUNCTION("""COMPUTED_VALUE"""),41905.7055555555)</f>
        <v>41905.705555555498</v>
      </c>
      <c r="T1114" s="111">
        <f ca="1">IFERROR(__xludf.DUMMYFUNCTION("""COMPUTED_VALUE"""),10.26)</f>
        <v>10.26</v>
      </c>
    </row>
    <row r="1115" spans="1:20" x14ac:dyDescent="0.3">
      <c r="A1115" s="112">
        <f ca="1">IFERROR(__xludf.DUMMYFUNCTION("""COMPUTED_VALUE"""),41901.7055555555)</f>
        <v>41901.705555555498</v>
      </c>
      <c r="B1115" s="111">
        <f ca="1">IFERROR(__xludf.DUMMYFUNCTION("""COMPUTED_VALUE"""),7.49)</f>
        <v>7.49</v>
      </c>
      <c r="C1115" s="112">
        <f ca="1">IFERROR(__xludf.DUMMYFUNCTION("""COMPUTED_VALUE"""),41908.7055555555)</f>
        <v>41908.705555555498</v>
      </c>
      <c r="D1115" s="111">
        <f ca="1">IFERROR(__xludf.DUMMYFUNCTION("""COMPUTED_VALUE"""),20.77)</f>
        <v>20.77</v>
      </c>
      <c r="E1115" s="112">
        <f ca="1">IFERROR(__xludf.DUMMYFUNCTION("""COMPUTED_VALUE"""),41911.7055555555)</f>
        <v>41911.705555555498</v>
      </c>
      <c r="F1115" s="111">
        <f ca="1">IFERROR(__xludf.DUMMYFUNCTION("""COMPUTED_VALUE"""),6.77)</f>
        <v>6.77</v>
      </c>
      <c r="G1115" s="112">
        <f ca="1">IFERROR(__xludf.DUMMYFUNCTION("""COMPUTED_VALUE"""),41904.7055555555)</f>
        <v>41904.705555555498</v>
      </c>
      <c r="H1115" s="111">
        <f ca="1">IFERROR(__xludf.DUMMYFUNCTION("""COMPUTED_VALUE"""),20.59)</f>
        <v>20.59</v>
      </c>
      <c r="K1115" s="112">
        <f ca="1">IFERROR(__xludf.DUMMYFUNCTION("""COMPUTED_VALUE"""),42354.7055555555)</f>
        <v>42354.705555555498</v>
      </c>
      <c r="L1115" s="111">
        <f ca="1">IFERROR(__xludf.DUMMYFUNCTION("""COMPUTED_VALUE"""),0.04)</f>
        <v>0.04</v>
      </c>
      <c r="M1115" s="112">
        <f ca="1">IFERROR(__xludf.DUMMYFUNCTION("""COMPUTED_VALUE"""),41821.7055555555)</f>
        <v>41821.705555555498</v>
      </c>
      <c r="N1115" s="111">
        <f ca="1">IFERROR(__xludf.DUMMYFUNCTION("""COMPUTED_VALUE"""),13.82)</f>
        <v>13.82</v>
      </c>
      <c r="O1115" s="112">
        <f ca="1">IFERROR(__xludf.DUMMYFUNCTION("""COMPUTED_VALUE"""),41897.7055555555)</f>
        <v>41897.705555555498</v>
      </c>
      <c r="P1115" s="111">
        <f ca="1">IFERROR(__xludf.DUMMYFUNCTION("""COMPUTED_VALUE"""),29.06)</f>
        <v>29.06</v>
      </c>
      <c r="Q1115" s="112">
        <f ca="1">IFERROR(__xludf.DUMMYFUNCTION("""COMPUTED_VALUE"""),41893.7055555555)</f>
        <v>41893.705555555498</v>
      </c>
      <c r="R1115" s="111">
        <f ca="1">IFERROR(__xludf.DUMMYFUNCTION("""COMPUTED_VALUE"""),31.78)</f>
        <v>31.78</v>
      </c>
      <c r="S1115" s="112">
        <f ca="1">IFERROR(__xludf.DUMMYFUNCTION("""COMPUTED_VALUE"""),41906.7055555555)</f>
        <v>41906.705555555498</v>
      </c>
      <c r="T1115" s="111">
        <f ca="1">IFERROR(__xludf.DUMMYFUNCTION("""COMPUTED_VALUE"""),10.79)</f>
        <v>10.79</v>
      </c>
    </row>
    <row r="1116" spans="1:20" x14ac:dyDescent="0.3">
      <c r="A1116" s="112">
        <f ca="1">IFERROR(__xludf.DUMMYFUNCTION("""COMPUTED_VALUE"""),41904.7055555555)</f>
        <v>41904.705555555498</v>
      </c>
      <c r="B1116" s="111">
        <f ca="1">IFERROR(__xludf.DUMMYFUNCTION("""COMPUTED_VALUE"""),7.19)</f>
        <v>7.19</v>
      </c>
      <c r="C1116" s="112">
        <f ca="1">IFERROR(__xludf.DUMMYFUNCTION("""COMPUTED_VALUE"""),41911.7055555555)</f>
        <v>41911.705555555498</v>
      </c>
      <c r="D1116" s="111">
        <f ca="1">IFERROR(__xludf.DUMMYFUNCTION("""COMPUTED_VALUE"""),19.32)</f>
        <v>19.32</v>
      </c>
      <c r="E1116" s="112">
        <f ca="1">IFERROR(__xludf.DUMMYFUNCTION("""COMPUTED_VALUE"""),41912.7055555555)</f>
        <v>41912.705555555498</v>
      </c>
      <c r="F1116" s="111">
        <f ca="1">IFERROR(__xludf.DUMMYFUNCTION("""COMPUTED_VALUE"""),6.63)</f>
        <v>6.63</v>
      </c>
      <c r="G1116" s="112">
        <f ca="1">IFERROR(__xludf.DUMMYFUNCTION("""COMPUTED_VALUE"""),41905.7055555555)</f>
        <v>41905.705555555498</v>
      </c>
      <c r="H1116" s="111">
        <f ca="1">IFERROR(__xludf.DUMMYFUNCTION("""COMPUTED_VALUE"""),20.13)</f>
        <v>20.13</v>
      </c>
      <c r="K1116" s="112">
        <f ca="1">IFERROR(__xludf.DUMMYFUNCTION("""COMPUTED_VALUE"""),42355.7055555555)</f>
        <v>42355.705555555498</v>
      </c>
      <c r="L1116" s="111">
        <f ca="1">IFERROR(__xludf.DUMMYFUNCTION("""COMPUTED_VALUE"""),0.04)</f>
        <v>0.04</v>
      </c>
      <c r="M1116" s="112">
        <f ca="1">IFERROR(__xludf.DUMMYFUNCTION("""COMPUTED_VALUE"""),41822.7055555555)</f>
        <v>41822.705555555498</v>
      </c>
      <c r="N1116" s="111">
        <f ca="1">IFERROR(__xludf.DUMMYFUNCTION("""COMPUTED_VALUE"""),13.76)</f>
        <v>13.76</v>
      </c>
      <c r="O1116" s="112">
        <f ca="1">IFERROR(__xludf.DUMMYFUNCTION("""COMPUTED_VALUE"""),41898.7055555555)</f>
        <v>41898.705555555498</v>
      </c>
      <c r="P1116" s="111">
        <f ca="1">IFERROR(__xludf.DUMMYFUNCTION("""COMPUTED_VALUE"""),29.15)</f>
        <v>29.15</v>
      </c>
      <c r="Q1116" s="112">
        <f ca="1">IFERROR(__xludf.DUMMYFUNCTION("""COMPUTED_VALUE"""),41894.7055555555)</f>
        <v>41894.705555555498</v>
      </c>
      <c r="R1116" s="111">
        <f ca="1">IFERROR(__xludf.DUMMYFUNCTION("""COMPUTED_VALUE"""),30.96)</f>
        <v>30.96</v>
      </c>
      <c r="S1116" s="112">
        <f ca="1">IFERROR(__xludf.DUMMYFUNCTION("""COMPUTED_VALUE"""),41907.7055555555)</f>
        <v>41907.705555555498</v>
      </c>
      <c r="T1116" s="111">
        <f ca="1">IFERROR(__xludf.DUMMYFUNCTION("""COMPUTED_VALUE"""),10.46)</f>
        <v>10.46</v>
      </c>
    </row>
    <row r="1117" spans="1:20" x14ac:dyDescent="0.3">
      <c r="A1117" s="112">
        <f ca="1">IFERROR(__xludf.DUMMYFUNCTION("""COMPUTED_VALUE"""),41905.7055555555)</f>
        <v>41905.705555555498</v>
      </c>
      <c r="B1117" s="111">
        <f ca="1">IFERROR(__xludf.DUMMYFUNCTION("""COMPUTED_VALUE"""),7.02)</f>
        <v>7.02</v>
      </c>
      <c r="C1117" s="112">
        <f ca="1">IFERROR(__xludf.DUMMYFUNCTION("""COMPUTED_VALUE"""),41912.7055555555)</f>
        <v>41912.705555555498</v>
      </c>
      <c r="D1117" s="111">
        <f ca="1">IFERROR(__xludf.DUMMYFUNCTION("""COMPUTED_VALUE"""),18.65)</f>
        <v>18.649999999999999</v>
      </c>
      <c r="E1117" s="112">
        <f ca="1">IFERROR(__xludf.DUMMYFUNCTION("""COMPUTED_VALUE"""),41913.7055555555)</f>
        <v>41913.705555555498</v>
      </c>
      <c r="F1117" s="111">
        <f ca="1">IFERROR(__xludf.DUMMYFUNCTION("""COMPUTED_VALUE"""),6.43)</f>
        <v>6.43</v>
      </c>
      <c r="G1117" s="112">
        <f ca="1">IFERROR(__xludf.DUMMYFUNCTION("""COMPUTED_VALUE"""),41906.7055555555)</f>
        <v>41906.705555555498</v>
      </c>
      <c r="H1117" s="111">
        <f ca="1">IFERROR(__xludf.DUMMYFUNCTION("""COMPUTED_VALUE"""),20.23)</f>
        <v>20.23</v>
      </c>
      <c r="K1117" s="112">
        <f ca="1">IFERROR(__xludf.DUMMYFUNCTION("""COMPUTED_VALUE"""),42356.7055555555)</f>
        <v>42356.705555555498</v>
      </c>
      <c r="L1117" s="111">
        <f ca="1">IFERROR(__xludf.DUMMYFUNCTION("""COMPUTED_VALUE"""),0.04)</f>
        <v>0.04</v>
      </c>
      <c r="M1117" s="112">
        <f ca="1">IFERROR(__xludf.DUMMYFUNCTION("""COMPUTED_VALUE"""),41823.7055555555)</f>
        <v>41823.705555555498</v>
      </c>
      <c r="N1117" s="111">
        <f ca="1">IFERROR(__xludf.DUMMYFUNCTION("""COMPUTED_VALUE"""),14.01)</f>
        <v>14.01</v>
      </c>
      <c r="O1117" s="112">
        <f ca="1">IFERROR(__xludf.DUMMYFUNCTION("""COMPUTED_VALUE"""),41899.7055555555)</f>
        <v>41899.705555555498</v>
      </c>
      <c r="P1117" s="111">
        <f ca="1">IFERROR(__xludf.DUMMYFUNCTION("""COMPUTED_VALUE"""),29.06)</f>
        <v>29.06</v>
      </c>
      <c r="Q1117" s="112">
        <f ca="1">IFERROR(__xludf.DUMMYFUNCTION("""COMPUTED_VALUE"""),41897.7055555555)</f>
        <v>41897.705555555498</v>
      </c>
      <c r="R1117" s="111">
        <f ca="1">IFERROR(__xludf.DUMMYFUNCTION("""COMPUTED_VALUE"""),32.02)</f>
        <v>32.020000000000003</v>
      </c>
      <c r="S1117" s="112">
        <f ca="1">IFERROR(__xludf.DUMMYFUNCTION("""COMPUTED_VALUE"""),41908.7055555555)</f>
        <v>41908.705555555498</v>
      </c>
      <c r="T1117" s="111">
        <f ca="1">IFERROR(__xludf.DUMMYFUNCTION("""COMPUTED_VALUE"""),10.75)</f>
        <v>10.75</v>
      </c>
    </row>
    <row r="1118" spans="1:20" x14ac:dyDescent="0.3">
      <c r="A1118" s="112">
        <f ca="1">IFERROR(__xludf.DUMMYFUNCTION("""COMPUTED_VALUE"""),41906.7055555555)</f>
        <v>41906.705555555498</v>
      </c>
      <c r="B1118" s="111">
        <f ca="1">IFERROR(__xludf.DUMMYFUNCTION("""COMPUTED_VALUE"""),6.98)</f>
        <v>6.98</v>
      </c>
      <c r="C1118" s="112">
        <f ca="1">IFERROR(__xludf.DUMMYFUNCTION("""COMPUTED_VALUE"""),41913.7055555555)</f>
        <v>41913.705555555498</v>
      </c>
      <c r="D1118" s="111">
        <f ca="1">IFERROR(__xludf.DUMMYFUNCTION("""COMPUTED_VALUE"""),18.16)</f>
        <v>18.16</v>
      </c>
      <c r="E1118" s="112">
        <f ca="1">IFERROR(__xludf.DUMMYFUNCTION("""COMPUTED_VALUE"""),41914.7055555555)</f>
        <v>41914.705555555498</v>
      </c>
      <c r="F1118" s="111">
        <f ca="1">IFERROR(__xludf.DUMMYFUNCTION("""COMPUTED_VALUE"""),6.6)</f>
        <v>6.6</v>
      </c>
      <c r="G1118" s="112">
        <f ca="1">IFERROR(__xludf.DUMMYFUNCTION("""COMPUTED_VALUE"""),41907.7055555555)</f>
        <v>41907.705555555498</v>
      </c>
      <c r="H1118" s="111">
        <f ca="1">IFERROR(__xludf.DUMMYFUNCTION("""COMPUTED_VALUE"""),19.84)</f>
        <v>19.84</v>
      </c>
      <c r="K1118" s="112">
        <f ca="1">IFERROR(__xludf.DUMMYFUNCTION("""COMPUTED_VALUE"""),42359.7055555555)</f>
        <v>42359.705555555498</v>
      </c>
      <c r="L1118" s="111">
        <f ca="1">IFERROR(__xludf.DUMMYFUNCTION("""COMPUTED_VALUE"""),0.04)</f>
        <v>0.04</v>
      </c>
      <c r="M1118" s="112">
        <f ca="1">IFERROR(__xludf.DUMMYFUNCTION("""COMPUTED_VALUE"""),41824.7055555555)</f>
        <v>41824.705555555498</v>
      </c>
      <c r="N1118" s="111">
        <f ca="1">IFERROR(__xludf.DUMMYFUNCTION("""COMPUTED_VALUE"""),14.07)</f>
        <v>14.07</v>
      </c>
      <c r="O1118" s="112">
        <f ca="1">IFERROR(__xludf.DUMMYFUNCTION("""COMPUTED_VALUE"""),41900.7055555555)</f>
        <v>41900.705555555498</v>
      </c>
      <c r="P1118" s="111">
        <f ca="1">IFERROR(__xludf.DUMMYFUNCTION("""COMPUTED_VALUE"""),29.09)</f>
        <v>29.09</v>
      </c>
      <c r="Q1118" s="112">
        <f ca="1">IFERROR(__xludf.DUMMYFUNCTION("""COMPUTED_VALUE"""),41898.7055555555)</f>
        <v>41898.705555555498</v>
      </c>
      <c r="R1118" s="111">
        <f ca="1">IFERROR(__xludf.DUMMYFUNCTION("""COMPUTED_VALUE"""),33.2)</f>
        <v>33.200000000000003</v>
      </c>
      <c r="S1118" s="112">
        <f ca="1">IFERROR(__xludf.DUMMYFUNCTION("""COMPUTED_VALUE"""),41911.7055555555)</f>
        <v>41911.705555555498</v>
      </c>
      <c r="T1118" s="111">
        <f ca="1">IFERROR(__xludf.DUMMYFUNCTION("""COMPUTED_VALUE"""),10.6)</f>
        <v>10.6</v>
      </c>
    </row>
    <row r="1119" spans="1:20" x14ac:dyDescent="0.3">
      <c r="A1119" s="112">
        <f ca="1">IFERROR(__xludf.DUMMYFUNCTION("""COMPUTED_VALUE"""),41907.7055555555)</f>
        <v>41907.705555555498</v>
      </c>
      <c r="B1119" s="111">
        <f ca="1">IFERROR(__xludf.DUMMYFUNCTION("""COMPUTED_VALUE"""),6.96)</f>
        <v>6.96</v>
      </c>
      <c r="C1119" s="112">
        <f ca="1">IFERROR(__xludf.DUMMYFUNCTION("""COMPUTED_VALUE"""),41914.7055555555)</f>
        <v>41914.705555555498</v>
      </c>
      <c r="D1119" s="111">
        <f ca="1">IFERROR(__xludf.DUMMYFUNCTION("""COMPUTED_VALUE"""),18.77)</f>
        <v>18.77</v>
      </c>
      <c r="E1119" s="112">
        <f ca="1">IFERROR(__xludf.DUMMYFUNCTION("""COMPUTED_VALUE"""),41915.7055555555)</f>
        <v>41915.705555555498</v>
      </c>
      <c r="F1119" s="111">
        <f ca="1">IFERROR(__xludf.DUMMYFUNCTION("""COMPUTED_VALUE"""),6.74)</f>
        <v>6.74</v>
      </c>
      <c r="G1119" s="112">
        <f ca="1">IFERROR(__xludf.DUMMYFUNCTION("""COMPUTED_VALUE"""),41908.7055555555)</f>
        <v>41908.705555555498</v>
      </c>
      <c r="H1119" s="111">
        <f ca="1">IFERROR(__xludf.DUMMYFUNCTION("""COMPUTED_VALUE"""),20.94)</f>
        <v>20.94</v>
      </c>
      <c r="K1119" s="112">
        <f ca="1">IFERROR(__xludf.DUMMYFUNCTION("""COMPUTED_VALUE"""),42360.7055555555)</f>
        <v>42360.705555555498</v>
      </c>
      <c r="L1119" s="111">
        <f ca="1">IFERROR(__xludf.DUMMYFUNCTION("""COMPUTED_VALUE"""),0.04)</f>
        <v>0.04</v>
      </c>
      <c r="M1119" s="112">
        <f ca="1">IFERROR(__xludf.DUMMYFUNCTION("""COMPUTED_VALUE"""),41827.7055555555)</f>
        <v>41827.705555555498</v>
      </c>
      <c r="N1119" s="111">
        <f ca="1">IFERROR(__xludf.DUMMYFUNCTION("""COMPUTED_VALUE"""),13.97)</f>
        <v>13.97</v>
      </c>
      <c r="O1119" s="112">
        <f ca="1">IFERROR(__xludf.DUMMYFUNCTION("""COMPUTED_VALUE"""),41901.7055555555)</f>
        <v>41901.705555555498</v>
      </c>
      <c r="P1119" s="111">
        <f ca="1">IFERROR(__xludf.DUMMYFUNCTION("""COMPUTED_VALUE"""),28.32)</f>
        <v>28.32</v>
      </c>
      <c r="Q1119" s="112">
        <f ca="1">IFERROR(__xludf.DUMMYFUNCTION("""COMPUTED_VALUE"""),41899.7055555555)</f>
        <v>41899.705555555498</v>
      </c>
      <c r="R1119" s="111">
        <f ca="1">IFERROR(__xludf.DUMMYFUNCTION("""COMPUTED_VALUE"""),33.2)</f>
        <v>33.200000000000003</v>
      </c>
      <c r="S1119" s="112">
        <f ca="1">IFERROR(__xludf.DUMMYFUNCTION("""COMPUTED_VALUE"""),41912.7055555555)</f>
        <v>41912.705555555498</v>
      </c>
      <c r="T1119" s="111">
        <f ca="1">IFERROR(__xludf.DUMMYFUNCTION("""COMPUTED_VALUE"""),10.68)</f>
        <v>10.68</v>
      </c>
    </row>
    <row r="1120" spans="1:20" x14ac:dyDescent="0.3">
      <c r="A1120" s="112">
        <f ca="1">IFERROR(__xludf.DUMMYFUNCTION("""COMPUTED_VALUE"""),41908.7055555555)</f>
        <v>41908.705555555498</v>
      </c>
      <c r="B1120" s="111">
        <f ca="1">IFERROR(__xludf.DUMMYFUNCTION("""COMPUTED_VALUE"""),7.25)</f>
        <v>7.25</v>
      </c>
      <c r="C1120" s="112">
        <f ca="1">IFERROR(__xludf.DUMMYFUNCTION("""COMPUTED_VALUE"""),41915.7055555555)</f>
        <v>41915.705555555498</v>
      </c>
      <c r="D1120" s="111">
        <f ca="1">IFERROR(__xludf.DUMMYFUNCTION("""COMPUTED_VALUE"""),19.21)</f>
        <v>19.21</v>
      </c>
      <c r="E1120" s="112">
        <f ca="1">IFERROR(__xludf.DUMMYFUNCTION("""COMPUTED_VALUE"""),41918.7055555555)</f>
        <v>41918.705555555498</v>
      </c>
      <c r="F1120" s="111">
        <f ca="1">IFERROR(__xludf.DUMMYFUNCTION("""COMPUTED_VALUE"""),7.18)</f>
        <v>7.18</v>
      </c>
      <c r="G1120" s="112">
        <f ca="1">IFERROR(__xludf.DUMMYFUNCTION("""COMPUTED_VALUE"""),41911.7055555555)</f>
        <v>41911.705555555498</v>
      </c>
      <c r="H1120" s="111">
        <f ca="1">IFERROR(__xludf.DUMMYFUNCTION("""COMPUTED_VALUE"""),18.6)</f>
        <v>18.600000000000001</v>
      </c>
      <c r="K1120" s="112">
        <f ca="1">IFERROR(__xludf.DUMMYFUNCTION("""COMPUTED_VALUE"""),42361.7055555555)</f>
        <v>42361.705555555498</v>
      </c>
      <c r="L1120" s="111">
        <f ca="1">IFERROR(__xludf.DUMMYFUNCTION("""COMPUTED_VALUE"""),0.05)</f>
        <v>0.05</v>
      </c>
      <c r="M1120" s="112">
        <f ca="1">IFERROR(__xludf.DUMMYFUNCTION("""COMPUTED_VALUE"""),41828.7055555555)</f>
        <v>41828.705555555498</v>
      </c>
      <c r="N1120" s="111">
        <f ca="1">IFERROR(__xludf.DUMMYFUNCTION("""COMPUTED_VALUE"""),13.82)</f>
        <v>13.82</v>
      </c>
      <c r="O1120" s="112">
        <f ca="1">IFERROR(__xludf.DUMMYFUNCTION("""COMPUTED_VALUE"""),41904.7055555555)</f>
        <v>41904.705555555498</v>
      </c>
      <c r="P1120" s="111">
        <f ca="1">IFERROR(__xludf.DUMMYFUNCTION("""COMPUTED_VALUE"""),27.28)</f>
        <v>27.28</v>
      </c>
      <c r="Q1120" s="112">
        <f ca="1">IFERROR(__xludf.DUMMYFUNCTION("""COMPUTED_VALUE"""),41900.7055555555)</f>
        <v>41900.705555555498</v>
      </c>
      <c r="R1120" s="111">
        <f ca="1">IFERROR(__xludf.DUMMYFUNCTION("""COMPUTED_VALUE"""),32.68)</f>
        <v>32.68</v>
      </c>
      <c r="S1120" s="112">
        <f ca="1">IFERROR(__xludf.DUMMYFUNCTION("""COMPUTED_VALUE"""),41913.7055555555)</f>
        <v>41913.705555555498</v>
      </c>
      <c r="T1120" s="111">
        <f ca="1">IFERROR(__xludf.DUMMYFUNCTION("""COMPUTED_VALUE"""),10.48)</f>
        <v>10.48</v>
      </c>
    </row>
    <row r="1121" spans="1:20" x14ac:dyDescent="0.3">
      <c r="A1121" s="112">
        <f ca="1">IFERROR(__xludf.DUMMYFUNCTION("""COMPUTED_VALUE"""),41911.7055555555)</f>
        <v>41911.705555555498</v>
      </c>
      <c r="B1121" s="111">
        <f ca="1">IFERROR(__xludf.DUMMYFUNCTION("""COMPUTED_VALUE"""),6.8)</f>
        <v>6.8</v>
      </c>
      <c r="C1121" s="112">
        <f ca="1">IFERROR(__xludf.DUMMYFUNCTION("""COMPUTED_VALUE"""),41918.7055555555)</f>
        <v>41918.705555555498</v>
      </c>
      <c r="D1121" s="111">
        <f ca="1">IFERROR(__xludf.DUMMYFUNCTION("""COMPUTED_VALUE"""),20.24)</f>
        <v>20.239999999999998</v>
      </c>
      <c r="E1121" s="112">
        <f ca="1">IFERROR(__xludf.DUMMYFUNCTION("""COMPUTED_VALUE"""),41919.7055555555)</f>
        <v>41919.705555555498</v>
      </c>
      <c r="F1121" s="111">
        <f ca="1">IFERROR(__xludf.DUMMYFUNCTION("""COMPUTED_VALUE"""),7.21)</f>
        <v>7.21</v>
      </c>
      <c r="G1121" s="112">
        <f ca="1">IFERROR(__xludf.DUMMYFUNCTION("""COMPUTED_VALUE"""),41912.7055555555)</f>
        <v>41912.705555555498</v>
      </c>
      <c r="H1121" s="111">
        <f ca="1">IFERROR(__xludf.DUMMYFUNCTION("""COMPUTED_VALUE"""),18.09)</f>
        <v>18.09</v>
      </c>
      <c r="K1121" s="112">
        <f ca="1">IFERROR(__xludf.DUMMYFUNCTION("""COMPUTED_VALUE"""),42366.7055555555)</f>
        <v>42366.705555555498</v>
      </c>
      <c r="L1121" s="111">
        <f ca="1">IFERROR(__xludf.DUMMYFUNCTION("""COMPUTED_VALUE"""),0.06)</f>
        <v>0.06</v>
      </c>
      <c r="M1121" s="112">
        <f ca="1">IFERROR(__xludf.DUMMYFUNCTION("""COMPUTED_VALUE"""),41830.7055555555)</f>
        <v>41830.705555555498</v>
      </c>
      <c r="N1121" s="111">
        <f ca="1">IFERROR(__xludf.DUMMYFUNCTION("""COMPUTED_VALUE"""),14.23)</f>
        <v>14.23</v>
      </c>
      <c r="O1121" s="112">
        <f ca="1">IFERROR(__xludf.DUMMYFUNCTION("""COMPUTED_VALUE"""),41905.7055555555)</f>
        <v>41905.705555555498</v>
      </c>
      <c r="P1121" s="111">
        <f ca="1">IFERROR(__xludf.DUMMYFUNCTION("""COMPUTED_VALUE"""),27.55)</f>
        <v>27.55</v>
      </c>
      <c r="Q1121" s="112">
        <f ca="1">IFERROR(__xludf.DUMMYFUNCTION("""COMPUTED_VALUE"""),41901.7055555555)</f>
        <v>41901.705555555498</v>
      </c>
      <c r="R1121" s="111">
        <f ca="1">IFERROR(__xludf.DUMMYFUNCTION("""COMPUTED_VALUE"""),32.07)</f>
        <v>32.07</v>
      </c>
      <c r="S1121" s="112">
        <f ca="1">IFERROR(__xludf.DUMMYFUNCTION("""COMPUTED_VALUE"""),41914.7055555555)</f>
        <v>41914.705555555498</v>
      </c>
      <c r="T1121" s="111">
        <f ca="1">IFERROR(__xludf.DUMMYFUNCTION("""COMPUTED_VALUE"""),10.38)</f>
        <v>10.38</v>
      </c>
    </row>
    <row r="1122" spans="1:20" x14ac:dyDescent="0.3">
      <c r="A1122" s="112">
        <f ca="1">IFERROR(__xludf.DUMMYFUNCTION("""COMPUTED_VALUE"""),41912.7055555555)</f>
        <v>41912.705555555498</v>
      </c>
      <c r="B1122" s="111">
        <f ca="1">IFERROR(__xludf.DUMMYFUNCTION("""COMPUTED_VALUE"""),6.49)</f>
        <v>6.49</v>
      </c>
      <c r="C1122" s="112">
        <f ca="1">IFERROR(__xludf.DUMMYFUNCTION("""COMPUTED_VALUE"""),41919.7055555555)</f>
        <v>41919.705555555498</v>
      </c>
      <c r="D1122" s="111">
        <f ca="1">IFERROR(__xludf.DUMMYFUNCTION("""COMPUTED_VALUE"""),20.27)</f>
        <v>20.27</v>
      </c>
      <c r="E1122" s="112">
        <f ca="1">IFERROR(__xludf.DUMMYFUNCTION("""COMPUTED_VALUE"""),41920.7055555555)</f>
        <v>41920.705555555498</v>
      </c>
      <c r="F1122" s="111">
        <f ca="1">IFERROR(__xludf.DUMMYFUNCTION("""COMPUTED_VALUE"""),7.12)</f>
        <v>7.12</v>
      </c>
      <c r="G1122" s="112">
        <f ca="1">IFERROR(__xludf.DUMMYFUNCTION("""COMPUTED_VALUE"""),41913.7055555555)</f>
        <v>41913.705555555498</v>
      </c>
      <c r="H1122" s="111">
        <f ca="1">IFERROR(__xludf.DUMMYFUNCTION("""COMPUTED_VALUE"""),17.09)</f>
        <v>17.09</v>
      </c>
      <c r="K1122" s="112">
        <f ca="1">IFERROR(__xludf.DUMMYFUNCTION("""COMPUTED_VALUE"""),42367.7055555555)</f>
        <v>42367.705555555498</v>
      </c>
      <c r="L1122" s="111">
        <f ca="1">IFERROR(__xludf.DUMMYFUNCTION("""COMPUTED_VALUE"""),0.07)</f>
        <v>7.0000000000000007E-2</v>
      </c>
      <c r="M1122" s="112">
        <f ca="1">IFERROR(__xludf.DUMMYFUNCTION("""COMPUTED_VALUE"""),41831.7055555555)</f>
        <v>41831.705555555498</v>
      </c>
      <c r="N1122" s="111">
        <f ca="1">IFERROR(__xludf.DUMMYFUNCTION("""COMPUTED_VALUE"""),14.32)</f>
        <v>14.32</v>
      </c>
      <c r="O1122" s="112">
        <f ca="1">IFERROR(__xludf.DUMMYFUNCTION("""COMPUTED_VALUE"""),41906.7055555555)</f>
        <v>41906.705555555498</v>
      </c>
      <c r="P1122" s="111">
        <f ca="1">IFERROR(__xludf.DUMMYFUNCTION("""COMPUTED_VALUE"""),27.64)</f>
        <v>27.64</v>
      </c>
      <c r="Q1122" s="112">
        <f ca="1">IFERROR(__xludf.DUMMYFUNCTION("""COMPUTED_VALUE"""),41904.7055555555)</f>
        <v>41904.705555555498</v>
      </c>
      <c r="R1122" s="111">
        <f ca="1">IFERROR(__xludf.DUMMYFUNCTION("""COMPUTED_VALUE"""),30.55)</f>
        <v>30.55</v>
      </c>
      <c r="S1122" s="112">
        <f ca="1">IFERROR(__xludf.DUMMYFUNCTION("""COMPUTED_VALUE"""),41915.7055555555)</f>
        <v>41915.705555555498</v>
      </c>
      <c r="T1122" s="111">
        <f ca="1">IFERROR(__xludf.DUMMYFUNCTION("""COMPUTED_VALUE"""),10.58)</f>
        <v>10.58</v>
      </c>
    </row>
    <row r="1123" spans="1:20" x14ac:dyDescent="0.3">
      <c r="A1123" s="112">
        <f ca="1">IFERROR(__xludf.DUMMYFUNCTION("""COMPUTED_VALUE"""),41913.7055555555)</f>
        <v>41913.705555555498</v>
      </c>
      <c r="B1123" s="111">
        <f ca="1">IFERROR(__xludf.DUMMYFUNCTION("""COMPUTED_VALUE"""),6.23)</f>
        <v>6.23</v>
      </c>
      <c r="C1123" s="112">
        <f ca="1">IFERROR(__xludf.DUMMYFUNCTION("""COMPUTED_VALUE"""),41920.7055555555)</f>
        <v>41920.705555555498</v>
      </c>
      <c r="D1123" s="111">
        <f ca="1">IFERROR(__xludf.DUMMYFUNCTION("""COMPUTED_VALUE"""),20.01)</f>
        <v>20.010000000000002</v>
      </c>
      <c r="E1123" s="112">
        <f ca="1">IFERROR(__xludf.DUMMYFUNCTION("""COMPUTED_VALUE"""),41921.7055555555)</f>
        <v>41921.705555555498</v>
      </c>
      <c r="F1123" s="111">
        <f ca="1">IFERROR(__xludf.DUMMYFUNCTION("""COMPUTED_VALUE"""),7.16)</f>
        <v>7.16</v>
      </c>
      <c r="G1123" s="112">
        <f ca="1">IFERROR(__xludf.DUMMYFUNCTION("""COMPUTED_VALUE"""),41914.7055555555)</f>
        <v>41914.705555555498</v>
      </c>
      <c r="H1123" s="111">
        <f ca="1">IFERROR(__xludf.DUMMYFUNCTION("""COMPUTED_VALUE"""),17.3)</f>
        <v>17.3</v>
      </c>
      <c r="K1123" s="112">
        <f ca="1">IFERROR(__xludf.DUMMYFUNCTION("""COMPUTED_VALUE"""),42368.7055555555)</f>
        <v>42368.705555555498</v>
      </c>
      <c r="L1123" s="111">
        <f ca="1">IFERROR(__xludf.DUMMYFUNCTION("""COMPUTED_VALUE"""),0.07)</f>
        <v>7.0000000000000007E-2</v>
      </c>
      <c r="M1123" s="112">
        <f ca="1">IFERROR(__xludf.DUMMYFUNCTION("""COMPUTED_VALUE"""),41834.7055555555)</f>
        <v>41834.705555555498</v>
      </c>
      <c r="N1123" s="111">
        <f ca="1">IFERROR(__xludf.DUMMYFUNCTION("""COMPUTED_VALUE"""),14.84)</f>
        <v>14.84</v>
      </c>
      <c r="O1123" s="112">
        <f ca="1">IFERROR(__xludf.DUMMYFUNCTION("""COMPUTED_VALUE"""),41907.7055555555)</f>
        <v>41907.705555555498</v>
      </c>
      <c r="P1123" s="111">
        <f ca="1">IFERROR(__xludf.DUMMYFUNCTION("""COMPUTED_VALUE"""),27.35)</f>
        <v>27.35</v>
      </c>
      <c r="Q1123" s="112">
        <f ca="1">IFERROR(__xludf.DUMMYFUNCTION("""COMPUTED_VALUE"""),41905.7055555555)</f>
        <v>41905.705555555498</v>
      </c>
      <c r="R1123" s="111">
        <f ca="1">IFERROR(__xludf.DUMMYFUNCTION("""COMPUTED_VALUE"""),30.14)</f>
        <v>30.14</v>
      </c>
      <c r="S1123" s="112">
        <f ca="1">IFERROR(__xludf.DUMMYFUNCTION("""COMPUTED_VALUE"""),41918.7055555555)</f>
        <v>41918.705555555498</v>
      </c>
      <c r="T1123" s="111">
        <f ca="1">IFERROR(__xludf.DUMMYFUNCTION("""COMPUTED_VALUE"""),10.92)</f>
        <v>10.92</v>
      </c>
    </row>
    <row r="1124" spans="1:20" x14ac:dyDescent="0.3">
      <c r="A1124" s="112">
        <f ca="1">IFERROR(__xludf.DUMMYFUNCTION("""COMPUTED_VALUE"""),41914.7055555555)</f>
        <v>41914.705555555498</v>
      </c>
      <c r="B1124" s="111">
        <f ca="1">IFERROR(__xludf.DUMMYFUNCTION("""COMPUTED_VALUE"""),6.14)</f>
        <v>6.14</v>
      </c>
      <c r="C1124" s="112">
        <f ca="1">IFERROR(__xludf.DUMMYFUNCTION("""COMPUTED_VALUE"""),41921.7055555555)</f>
        <v>41921.705555555498</v>
      </c>
      <c r="D1124" s="111">
        <f ca="1">IFERROR(__xludf.DUMMYFUNCTION("""COMPUTED_VALUE"""),20.26)</f>
        <v>20.260000000000002</v>
      </c>
      <c r="E1124" s="112">
        <f ca="1">IFERROR(__xludf.DUMMYFUNCTION("""COMPUTED_VALUE"""),41922.7055555555)</f>
        <v>41922.705555555498</v>
      </c>
      <c r="F1124" s="111">
        <f ca="1">IFERROR(__xludf.DUMMYFUNCTION("""COMPUTED_VALUE"""),6.88)</f>
        <v>6.88</v>
      </c>
      <c r="G1124" s="112">
        <f ca="1">IFERROR(__xludf.DUMMYFUNCTION("""COMPUTED_VALUE"""),41915.7055555555)</f>
        <v>41915.705555555498</v>
      </c>
      <c r="H1124" s="111">
        <f ca="1">IFERROR(__xludf.DUMMYFUNCTION("""COMPUTED_VALUE"""),18.35)</f>
        <v>18.350000000000001</v>
      </c>
      <c r="K1124" s="112">
        <f ca="1">IFERROR(__xludf.DUMMYFUNCTION("""COMPUTED_VALUE"""),42373.7055555555)</f>
        <v>42373.705555555498</v>
      </c>
      <c r="L1124" s="111">
        <f ca="1">IFERROR(__xludf.DUMMYFUNCTION("""COMPUTED_VALUE"""),0.07)</f>
        <v>7.0000000000000007E-2</v>
      </c>
      <c r="M1124" s="112">
        <f ca="1">IFERROR(__xludf.DUMMYFUNCTION("""COMPUTED_VALUE"""),41835.7055555555)</f>
        <v>41835.705555555498</v>
      </c>
      <c r="N1124" s="111">
        <f ca="1">IFERROR(__xludf.DUMMYFUNCTION("""COMPUTED_VALUE"""),14.96)</f>
        <v>14.96</v>
      </c>
      <c r="O1124" s="112">
        <f ca="1">IFERROR(__xludf.DUMMYFUNCTION("""COMPUTED_VALUE"""),41908.7055555555)</f>
        <v>41908.705555555498</v>
      </c>
      <c r="P1124" s="111">
        <f ca="1">IFERROR(__xludf.DUMMYFUNCTION("""COMPUTED_VALUE"""),26.97)</f>
        <v>26.97</v>
      </c>
      <c r="Q1124" s="112">
        <f ca="1">IFERROR(__xludf.DUMMYFUNCTION("""COMPUTED_VALUE"""),41906.7055555555)</f>
        <v>41906.705555555498</v>
      </c>
      <c r="R1124" s="111">
        <f ca="1">IFERROR(__xludf.DUMMYFUNCTION("""COMPUTED_VALUE"""),30)</f>
        <v>30</v>
      </c>
      <c r="S1124" s="112">
        <f ca="1">IFERROR(__xludf.DUMMYFUNCTION("""COMPUTED_VALUE"""),41919.7055555555)</f>
        <v>41919.705555555498</v>
      </c>
      <c r="T1124" s="111">
        <f ca="1">IFERROR(__xludf.DUMMYFUNCTION("""COMPUTED_VALUE"""),11.06)</f>
        <v>11.06</v>
      </c>
    </row>
    <row r="1125" spans="1:20" x14ac:dyDescent="0.3">
      <c r="A1125" s="112">
        <f ca="1">IFERROR(__xludf.DUMMYFUNCTION("""COMPUTED_VALUE"""),41915.7055555555)</f>
        <v>41915.705555555498</v>
      </c>
      <c r="B1125" s="111">
        <f ca="1">IFERROR(__xludf.DUMMYFUNCTION("""COMPUTED_VALUE"""),6.28)</f>
        <v>6.28</v>
      </c>
      <c r="C1125" s="112">
        <f ca="1">IFERROR(__xludf.DUMMYFUNCTION("""COMPUTED_VALUE"""),41922.7055555555)</f>
        <v>41922.705555555498</v>
      </c>
      <c r="D1125" s="111">
        <f ca="1">IFERROR(__xludf.DUMMYFUNCTION("""COMPUTED_VALUE"""),19.42)</f>
        <v>19.420000000000002</v>
      </c>
      <c r="E1125" s="112">
        <f ca="1">IFERROR(__xludf.DUMMYFUNCTION("""COMPUTED_VALUE"""),41925.7055555555)</f>
        <v>41925.705555555498</v>
      </c>
      <c r="F1125" s="111">
        <f ca="1">IFERROR(__xludf.DUMMYFUNCTION("""COMPUTED_VALUE"""),7.33)</f>
        <v>7.33</v>
      </c>
      <c r="G1125" s="112">
        <f ca="1">IFERROR(__xludf.DUMMYFUNCTION("""COMPUTED_VALUE"""),41918.7055555555)</f>
        <v>41918.705555555498</v>
      </c>
      <c r="H1125" s="111">
        <f ca="1">IFERROR(__xludf.DUMMYFUNCTION("""COMPUTED_VALUE"""),20.39)</f>
        <v>20.39</v>
      </c>
      <c r="K1125" s="112">
        <f ca="1">IFERROR(__xludf.DUMMYFUNCTION("""COMPUTED_VALUE"""),42374.7055555555)</f>
        <v>42374.705555555498</v>
      </c>
      <c r="L1125" s="111">
        <f ca="1">IFERROR(__xludf.DUMMYFUNCTION("""COMPUTED_VALUE"""),0.07)</f>
        <v>7.0000000000000007E-2</v>
      </c>
      <c r="M1125" s="112">
        <f ca="1">IFERROR(__xludf.DUMMYFUNCTION("""COMPUTED_VALUE"""),41836.7055555555)</f>
        <v>41836.705555555498</v>
      </c>
      <c r="N1125" s="111">
        <f ca="1">IFERROR(__xludf.DUMMYFUNCTION("""COMPUTED_VALUE"""),14.47)</f>
        <v>14.47</v>
      </c>
      <c r="O1125" s="112">
        <f ca="1">IFERROR(__xludf.DUMMYFUNCTION("""COMPUTED_VALUE"""),41911.7055555555)</f>
        <v>41911.705555555498</v>
      </c>
      <c r="P1125" s="111">
        <f ca="1">IFERROR(__xludf.DUMMYFUNCTION("""COMPUTED_VALUE"""),26.54)</f>
        <v>26.54</v>
      </c>
      <c r="Q1125" s="112">
        <f ca="1">IFERROR(__xludf.DUMMYFUNCTION("""COMPUTED_VALUE"""),41907.7055555555)</f>
        <v>41907.705555555498</v>
      </c>
      <c r="R1125" s="111">
        <f ca="1">IFERROR(__xludf.DUMMYFUNCTION("""COMPUTED_VALUE"""),28.92)</f>
        <v>28.92</v>
      </c>
      <c r="S1125" s="112">
        <f ca="1">IFERROR(__xludf.DUMMYFUNCTION("""COMPUTED_VALUE"""),41920.7055555555)</f>
        <v>41920.705555555498</v>
      </c>
      <c r="T1125" s="111">
        <f ca="1">IFERROR(__xludf.DUMMYFUNCTION("""COMPUTED_VALUE"""),11.02)</f>
        <v>11.02</v>
      </c>
    </row>
    <row r="1126" spans="1:20" x14ac:dyDescent="0.3">
      <c r="A1126" s="112">
        <f ca="1">IFERROR(__xludf.DUMMYFUNCTION("""COMPUTED_VALUE"""),41918.7055555555)</f>
        <v>41918.705555555498</v>
      </c>
      <c r="B1126" s="111">
        <f ca="1">IFERROR(__xludf.DUMMYFUNCTION("""COMPUTED_VALUE"""),6.86)</f>
        <v>6.86</v>
      </c>
      <c r="C1126" s="112">
        <f ca="1">IFERROR(__xludf.DUMMYFUNCTION("""COMPUTED_VALUE"""),41925.7055555555)</f>
        <v>41925.705555555498</v>
      </c>
      <c r="D1126" s="111">
        <f ca="1">IFERROR(__xludf.DUMMYFUNCTION("""COMPUTED_VALUE"""),20.94)</f>
        <v>20.94</v>
      </c>
      <c r="E1126" s="112">
        <f ca="1">IFERROR(__xludf.DUMMYFUNCTION("""COMPUTED_VALUE"""),41926.7055555555)</f>
        <v>41926.705555555498</v>
      </c>
      <c r="F1126" s="111">
        <f ca="1">IFERROR(__xludf.DUMMYFUNCTION("""COMPUTED_VALUE"""),7.43)</f>
        <v>7.43</v>
      </c>
      <c r="G1126" s="112">
        <f ca="1">IFERROR(__xludf.DUMMYFUNCTION("""COMPUTED_VALUE"""),41919.7055555555)</f>
        <v>41919.705555555498</v>
      </c>
      <c r="H1126" s="111">
        <f ca="1">IFERROR(__xludf.DUMMYFUNCTION("""COMPUTED_VALUE"""),21.21)</f>
        <v>21.21</v>
      </c>
      <c r="K1126" s="112">
        <f ca="1">IFERROR(__xludf.DUMMYFUNCTION("""COMPUTED_VALUE"""),42375.7055555555)</f>
        <v>42375.705555555498</v>
      </c>
      <c r="L1126" s="111">
        <f ca="1">IFERROR(__xludf.DUMMYFUNCTION("""COMPUTED_VALUE"""),0.06)</f>
        <v>0.06</v>
      </c>
      <c r="M1126" s="112">
        <f ca="1">IFERROR(__xludf.DUMMYFUNCTION("""COMPUTED_VALUE"""),41837.7055555555)</f>
        <v>41837.705555555498</v>
      </c>
      <c r="N1126" s="111">
        <f ca="1">IFERROR(__xludf.DUMMYFUNCTION("""COMPUTED_VALUE"""),14.41)</f>
        <v>14.41</v>
      </c>
      <c r="O1126" s="112">
        <f ca="1">IFERROR(__xludf.DUMMYFUNCTION("""COMPUTED_VALUE"""),41912.7055555555)</f>
        <v>41912.705555555498</v>
      </c>
      <c r="P1126" s="111">
        <f ca="1">IFERROR(__xludf.DUMMYFUNCTION("""COMPUTED_VALUE"""),26.85)</f>
        <v>26.85</v>
      </c>
      <c r="Q1126" s="112">
        <f ca="1">IFERROR(__xludf.DUMMYFUNCTION("""COMPUTED_VALUE"""),41908.7055555555)</f>
        <v>41908.705555555498</v>
      </c>
      <c r="R1126" s="111">
        <f ca="1">IFERROR(__xludf.DUMMYFUNCTION("""COMPUTED_VALUE"""),29.83)</f>
        <v>29.83</v>
      </c>
      <c r="S1126" s="112">
        <f ca="1">IFERROR(__xludf.DUMMYFUNCTION("""COMPUTED_VALUE"""),41921.7055555555)</f>
        <v>41921.705555555498</v>
      </c>
      <c r="T1126" s="111">
        <f ca="1">IFERROR(__xludf.DUMMYFUNCTION("""COMPUTED_VALUE"""),11.19)</f>
        <v>11.19</v>
      </c>
    </row>
    <row r="1127" spans="1:20" x14ac:dyDescent="0.3">
      <c r="A1127" s="112">
        <f ca="1">IFERROR(__xludf.DUMMYFUNCTION("""COMPUTED_VALUE"""),41919.7055555555)</f>
        <v>41919.705555555498</v>
      </c>
      <c r="B1127" s="111">
        <f ca="1">IFERROR(__xludf.DUMMYFUNCTION("""COMPUTED_VALUE"""),7.08)</f>
        <v>7.08</v>
      </c>
      <c r="C1127" s="112">
        <f ca="1">IFERROR(__xludf.DUMMYFUNCTION("""COMPUTED_VALUE"""),41926.7055555555)</f>
        <v>41926.705555555498</v>
      </c>
      <c r="D1127" s="111">
        <f ca="1">IFERROR(__xludf.DUMMYFUNCTION("""COMPUTED_VALUE"""),21.13)</f>
        <v>21.13</v>
      </c>
      <c r="E1127" s="112">
        <f ca="1">IFERROR(__xludf.DUMMYFUNCTION("""COMPUTED_VALUE"""),41927.7055555555)</f>
        <v>41927.705555555498</v>
      </c>
      <c r="F1127" s="111">
        <f ca="1">IFERROR(__xludf.DUMMYFUNCTION("""COMPUTED_VALUE"""),7.16)</f>
        <v>7.16</v>
      </c>
      <c r="G1127" s="112">
        <f ca="1">IFERROR(__xludf.DUMMYFUNCTION("""COMPUTED_VALUE"""),41920.7055555555)</f>
        <v>41920.705555555498</v>
      </c>
      <c r="H1127" s="111">
        <f ca="1">IFERROR(__xludf.DUMMYFUNCTION("""COMPUTED_VALUE"""),20.85)</f>
        <v>20.85</v>
      </c>
      <c r="K1127" s="112">
        <f ca="1">IFERROR(__xludf.DUMMYFUNCTION("""COMPUTED_VALUE"""),42376.7055555555)</f>
        <v>42376.705555555498</v>
      </c>
      <c r="L1127" s="111">
        <f ca="1">IFERROR(__xludf.DUMMYFUNCTION("""COMPUTED_VALUE"""),0.06)</f>
        <v>0.06</v>
      </c>
      <c r="M1127" s="112">
        <f ca="1">IFERROR(__xludf.DUMMYFUNCTION("""COMPUTED_VALUE"""),41838.7055555555)</f>
        <v>41838.705555555498</v>
      </c>
      <c r="N1127" s="111">
        <f ca="1">IFERROR(__xludf.DUMMYFUNCTION("""COMPUTED_VALUE"""),15.1)</f>
        <v>15.1</v>
      </c>
      <c r="O1127" s="112">
        <f ca="1">IFERROR(__xludf.DUMMYFUNCTION("""COMPUTED_VALUE"""),41913.7055555555)</f>
        <v>41913.705555555498</v>
      </c>
      <c r="P1127" s="111">
        <f ca="1">IFERROR(__xludf.DUMMYFUNCTION("""COMPUTED_VALUE"""),26.83)</f>
        <v>26.83</v>
      </c>
      <c r="Q1127" s="112">
        <f ca="1">IFERROR(__xludf.DUMMYFUNCTION("""COMPUTED_VALUE"""),41911.7055555555)</f>
        <v>41911.705555555498</v>
      </c>
      <c r="R1127" s="111">
        <f ca="1">IFERROR(__xludf.DUMMYFUNCTION("""COMPUTED_VALUE"""),27.28)</f>
        <v>27.28</v>
      </c>
      <c r="S1127" s="112">
        <f ca="1">IFERROR(__xludf.DUMMYFUNCTION("""COMPUTED_VALUE"""),41922.7055555555)</f>
        <v>41922.705555555498</v>
      </c>
      <c r="T1127" s="111">
        <f ca="1">IFERROR(__xludf.DUMMYFUNCTION("""COMPUTED_VALUE"""),10.87)</f>
        <v>10.87</v>
      </c>
    </row>
    <row r="1128" spans="1:20" x14ac:dyDescent="0.3">
      <c r="A1128" s="112">
        <f ca="1">IFERROR(__xludf.DUMMYFUNCTION("""COMPUTED_VALUE"""),41920.7055555555)</f>
        <v>41920.705555555498</v>
      </c>
      <c r="B1128" s="111">
        <f ca="1">IFERROR(__xludf.DUMMYFUNCTION("""COMPUTED_VALUE"""),6.93)</f>
        <v>6.93</v>
      </c>
      <c r="C1128" s="112">
        <f ca="1">IFERROR(__xludf.DUMMYFUNCTION("""COMPUTED_VALUE"""),41927.7055555555)</f>
        <v>41927.705555555498</v>
      </c>
      <c r="D1128" s="111">
        <f ca="1">IFERROR(__xludf.DUMMYFUNCTION("""COMPUTED_VALUE"""),20.18)</f>
        <v>20.18</v>
      </c>
      <c r="E1128" s="112">
        <f ca="1">IFERROR(__xludf.DUMMYFUNCTION("""COMPUTED_VALUE"""),41928.7055555555)</f>
        <v>41928.705555555498</v>
      </c>
      <c r="F1128" s="111">
        <f ca="1">IFERROR(__xludf.DUMMYFUNCTION("""COMPUTED_VALUE"""),6.9)</f>
        <v>6.9</v>
      </c>
      <c r="G1128" s="112">
        <f ca="1">IFERROR(__xludf.DUMMYFUNCTION("""COMPUTED_VALUE"""),41921.7055555555)</f>
        <v>41921.705555555498</v>
      </c>
      <c r="H1128" s="111">
        <f ca="1">IFERROR(__xludf.DUMMYFUNCTION("""COMPUTED_VALUE"""),21.2)</f>
        <v>21.2</v>
      </c>
      <c r="K1128" s="112">
        <f ca="1">IFERROR(__xludf.DUMMYFUNCTION("""COMPUTED_VALUE"""),42377.7055555555)</f>
        <v>42377.705555555498</v>
      </c>
      <c r="L1128" s="111">
        <f ca="1">IFERROR(__xludf.DUMMYFUNCTION("""COMPUTED_VALUE"""),0.06)</f>
        <v>0.06</v>
      </c>
      <c r="M1128" s="112">
        <f ca="1">IFERROR(__xludf.DUMMYFUNCTION("""COMPUTED_VALUE"""),41841.7055555555)</f>
        <v>41841.705555555498</v>
      </c>
      <c r="N1128" s="111">
        <f ca="1">IFERROR(__xludf.DUMMYFUNCTION("""COMPUTED_VALUE"""),15.22)</f>
        <v>15.22</v>
      </c>
      <c r="O1128" s="112">
        <f ca="1">IFERROR(__xludf.DUMMYFUNCTION("""COMPUTED_VALUE"""),41914.7055555555)</f>
        <v>41914.705555555498</v>
      </c>
      <c r="P1128" s="111">
        <f ca="1">IFERROR(__xludf.DUMMYFUNCTION("""COMPUTED_VALUE"""),27.61)</f>
        <v>27.61</v>
      </c>
      <c r="Q1128" s="112">
        <f ca="1">IFERROR(__xludf.DUMMYFUNCTION("""COMPUTED_VALUE"""),41912.7055555555)</f>
        <v>41912.705555555498</v>
      </c>
      <c r="R1128" s="111">
        <f ca="1">IFERROR(__xludf.DUMMYFUNCTION("""COMPUTED_VALUE"""),25.3)</f>
        <v>25.3</v>
      </c>
      <c r="S1128" s="112">
        <f ca="1">IFERROR(__xludf.DUMMYFUNCTION("""COMPUTED_VALUE"""),41925.7055555555)</f>
        <v>41925.705555555498</v>
      </c>
      <c r="T1128" s="111">
        <f ca="1">IFERROR(__xludf.DUMMYFUNCTION("""COMPUTED_VALUE"""),11.17)</f>
        <v>11.17</v>
      </c>
    </row>
    <row r="1129" spans="1:20" x14ac:dyDescent="0.3">
      <c r="A1129" s="112">
        <f ca="1">IFERROR(__xludf.DUMMYFUNCTION("""COMPUTED_VALUE"""),41921.7055555555)</f>
        <v>41921.705555555498</v>
      </c>
      <c r="B1129" s="111">
        <f ca="1">IFERROR(__xludf.DUMMYFUNCTION("""COMPUTED_VALUE"""),7)</f>
        <v>7</v>
      </c>
      <c r="C1129" s="112">
        <f ca="1">IFERROR(__xludf.DUMMYFUNCTION("""COMPUTED_VALUE"""),41928.7055555555)</f>
        <v>41928.705555555498</v>
      </c>
      <c r="D1129" s="111">
        <f ca="1">IFERROR(__xludf.DUMMYFUNCTION("""COMPUTED_VALUE"""),19.65)</f>
        <v>19.649999999999999</v>
      </c>
      <c r="E1129" s="112">
        <f ca="1">IFERROR(__xludf.DUMMYFUNCTION("""COMPUTED_VALUE"""),41929.7055555555)</f>
        <v>41929.705555555498</v>
      </c>
      <c r="F1129" s="111">
        <f ca="1">IFERROR(__xludf.DUMMYFUNCTION("""COMPUTED_VALUE"""),7.12)</f>
        <v>7.12</v>
      </c>
      <c r="G1129" s="112">
        <f ca="1">IFERROR(__xludf.DUMMYFUNCTION("""COMPUTED_VALUE"""),41922.7055555555)</f>
        <v>41922.705555555498</v>
      </c>
      <c r="H1129" s="111">
        <f ca="1">IFERROR(__xludf.DUMMYFUNCTION("""COMPUTED_VALUE"""),20.05)</f>
        <v>20.05</v>
      </c>
      <c r="K1129" s="112">
        <f ca="1">IFERROR(__xludf.DUMMYFUNCTION("""COMPUTED_VALUE"""),42380.7055555555)</f>
        <v>42380.705555555498</v>
      </c>
      <c r="L1129" s="111">
        <f ca="1">IFERROR(__xludf.DUMMYFUNCTION("""COMPUTED_VALUE"""),0.06)</f>
        <v>0.06</v>
      </c>
      <c r="M1129" s="112">
        <f ca="1">IFERROR(__xludf.DUMMYFUNCTION("""COMPUTED_VALUE"""),41842.7055555555)</f>
        <v>41842.705555555498</v>
      </c>
      <c r="N1129" s="111">
        <f ca="1">IFERROR(__xludf.DUMMYFUNCTION("""COMPUTED_VALUE"""),15.17)</f>
        <v>15.17</v>
      </c>
      <c r="O1129" s="112">
        <f ca="1">IFERROR(__xludf.DUMMYFUNCTION("""COMPUTED_VALUE"""),41915.7055555555)</f>
        <v>41915.705555555498</v>
      </c>
      <c r="P1129" s="111">
        <f ca="1">IFERROR(__xludf.DUMMYFUNCTION("""COMPUTED_VALUE"""),27.2)</f>
        <v>27.2</v>
      </c>
      <c r="Q1129" s="112">
        <f ca="1">IFERROR(__xludf.DUMMYFUNCTION("""COMPUTED_VALUE"""),41913.7055555555)</f>
        <v>41913.705555555498</v>
      </c>
      <c r="R1129" s="111">
        <f ca="1">IFERROR(__xludf.DUMMYFUNCTION("""COMPUTED_VALUE"""),25.7)</f>
        <v>25.7</v>
      </c>
      <c r="S1129" s="112">
        <f ca="1">IFERROR(__xludf.DUMMYFUNCTION("""COMPUTED_VALUE"""),41926.7055555555)</f>
        <v>41926.705555555498</v>
      </c>
      <c r="T1129" s="111">
        <f ca="1">IFERROR(__xludf.DUMMYFUNCTION("""COMPUTED_VALUE"""),11.18)</f>
        <v>11.18</v>
      </c>
    </row>
    <row r="1130" spans="1:20" x14ac:dyDescent="0.3">
      <c r="A1130" s="112">
        <f ca="1">IFERROR(__xludf.DUMMYFUNCTION("""COMPUTED_VALUE"""),41922.7055555555)</f>
        <v>41922.705555555498</v>
      </c>
      <c r="B1130" s="111">
        <f ca="1">IFERROR(__xludf.DUMMYFUNCTION("""COMPUTED_VALUE"""),6.65)</f>
        <v>6.65</v>
      </c>
      <c r="C1130" s="112">
        <f ca="1">IFERROR(__xludf.DUMMYFUNCTION("""COMPUTED_VALUE"""),41929.7055555555)</f>
        <v>41929.705555555498</v>
      </c>
      <c r="D1130" s="111">
        <f ca="1">IFERROR(__xludf.DUMMYFUNCTION("""COMPUTED_VALUE"""),20.22)</f>
        <v>20.22</v>
      </c>
      <c r="E1130" s="112">
        <f ca="1">IFERROR(__xludf.DUMMYFUNCTION("""COMPUTED_VALUE"""),41932.7055555555)</f>
        <v>41932.705555555498</v>
      </c>
      <c r="F1130" s="111">
        <f ca="1">IFERROR(__xludf.DUMMYFUNCTION("""COMPUTED_VALUE"""),6.9)</f>
        <v>6.9</v>
      </c>
      <c r="G1130" s="112">
        <f ca="1">IFERROR(__xludf.DUMMYFUNCTION("""COMPUTED_VALUE"""),41925.7055555555)</f>
        <v>41925.705555555498</v>
      </c>
      <c r="H1130" s="111">
        <f ca="1">IFERROR(__xludf.DUMMYFUNCTION("""COMPUTED_VALUE"""),22.13)</f>
        <v>22.13</v>
      </c>
      <c r="K1130" s="112">
        <f ca="1">IFERROR(__xludf.DUMMYFUNCTION("""COMPUTED_VALUE"""),42381.7055555555)</f>
        <v>42381.705555555498</v>
      </c>
      <c r="L1130" s="111">
        <f ca="1">IFERROR(__xludf.DUMMYFUNCTION("""COMPUTED_VALUE"""),0.05)</f>
        <v>0.05</v>
      </c>
      <c r="M1130" s="112">
        <f ca="1">IFERROR(__xludf.DUMMYFUNCTION("""COMPUTED_VALUE"""),41843.7055555555)</f>
        <v>41843.705555555498</v>
      </c>
      <c r="N1130" s="111">
        <f ca="1">IFERROR(__xludf.DUMMYFUNCTION("""COMPUTED_VALUE"""),15.15)</f>
        <v>15.15</v>
      </c>
      <c r="O1130" s="112">
        <f ca="1">IFERROR(__xludf.DUMMYFUNCTION("""COMPUTED_VALUE"""),41918.7055555555)</f>
        <v>41918.705555555498</v>
      </c>
      <c r="P1130" s="111">
        <f ca="1">IFERROR(__xludf.DUMMYFUNCTION("""COMPUTED_VALUE"""),27.34)</f>
        <v>27.34</v>
      </c>
      <c r="Q1130" s="112">
        <f ca="1">IFERROR(__xludf.DUMMYFUNCTION("""COMPUTED_VALUE"""),41914.7055555555)</f>
        <v>41914.705555555498</v>
      </c>
      <c r="R1130" s="111">
        <f ca="1">IFERROR(__xludf.DUMMYFUNCTION("""COMPUTED_VALUE"""),25.45)</f>
        <v>25.45</v>
      </c>
      <c r="S1130" s="112">
        <f ca="1">IFERROR(__xludf.DUMMYFUNCTION("""COMPUTED_VALUE"""),41927.7055555555)</f>
        <v>41927.705555555498</v>
      </c>
      <c r="T1130" s="111">
        <f ca="1">IFERROR(__xludf.DUMMYFUNCTION("""COMPUTED_VALUE"""),11)</f>
        <v>11</v>
      </c>
    </row>
    <row r="1131" spans="1:20" x14ac:dyDescent="0.3">
      <c r="A1131" s="112">
        <f ca="1">IFERROR(__xludf.DUMMYFUNCTION("""COMPUTED_VALUE"""),41925.7055555555)</f>
        <v>41925.705555555498</v>
      </c>
      <c r="B1131" s="111">
        <f ca="1">IFERROR(__xludf.DUMMYFUNCTION("""COMPUTED_VALUE"""),7.07)</f>
        <v>7.07</v>
      </c>
      <c r="C1131" s="112">
        <f ca="1">IFERROR(__xludf.DUMMYFUNCTION("""COMPUTED_VALUE"""),41932.7055555555)</f>
        <v>41932.705555555498</v>
      </c>
      <c r="D1131" s="111">
        <f ca="1">IFERROR(__xludf.DUMMYFUNCTION("""COMPUTED_VALUE"""),19.64)</f>
        <v>19.64</v>
      </c>
      <c r="E1131" s="112">
        <f ca="1">IFERROR(__xludf.DUMMYFUNCTION("""COMPUTED_VALUE"""),41933.7055555555)</f>
        <v>41933.705555555498</v>
      </c>
      <c r="F1131" s="111">
        <f ca="1">IFERROR(__xludf.DUMMYFUNCTION("""COMPUTED_VALUE"""),6.55)</f>
        <v>6.55</v>
      </c>
      <c r="G1131" s="112">
        <f ca="1">IFERROR(__xludf.DUMMYFUNCTION("""COMPUTED_VALUE"""),41926.7055555555)</f>
        <v>41926.705555555498</v>
      </c>
      <c r="H1131" s="111">
        <f ca="1">IFERROR(__xludf.DUMMYFUNCTION("""COMPUTED_VALUE"""),21.6)</f>
        <v>21.6</v>
      </c>
      <c r="K1131" s="112">
        <f ca="1">IFERROR(__xludf.DUMMYFUNCTION("""COMPUTED_VALUE"""),42382.7055555555)</f>
        <v>42382.705555555498</v>
      </c>
      <c r="L1131" s="111">
        <f ca="1">IFERROR(__xludf.DUMMYFUNCTION("""COMPUTED_VALUE"""),0.05)</f>
        <v>0.05</v>
      </c>
      <c r="M1131" s="112">
        <f ca="1">IFERROR(__xludf.DUMMYFUNCTION("""COMPUTED_VALUE"""),41844.7055555555)</f>
        <v>41844.705555555498</v>
      </c>
      <c r="N1131" s="111">
        <f ca="1">IFERROR(__xludf.DUMMYFUNCTION("""COMPUTED_VALUE"""),15.35)</f>
        <v>15.35</v>
      </c>
      <c r="O1131" s="112">
        <f ca="1">IFERROR(__xludf.DUMMYFUNCTION("""COMPUTED_VALUE"""),41919.7055555555)</f>
        <v>41919.705555555498</v>
      </c>
      <c r="P1131" s="111">
        <f ca="1">IFERROR(__xludf.DUMMYFUNCTION("""COMPUTED_VALUE"""),27.4)</f>
        <v>27.4</v>
      </c>
      <c r="Q1131" s="112">
        <f ca="1">IFERROR(__xludf.DUMMYFUNCTION("""COMPUTED_VALUE"""),41915.7055555555)</f>
        <v>41915.705555555498</v>
      </c>
      <c r="R1131" s="111">
        <f ca="1">IFERROR(__xludf.DUMMYFUNCTION("""COMPUTED_VALUE"""),26.01)</f>
        <v>26.01</v>
      </c>
      <c r="S1131" s="112">
        <f ca="1">IFERROR(__xludf.DUMMYFUNCTION("""COMPUTED_VALUE"""),41928.7055555555)</f>
        <v>41928.705555555498</v>
      </c>
      <c r="T1131" s="111">
        <f ca="1">IFERROR(__xludf.DUMMYFUNCTION("""COMPUTED_VALUE"""),10.64)</f>
        <v>10.64</v>
      </c>
    </row>
    <row r="1132" spans="1:20" x14ac:dyDescent="0.3">
      <c r="A1132" s="112">
        <f ca="1">IFERROR(__xludf.DUMMYFUNCTION("""COMPUTED_VALUE"""),41926.7055555555)</f>
        <v>41926.705555555498</v>
      </c>
      <c r="B1132" s="111">
        <f ca="1">IFERROR(__xludf.DUMMYFUNCTION("""COMPUTED_VALUE"""),6.99)</f>
        <v>6.99</v>
      </c>
      <c r="C1132" s="112">
        <f ca="1">IFERROR(__xludf.DUMMYFUNCTION("""COMPUTED_VALUE"""),41933.7055555555)</f>
        <v>41933.705555555498</v>
      </c>
      <c r="D1132" s="111">
        <f ca="1">IFERROR(__xludf.DUMMYFUNCTION("""COMPUTED_VALUE"""),18.73)</f>
        <v>18.73</v>
      </c>
      <c r="E1132" s="112">
        <f ca="1">IFERROR(__xludf.DUMMYFUNCTION("""COMPUTED_VALUE"""),41934.7055555555)</f>
        <v>41934.705555555498</v>
      </c>
      <c r="F1132" s="111">
        <f ca="1">IFERROR(__xludf.DUMMYFUNCTION("""COMPUTED_VALUE"""),6.51)</f>
        <v>6.51</v>
      </c>
      <c r="G1132" s="112">
        <f ca="1">IFERROR(__xludf.DUMMYFUNCTION("""COMPUTED_VALUE"""),41927.7055555555)</f>
        <v>41927.705555555498</v>
      </c>
      <c r="H1132" s="111">
        <f ca="1">IFERROR(__xludf.DUMMYFUNCTION("""COMPUTED_VALUE"""),20.15)</f>
        <v>20.149999999999999</v>
      </c>
      <c r="K1132" s="112">
        <f ca="1">IFERROR(__xludf.DUMMYFUNCTION("""COMPUTED_VALUE"""),42383.7055555555)</f>
        <v>42383.705555555498</v>
      </c>
      <c r="L1132" s="111">
        <f ca="1">IFERROR(__xludf.DUMMYFUNCTION("""COMPUTED_VALUE"""),0.06)</f>
        <v>0.06</v>
      </c>
      <c r="M1132" s="112">
        <f ca="1">IFERROR(__xludf.DUMMYFUNCTION("""COMPUTED_VALUE"""),41845.7055555555)</f>
        <v>41845.705555555498</v>
      </c>
      <c r="N1132" s="111">
        <f ca="1">IFERROR(__xludf.DUMMYFUNCTION("""COMPUTED_VALUE"""),15.22)</f>
        <v>15.22</v>
      </c>
      <c r="O1132" s="112">
        <f ca="1">IFERROR(__xludf.DUMMYFUNCTION("""COMPUTED_VALUE"""),41920.7055555555)</f>
        <v>41920.705555555498</v>
      </c>
      <c r="P1132" s="111">
        <f ca="1">IFERROR(__xludf.DUMMYFUNCTION("""COMPUTED_VALUE"""),27.37)</f>
        <v>27.37</v>
      </c>
      <c r="Q1132" s="112">
        <f ca="1">IFERROR(__xludf.DUMMYFUNCTION("""COMPUTED_VALUE"""),41918.7055555555)</f>
        <v>41918.705555555498</v>
      </c>
      <c r="R1132" s="111">
        <f ca="1">IFERROR(__xludf.DUMMYFUNCTION("""COMPUTED_VALUE"""),29.11)</f>
        <v>29.11</v>
      </c>
      <c r="S1132" s="112">
        <f ca="1">IFERROR(__xludf.DUMMYFUNCTION("""COMPUTED_VALUE"""),41929.7055555555)</f>
        <v>41929.705555555498</v>
      </c>
      <c r="T1132" s="111">
        <f ca="1">IFERROR(__xludf.DUMMYFUNCTION("""COMPUTED_VALUE"""),10.82)</f>
        <v>10.82</v>
      </c>
    </row>
    <row r="1133" spans="1:20" x14ac:dyDescent="0.3">
      <c r="A1133" s="112">
        <f ca="1">IFERROR(__xludf.DUMMYFUNCTION("""COMPUTED_VALUE"""),41927.7055555555)</f>
        <v>41927.705555555498</v>
      </c>
      <c r="B1133" s="111">
        <f ca="1">IFERROR(__xludf.DUMMYFUNCTION("""COMPUTED_VALUE"""),6.73)</f>
        <v>6.73</v>
      </c>
      <c r="C1133" s="112">
        <f ca="1">IFERROR(__xludf.DUMMYFUNCTION("""COMPUTED_VALUE"""),41934.7055555555)</f>
        <v>41934.705555555498</v>
      </c>
      <c r="D1133" s="111">
        <f ca="1">IFERROR(__xludf.DUMMYFUNCTION("""COMPUTED_VALUE"""),18.61)</f>
        <v>18.61</v>
      </c>
      <c r="E1133" s="112">
        <f ca="1">IFERROR(__xludf.DUMMYFUNCTION("""COMPUTED_VALUE"""),41935.7055555555)</f>
        <v>41935.705555555498</v>
      </c>
      <c r="F1133" s="111">
        <f ca="1">IFERROR(__xludf.DUMMYFUNCTION("""COMPUTED_VALUE"""),6.2)</f>
        <v>6.2</v>
      </c>
      <c r="G1133" s="112">
        <f ca="1">IFERROR(__xludf.DUMMYFUNCTION("""COMPUTED_VALUE"""),41928.7055555555)</f>
        <v>41928.705555555498</v>
      </c>
      <c r="H1133" s="111">
        <f ca="1">IFERROR(__xludf.DUMMYFUNCTION("""COMPUTED_VALUE"""),18.65)</f>
        <v>18.649999999999999</v>
      </c>
      <c r="K1133" s="112">
        <f ca="1">IFERROR(__xludf.DUMMYFUNCTION("""COMPUTED_VALUE"""),42384.7055555555)</f>
        <v>42384.705555555498</v>
      </c>
      <c r="L1133" s="111">
        <f ca="1">IFERROR(__xludf.DUMMYFUNCTION("""COMPUTED_VALUE"""),0.06)</f>
        <v>0.06</v>
      </c>
      <c r="M1133" s="112">
        <f ca="1">IFERROR(__xludf.DUMMYFUNCTION("""COMPUTED_VALUE"""),41848.7055555555)</f>
        <v>41848.705555555498</v>
      </c>
      <c r="N1133" s="111">
        <f ca="1">IFERROR(__xludf.DUMMYFUNCTION("""COMPUTED_VALUE"""),15.06)</f>
        <v>15.06</v>
      </c>
      <c r="O1133" s="112">
        <f ca="1">IFERROR(__xludf.DUMMYFUNCTION("""COMPUTED_VALUE"""),41921.7055555555)</f>
        <v>41921.705555555498</v>
      </c>
      <c r="P1133" s="111">
        <f ca="1">IFERROR(__xludf.DUMMYFUNCTION("""COMPUTED_VALUE"""),26.9)</f>
        <v>26.9</v>
      </c>
      <c r="Q1133" s="112">
        <f ca="1">IFERROR(__xludf.DUMMYFUNCTION("""COMPUTED_VALUE"""),41919.7055555555)</f>
        <v>41919.705555555498</v>
      </c>
      <c r="R1133" s="111">
        <f ca="1">IFERROR(__xludf.DUMMYFUNCTION("""COMPUTED_VALUE"""),30.24)</f>
        <v>30.24</v>
      </c>
      <c r="S1133" s="112">
        <f ca="1">IFERROR(__xludf.DUMMYFUNCTION("""COMPUTED_VALUE"""),41932.7055555555)</f>
        <v>41932.705555555498</v>
      </c>
      <c r="T1133" s="111">
        <f ca="1">IFERROR(__xludf.DUMMYFUNCTION("""COMPUTED_VALUE"""),10.65)</f>
        <v>10.65</v>
      </c>
    </row>
    <row r="1134" spans="1:20" x14ac:dyDescent="0.3">
      <c r="A1134" s="112">
        <f ca="1">IFERROR(__xludf.DUMMYFUNCTION("""COMPUTED_VALUE"""),41928.7055555555)</f>
        <v>41928.705555555498</v>
      </c>
      <c r="B1134" s="111">
        <f ca="1">IFERROR(__xludf.DUMMYFUNCTION("""COMPUTED_VALUE"""),6.48)</f>
        <v>6.48</v>
      </c>
      <c r="C1134" s="112">
        <f ca="1">IFERROR(__xludf.DUMMYFUNCTION("""COMPUTED_VALUE"""),41935.7055555555)</f>
        <v>41935.705555555498</v>
      </c>
      <c r="D1134" s="111">
        <f ca="1">IFERROR(__xludf.DUMMYFUNCTION("""COMPUTED_VALUE"""),17.81)</f>
        <v>17.809999999999999</v>
      </c>
      <c r="E1134" s="112">
        <f ca="1">IFERROR(__xludf.DUMMYFUNCTION("""COMPUTED_VALUE"""),41936.7055555555)</f>
        <v>41936.705555555498</v>
      </c>
      <c r="F1134" s="111">
        <f ca="1">IFERROR(__xludf.DUMMYFUNCTION("""COMPUTED_VALUE"""),6.42)</f>
        <v>6.42</v>
      </c>
      <c r="G1134" s="112">
        <f ca="1">IFERROR(__xludf.DUMMYFUNCTION("""COMPUTED_VALUE"""),41929.7055555555)</f>
        <v>41929.705555555498</v>
      </c>
      <c r="H1134" s="111">
        <f ca="1">IFERROR(__xludf.DUMMYFUNCTION("""COMPUTED_VALUE"""),19.09)</f>
        <v>19.09</v>
      </c>
      <c r="K1134" s="112">
        <f ca="1">IFERROR(__xludf.DUMMYFUNCTION("""COMPUTED_VALUE"""),42387.7055555555)</f>
        <v>42387.705555555498</v>
      </c>
      <c r="L1134" s="111">
        <f ca="1">IFERROR(__xludf.DUMMYFUNCTION("""COMPUTED_VALUE"""),0.06)</f>
        <v>0.06</v>
      </c>
      <c r="M1134" s="112">
        <f ca="1">IFERROR(__xludf.DUMMYFUNCTION("""COMPUTED_VALUE"""),41849.7055555555)</f>
        <v>41849.705555555498</v>
      </c>
      <c r="N1134" s="111">
        <f ca="1">IFERROR(__xludf.DUMMYFUNCTION("""COMPUTED_VALUE"""),15.13)</f>
        <v>15.13</v>
      </c>
      <c r="O1134" s="112">
        <f ca="1">IFERROR(__xludf.DUMMYFUNCTION("""COMPUTED_VALUE"""),41922.7055555555)</f>
        <v>41922.705555555498</v>
      </c>
      <c r="P1134" s="111">
        <f ca="1">IFERROR(__xludf.DUMMYFUNCTION("""COMPUTED_VALUE"""),26.4)</f>
        <v>26.4</v>
      </c>
      <c r="Q1134" s="112">
        <f ca="1">IFERROR(__xludf.DUMMYFUNCTION("""COMPUTED_VALUE"""),41920.7055555555)</f>
        <v>41920.705555555498</v>
      </c>
      <c r="R1134" s="111">
        <f ca="1">IFERROR(__xludf.DUMMYFUNCTION("""COMPUTED_VALUE"""),30.43)</f>
        <v>30.43</v>
      </c>
      <c r="S1134" s="112">
        <f ca="1">IFERROR(__xludf.DUMMYFUNCTION("""COMPUTED_VALUE"""),41933.7055555555)</f>
        <v>41933.705555555498</v>
      </c>
      <c r="T1134" s="111">
        <f ca="1">IFERROR(__xludf.DUMMYFUNCTION("""COMPUTED_VALUE"""),10.23)</f>
        <v>10.23</v>
      </c>
    </row>
    <row r="1135" spans="1:20" x14ac:dyDescent="0.3">
      <c r="A1135" s="112">
        <f ca="1">IFERROR(__xludf.DUMMYFUNCTION("""COMPUTED_VALUE"""),41929.7055555555)</f>
        <v>41929.705555555498</v>
      </c>
      <c r="B1135" s="111">
        <f ca="1">IFERROR(__xludf.DUMMYFUNCTION("""COMPUTED_VALUE"""),6.91)</f>
        <v>6.91</v>
      </c>
      <c r="C1135" s="112">
        <f ca="1">IFERROR(__xludf.DUMMYFUNCTION("""COMPUTED_VALUE"""),41936.7055555555)</f>
        <v>41936.705555555498</v>
      </c>
      <c r="D1135" s="111">
        <f ca="1">IFERROR(__xludf.DUMMYFUNCTION("""COMPUTED_VALUE"""),18.37)</f>
        <v>18.37</v>
      </c>
      <c r="E1135" s="112">
        <f ca="1">IFERROR(__xludf.DUMMYFUNCTION("""COMPUTED_VALUE"""),41939.7055555555)</f>
        <v>41939.705555555498</v>
      </c>
      <c r="F1135" s="111">
        <f ca="1">IFERROR(__xludf.DUMMYFUNCTION("""COMPUTED_VALUE"""),6.31)</f>
        <v>6.31</v>
      </c>
      <c r="G1135" s="112">
        <f ca="1">IFERROR(__xludf.DUMMYFUNCTION("""COMPUTED_VALUE"""),41932.7055555555)</f>
        <v>41932.705555555498</v>
      </c>
      <c r="H1135" s="111">
        <f ca="1">IFERROR(__xludf.DUMMYFUNCTION("""COMPUTED_VALUE"""),17.92)</f>
        <v>17.920000000000002</v>
      </c>
      <c r="K1135" s="112">
        <f ca="1">IFERROR(__xludf.DUMMYFUNCTION("""COMPUTED_VALUE"""),42388.7055555555)</f>
        <v>42388.705555555498</v>
      </c>
      <c r="L1135" s="111">
        <f ca="1">IFERROR(__xludf.DUMMYFUNCTION("""COMPUTED_VALUE"""),0.05)</f>
        <v>0.05</v>
      </c>
      <c r="M1135" s="112">
        <f ca="1">IFERROR(__xludf.DUMMYFUNCTION("""COMPUTED_VALUE"""),41850.7055555555)</f>
        <v>41850.705555555498</v>
      </c>
      <c r="N1135" s="111">
        <f ca="1">IFERROR(__xludf.DUMMYFUNCTION("""COMPUTED_VALUE"""),15.05)</f>
        <v>15.05</v>
      </c>
      <c r="O1135" s="112">
        <f ca="1">IFERROR(__xludf.DUMMYFUNCTION("""COMPUTED_VALUE"""),41925.7055555555)</f>
        <v>41925.705555555498</v>
      </c>
      <c r="P1135" s="111">
        <f ca="1">IFERROR(__xludf.DUMMYFUNCTION("""COMPUTED_VALUE"""),27.49)</f>
        <v>27.49</v>
      </c>
      <c r="Q1135" s="112">
        <f ca="1">IFERROR(__xludf.DUMMYFUNCTION("""COMPUTED_VALUE"""),41921.7055555555)</f>
        <v>41921.705555555498</v>
      </c>
      <c r="R1135" s="111">
        <f ca="1">IFERROR(__xludf.DUMMYFUNCTION("""COMPUTED_VALUE"""),31.6)</f>
        <v>31.6</v>
      </c>
      <c r="S1135" s="112">
        <f ca="1">IFERROR(__xludf.DUMMYFUNCTION("""COMPUTED_VALUE"""),41934.7055555555)</f>
        <v>41934.705555555498</v>
      </c>
      <c r="T1135" s="111">
        <f ca="1">IFERROR(__xludf.DUMMYFUNCTION("""COMPUTED_VALUE"""),10.29)</f>
        <v>10.29</v>
      </c>
    </row>
    <row r="1136" spans="1:20" x14ac:dyDescent="0.3">
      <c r="A1136" s="112">
        <f ca="1">IFERROR(__xludf.DUMMYFUNCTION("""COMPUTED_VALUE"""),41932.7055555555)</f>
        <v>41932.705555555498</v>
      </c>
      <c r="B1136" s="111">
        <f ca="1">IFERROR(__xludf.DUMMYFUNCTION("""COMPUTED_VALUE"""),6.7)</f>
        <v>6.7</v>
      </c>
      <c r="C1136" s="112">
        <f ca="1">IFERROR(__xludf.DUMMYFUNCTION("""COMPUTED_VALUE"""),41939.7055555555)</f>
        <v>41939.705555555498</v>
      </c>
      <c r="D1136" s="111">
        <f ca="1">IFERROR(__xludf.DUMMYFUNCTION("""COMPUTED_VALUE"""),17.86)</f>
        <v>17.86</v>
      </c>
      <c r="E1136" s="112">
        <f ca="1">IFERROR(__xludf.DUMMYFUNCTION("""COMPUTED_VALUE"""),41940.7055555555)</f>
        <v>41940.705555555498</v>
      </c>
      <c r="F1136" s="111">
        <f ca="1">IFERROR(__xludf.DUMMYFUNCTION("""COMPUTED_VALUE"""),6.55)</f>
        <v>6.55</v>
      </c>
      <c r="G1136" s="112">
        <f ca="1">IFERROR(__xludf.DUMMYFUNCTION("""COMPUTED_VALUE"""),41933.7055555555)</f>
        <v>41933.705555555498</v>
      </c>
      <c r="H1136" s="111">
        <f ca="1">IFERROR(__xludf.DUMMYFUNCTION("""COMPUTED_VALUE"""),16.9)</f>
        <v>16.899999999999999</v>
      </c>
      <c r="K1136" s="112">
        <f ca="1">IFERROR(__xludf.DUMMYFUNCTION("""COMPUTED_VALUE"""),42389.7055555555)</f>
        <v>42389.705555555498</v>
      </c>
      <c r="L1136" s="111">
        <f ca="1">IFERROR(__xludf.DUMMYFUNCTION("""COMPUTED_VALUE"""),0.05)</f>
        <v>0.05</v>
      </c>
      <c r="M1136" s="112">
        <f ca="1">IFERROR(__xludf.DUMMYFUNCTION("""COMPUTED_VALUE"""),41851.7055555555)</f>
        <v>41851.705555555498</v>
      </c>
      <c r="N1136" s="111">
        <f ca="1">IFERROR(__xludf.DUMMYFUNCTION("""COMPUTED_VALUE"""),14.93)</f>
        <v>14.93</v>
      </c>
      <c r="O1136" s="112">
        <f ca="1">IFERROR(__xludf.DUMMYFUNCTION("""COMPUTED_VALUE"""),41926.7055555555)</f>
        <v>41926.705555555498</v>
      </c>
      <c r="P1136" s="111">
        <f ca="1">IFERROR(__xludf.DUMMYFUNCTION("""COMPUTED_VALUE"""),28.31)</f>
        <v>28.31</v>
      </c>
      <c r="Q1136" s="112">
        <f ca="1">IFERROR(__xludf.DUMMYFUNCTION("""COMPUTED_VALUE"""),41922.7055555555)</f>
        <v>41922.705555555498</v>
      </c>
      <c r="R1136" s="111">
        <f ca="1">IFERROR(__xludf.DUMMYFUNCTION("""COMPUTED_VALUE"""),30.1)</f>
        <v>30.1</v>
      </c>
      <c r="S1136" s="112">
        <f ca="1">IFERROR(__xludf.DUMMYFUNCTION("""COMPUTED_VALUE"""),41935.7055555555)</f>
        <v>41935.705555555498</v>
      </c>
      <c r="T1136" s="111">
        <f ca="1">IFERROR(__xludf.DUMMYFUNCTION("""COMPUTED_VALUE"""),9.99)</f>
        <v>9.99</v>
      </c>
    </row>
    <row r="1137" spans="1:20" x14ac:dyDescent="0.3">
      <c r="A1137" s="112">
        <f ca="1">IFERROR(__xludf.DUMMYFUNCTION("""COMPUTED_VALUE"""),41933.7055555555)</f>
        <v>41933.705555555498</v>
      </c>
      <c r="B1137" s="111">
        <f ca="1">IFERROR(__xludf.DUMMYFUNCTION("""COMPUTED_VALUE"""),6.25)</f>
        <v>6.25</v>
      </c>
      <c r="C1137" s="112">
        <f ca="1">IFERROR(__xludf.DUMMYFUNCTION("""COMPUTED_VALUE"""),41940.7055555555)</f>
        <v>41940.705555555498</v>
      </c>
      <c r="D1137" s="111">
        <f ca="1">IFERROR(__xludf.DUMMYFUNCTION("""COMPUTED_VALUE"""),18.68)</f>
        <v>18.68</v>
      </c>
      <c r="E1137" s="112">
        <f ca="1">IFERROR(__xludf.DUMMYFUNCTION("""COMPUTED_VALUE"""),41941.7055555555)</f>
        <v>41941.705555555498</v>
      </c>
      <c r="F1137" s="111">
        <f ca="1">IFERROR(__xludf.DUMMYFUNCTION("""COMPUTED_VALUE"""),6.35)</f>
        <v>6.35</v>
      </c>
      <c r="G1137" s="112">
        <f ca="1">IFERROR(__xludf.DUMMYFUNCTION("""COMPUTED_VALUE"""),41934.7055555555)</f>
        <v>41934.705555555498</v>
      </c>
      <c r="H1137" s="111">
        <f ca="1">IFERROR(__xludf.DUMMYFUNCTION("""COMPUTED_VALUE"""),16.61)</f>
        <v>16.61</v>
      </c>
      <c r="K1137" s="112">
        <f ca="1">IFERROR(__xludf.DUMMYFUNCTION("""COMPUTED_VALUE"""),42390.7055555555)</f>
        <v>42390.705555555498</v>
      </c>
      <c r="L1137" s="111">
        <f ca="1">IFERROR(__xludf.DUMMYFUNCTION("""COMPUTED_VALUE"""),0.05)</f>
        <v>0.05</v>
      </c>
      <c r="M1137" s="112">
        <f ca="1">IFERROR(__xludf.DUMMYFUNCTION("""COMPUTED_VALUE"""),41852.7055555555)</f>
        <v>41852.705555555498</v>
      </c>
      <c r="N1137" s="111">
        <f ca="1">IFERROR(__xludf.DUMMYFUNCTION("""COMPUTED_VALUE"""),15.07)</f>
        <v>15.07</v>
      </c>
      <c r="O1137" s="112">
        <f ca="1">IFERROR(__xludf.DUMMYFUNCTION("""COMPUTED_VALUE"""),41927.7055555555)</f>
        <v>41927.705555555498</v>
      </c>
      <c r="P1137" s="111">
        <f ca="1">IFERROR(__xludf.DUMMYFUNCTION("""COMPUTED_VALUE"""),28.3)</f>
        <v>28.3</v>
      </c>
      <c r="Q1137" s="112">
        <f ca="1">IFERROR(__xludf.DUMMYFUNCTION("""COMPUTED_VALUE"""),41925.7055555555)</f>
        <v>41925.705555555498</v>
      </c>
      <c r="R1137" s="111">
        <f ca="1">IFERROR(__xludf.DUMMYFUNCTION("""COMPUTED_VALUE"""),33.48)</f>
        <v>33.479999999999997</v>
      </c>
      <c r="S1137" s="112">
        <f ca="1">IFERROR(__xludf.DUMMYFUNCTION("""COMPUTED_VALUE"""),41936.7055555555)</f>
        <v>41936.705555555498</v>
      </c>
      <c r="T1137" s="111">
        <f ca="1">IFERROR(__xludf.DUMMYFUNCTION("""COMPUTED_VALUE"""),10.42)</f>
        <v>10.42</v>
      </c>
    </row>
    <row r="1138" spans="1:20" x14ac:dyDescent="0.3">
      <c r="A1138" s="112">
        <f ca="1">IFERROR(__xludf.DUMMYFUNCTION("""COMPUTED_VALUE"""),41934.7055555555)</f>
        <v>41934.705555555498</v>
      </c>
      <c r="B1138" s="111">
        <f ca="1">IFERROR(__xludf.DUMMYFUNCTION("""COMPUTED_VALUE"""),6.04)</f>
        <v>6.04</v>
      </c>
      <c r="C1138" s="112">
        <f ca="1">IFERROR(__xludf.DUMMYFUNCTION("""COMPUTED_VALUE"""),41941.7055555555)</f>
        <v>41941.705555555498</v>
      </c>
      <c r="D1138" s="111">
        <f ca="1">IFERROR(__xludf.DUMMYFUNCTION("""COMPUTED_VALUE"""),18.14)</f>
        <v>18.14</v>
      </c>
      <c r="E1138" s="112">
        <f ca="1">IFERROR(__xludf.DUMMYFUNCTION("""COMPUTED_VALUE"""),41942.7055555555)</f>
        <v>41942.705555555498</v>
      </c>
      <c r="F1138" s="111">
        <f ca="1">IFERROR(__xludf.DUMMYFUNCTION("""COMPUTED_VALUE"""),6.84)</f>
        <v>6.84</v>
      </c>
      <c r="G1138" s="112">
        <f ca="1">IFERROR(__xludf.DUMMYFUNCTION("""COMPUTED_VALUE"""),41935.7055555555)</f>
        <v>41935.705555555498</v>
      </c>
      <c r="H1138" s="111">
        <f ca="1">IFERROR(__xludf.DUMMYFUNCTION("""COMPUTED_VALUE"""),15.51)</f>
        <v>15.51</v>
      </c>
      <c r="K1138" s="112">
        <f ca="1">IFERROR(__xludf.DUMMYFUNCTION("""COMPUTED_VALUE"""),42391.7055555555)</f>
        <v>42391.705555555498</v>
      </c>
      <c r="L1138" s="111">
        <f ca="1">IFERROR(__xludf.DUMMYFUNCTION("""COMPUTED_VALUE"""),0.05)</f>
        <v>0.05</v>
      </c>
      <c r="M1138" s="112">
        <f ca="1">IFERROR(__xludf.DUMMYFUNCTION("""COMPUTED_VALUE"""),41855.7055555555)</f>
        <v>41855.705555555498</v>
      </c>
      <c r="N1138" s="111">
        <f ca="1">IFERROR(__xludf.DUMMYFUNCTION("""COMPUTED_VALUE"""),15.26)</f>
        <v>15.26</v>
      </c>
      <c r="O1138" s="112">
        <f ca="1">IFERROR(__xludf.DUMMYFUNCTION("""COMPUTED_VALUE"""),41928.7055555555)</f>
        <v>41928.705555555498</v>
      </c>
      <c r="P1138" s="111">
        <f ca="1">IFERROR(__xludf.DUMMYFUNCTION("""COMPUTED_VALUE"""),26.48)</f>
        <v>26.48</v>
      </c>
      <c r="Q1138" s="112">
        <f ca="1">IFERROR(__xludf.DUMMYFUNCTION("""COMPUTED_VALUE"""),41926.7055555555)</f>
        <v>41926.705555555498</v>
      </c>
      <c r="R1138" s="111">
        <f ca="1">IFERROR(__xludf.DUMMYFUNCTION("""COMPUTED_VALUE"""),33.28)</f>
        <v>33.28</v>
      </c>
      <c r="S1138" s="112">
        <f ca="1">IFERROR(__xludf.DUMMYFUNCTION("""COMPUTED_VALUE"""),41939.7055555555)</f>
        <v>41939.705555555498</v>
      </c>
      <c r="T1138" s="111">
        <f ca="1">IFERROR(__xludf.DUMMYFUNCTION("""COMPUTED_VALUE"""),10.11)</f>
        <v>10.11</v>
      </c>
    </row>
    <row r="1139" spans="1:20" x14ac:dyDescent="0.3">
      <c r="A1139" s="112">
        <f ca="1">IFERROR(__xludf.DUMMYFUNCTION("""COMPUTED_VALUE"""),41935.7055555555)</f>
        <v>41935.705555555498</v>
      </c>
      <c r="B1139" s="111">
        <f ca="1">IFERROR(__xludf.DUMMYFUNCTION("""COMPUTED_VALUE"""),5.56)</f>
        <v>5.56</v>
      </c>
      <c r="C1139" s="112">
        <f ca="1">IFERROR(__xludf.DUMMYFUNCTION("""COMPUTED_VALUE"""),41942.7055555555)</f>
        <v>41942.705555555498</v>
      </c>
      <c r="D1139" s="111">
        <f ca="1">IFERROR(__xludf.DUMMYFUNCTION("""COMPUTED_VALUE"""),19.6)</f>
        <v>19.600000000000001</v>
      </c>
      <c r="E1139" s="112">
        <f ca="1">IFERROR(__xludf.DUMMYFUNCTION("""COMPUTED_VALUE"""),41943.7055555555)</f>
        <v>41943.705555555498</v>
      </c>
      <c r="F1139" s="111">
        <f ca="1">IFERROR(__xludf.DUMMYFUNCTION("""COMPUTED_VALUE"""),7.08)</f>
        <v>7.08</v>
      </c>
      <c r="G1139" s="112">
        <f ca="1">IFERROR(__xludf.DUMMYFUNCTION("""COMPUTED_VALUE"""),41936.7055555555)</f>
        <v>41936.705555555498</v>
      </c>
      <c r="H1139" s="111">
        <f ca="1">IFERROR(__xludf.DUMMYFUNCTION("""COMPUTED_VALUE"""),16.62)</f>
        <v>16.62</v>
      </c>
      <c r="K1139" s="112">
        <f ca="1">IFERROR(__xludf.DUMMYFUNCTION("""COMPUTED_VALUE"""),42395.7055555555)</f>
        <v>42395.705555555498</v>
      </c>
      <c r="L1139" s="111">
        <f ca="1">IFERROR(__xludf.DUMMYFUNCTION("""COMPUTED_VALUE"""),0.05)</f>
        <v>0.05</v>
      </c>
      <c r="M1139" s="112">
        <f ca="1">IFERROR(__xludf.DUMMYFUNCTION("""COMPUTED_VALUE"""),41856.7055555555)</f>
        <v>41856.705555555498</v>
      </c>
      <c r="N1139" s="111">
        <f ca="1">IFERROR(__xludf.DUMMYFUNCTION("""COMPUTED_VALUE"""),15.14)</f>
        <v>15.14</v>
      </c>
      <c r="O1139" s="112">
        <f ca="1">IFERROR(__xludf.DUMMYFUNCTION("""COMPUTED_VALUE"""),41929.7055555555)</f>
        <v>41929.705555555498</v>
      </c>
      <c r="P1139" s="111">
        <f ca="1">IFERROR(__xludf.DUMMYFUNCTION("""COMPUTED_VALUE"""),26.62)</f>
        <v>26.62</v>
      </c>
      <c r="Q1139" s="112">
        <f ca="1">IFERROR(__xludf.DUMMYFUNCTION("""COMPUTED_VALUE"""),41927.7055555555)</f>
        <v>41927.705555555498</v>
      </c>
      <c r="R1139" s="111">
        <f ca="1">IFERROR(__xludf.DUMMYFUNCTION("""COMPUTED_VALUE"""),32)</f>
        <v>32</v>
      </c>
      <c r="S1139" s="112">
        <f ca="1">IFERROR(__xludf.DUMMYFUNCTION("""COMPUTED_VALUE"""),41940.7055555555)</f>
        <v>41940.705555555498</v>
      </c>
      <c r="T1139" s="111">
        <f ca="1">IFERROR(__xludf.DUMMYFUNCTION("""COMPUTED_VALUE"""),10.61)</f>
        <v>10.61</v>
      </c>
    </row>
    <row r="1140" spans="1:20" x14ac:dyDescent="0.3">
      <c r="A1140" s="112">
        <f ca="1">IFERROR(__xludf.DUMMYFUNCTION("""COMPUTED_VALUE"""),41936.7055555555)</f>
        <v>41936.705555555498</v>
      </c>
      <c r="B1140" s="111">
        <f ca="1">IFERROR(__xludf.DUMMYFUNCTION("""COMPUTED_VALUE"""),6.1)</f>
        <v>6.1</v>
      </c>
      <c r="C1140" s="112">
        <f ca="1">IFERROR(__xludf.DUMMYFUNCTION("""COMPUTED_VALUE"""),41943.7055555555)</f>
        <v>41943.705555555498</v>
      </c>
      <c r="D1140" s="111">
        <f ca="1">IFERROR(__xludf.DUMMYFUNCTION("""COMPUTED_VALUE"""),20.24)</f>
        <v>20.239999999999998</v>
      </c>
      <c r="E1140" s="112">
        <f ca="1">IFERROR(__xludf.DUMMYFUNCTION("""COMPUTED_VALUE"""),41946.7055555555)</f>
        <v>41946.705555555498</v>
      </c>
      <c r="F1140" s="111">
        <f ca="1">IFERROR(__xludf.DUMMYFUNCTION("""COMPUTED_VALUE"""),7.04)</f>
        <v>7.04</v>
      </c>
      <c r="G1140" s="112">
        <f ca="1">IFERROR(__xludf.DUMMYFUNCTION("""COMPUTED_VALUE"""),41939.7055555555)</f>
        <v>41939.705555555498</v>
      </c>
      <c r="H1140" s="111">
        <f ca="1">IFERROR(__xludf.DUMMYFUNCTION("""COMPUTED_VALUE"""),14.52)</f>
        <v>14.52</v>
      </c>
      <c r="K1140" s="112">
        <f ca="1">IFERROR(__xludf.DUMMYFUNCTION("""COMPUTED_VALUE"""),42396.7055555555)</f>
        <v>42396.705555555498</v>
      </c>
      <c r="L1140" s="111">
        <f ca="1">IFERROR(__xludf.DUMMYFUNCTION("""COMPUTED_VALUE"""),0.05)</f>
        <v>0.05</v>
      </c>
      <c r="M1140" s="112">
        <f ca="1">IFERROR(__xludf.DUMMYFUNCTION("""COMPUTED_VALUE"""),41857.7055555555)</f>
        <v>41857.705555555498</v>
      </c>
      <c r="N1140" s="111">
        <f ca="1">IFERROR(__xludf.DUMMYFUNCTION("""COMPUTED_VALUE"""),15.15)</f>
        <v>15.15</v>
      </c>
      <c r="O1140" s="112">
        <f ca="1">IFERROR(__xludf.DUMMYFUNCTION("""COMPUTED_VALUE"""),41932.7055555555)</f>
        <v>41932.705555555498</v>
      </c>
      <c r="P1140" s="111">
        <f ca="1">IFERROR(__xludf.DUMMYFUNCTION("""COMPUTED_VALUE"""),26.35)</f>
        <v>26.35</v>
      </c>
      <c r="Q1140" s="112">
        <f ca="1">IFERROR(__xludf.DUMMYFUNCTION("""COMPUTED_VALUE"""),41928.7055555555)</f>
        <v>41928.705555555498</v>
      </c>
      <c r="R1140" s="111">
        <f ca="1">IFERROR(__xludf.DUMMYFUNCTION("""COMPUTED_VALUE"""),31.16)</f>
        <v>31.16</v>
      </c>
      <c r="S1140" s="112">
        <f ca="1">IFERROR(__xludf.DUMMYFUNCTION("""COMPUTED_VALUE"""),41941.7055555555)</f>
        <v>41941.705555555498</v>
      </c>
      <c r="T1140" s="111">
        <f ca="1">IFERROR(__xludf.DUMMYFUNCTION("""COMPUTED_VALUE"""),10.55)</f>
        <v>10.55</v>
      </c>
    </row>
    <row r="1141" spans="1:20" x14ac:dyDescent="0.3">
      <c r="A1141" s="112">
        <f ca="1">IFERROR(__xludf.DUMMYFUNCTION("""COMPUTED_VALUE"""),41939.7055555555)</f>
        <v>41939.705555555498</v>
      </c>
      <c r="B1141" s="111">
        <f ca="1">IFERROR(__xludf.DUMMYFUNCTION("""COMPUTED_VALUE"""),5.4)</f>
        <v>5.4</v>
      </c>
      <c r="C1141" s="112">
        <f ca="1">IFERROR(__xludf.DUMMYFUNCTION("""COMPUTED_VALUE"""),41946.7055555555)</f>
        <v>41946.705555555498</v>
      </c>
      <c r="D1141" s="111">
        <f ca="1">IFERROR(__xludf.DUMMYFUNCTION("""COMPUTED_VALUE"""),20.17)</f>
        <v>20.170000000000002</v>
      </c>
      <c r="E1141" s="112">
        <f ca="1">IFERROR(__xludf.DUMMYFUNCTION("""COMPUTED_VALUE"""),41947.7055555555)</f>
        <v>41947.705555555498</v>
      </c>
      <c r="F1141" s="111">
        <f ca="1">IFERROR(__xludf.DUMMYFUNCTION("""COMPUTED_VALUE"""),7.17)</f>
        <v>7.17</v>
      </c>
      <c r="G1141" s="112">
        <f ca="1">IFERROR(__xludf.DUMMYFUNCTION("""COMPUTED_VALUE"""),41940.7055555555)</f>
        <v>41940.705555555498</v>
      </c>
      <c r="H1141" s="111">
        <f ca="1">IFERROR(__xludf.DUMMYFUNCTION("""COMPUTED_VALUE"""),15.03)</f>
        <v>15.03</v>
      </c>
      <c r="K1141" s="112">
        <f ca="1">IFERROR(__xludf.DUMMYFUNCTION("""COMPUTED_VALUE"""),42397.7055555555)</f>
        <v>42397.705555555498</v>
      </c>
      <c r="L1141" s="111">
        <f ca="1">IFERROR(__xludf.DUMMYFUNCTION("""COMPUTED_VALUE"""),0.05)</f>
        <v>0.05</v>
      </c>
      <c r="M1141" s="112">
        <f ca="1">IFERROR(__xludf.DUMMYFUNCTION("""COMPUTED_VALUE"""),41858.7055555555)</f>
        <v>41858.705555555498</v>
      </c>
      <c r="N1141" s="111">
        <f ca="1">IFERROR(__xludf.DUMMYFUNCTION("""COMPUTED_VALUE"""),14.98)</f>
        <v>14.98</v>
      </c>
      <c r="O1141" s="112">
        <f ca="1">IFERROR(__xludf.DUMMYFUNCTION("""COMPUTED_VALUE"""),41933.7055555555)</f>
        <v>41933.705555555498</v>
      </c>
      <c r="P1141" s="111">
        <f ca="1">IFERROR(__xludf.DUMMYFUNCTION("""COMPUTED_VALUE"""),26.72)</f>
        <v>26.72</v>
      </c>
      <c r="Q1141" s="112">
        <f ca="1">IFERROR(__xludf.DUMMYFUNCTION("""COMPUTED_VALUE"""),41929.7055555555)</f>
        <v>41929.705555555498</v>
      </c>
      <c r="R1141" s="111">
        <f ca="1">IFERROR(__xludf.DUMMYFUNCTION("""COMPUTED_VALUE"""),31.99)</f>
        <v>31.99</v>
      </c>
      <c r="S1141" s="112">
        <f ca="1">IFERROR(__xludf.DUMMYFUNCTION("""COMPUTED_VALUE"""),41942.7055555555)</f>
        <v>41942.705555555498</v>
      </c>
      <c r="T1141" s="111">
        <f ca="1">IFERROR(__xludf.DUMMYFUNCTION("""COMPUTED_VALUE"""),10.95)</f>
        <v>10.95</v>
      </c>
    </row>
    <row r="1142" spans="1:20" x14ac:dyDescent="0.3">
      <c r="A1142" s="112">
        <f ca="1">IFERROR(__xludf.DUMMYFUNCTION("""COMPUTED_VALUE"""),41940.7055555555)</f>
        <v>41940.705555555498</v>
      </c>
      <c r="B1142" s="111">
        <f ca="1">IFERROR(__xludf.DUMMYFUNCTION("""COMPUTED_VALUE"""),5.61)</f>
        <v>5.61</v>
      </c>
      <c r="C1142" s="112">
        <f ca="1">IFERROR(__xludf.DUMMYFUNCTION("""COMPUTED_VALUE"""),41947.7055555555)</f>
        <v>41947.705555555498</v>
      </c>
      <c r="D1142" s="111">
        <f ca="1">IFERROR(__xludf.DUMMYFUNCTION("""COMPUTED_VALUE"""),20.55)</f>
        <v>20.55</v>
      </c>
      <c r="E1142" s="112">
        <f ca="1">IFERROR(__xludf.DUMMYFUNCTION("""COMPUTED_VALUE"""),41948.7055555555)</f>
        <v>41948.705555555498</v>
      </c>
      <c r="F1142" s="111">
        <f ca="1">IFERROR(__xludf.DUMMYFUNCTION("""COMPUTED_VALUE"""),7.13)</f>
        <v>7.13</v>
      </c>
      <c r="G1142" s="112">
        <f ca="1">IFERROR(__xludf.DUMMYFUNCTION("""COMPUTED_VALUE"""),41941.7055555555)</f>
        <v>41941.705555555498</v>
      </c>
      <c r="H1142" s="111">
        <f ca="1">IFERROR(__xludf.DUMMYFUNCTION("""COMPUTED_VALUE"""),14.02)</f>
        <v>14.02</v>
      </c>
      <c r="K1142" s="112">
        <f ca="1">IFERROR(__xludf.DUMMYFUNCTION("""COMPUTED_VALUE"""),42398.7055555555)</f>
        <v>42398.705555555498</v>
      </c>
      <c r="L1142" s="111">
        <f ca="1">IFERROR(__xludf.DUMMYFUNCTION("""COMPUTED_VALUE"""),0.06)</f>
        <v>0.06</v>
      </c>
      <c r="M1142" s="112">
        <f ca="1">IFERROR(__xludf.DUMMYFUNCTION("""COMPUTED_VALUE"""),41859.7055555555)</f>
        <v>41859.705555555498</v>
      </c>
      <c r="N1142" s="111">
        <f ca="1">IFERROR(__xludf.DUMMYFUNCTION("""COMPUTED_VALUE"""),14.66)</f>
        <v>14.66</v>
      </c>
      <c r="O1142" s="112">
        <f ca="1">IFERROR(__xludf.DUMMYFUNCTION("""COMPUTED_VALUE"""),41934.7055555555)</f>
        <v>41934.705555555498</v>
      </c>
      <c r="P1142" s="111">
        <f ca="1">IFERROR(__xludf.DUMMYFUNCTION("""COMPUTED_VALUE"""),26.76)</f>
        <v>26.76</v>
      </c>
      <c r="Q1142" s="112">
        <f ca="1">IFERROR(__xludf.DUMMYFUNCTION("""COMPUTED_VALUE"""),41932.7055555555)</f>
        <v>41932.705555555498</v>
      </c>
      <c r="R1142" s="111">
        <f ca="1">IFERROR(__xludf.DUMMYFUNCTION("""COMPUTED_VALUE"""),30.14)</f>
        <v>30.14</v>
      </c>
      <c r="S1142" s="112">
        <f ca="1">IFERROR(__xludf.DUMMYFUNCTION("""COMPUTED_VALUE"""),41943.7055555555)</f>
        <v>41943.705555555498</v>
      </c>
      <c r="T1142" s="111">
        <f ca="1">IFERROR(__xludf.DUMMYFUNCTION("""COMPUTED_VALUE"""),11.15)</f>
        <v>11.15</v>
      </c>
    </row>
    <row r="1143" spans="1:20" x14ac:dyDescent="0.3">
      <c r="A1143" s="112">
        <f ca="1">IFERROR(__xludf.DUMMYFUNCTION("""COMPUTED_VALUE"""),41941.7055555555)</f>
        <v>41941.705555555498</v>
      </c>
      <c r="B1143" s="111">
        <f ca="1">IFERROR(__xludf.DUMMYFUNCTION("""COMPUTED_VALUE"""),5.69)</f>
        <v>5.69</v>
      </c>
      <c r="C1143" s="112">
        <f ca="1">IFERROR(__xludf.DUMMYFUNCTION("""COMPUTED_VALUE"""),41948.7055555555)</f>
        <v>41948.705555555498</v>
      </c>
      <c r="D1143" s="111">
        <f ca="1">IFERROR(__xludf.DUMMYFUNCTION("""COMPUTED_VALUE"""),20.33)</f>
        <v>20.329999999999998</v>
      </c>
      <c r="E1143" s="112">
        <f ca="1">IFERROR(__xludf.DUMMYFUNCTION("""COMPUTED_VALUE"""),41949.7055555555)</f>
        <v>41949.705555555498</v>
      </c>
      <c r="F1143" s="111">
        <f ca="1">IFERROR(__xludf.DUMMYFUNCTION("""COMPUTED_VALUE"""),6.86)</f>
        <v>6.86</v>
      </c>
      <c r="G1143" s="112">
        <f ca="1">IFERROR(__xludf.DUMMYFUNCTION("""COMPUTED_VALUE"""),41942.7055555555)</f>
        <v>41942.705555555498</v>
      </c>
      <c r="H1143" s="111">
        <f ca="1">IFERROR(__xludf.DUMMYFUNCTION("""COMPUTED_VALUE"""),14.32)</f>
        <v>14.32</v>
      </c>
      <c r="K1143" s="112">
        <f ca="1">IFERROR(__xludf.DUMMYFUNCTION("""COMPUTED_VALUE"""),42401.7055555555)</f>
        <v>42401.705555555498</v>
      </c>
      <c r="L1143" s="111">
        <f ca="1">IFERROR(__xludf.DUMMYFUNCTION("""COMPUTED_VALUE"""),0.06)</f>
        <v>0.06</v>
      </c>
      <c r="M1143" s="112">
        <f ca="1">IFERROR(__xludf.DUMMYFUNCTION("""COMPUTED_VALUE"""),41862.7055555555)</f>
        <v>41862.705555555498</v>
      </c>
      <c r="N1143" s="111">
        <f ca="1">IFERROR(__xludf.DUMMYFUNCTION("""COMPUTED_VALUE"""),15.07)</f>
        <v>15.07</v>
      </c>
      <c r="O1143" s="112">
        <f ca="1">IFERROR(__xludf.DUMMYFUNCTION("""COMPUTED_VALUE"""),41935.7055555555)</f>
        <v>41935.705555555498</v>
      </c>
      <c r="P1143" s="111">
        <f ca="1">IFERROR(__xludf.DUMMYFUNCTION("""COMPUTED_VALUE"""),26.98)</f>
        <v>26.98</v>
      </c>
      <c r="Q1143" s="112">
        <f ca="1">IFERROR(__xludf.DUMMYFUNCTION("""COMPUTED_VALUE"""),41933.7055555555)</f>
        <v>41933.705555555498</v>
      </c>
      <c r="R1143" s="111">
        <f ca="1">IFERROR(__xludf.DUMMYFUNCTION("""COMPUTED_VALUE"""),28.1)</f>
        <v>28.1</v>
      </c>
      <c r="S1143" s="112">
        <f ca="1">IFERROR(__xludf.DUMMYFUNCTION("""COMPUTED_VALUE"""),41946.7055555555)</f>
        <v>41946.705555555498</v>
      </c>
      <c r="T1143" s="111">
        <f ca="1">IFERROR(__xludf.DUMMYFUNCTION("""COMPUTED_VALUE"""),11.07)</f>
        <v>11.07</v>
      </c>
    </row>
    <row r="1144" spans="1:20" x14ac:dyDescent="0.3">
      <c r="A1144" s="112">
        <f ca="1">IFERROR(__xludf.DUMMYFUNCTION("""COMPUTED_VALUE"""),41942.7055555555)</f>
        <v>41942.705555555498</v>
      </c>
      <c r="B1144" s="111">
        <f ca="1">IFERROR(__xludf.DUMMYFUNCTION("""COMPUTED_VALUE"""),5.93)</f>
        <v>5.93</v>
      </c>
      <c r="C1144" s="112">
        <f ca="1">IFERROR(__xludf.DUMMYFUNCTION("""COMPUTED_VALUE"""),41949.7055555555)</f>
        <v>41949.705555555498</v>
      </c>
      <c r="D1144" s="111">
        <f ca="1">IFERROR(__xludf.DUMMYFUNCTION("""COMPUTED_VALUE"""),19.59)</f>
        <v>19.59</v>
      </c>
      <c r="E1144" s="112">
        <f ca="1">IFERROR(__xludf.DUMMYFUNCTION("""COMPUTED_VALUE"""),41950.7055555555)</f>
        <v>41950.705555555498</v>
      </c>
      <c r="F1144" s="111">
        <f ca="1">IFERROR(__xludf.DUMMYFUNCTION("""COMPUTED_VALUE"""),6.98)</f>
        <v>6.98</v>
      </c>
      <c r="G1144" s="112">
        <f ca="1">IFERROR(__xludf.DUMMYFUNCTION("""COMPUTED_VALUE"""),41943.7055555555)</f>
        <v>41943.705555555498</v>
      </c>
      <c r="H1144" s="111">
        <f ca="1">IFERROR(__xludf.DUMMYFUNCTION("""COMPUTED_VALUE"""),15.28)</f>
        <v>15.28</v>
      </c>
      <c r="K1144" s="112">
        <f ca="1">IFERROR(__xludf.DUMMYFUNCTION("""COMPUTED_VALUE"""),42402.7055555555)</f>
        <v>42402.705555555498</v>
      </c>
      <c r="L1144" s="111">
        <f ca="1">IFERROR(__xludf.DUMMYFUNCTION("""COMPUTED_VALUE"""),0.05)</f>
        <v>0.05</v>
      </c>
      <c r="M1144" s="112">
        <f ca="1">IFERROR(__xludf.DUMMYFUNCTION("""COMPUTED_VALUE"""),41863.7055555555)</f>
        <v>41863.705555555498</v>
      </c>
      <c r="N1144" s="111">
        <f ca="1">IFERROR(__xludf.DUMMYFUNCTION("""COMPUTED_VALUE"""),15.07)</f>
        <v>15.07</v>
      </c>
      <c r="O1144" s="112">
        <f ca="1">IFERROR(__xludf.DUMMYFUNCTION("""COMPUTED_VALUE"""),41936.7055555555)</f>
        <v>41936.705555555498</v>
      </c>
      <c r="P1144" s="111">
        <f ca="1">IFERROR(__xludf.DUMMYFUNCTION("""COMPUTED_VALUE"""),27.34)</f>
        <v>27.34</v>
      </c>
      <c r="Q1144" s="112">
        <f ca="1">IFERROR(__xludf.DUMMYFUNCTION("""COMPUTED_VALUE"""),41934.7055555555)</f>
        <v>41934.705555555498</v>
      </c>
      <c r="R1144" s="111">
        <f ca="1">IFERROR(__xludf.DUMMYFUNCTION("""COMPUTED_VALUE"""),27.45)</f>
        <v>27.45</v>
      </c>
      <c r="S1144" s="112">
        <f ca="1">IFERROR(__xludf.DUMMYFUNCTION("""COMPUTED_VALUE"""),41947.7055555555)</f>
        <v>41947.705555555498</v>
      </c>
      <c r="T1144" s="111">
        <f ca="1">IFERROR(__xludf.DUMMYFUNCTION("""COMPUTED_VALUE"""),11.06)</f>
        <v>11.06</v>
      </c>
    </row>
    <row r="1145" spans="1:20" x14ac:dyDescent="0.3">
      <c r="A1145" s="112">
        <f ca="1">IFERROR(__xludf.DUMMYFUNCTION("""COMPUTED_VALUE"""),41943.7055555555)</f>
        <v>41943.705555555498</v>
      </c>
      <c r="B1145" s="111">
        <f ca="1">IFERROR(__xludf.DUMMYFUNCTION("""COMPUTED_VALUE"""),6.15)</f>
        <v>6.15</v>
      </c>
      <c r="C1145" s="112">
        <f ca="1">IFERROR(__xludf.DUMMYFUNCTION("""COMPUTED_VALUE"""),41950.7055555555)</f>
        <v>41950.705555555498</v>
      </c>
      <c r="D1145" s="111">
        <f ca="1">IFERROR(__xludf.DUMMYFUNCTION("""COMPUTED_VALUE"""),19.92)</f>
        <v>19.920000000000002</v>
      </c>
      <c r="E1145" s="112">
        <f ca="1">IFERROR(__xludf.DUMMYFUNCTION("""COMPUTED_VALUE"""),41953.7055555555)</f>
        <v>41953.705555555498</v>
      </c>
      <c r="F1145" s="111">
        <f ca="1">IFERROR(__xludf.DUMMYFUNCTION("""COMPUTED_VALUE"""),6.98)</f>
        <v>6.98</v>
      </c>
      <c r="G1145" s="112">
        <f ca="1">IFERROR(__xludf.DUMMYFUNCTION("""COMPUTED_VALUE"""),41946.7055555555)</f>
        <v>41946.705555555498</v>
      </c>
      <c r="H1145" s="111">
        <f ca="1">IFERROR(__xludf.DUMMYFUNCTION("""COMPUTED_VALUE"""),14.85)</f>
        <v>14.85</v>
      </c>
      <c r="K1145" s="112">
        <f ca="1">IFERROR(__xludf.DUMMYFUNCTION("""COMPUTED_VALUE"""),42403.7055555555)</f>
        <v>42403.705555555498</v>
      </c>
      <c r="L1145" s="111">
        <f ca="1">IFERROR(__xludf.DUMMYFUNCTION("""COMPUTED_VALUE"""),0.06)</f>
        <v>0.06</v>
      </c>
      <c r="M1145" s="112">
        <f ca="1">IFERROR(__xludf.DUMMYFUNCTION("""COMPUTED_VALUE"""),41864.7055555555)</f>
        <v>41864.705555555498</v>
      </c>
      <c r="N1145" s="111">
        <f ca="1">IFERROR(__xludf.DUMMYFUNCTION("""COMPUTED_VALUE"""),14.93)</f>
        <v>14.93</v>
      </c>
      <c r="O1145" s="112">
        <f ca="1">IFERROR(__xludf.DUMMYFUNCTION("""COMPUTED_VALUE"""),41939.7055555555)</f>
        <v>41939.705555555498</v>
      </c>
      <c r="P1145" s="111">
        <f ca="1">IFERROR(__xludf.DUMMYFUNCTION("""COMPUTED_VALUE"""),26.46)</f>
        <v>26.46</v>
      </c>
      <c r="Q1145" s="112">
        <f ca="1">IFERROR(__xludf.DUMMYFUNCTION("""COMPUTED_VALUE"""),41935.7055555555)</f>
        <v>41935.705555555498</v>
      </c>
      <c r="R1145" s="111">
        <f ca="1">IFERROR(__xludf.DUMMYFUNCTION("""COMPUTED_VALUE"""),24.87)</f>
        <v>24.87</v>
      </c>
      <c r="S1145" s="112">
        <f ca="1">IFERROR(__xludf.DUMMYFUNCTION("""COMPUTED_VALUE"""),41948.7055555555)</f>
        <v>41948.705555555498</v>
      </c>
      <c r="T1145" s="111">
        <f ca="1">IFERROR(__xludf.DUMMYFUNCTION("""COMPUTED_VALUE"""),10.97)</f>
        <v>10.97</v>
      </c>
    </row>
    <row r="1146" spans="1:20" x14ac:dyDescent="0.3">
      <c r="A1146" s="112">
        <f ca="1">IFERROR(__xludf.DUMMYFUNCTION("""COMPUTED_VALUE"""),41946.7055555555)</f>
        <v>41946.705555555498</v>
      </c>
      <c r="B1146" s="111">
        <f ca="1">IFERROR(__xludf.DUMMYFUNCTION("""COMPUTED_VALUE"""),5.97)</f>
        <v>5.97</v>
      </c>
      <c r="C1146" s="112">
        <f ca="1">IFERROR(__xludf.DUMMYFUNCTION("""COMPUTED_VALUE"""),41953.7055555555)</f>
        <v>41953.705555555498</v>
      </c>
      <c r="D1146" s="111">
        <f ca="1">IFERROR(__xludf.DUMMYFUNCTION("""COMPUTED_VALUE"""),19.86)</f>
        <v>19.86</v>
      </c>
      <c r="E1146" s="112">
        <f ca="1">IFERROR(__xludf.DUMMYFUNCTION("""COMPUTED_VALUE"""),41954.7055555555)</f>
        <v>41954.705555555498</v>
      </c>
      <c r="F1146" s="111">
        <f ca="1">IFERROR(__xludf.DUMMYFUNCTION("""COMPUTED_VALUE"""),6.94)</f>
        <v>6.94</v>
      </c>
      <c r="G1146" s="112">
        <f ca="1">IFERROR(__xludf.DUMMYFUNCTION("""COMPUTED_VALUE"""),41947.7055555555)</f>
        <v>41947.705555555498</v>
      </c>
      <c r="H1146" s="111">
        <f ca="1">IFERROR(__xludf.DUMMYFUNCTION("""COMPUTED_VALUE"""),14.82)</f>
        <v>14.82</v>
      </c>
      <c r="K1146" s="112">
        <f ca="1">IFERROR(__xludf.DUMMYFUNCTION("""COMPUTED_VALUE"""),42404.7055555555)</f>
        <v>42404.705555555498</v>
      </c>
      <c r="L1146" s="111">
        <f ca="1">IFERROR(__xludf.DUMMYFUNCTION("""COMPUTED_VALUE"""),0.06)</f>
        <v>0.06</v>
      </c>
      <c r="M1146" s="112">
        <f ca="1">IFERROR(__xludf.DUMMYFUNCTION("""COMPUTED_VALUE"""),41865.7055555555)</f>
        <v>41865.705555555498</v>
      </c>
      <c r="N1146" s="111">
        <f ca="1">IFERROR(__xludf.DUMMYFUNCTION("""COMPUTED_VALUE"""),15.37)</f>
        <v>15.37</v>
      </c>
      <c r="O1146" s="112">
        <f ca="1">IFERROR(__xludf.DUMMYFUNCTION("""COMPUTED_VALUE"""),41940.7055555555)</f>
        <v>41940.705555555498</v>
      </c>
      <c r="P1146" s="111">
        <f ca="1">IFERROR(__xludf.DUMMYFUNCTION("""COMPUTED_VALUE"""),26.14)</f>
        <v>26.14</v>
      </c>
      <c r="Q1146" s="112">
        <f ca="1">IFERROR(__xludf.DUMMYFUNCTION("""COMPUTED_VALUE"""),41936.7055555555)</f>
        <v>41936.705555555498</v>
      </c>
      <c r="R1146" s="111">
        <f ca="1">IFERROR(__xludf.DUMMYFUNCTION("""COMPUTED_VALUE"""),26.26)</f>
        <v>26.26</v>
      </c>
      <c r="S1146" s="112">
        <f ca="1">IFERROR(__xludf.DUMMYFUNCTION("""COMPUTED_VALUE"""),41949.7055555555)</f>
        <v>41949.705555555498</v>
      </c>
      <c r="T1146" s="111">
        <f ca="1">IFERROR(__xludf.DUMMYFUNCTION("""COMPUTED_VALUE"""),11)</f>
        <v>11</v>
      </c>
    </row>
    <row r="1147" spans="1:20" x14ac:dyDescent="0.3">
      <c r="A1147" s="112">
        <f ca="1">IFERROR(__xludf.DUMMYFUNCTION("""COMPUTED_VALUE"""),41947.7055555555)</f>
        <v>41947.705555555498</v>
      </c>
      <c r="B1147" s="111">
        <f ca="1">IFERROR(__xludf.DUMMYFUNCTION("""COMPUTED_VALUE"""),5.99)</f>
        <v>5.99</v>
      </c>
      <c r="C1147" s="112">
        <f ca="1">IFERROR(__xludf.DUMMYFUNCTION("""COMPUTED_VALUE"""),41954.7055555555)</f>
        <v>41954.705555555498</v>
      </c>
      <c r="D1147" s="111">
        <f ca="1">IFERROR(__xludf.DUMMYFUNCTION("""COMPUTED_VALUE"""),19.85)</f>
        <v>19.850000000000001</v>
      </c>
      <c r="E1147" s="112">
        <f ca="1">IFERROR(__xludf.DUMMYFUNCTION("""COMPUTED_VALUE"""),41955.7055555555)</f>
        <v>41955.705555555498</v>
      </c>
      <c r="F1147" s="111">
        <f ca="1">IFERROR(__xludf.DUMMYFUNCTION("""COMPUTED_VALUE"""),7.01)</f>
        <v>7.01</v>
      </c>
      <c r="G1147" s="112">
        <f ca="1">IFERROR(__xludf.DUMMYFUNCTION("""COMPUTED_VALUE"""),41948.7055555555)</f>
        <v>41948.705555555498</v>
      </c>
      <c r="H1147" s="111">
        <f ca="1">IFERROR(__xludf.DUMMYFUNCTION("""COMPUTED_VALUE"""),14.4)</f>
        <v>14.4</v>
      </c>
      <c r="K1147" s="112">
        <f ca="1">IFERROR(__xludf.DUMMYFUNCTION("""COMPUTED_VALUE"""),42405.7055555555)</f>
        <v>42405.705555555498</v>
      </c>
      <c r="L1147" s="111">
        <f ca="1">IFERROR(__xludf.DUMMYFUNCTION("""COMPUTED_VALUE"""),0.05)</f>
        <v>0.05</v>
      </c>
      <c r="M1147" s="112">
        <f ca="1">IFERROR(__xludf.DUMMYFUNCTION("""COMPUTED_VALUE"""),41866.7055555555)</f>
        <v>41866.705555555498</v>
      </c>
      <c r="N1147" s="111">
        <f ca="1">IFERROR(__xludf.DUMMYFUNCTION("""COMPUTED_VALUE"""),15.59)</f>
        <v>15.59</v>
      </c>
      <c r="O1147" s="112">
        <f ca="1">IFERROR(__xludf.DUMMYFUNCTION("""COMPUTED_VALUE"""),41941.7055555555)</f>
        <v>41941.705555555498</v>
      </c>
      <c r="P1147" s="111">
        <f ca="1">IFERROR(__xludf.DUMMYFUNCTION("""COMPUTED_VALUE"""),24.76)</f>
        <v>24.76</v>
      </c>
      <c r="Q1147" s="112">
        <f ca="1">IFERROR(__xludf.DUMMYFUNCTION("""COMPUTED_VALUE"""),41939.7055555555)</f>
        <v>41939.705555555498</v>
      </c>
      <c r="R1147" s="111">
        <f ca="1">IFERROR(__xludf.DUMMYFUNCTION("""COMPUTED_VALUE"""),24.42)</f>
        <v>24.42</v>
      </c>
      <c r="S1147" s="112">
        <f ca="1">IFERROR(__xludf.DUMMYFUNCTION("""COMPUTED_VALUE"""),41950.7055555555)</f>
        <v>41950.705555555498</v>
      </c>
      <c r="T1147" s="111">
        <f ca="1">IFERROR(__xludf.DUMMYFUNCTION("""COMPUTED_VALUE"""),11.04)</f>
        <v>11.04</v>
      </c>
    </row>
    <row r="1148" spans="1:20" x14ac:dyDescent="0.3">
      <c r="A1148" s="112">
        <f ca="1">IFERROR(__xludf.DUMMYFUNCTION("""COMPUTED_VALUE"""),41948.7055555555)</f>
        <v>41948.705555555498</v>
      </c>
      <c r="B1148" s="111">
        <f ca="1">IFERROR(__xludf.DUMMYFUNCTION("""COMPUTED_VALUE"""),5.93)</f>
        <v>5.93</v>
      </c>
      <c r="C1148" s="112">
        <f ca="1">IFERROR(__xludf.DUMMYFUNCTION("""COMPUTED_VALUE"""),41955.7055555555)</f>
        <v>41955.705555555498</v>
      </c>
      <c r="D1148" s="111">
        <f ca="1">IFERROR(__xludf.DUMMYFUNCTION("""COMPUTED_VALUE"""),20)</f>
        <v>20</v>
      </c>
      <c r="E1148" s="112">
        <f ca="1">IFERROR(__xludf.DUMMYFUNCTION("""COMPUTED_VALUE"""),41956.7055555555)</f>
        <v>41956.705555555498</v>
      </c>
      <c r="F1148" s="111">
        <f ca="1">IFERROR(__xludf.DUMMYFUNCTION("""COMPUTED_VALUE"""),6.76)</f>
        <v>6.76</v>
      </c>
      <c r="G1148" s="112">
        <f ca="1">IFERROR(__xludf.DUMMYFUNCTION("""COMPUTED_VALUE"""),41949.7055555555)</f>
        <v>41949.705555555498</v>
      </c>
      <c r="H1148" s="111">
        <f ca="1">IFERROR(__xludf.DUMMYFUNCTION("""COMPUTED_VALUE"""),14.06)</f>
        <v>14.06</v>
      </c>
      <c r="K1148" s="112">
        <f ca="1">IFERROR(__xludf.DUMMYFUNCTION("""COMPUTED_VALUE"""),42410.7055555555)</f>
        <v>42410.705555555498</v>
      </c>
      <c r="L1148" s="111">
        <f ca="1">IFERROR(__xludf.DUMMYFUNCTION("""COMPUTED_VALUE"""),0.05)</f>
        <v>0.05</v>
      </c>
      <c r="M1148" s="112">
        <f ca="1">IFERROR(__xludf.DUMMYFUNCTION("""COMPUTED_VALUE"""),41869.7055555555)</f>
        <v>41869.705555555498</v>
      </c>
      <c r="N1148" s="111">
        <f ca="1">IFERROR(__xludf.DUMMYFUNCTION("""COMPUTED_VALUE"""),15.7)</f>
        <v>15.7</v>
      </c>
      <c r="O1148" s="112">
        <f ca="1">IFERROR(__xludf.DUMMYFUNCTION("""COMPUTED_VALUE"""),41942.7055555555)</f>
        <v>41942.705555555498</v>
      </c>
      <c r="P1148" s="111">
        <f ca="1">IFERROR(__xludf.DUMMYFUNCTION("""COMPUTED_VALUE"""),23.7)</f>
        <v>23.7</v>
      </c>
      <c r="Q1148" s="112">
        <f ca="1">IFERROR(__xludf.DUMMYFUNCTION("""COMPUTED_VALUE"""),41940.7055555555)</f>
        <v>41940.705555555498</v>
      </c>
      <c r="R1148" s="111">
        <f ca="1">IFERROR(__xludf.DUMMYFUNCTION("""COMPUTED_VALUE"""),26.15)</f>
        <v>26.15</v>
      </c>
      <c r="S1148" s="112">
        <f ca="1">IFERROR(__xludf.DUMMYFUNCTION("""COMPUTED_VALUE"""),41953.7055555555)</f>
        <v>41953.705555555498</v>
      </c>
      <c r="T1148" s="111">
        <f ca="1">IFERROR(__xludf.DUMMYFUNCTION("""COMPUTED_VALUE"""),10.87)</f>
        <v>10.87</v>
      </c>
    </row>
    <row r="1149" spans="1:20" x14ac:dyDescent="0.3">
      <c r="A1149" s="112">
        <f ca="1">IFERROR(__xludf.DUMMYFUNCTION("""COMPUTED_VALUE"""),41949.7055555555)</f>
        <v>41949.705555555498</v>
      </c>
      <c r="B1149" s="111">
        <f ca="1">IFERROR(__xludf.DUMMYFUNCTION("""COMPUTED_VALUE"""),5.76)</f>
        <v>5.76</v>
      </c>
      <c r="C1149" s="112">
        <f ca="1">IFERROR(__xludf.DUMMYFUNCTION("""COMPUTED_VALUE"""),41956.7055555555)</f>
        <v>41956.705555555498</v>
      </c>
      <c r="D1149" s="111">
        <f ca="1">IFERROR(__xludf.DUMMYFUNCTION("""COMPUTED_VALUE"""),19.36)</f>
        <v>19.36</v>
      </c>
      <c r="E1149" s="112">
        <f ca="1">IFERROR(__xludf.DUMMYFUNCTION("""COMPUTED_VALUE"""),41957.7055555555)</f>
        <v>41957.705555555498</v>
      </c>
      <c r="F1149" s="111">
        <f ca="1">IFERROR(__xludf.DUMMYFUNCTION("""COMPUTED_VALUE"""),6.83)</f>
        <v>6.83</v>
      </c>
      <c r="G1149" s="112">
        <f ca="1">IFERROR(__xludf.DUMMYFUNCTION("""COMPUTED_VALUE"""),41950.7055555555)</f>
        <v>41950.705555555498</v>
      </c>
      <c r="H1149" s="111">
        <f ca="1">IFERROR(__xludf.DUMMYFUNCTION("""COMPUTED_VALUE"""),14.27)</f>
        <v>14.27</v>
      </c>
      <c r="K1149" s="112">
        <f ca="1">IFERROR(__xludf.DUMMYFUNCTION("""COMPUTED_VALUE"""),42411.7055555555)</f>
        <v>42411.705555555498</v>
      </c>
      <c r="L1149" s="111">
        <f ca="1">IFERROR(__xludf.DUMMYFUNCTION("""COMPUTED_VALUE"""),0.05)</f>
        <v>0.05</v>
      </c>
      <c r="M1149" s="112">
        <f ca="1">IFERROR(__xludf.DUMMYFUNCTION("""COMPUTED_VALUE"""),41870.7055555555)</f>
        <v>41870.705555555498</v>
      </c>
      <c r="N1149" s="111">
        <f ca="1">IFERROR(__xludf.DUMMYFUNCTION("""COMPUTED_VALUE"""),16.17)</f>
        <v>16.170000000000002</v>
      </c>
      <c r="O1149" s="112">
        <f ca="1">IFERROR(__xludf.DUMMYFUNCTION("""COMPUTED_VALUE"""),41943.7055555555)</f>
        <v>41943.705555555498</v>
      </c>
      <c r="P1149" s="111">
        <f ca="1">IFERROR(__xludf.DUMMYFUNCTION("""COMPUTED_VALUE"""),25)</f>
        <v>25</v>
      </c>
      <c r="Q1149" s="112">
        <f ca="1">IFERROR(__xludf.DUMMYFUNCTION("""COMPUTED_VALUE"""),41941.7055555555)</f>
        <v>41941.705555555498</v>
      </c>
      <c r="R1149" s="111">
        <f ca="1">IFERROR(__xludf.DUMMYFUNCTION("""COMPUTED_VALUE"""),25.46)</f>
        <v>25.46</v>
      </c>
      <c r="S1149" s="112">
        <f ca="1">IFERROR(__xludf.DUMMYFUNCTION("""COMPUTED_VALUE"""),41954.7055555555)</f>
        <v>41954.705555555498</v>
      </c>
      <c r="T1149" s="111">
        <f ca="1">IFERROR(__xludf.DUMMYFUNCTION("""COMPUTED_VALUE"""),10.95)</f>
        <v>10.95</v>
      </c>
    </row>
    <row r="1150" spans="1:20" x14ac:dyDescent="0.3">
      <c r="A1150" s="112">
        <f ca="1">IFERROR(__xludf.DUMMYFUNCTION("""COMPUTED_VALUE"""),41950.7055555555)</f>
        <v>41950.705555555498</v>
      </c>
      <c r="B1150" s="111">
        <f ca="1">IFERROR(__xludf.DUMMYFUNCTION("""COMPUTED_VALUE"""),5.8)</f>
        <v>5.8</v>
      </c>
      <c r="C1150" s="112">
        <f ca="1">IFERROR(__xludf.DUMMYFUNCTION("""COMPUTED_VALUE"""),41957.7055555555)</f>
        <v>41957.705555555498</v>
      </c>
      <c r="D1150" s="111">
        <f ca="1">IFERROR(__xludf.DUMMYFUNCTION("""COMPUTED_VALUE"""),19.45)</f>
        <v>19.45</v>
      </c>
      <c r="E1150" s="112">
        <f ca="1">IFERROR(__xludf.DUMMYFUNCTION("""COMPUTED_VALUE"""),41960.7055555555)</f>
        <v>41960.705555555498</v>
      </c>
      <c r="F1150" s="111">
        <f ca="1">IFERROR(__xludf.DUMMYFUNCTION("""COMPUTED_VALUE"""),6.76)</f>
        <v>6.76</v>
      </c>
      <c r="G1150" s="112">
        <f ca="1">IFERROR(__xludf.DUMMYFUNCTION("""COMPUTED_VALUE"""),41953.7055555555)</f>
        <v>41953.705555555498</v>
      </c>
      <c r="H1150" s="111">
        <f ca="1">IFERROR(__xludf.DUMMYFUNCTION("""COMPUTED_VALUE"""),13.98)</f>
        <v>13.98</v>
      </c>
      <c r="K1150" s="112">
        <f ca="1">IFERROR(__xludf.DUMMYFUNCTION("""COMPUTED_VALUE"""),42412.7055555555)</f>
        <v>42412.705555555498</v>
      </c>
      <c r="L1150" s="111">
        <f ca="1">IFERROR(__xludf.DUMMYFUNCTION("""COMPUTED_VALUE"""),0.06)</f>
        <v>0.06</v>
      </c>
      <c r="M1150" s="112">
        <f ca="1">IFERROR(__xludf.DUMMYFUNCTION("""COMPUTED_VALUE"""),41871.7055555555)</f>
        <v>41871.705555555498</v>
      </c>
      <c r="N1150" s="111">
        <f ca="1">IFERROR(__xludf.DUMMYFUNCTION("""COMPUTED_VALUE"""),16.25)</f>
        <v>16.25</v>
      </c>
      <c r="O1150" s="112">
        <f ca="1">IFERROR(__xludf.DUMMYFUNCTION("""COMPUTED_VALUE"""),41946.7055555555)</f>
        <v>41946.705555555498</v>
      </c>
      <c r="P1150" s="111">
        <f ca="1">IFERROR(__xludf.DUMMYFUNCTION("""COMPUTED_VALUE"""),24.9)</f>
        <v>24.9</v>
      </c>
      <c r="Q1150" s="112">
        <f ca="1">IFERROR(__xludf.DUMMYFUNCTION("""COMPUTED_VALUE"""),41942.7055555555)</f>
        <v>41942.705555555498</v>
      </c>
      <c r="R1150" s="111">
        <f ca="1">IFERROR(__xludf.DUMMYFUNCTION("""COMPUTED_VALUE"""),27.25)</f>
        <v>27.25</v>
      </c>
      <c r="S1150" s="112">
        <f ca="1">IFERROR(__xludf.DUMMYFUNCTION("""COMPUTED_VALUE"""),41955.7055555555)</f>
        <v>41955.705555555498</v>
      </c>
      <c r="T1150" s="111">
        <f ca="1">IFERROR(__xludf.DUMMYFUNCTION("""COMPUTED_VALUE"""),10.92)</f>
        <v>10.92</v>
      </c>
    </row>
    <row r="1151" spans="1:20" x14ac:dyDescent="0.3">
      <c r="A1151" s="112">
        <f ca="1">IFERROR(__xludf.DUMMYFUNCTION("""COMPUTED_VALUE"""),41953.7055555555)</f>
        <v>41953.705555555498</v>
      </c>
      <c r="B1151" s="111">
        <f ca="1">IFERROR(__xludf.DUMMYFUNCTION("""COMPUTED_VALUE"""),5.95)</f>
        <v>5.95</v>
      </c>
      <c r="C1151" s="112">
        <f ca="1">IFERROR(__xludf.DUMMYFUNCTION("""COMPUTED_VALUE"""),41960.7055555555)</f>
        <v>41960.705555555498</v>
      </c>
      <c r="D1151" s="111">
        <f ca="1">IFERROR(__xludf.DUMMYFUNCTION("""COMPUTED_VALUE"""),19.31)</f>
        <v>19.309999999999999</v>
      </c>
      <c r="E1151" s="112">
        <f ca="1">IFERROR(__xludf.DUMMYFUNCTION("""COMPUTED_VALUE"""),41961.7055555555)</f>
        <v>41961.705555555498</v>
      </c>
      <c r="F1151" s="111">
        <f ca="1">IFERROR(__xludf.DUMMYFUNCTION("""COMPUTED_VALUE"""),6.96)</f>
        <v>6.96</v>
      </c>
      <c r="G1151" s="112">
        <f ca="1">IFERROR(__xludf.DUMMYFUNCTION("""COMPUTED_VALUE"""),41954.7055555555)</f>
        <v>41954.705555555498</v>
      </c>
      <c r="H1151" s="111">
        <f ca="1">IFERROR(__xludf.DUMMYFUNCTION("""COMPUTED_VALUE"""),14)</f>
        <v>14</v>
      </c>
      <c r="K1151" s="112">
        <f ca="1">IFERROR(__xludf.DUMMYFUNCTION("""COMPUTED_VALUE"""),42415.7055555555)</f>
        <v>42415.705555555498</v>
      </c>
      <c r="L1151" s="111">
        <f ca="1">IFERROR(__xludf.DUMMYFUNCTION("""COMPUTED_VALUE"""),0.07)</f>
        <v>7.0000000000000007E-2</v>
      </c>
      <c r="M1151" s="112">
        <f ca="1">IFERROR(__xludf.DUMMYFUNCTION("""COMPUTED_VALUE"""),41872.7055555555)</f>
        <v>41872.705555555498</v>
      </c>
      <c r="N1151" s="111">
        <f ca="1">IFERROR(__xludf.DUMMYFUNCTION("""COMPUTED_VALUE"""),16.47)</f>
        <v>16.47</v>
      </c>
      <c r="O1151" s="112">
        <f ca="1">IFERROR(__xludf.DUMMYFUNCTION("""COMPUTED_VALUE"""),41947.7055555555)</f>
        <v>41947.705555555498</v>
      </c>
      <c r="P1151" s="111">
        <f ca="1">IFERROR(__xludf.DUMMYFUNCTION("""COMPUTED_VALUE"""),24.11)</f>
        <v>24.11</v>
      </c>
      <c r="Q1151" s="112">
        <f ca="1">IFERROR(__xludf.DUMMYFUNCTION("""COMPUTED_VALUE"""),41943.7055555555)</f>
        <v>41943.705555555498</v>
      </c>
      <c r="R1151" s="111">
        <f ca="1">IFERROR(__xludf.DUMMYFUNCTION("""COMPUTED_VALUE"""),27.73)</f>
        <v>27.73</v>
      </c>
      <c r="S1151" s="112">
        <f ca="1">IFERROR(__xludf.DUMMYFUNCTION("""COMPUTED_VALUE"""),41956.7055555555)</f>
        <v>41956.705555555498</v>
      </c>
      <c r="T1151" s="111">
        <f ca="1">IFERROR(__xludf.DUMMYFUNCTION("""COMPUTED_VALUE"""),10.82)</f>
        <v>10.82</v>
      </c>
    </row>
    <row r="1152" spans="1:20" x14ac:dyDescent="0.3">
      <c r="A1152" s="112">
        <f ca="1">IFERROR(__xludf.DUMMYFUNCTION("""COMPUTED_VALUE"""),41954.7055555555)</f>
        <v>41954.705555555498</v>
      </c>
      <c r="B1152" s="111">
        <f ca="1">IFERROR(__xludf.DUMMYFUNCTION("""COMPUTED_VALUE"""),6.01)</f>
        <v>6.01</v>
      </c>
      <c r="C1152" s="112">
        <f ca="1">IFERROR(__xludf.DUMMYFUNCTION("""COMPUTED_VALUE"""),41961.7055555555)</f>
        <v>41961.705555555498</v>
      </c>
      <c r="D1152" s="111">
        <f ca="1">IFERROR(__xludf.DUMMYFUNCTION("""COMPUTED_VALUE"""),19.87)</f>
        <v>19.87</v>
      </c>
      <c r="E1152" s="112">
        <f ca="1">IFERROR(__xludf.DUMMYFUNCTION("""COMPUTED_VALUE"""),41962.7055555555)</f>
        <v>41962.705555555498</v>
      </c>
      <c r="F1152" s="111">
        <f ca="1">IFERROR(__xludf.DUMMYFUNCTION("""COMPUTED_VALUE"""),7.23)</f>
        <v>7.23</v>
      </c>
      <c r="G1152" s="112">
        <f ca="1">IFERROR(__xludf.DUMMYFUNCTION("""COMPUTED_VALUE"""),41955.7055555555)</f>
        <v>41955.705555555498</v>
      </c>
      <c r="H1152" s="111">
        <f ca="1">IFERROR(__xludf.DUMMYFUNCTION("""COMPUTED_VALUE"""),14.11)</f>
        <v>14.11</v>
      </c>
      <c r="K1152" s="112">
        <f ca="1">IFERROR(__xludf.DUMMYFUNCTION("""COMPUTED_VALUE"""),42416.7055555555)</f>
        <v>42416.705555555498</v>
      </c>
      <c r="L1152" s="111">
        <f ca="1">IFERROR(__xludf.DUMMYFUNCTION("""COMPUTED_VALUE"""),0.07)</f>
        <v>7.0000000000000007E-2</v>
      </c>
      <c r="M1152" s="112">
        <f ca="1">IFERROR(__xludf.DUMMYFUNCTION("""COMPUTED_VALUE"""),41873.7055555555)</f>
        <v>41873.705555555498</v>
      </c>
      <c r="N1152" s="111">
        <f ca="1">IFERROR(__xludf.DUMMYFUNCTION("""COMPUTED_VALUE"""),16.21)</f>
        <v>16.21</v>
      </c>
      <c r="O1152" s="112">
        <f ca="1">IFERROR(__xludf.DUMMYFUNCTION("""COMPUTED_VALUE"""),41948.7055555555)</f>
        <v>41948.705555555498</v>
      </c>
      <c r="P1152" s="111">
        <f ca="1">IFERROR(__xludf.DUMMYFUNCTION("""COMPUTED_VALUE"""),24)</f>
        <v>24</v>
      </c>
      <c r="Q1152" s="112">
        <f ca="1">IFERROR(__xludf.DUMMYFUNCTION("""COMPUTED_VALUE"""),41946.7055555555)</f>
        <v>41946.705555555498</v>
      </c>
      <c r="R1152" s="111">
        <f ca="1">IFERROR(__xludf.DUMMYFUNCTION("""COMPUTED_VALUE"""),27.37)</f>
        <v>27.37</v>
      </c>
      <c r="S1152" s="112">
        <f ca="1">IFERROR(__xludf.DUMMYFUNCTION("""COMPUTED_VALUE"""),41957.7055555555)</f>
        <v>41957.705555555498</v>
      </c>
      <c r="T1152" s="111">
        <f ca="1">IFERROR(__xludf.DUMMYFUNCTION("""COMPUTED_VALUE"""),10.78)</f>
        <v>10.78</v>
      </c>
    </row>
    <row r="1153" spans="1:20" x14ac:dyDescent="0.3">
      <c r="A1153" s="112">
        <f ca="1">IFERROR(__xludf.DUMMYFUNCTION("""COMPUTED_VALUE"""),41955.7055555555)</f>
        <v>41955.705555555498</v>
      </c>
      <c r="B1153" s="111">
        <f ca="1">IFERROR(__xludf.DUMMYFUNCTION("""COMPUTED_VALUE"""),5.96)</f>
        <v>5.96</v>
      </c>
      <c r="C1153" s="112">
        <f ca="1">IFERROR(__xludf.DUMMYFUNCTION("""COMPUTED_VALUE"""),41962.7055555555)</f>
        <v>41962.705555555498</v>
      </c>
      <c r="D1153" s="111">
        <f ca="1">IFERROR(__xludf.DUMMYFUNCTION("""COMPUTED_VALUE"""),20.67)</f>
        <v>20.67</v>
      </c>
      <c r="E1153" s="112">
        <f ca="1">IFERROR(__xludf.DUMMYFUNCTION("""COMPUTED_VALUE"""),41964.7055555555)</f>
        <v>41964.705555555498</v>
      </c>
      <c r="F1153" s="111">
        <f ca="1">IFERROR(__xludf.DUMMYFUNCTION("""COMPUTED_VALUE"""),7.65)</f>
        <v>7.65</v>
      </c>
      <c r="G1153" s="112">
        <f ca="1">IFERROR(__xludf.DUMMYFUNCTION("""COMPUTED_VALUE"""),41956.7055555555)</f>
        <v>41956.705555555498</v>
      </c>
      <c r="H1153" s="111">
        <f ca="1">IFERROR(__xludf.DUMMYFUNCTION("""COMPUTED_VALUE"""),13.6)</f>
        <v>13.6</v>
      </c>
      <c r="K1153" s="112">
        <f ca="1">IFERROR(__xludf.DUMMYFUNCTION("""COMPUTED_VALUE"""),42417.7055555555)</f>
        <v>42417.705555555498</v>
      </c>
      <c r="L1153" s="111">
        <f ca="1">IFERROR(__xludf.DUMMYFUNCTION("""COMPUTED_VALUE"""),0.07)</f>
        <v>7.0000000000000007E-2</v>
      </c>
      <c r="M1153" s="112">
        <f ca="1">IFERROR(__xludf.DUMMYFUNCTION("""COMPUTED_VALUE"""),41876.7055555555)</f>
        <v>41876.705555555498</v>
      </c>
      <c r="N1153" s="111">
        <f ca="1">IFERROR(__xludf.DUMMYFUNCTION("""COMPUTED_VALUE"""),16.67)</f>
        <v>16.670000000000002</v>
      </c>
      <c r="O1153" s="112">
        <f ca="1">IFERROR(__xludf.DUMMYFUNCTION("""COMPUTED_VALUE"""),41949.7055555555)</f>
        <v>41949.705555555498</v>
      </c>
      <c r="P1153" s="111">
        <f ca="1">IFERROR(__xludf.DUMMYFUNCTION("""COMPUTED_VALUE"""),23.65)</f>
        <v>23.65</v>
      </c>
      <c r="Q1153" s="112">
        <f ca="1">IFERROR(__xludf.DUMMYFUNCTION("""COMPUTED_VALUE"""),41947.7055555555)</f>
        <v>41947.705555555498</v>
      </c>
      <c r="R1153" s="111">
        <f ca="1">IFERROR(__xludf.DUMMYFUNCTION("""COMPUTED_VALUE"""),28.75)</f>
        <v>28.75</v>
      </c>
      <c r="S1153" s="112">
        <f ca="1">IFERROR(__xludf.DUMMYFUNCTION("""COMPUTED_VALUE"""),41960.7055555555)</f>
        <v>41960.705555555498</v>
      </c>
      <c r="T1153" s="111">
        <f ca="1">IFERROR(__xludf.DUMMYFUNCTION("""COMPUTED_VALUE"""),10.7)</f>
        <v>10.7</v>
      </c>
    </row>
    <row r="1154" spans="1:20" x14ac:dyDescent="0.3">
      <c r="A1154" s="112">
        <f ca="1">IFERROR(__xludf.DUMMYFUNCTION("""COMPUTED_VALUE"""),41956.7055555555)</f>
        <v>41956.705555555498</v>
      </c>
      <c r="B1154" s="111">
        <f ca="1">IFERROR(__xludf.DUMMYFUNCTION("""COMPUTED_VALUE"""),5.87)</f>
        <v>5.87</v>
      </c>
      <c r="C1154" s="112">
        <f ca="1">IFERROR(__xludf.DUMMYFUNCTION("""COMPUTED_VALUE"""),41964.7055555555)</f>
        <v>41964.705555555498</v>
      </c>
      <c r="D1154" s="111">
        <f ca="1">IFERROR(__xludf.DUMMYFUNCTION("""COMPUTED_VALUE"""),22.03)</f>
        <v>22.03</v>
      </c>
      <c r="E1154" s="112">
        <f ca="1">IFERROR(__xludf.DUMMYFUNCTION("""COMPUTED_VALUE"""),41967.7055555555)</f>
        <v>41967.705555555498</v>
      </c>
      <c r="F1154" s="111">
        <f ca="1">IFERROR(__xludf.DUMMYFUNCTION("""COMPUTED_VALUE"""),7.5)</f>
        <v>7.5</v>
      </c>
      <c r="G1154" s="112">
        <f ca="1">IFERROR(__xludf.DUMMYFUNCTION("""COMPUTED_VALUE"""),41957.7055555555)</f>
        <v>41957.705555555498</v>
      </c>
      <c r="H1154" s="111">
        <f ca="1">IFERROR(__xludf.DUMMYFUNCTION("""COMPUTED_VALUE"""),13.2)</f>
        <v>13.2</v>
      </c>
      <c r="K1154" s="112">
        <f ca="1">IFERROR(__xludf.DUMMYFUNCTION("""COMPUTED_VALUE"""),42418.7055555555)</f>
        <v>42418.705555555498</v>
      </c>
      <c r="L1154" s="111">
        <f ca="1">IFERROR(__xludf.DUMMYFUNCTION("""COMPUTED_VALUE"""),0.07)</f>
        <v>7.0000000000000007E-2</v>
      </c>
      <c r="M1154" s="112">
        <f ca="1">IFERROR(__xludf.DUMMYFUNCTION("""COMPUTED_VALUE"""),41877.7055555555)</f>
        <v>41877.705555555498</v>
      </c>
      <c r="N1154" s="111">
        <f ca="1">IFERROR(__xludf.DUMMYFUNCTION("""COMPUTED_VALUE"""),16.76)</f>
        <v>16.760000000000002</v>
      </c>
      <c r="O1154" s="112">
        <f ca="1">IFERROR(__xludf.DUMMYFUNCTION("""COMPUTED_VALUE"""),41950.7055555555)</f>
        <v>41950.705555555498</v>
      </c>
      <c r="P1154" s="111">
        <f ca="1">IFERROR(__xludf.DUMMYFUNCTION("""COMPUTED_VALUE"""),24.02)</f>
        <v>24.02</v>
      </c>
      <c r="Q1154" s="112">
        <f ca="1">IFERROR(__xludf.DUMMYFUNCTION("""COMPUTED_VALUE"""),41948.7055555555)</f>
        <v>41948.705555555498</v>
      </c>
      <c r="R1154" s="111">
        <f ca="1">IFERROR(__xludf.DUMMYFUNCTION("""COMPUTED_VALUE"""),26.47)</f>
        <v>26.47</v>
      </c>
      <c r="S1154" s="112">
        <f ca="1">IFERROR(__xludf.DUMMYFUNCTION("""COMPUTED_VALUE"""),41961.7055555555)</f>
        <v>41961.705555555498</v>
      </c>
      <c r="T1154" s="111">
        <f ca="1">IFERROR(__xludf.DUMMYFUNCTION("""COMPUTED_VALUE"""),10.82)</f>
        <v>10.82</v>
      </c>
    </row>
    <row r="1155" spans="1:20" x14ac:dyDescent="0.3">
      <c r="A1155" s="112">
        <f ca="1">IFERROR(__xludf.DUMMYFUNCTION("""COMPUTED_VALUE"""),41957.7055555555)</f>
        <v>41957.705555555498</v>
      </c>
      <c r="B1155" s="111">
        <f ca="1">IFERROR(__xludf.DUMMYFUNCTION("""COMPUTED_VALUE"""),5.59)</f>
        <v>5.59</v>
      </c>
      <c r="C1155" s="112">
        <f ca="1">IFERROR(__xludf.DUMMYFUNCTION("""COMPUTED_VALUE"""),41967.7055555555)</f>
        <v>41967.705555555498</v>
      </c>
      <c r="D1155" s="111">
        <f ca="1">IFERROR(__xludf.DUMMYFUNCTION("""COMPUTED_VALUE"""),21.57)</f>
        <v>21.57</v>
      </c>
      <c r="E1155" s="112">
        <f ca="1">IFERROR(__xludf.DUMMYFUNCTION("""COMPUTED_VALUE"""),41968.7055555555)</f>
        <v>41968.705555555498</v>
      </c>
      <c r="F1155" s="111">
        <f ca="1">IFERROR(__xludf.DUMMYFUNCTION("""COMPUTED_VALUE"""),7.64)</f>
        <v>7.64</v>
      </c>
      <c r="G1155" s="112">
        <f ca="1">IFERROR(__xludf.DUMMYFUNCTION("""COMPUTED_VALUE"""),41960.7055555555)</f>
        <v>41960.705555555498</v>
      </c>
      <c r="H1155" s="111">
        <f ca="1">IFERROR(__xludf.DUMMYFUNCTION("""COMPUTED_VALUE"""),12.6)</f>
        <v>12.6</v>
      </c>
      <c r="K1155" s="112">
        <f ca="1">IFERROR(__xludf.DUMMYFUNCTION("""COMPUTED_VALUE"""),42419.7055555555)</f>
        <v>42419.705555555498</v>
      </c>
      <c r="L1155" s="111">
        <f ca="1">IFERROR(__xludf.DUMMYFUNCTION("""COMPUTED_VALUE"""),0.07)</f>
        <v>7.0000000000000007E-2</v>
      </c>
      <c r="M1155" s="112">
        <f ca="1">IFERROR(__xludf.DUMMYFUNCTION("""COMPUTED_VALUE"""),41878.7055555555)</f>
        <v>41878.705555555498</v>
      </c>
      <c r="N1155" s="111">
        <f ca="1">IFERROR(__xludf.DUMMYFUNCTION("""COMPUTED_VALUE"""),17.21)</f>
        <v>17.21</v>
      </c>
      <c r="O1155" s="112">
        <f ca="1">IFERROR(__xludf.DUMMYFUNCTION("""COMPUTED_VALUE"""),41953.7055555555)</f>
        <v>41953.705555555498</v>
      </c>
      <c r="P1155" s="111">
        <f ca="1">IFERROR(__xludf.DUMMYFUNCTION("""COMPUTED_VALUE"""),23.3)</f>
        <v>23.3</v>
      </c>
      <c r="Q1155" s="112">
        <f ca="1">IFERROR(__xludf.DUMMYFUNCTION("""COMPUTED_VALUE"""),41949.7055555555)</f>
        <v>41949.705555555498</v>
      </c>
      <c r="R1155" s="111">
        <f ca="1">IFERROR(__xludf.DUMMYFUNCTION("""COMPUTED_VALUE"""),25.35)</f>
        <v>25.35</v>
      </c>
      <c r="S1155" s="112">
        <f ca="1">IFERROR(__xludf.DUMMYFUNCTION("""COMPUTED_VALUE"""),41962.7055555555)</f>
        <v>41962.705555555498</v>
      </c>
      <c r="T1155" s="111">
        <f ca="1">IFERROR(__xludf.DUMMYFUNCTION("""COMPUTED_VALUE"""),10.94)</f>
        <v>10.94</v>
      </c>
    </row>
    <row r="1156" spans="1:20" x14ac:dyDescent="0.3">
      <c r="A1156" s="112">
        <f ca="1">IFERROR(__xludf.DUMMYFUNCTION("""COMPUTED_VALUE"""),41960.7055555555)</f>
        <v>41960.705555555498</v>
      </c>
      <c r="B1156" s="111">
        <f ca="1">IFERROR(__xludf.DUMMYFUNCTION("""COMPUTED_VALUE"""),5.15)</f>
        <v>5.15</v>
      </c>
      <c r="C1156" s="112">
        <f ca="1">IFERROR(__xludf.DUMMYFUNCTION("""COMPUTED_VALUE"""),41968.7055555555)</f>
        <v>41968.705555555498</v>
      </c>
      <c r="D1156" s="111">
        <f ca="1">IFERROR(__xludf.DUMMYFUNCTION("""COMPUTED_VALUE"""),21.85)</f>
        <v>21.85</v>
      </c>
      <c r="E1156" s="112">
        <f ca="1">IFERROR(__xludf.DUMMYFUNCTION("""COMPUTED_VALUE"""),41969.7055555555)</f>
        <v>41969.705555555498</v>
      </c>
      <c r="F1156" s="111">
        <f ca="1">IFERROR(__xludf.DUMMYFUNCTION("""COMPUTED_VALUE"""),7.53)</f>
        <v>7.53</v>
      </c>
      <c r="G1156" s="112">
        <f ca="1">IFERROR(__xludf.DUMMYFUNCTION("""COMPUTED_VALUE"""),41961.7055555555)</f>
        <v>41961.705555555498</v>
      </c>
      <c r="H1156" s="111">
        <f ca="1">IFERROR(__xludf.DUMMYFUNCTION("""COMPUTED_VALUE"""),12.45)</f>
        <v>12.45</v>
      </c>
      <c r="K1156" s="112">
        <f ca="1">IFERROR(__xludf.DUMMYFUNCTION("""COMPUTED_VALUE"""),42422.7055555555)</f>
        <v>42422.705555555498</v>
      </c>
      <c r="L1156" s="111">
        <f ca="1">IFERROR(__xludf.DUMMYFUNCTION("""COMPUTED_VALUE"""),0.07)</f>
        <v>7.0000000000000007E-2</v>
      </c>
      <c r="M1156" s="112">
        <f ca="1">IFERROR(__xludf.DUMMYFUNCTION("""COMPUTED_VALUE"""),41879.7055555555)</f>
        <v>41879.705555555498</v>
      </c>
      <c r="N1156" s="111">
        <f ca="1">IFERROR(__xludf.DUMMYFUNCTION("""COMPUTED_VALUE"""),17.18)</f>
        <v>17.18</v>
      </c>
      <c r="O1156" s="112">
        <f ca="1">IFERROR(__xludf.DUMMYFUNCTION("""COMPUTED_VALUE"""),41954.7055555555)</f>
        <v>41954.705555555498</v>
      </c>
      <c r="P1156" s="111">
        <f ca="1">IFERROR(__xludf.DUMMYFUNCTION("""COMPUTED_VALUE"""),22.57)</f>
        <v>22.57</v>
      </c>
      <c r="Q1156" s="112">
        <f ca="1">IFERROR(__xludf.DUMMYFUNCTION("""COMPUTED_VALUE"""),41950.7055555555)</f>
        <v>41950.705555555498</v>
      </c>
      <c r="R1156" s="111">
        <f ca="1">IFERROR(__xludf.DUMMYFUNCTION("""COMPUTED_VALUE"""),25.99)</f>
        <v>25.99</v>
      </c>
      <c r="S1156" s="112">
        <f ca="1">IFERROR(__xludf.DUMMYFUNCTION("""COMPUTED_VALUE"""),41964.7055555555)</f>
        <v>41964.705555555498</v>
      </c>
      <c r="T1156" s="111">
        <f ca="1">IFERROR(__xludf.DUMMYFUNCTION("""COMPUTED_VALUE"""),11.45)</f>
        <v>11.45</v>
      </c>
    </row>
    <row r="1157" spans="1:20" x14ac:dyDescent="0.3">
      <c r="A1157" s="112">
        <f ca="1">IFERROR(__xludf.DUMMYFUNCTION("""COMPUTED_VALUE"""),41961.7055555555)</f>
        <v>41961.705555555498</v>
      </c>
      <c r="B1157" s="111">
        <f ca="1">IFERROR(__xludf.DUMMYFUNCTION("""COMPUTED_VALUE"""),5.2)</f>
        <v>5.2</v>
      </c>
      <c r="C1157" s="112">
        <f ca="1">IFERROR(__xludf.DUMMYFUNCTION("""COMPUTED_VALUE"""),41969.7055555555)</f>
        <v>41969.705555555498</v>
      </c>
      <c r="D1157" s="111">
        <f ca="1">IFERROR(__xludf.DUMMYFUNCTION("""COMPUTED_VALUE"""),21.66)</f>
        <v>21.66</v>
      </c>
      <c r="E1157" s="112">
        <f ca="1">IFERROR(__xludf.DUMMYFUNCTION("""COMPUTED_VALUE"""),41970.7055555555)</f>
        <v>41970.705555555498</v>
      </c>
      <c r="F1157" s="111">
        <f ca="1">IFERROR(__xludf.DUMMYFUNCTION("""COMPUTED_VALUE"""),7.47)</f>
        <v>7.47</v>
      </c>
      <c r="G1157" s="112">
        <f ca="1">IFERROR(__xludf.DUMMYFUNCTION("""COMPUTED_VALUE"""),41962.7055555555)</f>
        <v>41962.705555555498</v>
      </c>
      <c r="H1157" s="111">
        <f ca="1">IFERROR(__xludf.DUMMYFUNCTION("""COMPUTED_VALUE"""),12.78)</f>
        <v>12.78</v>
      </c>
      <c r="K1157" s="112">
        <f ca="1">IFERROR(__xludf.DUMMYFUNCTION("""COMPUTED_VALUE"""),42423.7055555555)</f>
        <v>42423.705555555498</v>
      </c>
      <c r="L1157" s="111">
        <f ca="1">IFERROR(__xludf.DUMMYFUNCTION("""COMPUTED_VALUE"""),0.07)</f>
        <v>7.0000000000000007E-2</v>
      </c>
      <c r="M1157" s="112">
        <f ca="1">IFERROR(__xludf.DUMMYFUNCTION("""COMPUTED_VALUE"""),41880.7055555555)</f>
        <v>41880.705555555498</v>
      </c>
      <c r="N1157" s="111">
        <f ca="1">IFERROR(__xludf.DUMMYFUNCTION("""COMPUTED_VALUE"""),17.61)</f>
        <v>17.61</v>
      </c>
      <c r="O1157" s="112">
        <f ca="1">IFERROR(__xludf.DUMMYFUNCTION("""COMPUTED_VALUE"""),41955.7055555555)</f>
        <v>41955.705555555498</v>
      </c>
      <c r="P1157" s="111">
        <f ca="1">IFERROR(__xludf.DUMMYFUNCTION("""COMPUTED_VALUE"""),22.52)</f>
        <v>22.52</v>
      </c>
      <c r="Q1157" s="112">
        <f ca="1">IFERROR(__xludf.DUMMYFUNCTION("""COMPUTED_VALUE"""),41953.7055555555)</f>
        <v>41953.705555555498</v>
      </c>
      <c r="R1157" s="111">
        <f ca="1">IFERROR(__xludf.DUMMYFUNCTION("""COMPUTED_VALUE"""),25)</f>
        <v>25</v>
      </c>
      <c r="S1157" s="112">
        <f ca="1">IFERROR(__xludf.DUMMYFUNCTION("""COMPUTED_VALUE"""),41967.7055555555)</f>
        <v>41967.705555555498</v>
      </c>
      <c r="T1157" s="111">
        <f ca="1">IFERROR(__xludf.DUMMYFUNCTION("""COMPUTED_VALUE"""),11.21)</f>
        <v>11.21</v>
      </c>
    </row>
    <row r="1158" spans="1:20" x14ac:dyDescent="0.3">
      <c r="A1158" s="112">
        <f ca="1">IFERROR(__xludf.DUMMYFUNCTION("""COMPUTED_VALUE"""),41962.7055555555)</f>
        <v>41962.705555555498</v>
      </c>
      <c r="B1158" s="111">
        <f ca="1">IFERROR(__xludf.DUMMYFUNCTION("""COMPUTED_VALUE"""),5.63)</f>
        <v>5.63</v>
      </c>
      <c r="C1158" s="112">
        <f ca="1">IFERROR(__xludf.DUMMYFUNCTION("""COMPUTED_VALUE"""),41970.7055555555)</f>
        <v>41970.705555555498</v>
      </c>
      <c r="D1158" s="111">
        <f ca="1">IFERROR(__xludf.DUMMYFUNCTION("""COMPUTED_VALUE"""),21.34)</f>
        <v>21.34</v>
      </c>
      <c r="E1158" s="112">
        <f ca="1">IFERROR(__xludf.DUMMYFUNCTION("""COMPUTED_VALUE"""),41971.7055555555)</f>
        <v>41971.705555555498</v>
      </c>
      <c r="F1158" s="111">
        <f ca="1">IFERROR(__xludf.DUMMYFUNCTION("""COMPUTED_VALUE"""),7.51)</f>
        <v>7.51</v>
      </c>
      <c r="G1158" s="112">
        <f ca="1">IFERROR(__xludf.DUMMYFUNCTION("""COMPUTED_VALUE"""),41964.7055555555)</f>
        <v>41964.705555555498</v>
      </c>
      <c r="H1158" s="111">
        <f ca="1">IFERROR(__xludf.DUMMYFUNCTION("""COMPUTED_VALUE"""),14.3)</f>
        <v>14.3</v>
      </c>
      <c r="K1158" s="112">
        <f ca="1">IFERROR(__xludf.DUMMYFUNCTION("""COMPUTED_VALUE"""),42424.7055555555)</f>
        <v>42424.705555555498</v>
      </c>
      <c r="L1158" s="111">
        <f ca="1">IFERROR(__xludf.DUMMYFUNCTION("""COMPUTED_VALUE"""),0.07)</f>
        <v>7.0000000000000007E-2</v>
      </c>
      <c r="M1158" s="112">
        <f ca="1">IFERROR(__xludf.DUMMYFUNCTION("""COMPUTED_VALUE"""),41883.7055555555)</f>
        <v>41883.705555555498</v>
      </c>
      <c r="N1158" s="111">
        <f ca="1">IFERROR(__xludf.DUMMYFUNCTION("""COMPUTED_VALUE"""),17.56)</f>
        <v>17.559999999999999</v>
      </c>
      <c r="O1158" s="112">
        <f ca="1">IFERROR(__xludf.DUMMYFUNCTION("""COMPUTED_VALUE"""),41956.7055555555)</f>
        <v>41956.705555555498</v>
      </c>
      <c r="P1158" s="111">
        <f ca="1">IFERROR(__xludf.DUMMYFUNCTION("""COMPUTED_VALUE"""),22.46)</f>
        <v>22.46</v>
      </c>
      <c r="Q1158" s="112">
        <f ca="1">IFERROR(__xludf.DUMMYFUNCTION("""COMPUTED_VALUE"""),41954.7055555555)</f>
        <v>41954.705555555498</v>
      </c>
      <c r="R1158" s="111">
        <f ca="1">IFERROR(__xludf.DUMMYFUNCTION("""COMPUTED_VALUE"""),24.64)</f>
        <v>24.64</v>
      </c>
      <c r="S1158" s="112">
        <f ca="1">IFERROR(__xludf.DUMMYFUNCTION("""COMPUTED_VALUE"""),41968.7055555555)</f>
        <v>41968.705555555498</v>
      </c>
      <c r="T1158" s="111">
        <f ca="1">IFERROR(__xludf.DUMMYFUNCTION("""COMPUTED_VALUE"""),11.09)</f>
        <v>11.09</v>
      </c>
    </row>
    <row r="1159" spans="1:20" x14ac:dyDescent="0.3">
      <c r="A1159" s="112">
        <f ca="1">IFERROR(__xludf.DUMMYFUNCTION("""COMPUTED_VALUE"""),41964.7055555555)</f>
        <v>41964.705555555498</v>
      </c>
      <c r="B1159" s="111">
        <f ca="1">IFERROR(__xludf.DUMMYFUNCTION("""COMPUTED_VALUE"""),6.02)</f>
        <v>6.02</v>
      </c>
      <c r="C1159" s="112">
        <f ca="1">IFERROR(__xludf.DUMMYFUNCTION("""COMPUTED_VALUE"""),41971.7055555555)</f>
        <v>41971.705555555498</v>
      </c>
      <c r="D1159" s="111">
        <f ca="1">IFERROR(__xludf.DUMMYFUNCTION("""COMPUTED_VALUE"""),21.32)</f>
        <v>21.32</v>
      </c>
      <c r="E1159" s="112">
        <f ca="1">IFERROR(__xludf.DUMMYFUNCTION("""COMPUTED_VALUE"""),41974.7055555555)</f>
        <v>41974.705555555498</v>
      </c>
      <c r="F1159" s="111">
        <f ca="1">IFERROR(__xludf.DUMMYFUNCTION("""COMPUTED_VALUE"""),7.82)</f>
        <v>7.82</v>
      </c>
      <c r="G1159" s="112">
        <f ca="1">IFERROR(__xludf.DUMMYFUNCTION("""COMPUTED_VALUE"""),41967.7055555555)</f>
        <v>41967.705555555498</v>
      </c>
      <c r="H1159" s="111">
        <f ca="1">IFERROR(__xludf.DUMMYFUNCTION("""COMPUTED_VALUE"""),14.21)</f>
        <v>14.21</v>
      </c>
      <c r="K1159" s="112">
        <f ca="1">IFERROR(__xludf.DUMMYFUNCTION("""COMPUTED_VALUE"""),42425.7055555555)</f>
        <v>42425.705555555498</v>
      </c>
      <c r="L1159" s="111">
        <f ca="1">IFERROR(__xludf.DUMMYFUNCTION("""COMPUTED_VALUE"""),0.07)</f>
        <v>7.0000000000000007E-2</v>
      </c>
      <c r="M1159" s="112">
        <f ca="1">IFERROR(__xludf.DUMMYFUNCTION("""COMPUTED_VALUE"""),41884.7055555555)</f>
        <v>41884.705555555498</v>
      </c>
      <c r="N1159" s="111">
        <f ca="1">IFERROR(__xludf.DUMMYFUNCTION("""COMPUTED_VALUE"""),17.92)</f>
        <v>17.920000000000002</v>
      </c>
      <c r="O1159" s="112">
        <f ca="1">IFERROR(__xludf.DUMMYFUNCTION("""COMPUTED_VALUE"""),41957.7055555555)</f>
        <v>41957.705555555498</v>
      </c>
      <c r="P1159" s="111">
        <f ca="1">IFERROR(__xludf.DUMMYFUNCTION("""COMPUTED_VALUE"""),23)</f>
        <v>23</v>
      </c>
      <c r="Q1159" s="112">
        <f ca="1">IFERROR(__xludf.DUMMYFUNCTION("""COMPUTED_VALUE"""),41955.7055555555)</f>
        <v>41955.705555555498</v>
      </c>
      <c r="R1159" s="111">
        <f ca="1">IFERROR(__xludf.DUMMYFUNCTION("""COMPUTED_VALUE"""),25.3)</f>
        <v>25.3</v>
      </c>
      <c r="S1159" s="112">
        <f ca="1">IFERROR(__xludf.DUMMYFUNCTION("""COMPUTED_VALUE"""),41969.7055555555)</f>
        <v>41969.705555555498</v>
      </c>
      <c r="T1159" s="111">
        <f ca="1">IFERROR(__xludf.DUMMYFUNCTION("""COMPUTED_VALUE"""),11.37)</f>
        <v>11.37</v>
      </c>
    </row>
    <row r="1160" spans="1:20" x14ac:dyDescent="0.3">
      <c r="A1160" s="112">
        <f ca="1">IFERROR(__xludf.DUMMYFUNCTION("""COMPUTED_VALUE"""),41967.7055555555)</f>
        <v>41967.705555555498</v>
      </c>
      <c r="B1160" s="111">
        <f ca="1">IFERROR(__xludf.DUMMYFUNCTION("""COMPUTED_VALUE"""),6.01)</f>
        <v>6.01</v>
      </c>
      <c r="C1160" s="112">
        <f ca="1">IFERROR(__xludf.DUMMYFUNCTION("""COMPUTED_VALUE"""),41974.7055555555)</f>
        <v>41974.705555555498</v>
      </c>
      <c r="D1160" s="111">
        <f ca="1">IFERROR(__xludf.DUMMYFUNCTION("""COMPUTED_VALUE"""),22.36)</f>
        <v>22.36</v>
      </c>
      <c r="E1160" s="112">
        <f ca="1">IFERROR(__xludf.DUMMYFUNCTION("""COMPUTED_VALUE"""),41975.7055555555)</f>
        <v>41975.705555555498</v>
      </c>
      <c r="F1160" s="111">
        <f ca="1">IFERROR(__xludf.DUMMYFUNCTION("""COMPUTED_VALUE"""),7.82)</f>
        <v>7.82</v>
      </c>
      <c r="G1160" s="112">
        <f ca="1">IFERROR(__xludf.DUMMYFUNCTION("""COMPUTED_VALUE"""),41968.7055555555)</f>
        <v>41968.705555555498</v>
      </c>
      <c r="H1160" s="111">
        <f ca="1">IFERROR(__xludf.DUMMYFUNCTION("""COMPUTED_VALUE"""),14.15)</f>
        <v>14.15</v>
      </c>
      <c r="K1160" s="112">
        <f ca="1">IFERROR(__xludf.DUMMYFUNCTION("""COMPUTED_VALUE"""),42426.7055555555)</f>
        <v>42426.705555555498</v>
      </c>
      <c r="L1160" s="111">
        <f ca="1">IFERROR(__xludf.DUMMYFUNCTION("""COMPUTED_VALUE"""),0.07)</f>
        <v>7.0000000000000007E-2</v>
      </c>
      <c r="M1160" s="112">
        <f ca="1">IFERROR(__xludf.DUMMYFUNCTION("""COMPUTED_VALUE"""),41885.7055555555)</f>
        <v>41885.705555555498</v>
      </c>
      <c r="N1160" s="111">
        <f ca="1">IFERROR(__xludf.DUMMYFUNCTION("""COMPUTED_VALUE"""),17.95)</f>
        <v>17.95</v>
      </c>
      <c r="O1160" s="112">
        <f ca="1">IFERROR(__xludf.DUMMYFUNCTION("""COMPUTED_VALUE"""),41960.7055555555)</f>
        <v>41960.705555555498</v>
      </c>
      <c r="P1160" s="111">
        <f ca="1">IFERROR(__xludf.DUMMYFUNCTION("""COMPUTED_VALUE"""),22.93)</f>
        <v>22.93</v>
      </c>
      <c r="Q1160" s="112">
        <f ca="1">IFERROR(__xludf.DUMMYFUNCTION("""COMPUTED_VALUE"""),41956.7055555555)</f>
        <v>41956.705555555498</v>
      </c>
      <c r="R1160" s="111">
        <f ca="1">IFERROR(__xludf.DUMMYFUNCTION("""COMPUTED_VALUE"""),24.91)</f>
        <v>24.91</v>
      </c>
      <c r="S1160" s="112">
        <f ca="1">IFERROR(__xludf.DUMMYFUNCTION("""COMPUTED_VALUE"""),41970.7055555555)</f>
        <v>41970.705555555498</v>
      </c>
      <c r="T1160" s="111">
        <f ca="1">IFERROR(__xludf.DUMMYFUNCTION("""COMPUTED_VALUE"""),11.49)</f>
        <v>11.49</v>
      </c>
    </row>
    <row r="1161" spans="1:20" x14ac:dyDescent="0.3">
      <c r="A1161" s="112">
        <f ca="1">IFERROR(__xludf.DUMMYFUNCTION("""COMPUTED_VALUE"""),41968.7055555555)</f>
        <v>41968.705555555498</v>
      </c>
      <c r="B1161" s="111">
        <f ca="1">IFERROR(__xludf.DUMMYFUNCTION("""COMPUTED_VALUE"""),6.04)</f>
        <v>6.04</v>
      </c>
      <c r="C1161" s="112">
        <f ca="1">IFERROR(__xludf.DUMMYFUNCTION("""COMPUTED_VALUE"""),41975.7055555555)</f>
        <v>41975.705555555498</v>
      </c>
      <c r="D1161" s="111">
        <f ca="1">IFERROR(__xludf.DUMMYFUNCTION("""COMPUTED_VALUE"""),22.17)</f>
        <v>22.17</v>
      </c>
      <c r="E1161" s="112">
        <f ca="1">IFERROR(__xludf.DUMMYFUNCTION("""COMPUTED_VALUE"""),41976.7055555555)</f>
        <v>41976.705555555498</v>
      </c>
      <c r="F1161" s="111">
        <f ca="1">IFERROR(__xludf.DUMMYFUNCTION("""COMPUTED_VALUE"""),7.82)</f>
        <v>7.82</v>
      </c>
      <c r="G1161" s="112">
        <f ca="1">IFERROR(__xludf.DUMMYFUNCTION("""COMPUTED_VALUE"""),41969.7055555555)</f>
        <v>41969.705555555498</v>
      </c>
      <c r="H1161" s="111">
        <f ca="1">IFERROR(__xludf.DUMMYFUNCTION("""COMPUTED_VALUE"""),14.17)</f>
        <v>14.17</v>
      </c>
      <c r="K1161" s="112">
        <f ca="1">IFERROR(__xludf.DUMMYFUNCTION("""COMPUTED_VALUE"""),42429.7055555555)</f>
        <v>42429.705555555498</v>
      </c>
      <c r="L1161" s="111">
        <f ca="1">IFERROR(__xludf.DUMMYFUNCTION("""COMPUTED_VALUE"""),0.08)</f>
        <v>0.08</v>
      </c>
      <c r="M1161" s="112">
        <f ca="1">IFERROR(__xludf.DUMMYFUNCTION("""COMPUTED_VALUE"""),41886.7055555555)</f>
        <v>41886.705555555498</v>
      </c>
      <c r="N1161" s="111">
        <f ca="1">IFERROR(__xludf.DUMMYFUNCTION("""COMPUTED_VALUE"""),17.34)</f>
        <v>17.34</v>
      </c>
      <c r="O1161" s="112">
        <f ca="1">IFERROR(__xludf.DUMMYFUNCTION("""COMPUTED_VALUE"""),41961.7055555555)</f>
        <v>41961.705555555498</v>
      </c>
      <c r="P1161" s="111">
        <f ca="1">IFERROR(__xludf.DUMMYFUNCTION("""COMPUTED_VALUE"""),22.03)</f>
        <v>22.03</v>
      </c>
      <c r="Q1161" s="112">
        <f ca="1">IFERROR(__xludf.DUMMYFUNCTION("""COMPUTED_VALUE"""),41957.7055555555)</f>
        <v>41957.705555555498</v>
      </c>
      <c r="R1161" s="111">
        <f ca="1">IFERROR(__xludf.DUMMYFUNCTION("""COMPUTED_VALUE"""),24.48)</f>
        <v>24.48</v>
      </c>
      <c r="S1161" s="112">
        <f ca="1">IFERROR(__xludf.DUMMYFUNCTION("""COMPUTED_VALUE"""),41971.7055555555)</f>
        <v>41971.705555555498</v>
      </c>
      <c r="T1161" s="111">
        <f ca="1">IFERROR(__xludf.DUMMYFUNCTION("""COMPUTED_VALUE"""),11.49)</f>
        <v>11.49</v>
      </c>
    </row>
    <row r="1162" spans="1:20" x14ac:dyDescent="0.3">
      <c r="A1162" s="112">
        <f ca="1">IFERROR(__xludf.DUMMYFUNCTION("""COMPUTED_VALUE"""),41969.7055555555)</f>
        <v>41969.705555555498</v>
      </c>
      <c r="B1162" s="111">
        <f ca="1">IFERROR(__xludf.DUMMYFUNCTION("""COMPUTED_VALUE"""),5.98)</f>
        <v>5.98</v>
      </c>
      <c r="C1162" s="112">
        <f ca="1">IFERROR(__xludf.DUMMYFUNCTION("""COMPUTED_VALUE"""),41976.7055555555)</f>
        <v>41976.705555555498</v>
      </c>
      <c r="D1162" s="111">
        <f ca="1">IFERROR(__xludf.DUMMYFUNCTION("""COMPUTED_VALUE"""),22.15)</f>
        <v>22.15</v>
      </c>
      <c r="E1162" s="112">
        <f ca="1">IFERROR(__xludf.DUMMYFUNCTION("""COMPUTED_VALUE"""),41977.7055555555)</f>
        <v>41977.705555555498</v>
      </c>
      <c r="F1162" s="111">
        <f ca="1">IFERROR(__xludf.DUMMYFUNCTION("""COMPUTED_VALUE"""),7.69)</f>
        <v>7.69</v>
      </c>
      <c r="G1162" s="112">
        <f ca="1">IFERROR(__xludf.DUMMYFUNCTION("""COMPUTED_VALUE"""),41970.7055555555)</f>
        <v>41970.705555555498</v>
      </c>
      <c r="H1162" s="111">
        <f ca="1">IFERROR(__xludf.DUMMYFUNCTION("""COMPUTED_VALUE"""),13.44)</f>
        <v>13.44</v>
      </c>
      <c r="K1162" s="112">
        <f ca="1">IFERROR(__xludf.DUMMYFUNCTION("""COMPUTED_VALUE"""),42430.7055555555)</f>
        <v>42430.705555555498</v>
      </c>
      <c r="L1162" s="111">
        <f ca="1">IFERROR(__xludf.DUMMYFUNCTION("""COMPUTED_VALUE"""),0.08)</f>
        <v>0.08</v>
      </c>
      <c r="M1162" s="112">
        <f ca="1">IFERROR(__xludf.DUMMYFUNCTION("""COMPUTED_VALUE"""),41887.7055555555)</f>
        <v>41887.705555555498</v>
      </c>
      <c r="N1162" s="111">
        <f ca="1">IFERROR(__xludf.DUMMYFUNCTION("""COMPUTED_VALUE"""),17.63)</f>
        <v>17.63</v>
      </c>
      <c r="O1162" s="112">
        <f ca="1">IFERROR(__xludf.DUMMYFUNCTION("""COMPUTED_VALUE"""),41962.7055555555)</f>
        <v>41962.705555555498</v>
      </c>
      <c r="P1162" s="111">
        <f ca="1">IFERROR(__xludf.DUMMYFUNCTION("""COMPUTED_VALUE"""),22.16)</f>
        <v>22.16</v>
      </c>
      <c r="Q1162" s="112">
        <f ca="1">IFERROR(__xludf.DUMMYFUNCTION("""COMPUTED_VALUE"""),41960.7055555555)</f>
        <v>41960.705555555498</v>
      </c>
      <c r="R1162" s="111">
        <f ca="1">IFERROR(__xludf.DUMMYFUNCTION("""COMPUTED_VALUE"""),25.08)</f>
        <v>25.08</v>
      </c>
      <c r="S1162" s="112">
        <f ca="1">IFERROR(__xludf.DUMMYFUNCTION("""COMPUTED_VALUE"""),41974.7055555555)</f>
        <v>41974.705555555498</v>
      </c>
      <c r="T1162" s="111">
        <f ca="1">IFERROR(__xludf.DUMMYFUNCTION("""COMPUTED_VALUE"""),10.91)</f>
        <v>10.91</v>
      </c>
    </row>
    <row r="1163" spans="1:20" x14ac:dyDescent="0.3">
      <c r="A1163" s="112">
        <f ca="1">IFERROR(__xludf.DUMMYFUNCTION("""COMPUTED_VALUE"""),41970.7055555555)</f>
        <v>41970.705555555498</v>
      </c>
      <c r="B1163" s="111">
        <f ca="1">IFERROR(__xludf.DUMMYFUNCTION("""COMPUTED_VALUE"""),5.97)</f>
        <v>5.97</v>
      </c>
      <c r="C1163" s="112">
        <f ca="1">IFERROR(__xludf.DUMMYFUNCTION("""COMPUTED_VALUE"""),41977.7055555555)</f>
        <v>41977.705555555498</v>
      </c>
      <c r="D1163" s="111">
        <f ca="1">IFERROR(__xludf.DUMMYFUNCTION("""COMPUTED_VALUE"""),22.03)</f>
        <v>22.03</v>
      </c>
      <c r="E1163" s="112">
        <f ca="1">IFERROR(__xludf.DUMMYFUNCTION("""COMPUTED_VALUE"""),41978.7055555555)</f>
        <v>41978.705555555498</v>
      </c>
      <c r="F1163" s="111">
        <f ca="1">IFERROR(__xludf.DUMMYFUNCTION("""COMPUTED_VALUE"""),7.91)</f>
        <v>7.91</v>
      </c>
      <c r="G1163" s="112">
        <f ca="1">IFERROR(__xludf.DUMMYFUNCTION("""COMPUTED_VALUE"""),41971.7055555555)</f>
        <v>41971.705555555498</v>
      </c>
      <c r="H1163" s="111">
        <f ca="1">IFERROR(__xludf.DUMMYFUNCTION("""COMPUTED_VALUE"""),12.84)</f>
        <v>12.84</v>
      </c>
      <c r="K1163" s="112">
        <f ca="1">IFERROR(__xludf.DUMMYFUNCTION("""COMPUTED_VALUE"""),42431.7055555555)</f>
        <v>42431.705555555498</v>
      </c>
      <c r="L1163" s="111">
        <f ca="1">IFERROR(__xludf.DUMMYFUNCTION("""COMPUTED_VALUE"""),0.09)</f>
        <v>0.09</v>
      </c>
      <c r="M1163" s="112">
        <f ca="1">IFERROR(__xludf.DUMMYFUNCTION("""COMPUTED_VALUE"""),41890.7055555555)</f>
        <v>41890.705555555498</v>
      </c>
      <c r="N1163" s="111">
        <f ca="1">IFERROR(__xludf.DUMMYFUNCTION("""COMPUTED_VALUE"""),17.14)</f>
        <v>17.14</v>
      </c>
      <c r="O1163" s="112">
        <f ca="1">IFERROR(__xludf.DUMMYFUNCTION("""COMPUTED_VALUE"""),41964.7055555555)</f>
        <v>41964.705555555498</v>
      </c>
      <c r="P1163" s="111">
        <f ca="1">IFERROR(__xludf.DUMMYFUNCTION("""COMPUTED_VALUE"""),23.59)</f>
        <v>23.59</v>
      </c>
      <c r="Q1163" s="112">
        <f ca="1">IFERROR(__xludf.DUMMYFUNCTION("""COMPUTED_VALUE"""),41961.7055555555)</f>
        <v>41961.705555555498</v>
      </c>
      <c r="R1163" s="111">
        <f ca="1">IFERROR(__xludf.DUMMYFUNCTION("""COMPUTED_VALUE"""),26)</f>
        <v>26</v>
      </c>
      <c r="S1163" s="112">
        <f ca="1">IFERROR(__xludf.DUMMYFUNCTION("""COMPUTED_VALUE"""),41975.7055555555)</f>
        <v>41975.705555555498</v>
      </c>
      <c r="T1163" s="111">
        <f ca="1">IFERROR(__xludf.DUMMYFUNCTION("""COMPUTED_VALUE"""),11.22)</f>
        <v>11.22</v>
      </c>
    </row>
    <row r="1164" spans="1:20" x14ac:dyDescent="0.3">
      <c r="A1164" s="112">
        <f ca="1">IFERROR(__xludf.DUMMYFUNCTION("""COMPUTED_VALUE"""),41971.7055555555)</f>
        <v>41971.705555555498</v>
      </c>
      <c r="B1164" s="111">
        <f ca="1">IFERROR(__xludf.DUMMYFUNCTION("""COMPUTED_VALUE"""),5.94)</f>
        <v>5.94</v>
      </c>
      <c r="C1164" s="112">
        <f ca="1">IFERROR(__xludf.DUMMYFUNCTION("""COMPUTED_VALUE"""),41978.7055555555)</f>
        <v>41978.705555555498</v>
      </c>
      <c r="D1164" s="111">
        <f ca="1">IFERROR(__xludf.DUMMYFUNCTION("""COMPUTED_VALUE"""),22.41)</f>
        <v>22.41</v>
      </c>
      <c r="E1164" s="112">
        <f ca="1">IFERROR(__xludf.DUMMYFUNCTION("""COMPUTED_VALUE"""),41981.7055555555)</f>
        <v>41981.705555555498</v>
      </c>
      <c r="F1164" s="111">
        <f ca="1">IFERROR(__xludf.DUMMYFUNCTION("""COMPUTED_VALUE"""),7.6)</f>
        <v>7.6</v>
      </c>
      <c r="G1164" s="112">
        <f ca="1">IFERROR(__xludf.DUMMYFUNCTION("""COMPUTED_VALUE"""),41974.7055555555)</f>
        <v>41974.705555555498</v>
      </c>
      <c r="H1164" s="111">
        <f ca="1">IFERROR(__xludf.DUMMYFUNCTION("""COMPUTED_VALUE"""),12.32)</f>
        <v>12.32</v>
      </c>
      <c r="K1164" s="112">
        <f ca="1">IFERROR(__xludf.DUMMYFUNCTION("""COMPUTED_VALUE"""),42432.7055555555)</f>
        <v>42432.705555555498</v>
      </c>
      <c r="L1164" s="111">
        <f ca="1">IFERROR(__xludf.DUMMYFUNCTION("""COMPUTED_VALUE"""),0.1)</f>
        <v>0.1</v>
      </c>
      <c r="M1164" s="112">
        <f ca="1">IFERROR(__xludf.DUMMYFUNCTION("""COMPUTED_VALUE"""),41891.7055555555)</f>
        <v>41891.705555555498</v>
      </c>
      <c r="N1164" s="111">
        <f ca="1">IFERROR(__xludf.DUMMYFUNCTION("""COMPUTED_VALUE"""),16.91)</f>
        <v>16.91</v>
      </c>
      <c r="O1164" s="112">
        <f ca="1">IFERROR(__xludf.DUMMYFUNCTION("""COMPUTED_VALUE"""),41967.7055555555)</f>
        <v>41967.705555555498</v>
      </c>
      <c r="P1164" s="111">
        <f ca="1">IFERROR(__xludf.DUMMYFUNCTION("""COMPUTED_VALUE"""),23.7)</f>
        <v>23.7</v>
      </c>
      <c r="Q1164" s="112">
        <f ca="1">IFERROR(__xludf.DUMMYFUNCTION("""COMPUTED_VALUE"""),41962.7055555555)</f>
        <v>41962.705555555498</v>
      </c>
      <c r="R1164" s="111">
        <f ca="1">IFERROR(__xludf.DUMMYFUNCTION("""COMPUTED_VALUE"""),27.54)</f>
        <v>27.54</v>
      </c>
      <c r="S1164" s="112">
        <f ca="1">IFERROR(__xludf.DUMMYFUNCTION("""COMPUTED_VALUE"""),41976.7055555555)</f>
        <v>41976.705555555498</v>
      </c>
      <c r="T1164" s="111">
        <f ca="1">IFERROR(__xludf.DUMMYFUNCTION("""COMPUTED_VALUE"""),11.5)</f>
        <v>11.5</v>
      </c>
    </row>
    <row r="1165" spans="1:20" x14ac:dyDescent="0.3">
      <c r="A1165" s="112">
        <f ca="1">IFERROR(__xludf.DUMMYFUNCTION("""COMPUTED_VALUE"""),41974.7055555555)</f>
        <v>41974.705555555498</v>
      </c>
      <c r="B1165" s="111">
        <f ca="1">IFERROR(__xludf.DUMMYFUNCTION("""COMPUTED_VALUE"""),5.57)</f>
        <v>5.57</v>
      </c>
      <c r="C1165" s="112">
        <f ca="1">IFERROR(__xludf.DUMMYFUNCTION("""COMPUTED_VALUE"""),41981.7055555555)</f>
        <v>41981.705555555498</v>
      </c>
      <c r="D1165" s="111">
        <f ca="1">IFERROR(__xludf.DUMMYFUNCTION("""COMPUTED_VALUE"""),21.53)</f>
        <v>21.53</v>
      </c>
      <c r="E1165" s="112">
        <f ca="1">IFERROR(__xludf.DUMMYFUNCTION("""COMPUTED_VALUE"""),41982.7055555555)</f>
        <v>41982.705555555498</v>
      </c>
      <c r="F1165" s="111">
        <f ca="1">IFERROR(__xludf.DUMMYFUNCTION("""COMPUTED_VALUE"""),7.68)</f>
        <v>7.68</v>
      </c>
      <c r="G1165" s="112">
        <f ca="1">IFERROR(__xludf.DUMMYFUNCTION("""COMPUTED_VALUE"""),41975.7055555555)</f>
        <v>41975.705555555498</v>
      </c>
      <c r="H1165" s="111">
        <f ca="1">IFERROR(__xludf.DUMMYFUNCTION("""COMPUTED_VALUE"""),12.17)</f>
        <v>12.17</v>
      </c>
      <c r="K1165" s="112">
        <f ca="1">IFERROR(__xludf.DUMMYFUNCTION("""COMPUTED_VALUE"""),42433.7055555555)</f>
        <v>42433.705555555498</v>
      </c>
      <c r="L1165" s="111">
        <f ca="1">IFERROR(__xludf.DUMMYFUNCTION("""COMPUTED_VALUE"""),0.1)</f>
        <v>0.1</v>
      </c>
      <c r="M1165" s="112">
        <f ca="1">IFERROR(__xludf.DUMMYFUNCTION("""COMPUTED_VALUE"""),41892.7055555555)</f>
        <v>41892.705555555498</v>
      </c>
      <c r="N1165" s="111">
        <f ca="1">IFERROR(__xludf.DUMMYFUNCTION("""COMPUTED_VALUE"""),16.49)</f>
        <v>16.489999999999998</v>
      </c>
      <c r="O1165" s="112">
        <f ca="1">IFERROR(__xludf.DUMMYFUNCTION("""COMPUTED_VALUE"""),41968.7055555555)</f>
        <v>41968.705555555498</v>
      </c>
      <c r="P1165" s="111">
        <f ca="1">IFERROR(__xludf.DUMMYFUNCTION("""COMPUTED_VALUE"""),23.96)</f>
        <v>23.96</v>
      </c>
      <c r="Q1165" s="112">
        <f ca="1">IFERROR(__xludf.DUMMYFUNCTION("""COMPUTED_VALUE"""),41964.7055555555)</f>
        <v>41964.705555555498</v>
      </c>
      <c r="R1165" s="111">
        <f ca="1">IFERROR(__xludf.DUMMYFUNCTION("""COMPUTED_VALUE"""),29.83)</f>
        <v>29.83</v>
      </c>
      <c r="S1165" s="112">
        <f ca="1">IFERROR(__xludf.DUMMYFUNCTION("""COMPUTED_VALUE"""),41977.7055555555)</f>
        <v>41977.705555555498</v>
      </c>
      <c r="T1165" s="111">
        <f ca="1">IFERROR(__xludf.DUMMYFUNCTION("""COMPUTED_VALUE"""),11.27)</f>
        <v>11.27</v>
      </c>
    </row>
    <row r="1166" spans="1:20" x14ac:dyDescent="0.3">
      <c r="A1166" s="112">
        <f ca="1">IFERROR(__xludf.DUMMYFUNCTION("""COMPUTED_VALUE"""),41975.7055555555)</f>
        <v>41975.705555555498</v>
      </c>
      <c r="B1166" s="111">
        <f ca="1">IFERROR(__xludf.DUMMYFUNCTION("""COMPUTED_VALUE"""),5.76)</f>
        <v>5.76</v>
      </c>
      <c r="C1166" s="112">
        <f ca="1">IFERROR(__xludf.DUMMYFUNCTION("""COMPUTED_VALUE"""),41982.7055555555)</f>
        <v>41982.705555555498</v>
      </c>
      <c r="D1166" s="111">
        <f ca="1">IFERROR(__xludf.DUMMYFUNCTION("""COMPUTED_VALUE"""),21.72)</f>
        <v>21.72</v>
      </c>
      <c r="E1166" s="112">
        <f ca="1">IFERROR(__xludf.DUMMYFUNCTION("""COMPUTED_VALUE"""),41983.7055555555)</f>
        <v>41983.705555555498</v>
      </c>
      <c r="F1166" s="111">
        <f ca="1">IFERROR(__xludf.DUMMYFUNCTION("""COMPUTED_VALUE"""),7.51)</f>
        <v>7.51</v>
      </c>
      <c r="G1166" s="112">
        <f ca="1">IFERROR(__xludf.DUMMYFUNCTION("""COMPUTED_VALUE"""),41976.7055555555)</f>
        <v>41976.705555555498</v>
      </c>
      <c r="H1166" s="111">
        <f ca="1">IFERROR(__xludf.DUMMYFUNCTION("""COMPUTED_VALUE"""),12.71)</f>
        <v>12.71</v>
      </c>
      <c r="K1166" s="112">
        <f ca="1">IFERROR(__xludf.DUMMYFUNCTION("""COMPUTED_VALUE"""),42436.7055555555)</f>
        <v>42436.705555555498</v>
      </c>
      <c r="L1166" s="111">
        <f ca="1">IFERROR(__xludf.DUMMYFUNCTION("""COMPUTED_VALUE"""),0.1)</f>
        <v>0.1</v>
      </c>
      <c r="M1166" s="112">
        <f ca="1">IFERROR(__xludf.DUMMYFUNCTION("""COMPUTED_VALUE"""),41893.7055555555)</f>
        <v>41893.705555555498</v>
      </c>
      <c r="N1166" s="111">
        <f ca="1">IFERROR(__xludf.DUMMYFUNCTION("""COMPUTED_VALUE"""),16.42)</f>
        <v>16.420000000000002</v>
      </c>
      <c r="O1166" s="112">
        <f ca="1">IFERROR(__xludf.DUMMYFUNCTION("""COMPUTED_VALUE"""),41969.7055555555)</f>
        <v>41969.705555555498</v>
      </c>
      <c r="P1166" s="111">
        <f ca="1">IFERROR(__xludf.DUMMYFUNCTION("""COMPUTED_VALUE"""),23.04)</f>
        <v>23.04</v>
      </c>
      <c r="Q1166" s="112">
        <f ca="1">IFERROR(__xludf.DUMMYFUNCTION("""COMPUTED_VALUE"""),41967.7055555555)</f>
        <v>41967.705555555498</v>
      </c>
      <c r="R1166" s="111">
        <f ca="1">IFERROR(__xludf.DUMMYFUNCTION("""COMPUTED_VALUE"""),28.79)</f>
        <v>28.79</v>
      </c>
      <c r="S1166" s="112">
        <f ca="1">IFERROR(__xludf.DUMMYFUNCTION("""COMPUTED_VALUE"""),41978.7055555555)</f>
        <v>41978.705555555498</v>
      </c>
      <c r="T1166" s="111">
        <f ca="1">IFERROR(__xludf.DUMMYFUNCTION("""COMPUTED_VALUE"""),11.35)</f>
        <v>11.35</v>
      </c>
    </row>
    <row r="1167" spans="1:20" x14ac:dyDescent="0.3">
      <c r="A1167" s="112">
        <f ca="1">IFERROR(__xludf.DUMMYFUNCTION("""COMPUTED_VALUE"""),41976.7055555555)</f>
        <v>41976.705555555498</v>
      </c>
      <c r="B1167" s="111">
        <f ca="1">IFERROR(__xludf.DUMMYFUNCTION("""COMPUTED_VALUE"""),5.85)</f>
        <v>5.85</v>
      </c>
      <c r="C1167" s="112">
        <f ca="1">IFERROR(__xludf.DUMMYFUNCTION("""COMPUTED_VALUE"""),41983.7055555555)</f>
        <v>41983.705555555498</v>
      </c>
      <c r="D1167" s="111">
        <f ca="1">IFERROR(__xludf.DUMMYFUNCTION("""COMPUTED_VALUE"""),21.3)</f>
        <v>21.3</v>
      </c>
      <c r="E1167" s="112">
        <f ca="1">IFERROR(__xludf.DUMMYFUNCTION("""COMPUTED_VALUE"""),41984.7055555555)</f>
        <v>41984.705555555498</v>
      </c>
      <c r="F1167" s="111">
        <f ca="1">IFERROR(__xludf.DUMMYFUNCTION("""COMPUTED_VALUE"""),7.55)</f>
        <v>7.55</v>
      </c>
      <c r="G1167" s="112">
        <f ca="1">IFERROR(__xludf.DUMMYFUNCTION("""COMPUTED_VALUE"""),41977.7055555555)</f>
        <v>41977.705555555498</v>
      </c>
      <c r="H1167" s="111">
        <f ca="1">IFERROR(__xludf.DUMMYFUNCTION("""COMPUTED_VALUE"""),12.27)</f>
        <v>12.27</v>
      </c>
      <c r="K1167" s="112">
        <f ca="1">IFERROR(__xludf.DUMMYFUNCTION("""COMPUTED_VALUE"""),42437.7055555555)</f>
        <v>42437.705555555498</v>
      </c>
      <c r="L1167" s="111">
        <f ca="1">IFERROR(__xludf.DUMMYFUNCTION("""COMPUTED_VALUE"""),0.1)</f>
        <v>0.1</v>
      </c>
      <c r="M1167" s="112">
        <f ca="1">IFERROR(__xludf.DUMMYFUNCTION("""COMPUTED_VALUE"""),41894.7055555555)</f>
        <v>41894.705555555498</v>
      </c>
      <c r="N1167" s="111">
        <f ca="1">IFERROR(__xludf.DUMMYFUNCTION("""COMPUTED_VALUE"""),15.95)</f>
        <v>15.95</v>
      </c>
      <c r="O1167" s="112">
        <f ca="1">IFERROR(__xludf.DUMMYFUNCTION("""COMPUTED_VALUE"""),41970.7055555555)</f>
        <v>41970.705555555498</v>
      </c>
      <c r="P1167" s="111">
        <f ca="1">IFERROR(__xludf.DUMMYFUNCTION("""COMPUTED_VALUE"""),22.98)</f>
        <v>22.98</v>
      </c>
      <c r="Q1167" s="112">
        <f ca="1">IFERROR(__xludf.DUMMYFUNCTION("""COMPUTED_VALUE"""),41968.7055555555)</f>
        <v>41968.705555555498</v>
      </c>
      <c r="R1167" s="111">
        <f ca="1">IFERROR(__xludf.DUMMYFUNCTION("""COMPUTED_VALUE"""),29.21)</f>
        <v>29.21</v>
      </c>
      <c r="S1167" s="112">
        <f ca="1">IFERROR(__xludf.DUMMYFUNCTION("""COMPUTED_VALUE"""),41981.7055555555)</f>
        <v>41981.705555555498</v>
      </c>
      <c r="T1167" s="111">
        <f ca="1">IFERROR(__xludf.DUMMYFUNCTION("""COMPUTED_VALUE"""),11.04)</f>
        <v>11.04</v>
      </c>
    </row>
    <row r="1168" spans="1:20" x14ac:dyDescent="0.3">
      <c r="A1168" s="112">
        <f ca="1">IFERROR(__xludf.DUMMYFUNCTION("""COMPUTED_VALUE"""),41977.7055555555)</f>
        <v>41977.705555555498</v>
      </c>
      <c r="B1168" s="111">
        <f ca="1">IFERROR(__xludf.DUMMYFUNCTION("""COMPUTED_VALUE"""),5.79)</f>
        <v>5.79</v>
      </c>
      <c r="C1168" s="112">
        <f ca="1">IFERROR(__xludf.DUMMYFUNCTION("""COMPUTED_VALUE"""),41984.7055555555)</f>
        <v>41984.705555555498</v>
      </c>
      <c r="D1168" s="111">
        <f ca="1">IFERROR(__xludf.DUMMYFUNCTION("""COMPUTED_VALUE"""),21.42)</f>
        <v>21.42</v>
      </c>
      <c r="E1168" s="112">
        <f ca="1">IFERROR(__xludf.DUMMYFUNCTION("""COMPUTED_VALUE"""),41985.7055555555)</f>
        <v>41985.705555555498</v>
      </c>
      <c r="F1168" s="111">
        <f ca="1">IFERROR(__xludf.DUMMYFUNCTION("""COMPUTED_VALUE"""),7.21)</f>
        <v>7.21</v>
      </c>
      <c r="G1168" s="112">
        <f ca="1">IFERROR(__xludf.DUMMYFUNCTION("""COMPUTED_VALUE"""),41978.7055555555)</f>
        <v>41978.705555555498</v>
      </c>
      <c r="H1168" s="111">
        <f ca="1">IFERROR(__xludf.DUMMYFUNCTION("""COMPUTED_VALUE"""),12.18)</f>
        <v>12.18</v>
      </c>
      <c r="K1168" s="112">
        <f ca="1">IFERROR(__xludf.DUMMYFUNCTION("""COMPUTED_VALUE"""),42438.7055555555)</f>
        <v>42438.705555555498</v>
      </c>
      <c r="L1168" s="111">
        <f ca="1">IFERROR(__xludf.DUMMYFUNCTION("""COMPUTED_VALUE"""),0.1)</f>
        <v>0.1</v>
      </c>
      <c r="M1168" s="112">
        <f ca="1">IFERROR(__xludf.DUMMYFUNCTION("""COMPUTED_VALUE"""),41897.7055555555)</f>
        <v>41897.705555555498</v>
      </c>
      <c r="N1168" s="111">
        <f ca="1">IFERROR(__xludf.DUMMYFUNCTION("""COMPUTED_VALUE"""),16.46)</f>
        <v>16.46</v>
      </c>
      <c r="O1168" s="112">
        <f ca="1">IFERROR(__xludf.DUMMYFUNCTION("""COMPUTED_VALUE"""),41971.7055555555)</f>
        <v>41971.705555555498</v>
      </c>
      <c r="P1168" s="111">
        <f ca="1">IFERROR(__xludf.DUMMYFUNCTION("""COMPUTED_VALUE"""),23.29)</f>
        <v>23.29</v>
      </c>
      <c r="Q1168" s="112">
        <f ca="1">IFERROR(__xludf.DUMMYFUNCTION("""COMPUTED_VALUE"""),41969.7055555555)</f>
        <v>41969.705555555498</v>
      </c>
      <c r="R1168" s="111">
        <f ca="1">IFERROR(__xludf.DUMMYFUNCTION("""COMPUTED_VALUE"""),28.84)</f>
        <v>28.84</v>
      </c>
      <c r="S1168" s="112">
        <f ca="1">IFERROR(__xludf.DUMMYFUNCTION("""COMPUTED_VALUE"""),41982.7055555555)</f>
        <v>41982.705555555498</v>
      </c>
      <c r="T1168" s="111">
        <f ca="1">IFERROR(__xludf.DUMMYFUNCTION("""COMPUTED_VALUE"""),11.12)</f>
        <v>11.12</v>
      </c>
    </row>
    <row r="1169" spans="1:20" x14ac:dyDescent="0.3">
      <c r="A1169" s="112">
        <f ca="1">IFERROR(__xludf.DUMMYFUNCTION("""COMPUTED_VALUE"""),41978.7055555555)</f>
        <v>41978.705555555498</v>
      </c>
      <c r="B1169" s="111">
        <f ca="1">IFERROR(__xludf.DUMMYFUNCTION("""COMPUTED_VALUE"""),5.62)</f>
        <v>5.62</v>
      </c>
      <c r="C1169" s="112">
        <f ca="1">IFERROR(__xludf.DUMMYFUNCTION("""COMPUTED_VALUE"""),41985.7055555555)</f>
        <v>41985.705555555498</v>
      </c>
      <c r="D1169" s="111">
        <f ca="1">IFERROR(__xludf.DUMMYFUNCTION("""COMPUTED_VALUE"""),20.48)</f>
        <v>20.48</v>
      </c>
      <c r="E1169" s="112">
        <f ca="1">IFERROR(__xludf.DUMMYFUNCTION("""COMPUTED_VALUE"""),41988.7055555555)</f>
        <v>41988.705555555498</v>
      </c>
      <c r="F1169" s="111">
        <f ca="1">IFERROR(__xludf.DUMMYFUNCTION("""COMPUTED_VALUE"""),7.09)</f>
        <v>7.09</v>
      </c>
      <c r="G1169" s="112">
        <f ca="1">IFERROR(__xludf.DUMMYFUNCTION("""COMPUTED_VALUE"""),41981.7055555555)</f>
        <v>41981.705555555498</v>
      </c>
      <c r="H1169" s="111">
        <f ca="1">IFERROR(__xludf.DUMMYFUNCTION("""COMPUTED_VALUE"""),11.51)</f>
        <v>11.51</v>
      </c>
      <c r="K1169" s="112">
        <f ca="1">IFERROR(__xludf.DUMMYFUNCTION("""COMPUTED_VALUE"""),42439.7055555555)</f>
        <v>42439.705555555498</v>
      </c>
      <c r="L1169" s="111">
        <f ca="1">IFERROR(__xludf.DUMMYFUNCTION("""COMPUTED_VALUE"""),0.11)</f>
        <v>0.11</v>
      </c>
      <c r="M1169" s="112">
        <f ca="1">IFERROR(__xludf.DUMMYFUNCTION("""COMPUTED_VALUE"""),41898.7055555555)</f>
        <v>41898.705555555498</v>
      </c>
      <c r="N1169" s="111">
        <f ca="1">IFERROR(__xludf.DUMMYFUNCTION("""COMPUTED_VALUE"""),16.91)</f>
        <v>16.91</v>
      </c>
      <c r="O1169" s="112">
        <f ca="1">IFERROR(__xludf.DUMMYFUNCTION("""COMPUTED_VALUE"""),41974.7055555555)</f>
        <v>41974.705555555498</v>
      </c>
      <c r="P1169" s="111">
        <f ca="1">IFERROR(__xludf.DUMMYFUNCTION("""COMPUTED_VALUE"""),22.13)</f>
        <v>22.13</v>
      </c>
      <c r="Q1169" s="112">
        <f ca="1">IFERROR(__xludf.DUMMYFUNCTION("""COMPUTED_VALUE"""),41970.7055555555)</f>
        <v>41970.705555555498</v>
      </c>
      <c r="R1169" s="111">
        <f ca="1">IFERROR(__xludf.DUMMYFUNCTION("""COMPUTED_VALUE"""),29.14)</f>
        <v>29.14</v>
      </c>
      <c r="S1169" s="112">
        <f ca="1">IFERROR(__xludf.DUMMYFUNCTION("""COMPUTED_VALUE"""),41983.7055555555)</f>
        <v>41983.705555555498</v>
      </c>
      <c r="T1169" s="111">
        <f ca="1">IFERROR(__xludf.DUMMYFUNCTION("""COMPUTED_VALUE"""),11.31)</f>
        <v>11.31</v>
      </c>
    </row>
    <row r="1170" spans="1:20" x14ac:dyDescent="0.3">
      <c r="A1170" s="112">
        <f ca="1">IFERROR(__xludf.DUMMYFUNCTION("""COMPUTED_VALUE"""),41981.7055555555)</f>
        <v>41981.705555555498</v>
      </c>
      <c r="B1170" s="111">
        <f ca="1">IFERROR(__xludf.DUMMYFUNCTION("""COMPUTED_VALUE"""),5.54)</f>
        <v>5.54</v>
      </c>
      <c r="C1170" s="112">
        <f ca="1">IFERROR(__xludf.DUMMYFUNCTION("""COMPUTED_VALUE"""),41988.7055555555)</f>
        <v>41988.705555555498</v>
      </c>
      <c r="D1170" s="111">
        <f ca="1">IFERROR(__xludf.DUMMYFUNCTION("""COMPUTED_VALUE"""),20.12)</f>
        <v>20.12</v>
      </c>
      <c r="E1170" s="112">
        <f ca="1">IFERROR(__xludf.DUMMYFUNCTION("""COMPUTED_VALUE"""),41989.7055555555)</f>
        <v>41989.705555555498</v>
      </c>
      <c r="F1170" s="111">
        <f ca="1">IFERROR(__xludf.DUMMYFUNCTION("""COMPUTED_VALUE"""),7.03)</f>
        <v>7.03</v>
      </c>
      <c r="G1170" s="112">
        <f ca="1">IFERROR(__xludf.DUMMYFUNCTION("""COMPUTED_VALUE"""),41982.7055555555)</f>
        <v>41982.705555555498</v>
      </c>
      <c r="H1170" s="111">
        <f ca="1">IFERROR(__xludf.DUMMYFUNCTION("""COMPUTED_VALUE"""),11.42)</f>
        <v>11.42</v>
      </c>
      <c r="K1170" s="112">
        <f ca="1">IFERROR(__xludf.DUMMYFUNCTION("""COMPUTED_VALUE"""),42440.7055555555)</f>
        <v>42440.705555555498</v>
      </c>
      <c r="L1170" s="111">
        <f ca="1">IFERROR(__xludf.DUMMYFUNCTION("""COMPUTED_VALUE"""),0.11)</f>
        <v>0.11</v>
      </c>
      <c r="M1170" s="112">
        <f ca="1">IFERROR(__xludf.DUMMYFUNCTION("""COMPUTED_VALUE"""),41899.7055555555)</f>
        <v>41899.705555555498</v>
      </c>
      <c r="N1170" s="111">
        <f ca="1">IFERROR(__xludf.DUMMYFUNCTION("""COMPUTED_VALUE"""),17)</f>
        <v>17</v>
      </c>
      <c r="O1170" s="112">
        <f ca="1">IFERROR(__xludf.DUMMYFUNCTION("""COMPUTED_VALUE"""),41975.7055555555)</f>
        <v>41975.705555555498</v>
      </c>
      <c r="P1170" s="111">
        <f ca="1">IFERROR(__xludf.DUMMYFUNCTION("""COMPUTED_VALUE"""),21.47)</f>
        <v>21.47</v>
      </c>
      <c r="Q1170" s="112">
        <f ca="1">IFERROR(__xludf.DUMMYFUNCTION("""COMPUTED_VALUE"""),41971.7055555555)</f>
        <v>41971.705555555498</v>
      </c>
      <c r="R1170" s="111">
        <f ca="1">IFERROR(__xludf.DUMMYFUNCTION("""COMPUTED_VALUE"""),29.7)</f>
        <v>29.7</v>
      </c>
      <c r="S1170" s="112">
        <f ca="1">IFERROR(__xludf.DUMMYFUNCTION("""COMPUTED_VALUE"""),41984.7055555555)</f>
        <v>41984.705555555498</v>
      </c>
      <c r="T1170" s="111">
        <f ca="1">IFERROR(__xludf.DUMMYFUNCTION("""COMPUTED_VALUE"""),11.16)</f>
        <v>11.16</v>
      </c>
    </row>
    <row r="1171" spans="1:20" x14ac:dyDescent="0.3">
      <c r="A1171" s="112">
        <f ca="1">IFERROR(__xludf.DUMMYFUNCTION("""COMPUTED_VALUE"""),41982.7055555555)</f>
        <v>41982.705555555498</v>
      </c>
      <c r="B1171" s="111">
        <f ca="1">IFERROR(__xludf.DUMMYFUNCTION("""COMPUTED_VALUE"""),5.49)</f>
        <v>5.49</v>
      </c>
      <c r="C1171" s="112">
        <f ca="1">IFERROR(__xludf.DUMMYFUNCTION("""COMPUTED_VALUE"""),41989.7055555555)</f>
        <v>41989.705555555498</v>
      </c>
      <c r="D1171" s="111">
        <f ca="1">IFERROR(__xludf.DUMMYFUNCTION("""COMPUTED_VALUE"""),19.94)</f>
        <v>19.940000000000001</v>
      </c>
      <c r="E1171" s="112">
        <f ca="1">IFERROR(__xludf.DUMMYFUNCTION("""COMPUTED_VALUE"""),41990.7055555555)</f>
        <v>41990.705555555498</v>
      </c>
      <c r="F1171" s="111">
        <f ca="1">IFERROR(__xludf.DUMMYFUNCTION("""COMPUTED_VALUE"""),7.36)</f>
        <v>7.36</v>
      </c>
      <c r="G1171" s="112">
        <f ca="1">IFERROR(__xludf.DUMMYFUNCTION("""COMPUTED_VALUE"""),41983.7055555555)</f>
        <v>41983.705555555498</v>
      </c>
      <c r="H1171" s="111">
        <f ca="1">IFERROR(__xludf.DUMMYFUNCTION("""COMPUTED_VALUE"""),10.88)</f>
        <v>10.88</v>
      </c>
      <c r="K1171" s="112">
        <f ca="1">IFERROR(__xludf.DUMMYFUNCTION("""COMPUTED_VALUE"""),42443.7055555555)</f>
        <v>42443.705555555498</v>
      </c>
      <c r="L1171" s="111">
        <f ca="1">IFERROR(__xludf.DUMMYFUNCTION("""COMPUTED_VALUE"""),0.11)</f>
        <v>0.11</v>
      </c>
      <c r="M1171" s="112">
        <f ca="1">IFERROR(__xludf.DUMMYFUNCTION("""COMPUTED_VALUE"""),41900.7055555555)</f>
        <v>41900.705555555498</v>
      </c>
      <c r="N1171" s="111">
        <f ca="1">IFERROR(__xludf.DUMMYFUNCTION("""COMPUTED_VALUE"""),16.77)</f>
        <v>16.77</v>
      </c>
      <c r="O1171" s="112">
        <f ca="1">IFERROR(__xludf.DUMMYFUNCTION("""COMPUTED_VALUE"""),41976.7055555555)</f>
        <v>41976.705555555498</v>
      </c>
      <c r="P1171" s="111">
        <f ca="1">IFERROR(__xludf.DUMMYFUNCTION("""COMPUTED_VALUE"""),21.86)</f>
        <v>21.86</v>
      </c>
      <c r="Q1171" s="112">
        <f ca="1">IFERROR(__xludf.DUMMYFUNCTION("""COMPUTED_VALUE"""),41974.7055555555)</f>
        <v>41974.705555555498</v>
      </c>
      <c r="R1171" s="111">
        <f ca="1">IFERROR(__xludf.DUMMYFUNCTION("""COMPUTED_VALUE"""),27.53)</f>
        <v>27.53</v>
      </c>
      <c r="S1171" s="112">
        <f ca="1">IFERROR(__xludf.DUMMYFUNCTION("""COMPUTED_VALUE"""),41985.7055555555)</f>
        <v>41985.705555555498</v>
      </c>
      <c r="T1171" s="111">
        <f ca="1">IFERROR(__xludf.DUMMYFUNCTION("""COMPUTED_VALUE"""),11.03)</f>
        <v>11.03</v>
      </c>
    </row>
    <row r="1172" spans="1:20" x14ac:dyDescent="0.3">
      <c r="A1172" s="112">
        <f ca="1">IFERROR(__xludf.DUMMYFUNCTION("""COMPUTED_VALUE"""),41983.7055555555)</f>
        <v>41983.705555555498</v>
      </c>
      <c r="B1172" s="111">
        <f ca="1">IFERROR(__xludf.DUMMYFUNCTION("""COMPUTED_VALUE"""),5.23)</f>
        <v>5.23</v>
      </c>
      <c r="C1172" s="112">
        <f ca="1">IFERROR(__xludf.DUMMYFUNCTION("""COMPUTED_VALUE"""),41990.7055555555)</f>
        <v>41990.705555555498</v>
      </c>
      <c r="D1172" s="111">
        <f ca="1">IFERROR(__xludf.DUMMYFUNCTION("""COMPUTED_VALUE"""),20.68)</f>
        <v>20.68</v>
      </c>
      <c r="E1172" s="112">
        <f ca="1">IFERROR(__xludf.DUMMYFUNCTION("""COMPUTED_VALUE"""),41991.7055555555)</f>
        <v>41991.705555555498</v>
      </c>
      <c r="F1172" s="111">
        <f ca="1">IFERROR(__xludf.DUMMYFUNCTION("""COMPUTED_VALUE"""),7.38)</f>
        <v>7.38</v>
      </c>
      <c r="G1172" s="112">
        <f ca="1">IFERROR(__xludf.DUMMYFUNCTION("""COMPUTED_VALUE"""),41984.7055555555)</f>
        <v>41984.705555555498</v>
      </c>
      <c r="H1172" s="111">
        <f ca="1">IFERROR(__xludf.DUMMYFUNCTION("""COMPUTED_VALUE"""),10.63)</f>
        <v>10.63</v>
      </c>
      <c r="K1172" s="112">
        <f ca="1">IFERROR(__xludf.DUMMYFUNCTION("""COMPUTED_VALUE"""),42444.7055555555)</f>
        <v>42444.705555555498</v>
      </c>
      <c r="L1172" s="111">
        <f ca="1">IFERROR(__xludf.DUMMYFUNCTION("""COMPUTED_VALUE"""),0.11)</f>
        <v>0.11</v>
      </c>
      <c r="M1172" s="112">
        <f ca="1">IFERROR(__xludf.DUMMYFUNCTION("""COMPUTED_VALUE"""),41901.7055555555)</f>
        <v>41901.705555555498</v>
      </c>
      <c r="N1172" s="111">
        <f ca="1">IFERROR(__xludf.DUMMYFUNCTION("""COMPUTED_VALUE"""),16.38)</f>
        <v>16.38</v>
      </c>
      <c r="O1172" s="112">
        <f ca="1">IFERROR(__xludf.DUMMYFUNCTION("""COMPUTED_VALUE"""),41977.7055555555)</f>
        <v>41977.705555555498</v>
      </c>
      <c r="P1172" s="111">
        <f ca="1">IFERROR(__xludf.DUMMYFUNCTION("""COMPUTED_VALUE"""),21.6)</f>
        <v>21.6</v>
      </c>
      <c r="Q1172" s="112">
        <f ca="1">IFERROR(__xludf.DUMMYFUNCTION("""COMPUTED_VALUE"""),41975.7055555555)</f>
        <v>41975.705555555498</v>
      </c>
      <c r="R1172" s="111">
        <f ca="1">IFERROR(__xludf.DUMMYFUNCTION("""COMPUTED_VALUE"""),26.96)</f>
        <v>26.96</v>
      </c>
      <c r="S1172" s="112">
        <f ca="1">IFERROR(__xludf.DUMMYFUNCTION("""COMPUTED_VALUE"""),41988.7055555555)</f>
        <v>41988.705555555498</v>
      </c>
      <c r="T1172" s="111">
        <f ca="1">IFERROR(__xludf.DUMMYFUNCTION("""COMPUTED_VALUE"""),10.75)</f>
        <v>10.75</v>
      </c>
    </row>
    <row r="1173" spans="1:20" x14ac:dyDescent="0.3">
      <c r="A1173" s="112">
        <f ca="1">IFERROR(__xludf.DUMMYFUNCTION("""COMPUTED_VALUE"""),41984.7055555555)</f>
        <v>41984.705555555498</v>
      </c>
      <c r="B1173" s="111">
        <f ca="1">IFERROR(__xludf.DUMMYFUNCTION("""COMPUTED_VALUE"""),5.19)</f>
        <v>5.19</v>
      </c>
      <c r="C1173" s="112">
        <f ca="1">IFERROR(__xludf.DUMMYFUNCTION("""COMPUTED_VALUE"""),41991.7055555555)</f>
        <v>41991.705555555498</v>
      </c>
      <c r="D1173" s="111">
        <f ca="1">IFERROR(__xludf.DUMMYFUNCTION("""COMPUTED_VALUE"""),20.62)</f>
        <v>20.62</v>
      </c>
      <c r="E1173" s="112">
        <f ca="1">IFERROR(__xludf.DUMMYFUNCTION("""COMPUTED_VALUE"""),41992.7055555555)</f>
        <v>41992.705555555498</v>
      </c>
      <c r="F1173" s="111">
        <f ca="1">IFERROR(__xludf.DUMMYFUNCTION("""COMPUTED_VALUE"""),7.57)</f>
        <v>7.57</v>
      </c>
      <c r="G1173" s="112">
        <f ca="1">IFERROR(__xludf.DUMMYFUNCTION("""COMPUTED_VALUE"""),41985.7055555555)</f>
        <v>41985.705555555498</v>
      </c>
      <c r="H1173" s="111">
        <f ca="1">IFERROR(__xludf.DUMMYFUNCTION("""COMPUTED_VALUE"""),10.19)</f>
        <v>10.19</v>
      </c>
      <c r="K1173" s="112">
        <f ca="1">IFERROR(__xludf.DUMMYFUNCTION("""COMPUTED_VALUE"""),42445.7055555555)</f>
        <v>42445.705555555498</v>
      </c>
      <c r="L1173" s="111">
        <f ca="1">IFERROR(__xludf.DUMMYFUNCTION("""COMPUTED_VALUE"""),0.11)</f>
        <v>0.11</v>
      </c>
      <c r="M1173" s="112">
        <f ca="1">IFERROR(__xludf.DUMMYFUNCTION("""COMPUTED_VALUE"""),41904.7055555555)</f>
        <v>41904.705555555498</v>
      </c>
      <c r="N1173" s="111">
        <f ca="1">IFERROR(__xludf.DUMMYFUNCTION("""COMPUTED_VALUE"""),16.25)</f>
        <v>16.25</v>
      </c>
      <c r="O1173" s="112">
        <f ca="1">IFERROR(__xludf.DUMMYFUNCTION("""COMPUTED_VALUE"""),41978.7055555555)</f>
        <v>41978.705555555498</v>
      </c>
      <c r="P1173" s="111">
        <f ca="1">IFERROR(__xludf.DUMMYFUNCTION("""COMPUTED_VALUE"""),21.72)</f>
        <v>21.72</v>
      </c>
      <c r="Q1173" s="112">
        <f ca="1">IFERROR(__xludf.DUMMYFUNCTION("""COMPUTED_VALUE"""),41976.7055555555)</f>
        <v>41976.705555555498</v>
      </c>
      <c r="R1173" s="111">
        <f ca="1">IFERROR(__xludf.DUMMYFUNCTION("""COMPUTED_VALUE"""),26.95)</f>
        <v>26.95</v>
      </c>
      <c r="S1173" s="112">
        <f ca="1">IFERROR(__xludf.DUMMYFUNCTION("""COMPUTED_VALUE"""),41989.7055555555)</f>
        <v>41989.705555555498</v>
      </c>
      <c r="T1173" s="111">
        <f ca="1">IFERROR(__xludf.DUMMYFUNCTION("""COMPUTED_VALUE"""),10.7)</f>
        <v>10.7</v>
      </c>
    </row>
    <row r="1174" spans="1:20" x14ac:dyDescent="0.3">
      <c r="A1174" s="112">
        <f ca="1">IFERROR(__xludf.DUMMYFUNCTION("""COMPUTED_VALUE"""),41985.7055555555)</f>
        <v>41985.705555555498</v>
      </c>
      <c r="B1174" s="111">
        <f ca="1">IFERROR(__xludf.DUMMYFUNCTION("""COMPUTED_VALUE"""),5.3)</f>
        <v>5.3</v>
      </c>
      <c r="C1174" s="112">
        <f ca="1">IFERROR(__xludf.DUMMYFUNCTION("""COMPUTED_VALUE"""),41992.7055555555)</f>
        <v>41992.705555555498</v>
      </c>
      <c r="D1174" s="111">
        <f ca="1">IFERROR(__xludf.DUMMYFUNCTION("""COMPUTED_VALUE"""),21.1)</f>
        <v>21.1</v>
      </c>
      <c r="E1174" s="112">
        <f ca="1">IFERROR(__xludf.DUMMYFUNCTION("""COMPUTED_VALUE"""),41995.7055555555)</f>
        <v>41995.705555555498</v>
      </c>
      <c r="F1174" s="111">
        <f ca="1">IFERROR(__xludf.DUMMYFUNCTION("""COMPUTED_VALUE"""),7.57)</f>
        <v>7.57</v>
      </c>
      <c r="G1174" s="112">
        <f ca="1">IFERROR(__xludf.DUMMYFUNCTION("""COMPUTED_VALUE"""),41988.7055555555)</f>
        <v>41988.705555555498</v>
      </c>
      <c r="H1174" s="111">
        <f ca="1">IFERROR(__xludf.DUMMYFUNCTION("""COMPUTED_VALUE"""),9.06)</f>
        <v>9.06</v>
      </c>
      <c r="K1174" s="112">
        <f ca="1">IFERROR(__xludf.DUMMYFUNCTION("""COMPUTED_VALUE"""),42446.7055555555)</f>
        <v>42446.705555555498</v>
      </c>
      <c r="L1174" s="111">
        <f ca="1">IFERROR(__xludf.DUMMYFUNCTION("""COMPUTED_VALUE"""),0.11)</f>
        <v>0.11</v>
      </c>
      <c r="M1174" s="112">
        <f ca="1">IFERROR(__xludf.DUMMYFUNCTION("""COMPUTED_VALUE"""),41905.7055555555)</f>
        <v>41905.705555555498</v>
      </c>
      <c r="N1174" s="111">
        <f ca="1">IFERROR(__xludf.DUMMYFUNCTION("""COMPUTED_VALUE"""),16.12)</f>
        <v>16.12</v>
      </c>
      <c r="O1174" s="112">
        <f ca="1">IFERROR(__xludf.DUMMYFUNCTION("""COMPUTED_VALUE"""),41981.7055555555)</f>
        <v>41981.705555555498</v>
      </c>
      <c r="P1174" s="111">
        <f ca="1">IFERROR(__xludf.DUMMYFUNCTION("""COMPUTED_VALUE"""),21.06)</f>
        <v>21.06</v>
      </c>
      <c r="Q1174" s="112">
        <f ca="1">IFERROR(__xludf.DUMMYFUNCTION("""COMPUTED_VALUE"""),41977.7055555555)</f>
        <v>41977.705555555498</v>
      </c>
      <c r="R1174" s="111">
        <f ca="1">IFERROR(__xludf.DUMMYFUNCTION("""COMPUTED_VALUE"""),26.6)</f>
        <v>26.6</v>
      </c>
      <c r="S1174" s="112">
        <f ca="1">IFERROR(__xludf.DUMMYFUNCTION("""COMPUTED_VALUE"""),41990.7055555555)</f>
        <v>41990.705555555498</v>
      </c>
      <c r="T1174" s="111">
        <f ca="1">IFERROR(__xludf.DUMMYFUNCTION("""COMPUTED_VALUE"""),11.17)</f>
        <v>11.17</v>
      </c>
    </row>
    <row r="1175" spans="1:20" x14ac:dyDescent="0.3">
      <c r="A1175" s="112">
        <f ca="1">IFERROR(__xludf.DUMMYFUNCTION("""COMPUTED_VALUE"""),41988.7055555555)</f>
        <v>41988.705555555498</v>
      </c>
      <c r="B1175" s="111">
        <f ca="1">IFERROR(__xludf.DUMMYFUNCTION("""COMPUTED_VALUE"""),5.34)</f>
        <v>5.34</v>
      </c>
      <c r="C1175" s="112">
        <f ca="1">IFERROR(__xludf.DUMMYFUNCTION("""COMPUTED_VALUE"""),41995.7055555555)</f>
        <v>41995.705555555498</v>
      </c>
      <c r="D1175" s="111">
        <f ca="1">IFERROR(__xludf.DUMMYFUNCTION("""COMPUTED_VALUE"""),21.24)</f>
        <v>21.24</v>
      </c>
      <c r="E1175" s="112">
        <f ca="1">IFERROR(__xludf.DUMMYFUNCTION("""COMPUTED_VALUE"""),41996.7055555555)</f>
        <v>41996.705555555498</v>
      </c>
      <c r="F1175" s="111">
        <f ca="1">IFERROR(__xludf.DUMMYFUNCTION("""COMPUTED_VALUE"""),7.5)</f>
        <v>7.5</v>
      </c>
      <c r="G1175" s="112">
        <f ca="1">IFERROR(__xludf.DUMMYFUNCTION("""COMPUTED_VALUE"""),41989.7055555555)</f>
        <v>41989.705555555498</v>
      </c>
      <c r="H1175" s="111">
        <f ca="1">IFERROR(__xludf.DUMMYFUNCTION("""COMPUTED_VALUE"""),9.37)</f>
        <v>9.3699999999999992</v>
      </c>
      <c r="K1175" s="112">
        <f ca="1">IFERROR(__xludf.DUMMYFUNCTION("""COMPUTED_VALUE"""),42447.7055555555)</f>
        <v>42447.705555555498</v>
      </c>
      <c r="L1175" s="111">
        <f ca="1">IFERROR(__xludf.DUMMYFUNCTION("""COMPUTED_VALUE"""),0.11)</f>
        <v>0.11</v>
      </c>
      <c r="M1175" s="112">
        <f ca="1">IFERROR(__xludf.DUMMYFUNCTION("""COMPUTED_VALUE"""),41906.7055555555)</f>
        <v>41906.705555555498</v>
      </c>
      <c r="N1175" s="111">
        <f ca="1">IFERROR(__xludf.DUMMYFUNCTION("""COMPUTED_VALUE"""),16.25)</f>
        <v>16.25</v>
      </c>
      <c r="O1175" s="112">
        <f ca="1">IFERROR(__xludf.DUMMYFUNCTION("""COMPUTED_VALUE"""),41982.7055555555)</f>
        <v>41982.705555555498</v>
      </c>
      <c r="P1175" s="111">
        <f ca="1">IFERROR(__xludf.DUMMYFUNCTION("""COMPUTED_VALUE"""),20.68)</f>
        <v>20.68</v>
      </c>
      <c r="Q1175" s="112">
        <f ca="1">IFERROR(__xludf.DUMMYFUNCTION("""COMPUTED_VALUE"""),41978.7055555555)</f>
        <v>41978.705555555498</v>
      </c>
      <c r="R1175" s="111">
        <f ca="1">IFERROR(__xludf.DUMMYFUNCTION("""COMPUTED_VALUE"""),27.21)</f>
        <v>27.21</v>
      </c>
      <c r="S1175" s="112">
        <f ca="1">IFERROR(__xludf.DUMMYFUNCTION("""COMPUTED_VALUE"""),41991.7055555555)</f>
        <v>41991.705555555498</v>
      </c>
      <c r="T1175" s="111">
        <f ca="1">IFERROR(__xludf.DUMMYFUNCTION("""COMPUTED_VALUE"""),11.05)</f>
        <v>11.05</v>
      </c>
    </row>
    <row r="1176" spans="1:20" x14ac:dyDescent="0.3">
      <c r="A1176" s="112">
        <f ca="1">IFERROR(__xludf.DUMMYFUNCTION("""COMPUTED_VALUE"""),41989.7055555555)</f>
        <v>41989.705555555498</v>
      </c>
      <c r="B1176" s="111">
        <f ca="1">IFERROR(__xludf.DUMMYFUNCTION("""COMPUTED_VALUE"""),5.09)</f>
        <v>5.09</v>
      </c>
      <c r="C1176" s="112">
        <f ca="1">IFERROR(__xludf.DUMMYFUNCTION("""COMPUTED_VALUE"""),41996.7055555555)</f>
        <v>41996.705555555498</v>
      </c>
      <c r="D1176" s="111">
        <f ca="1">IFERROR(__xludf.DUMMYFUNCTION("""COMPUTED_VALUE"""),21.15)</f>
        <v>21.15</v>
      </c>
      <c r="E1176" s="112">
        <f ca="1">IFERROR(__xludf.DUMMYFUNCTION("""COMPUTED_VALUE"""),41999.7055555555)</f>
        <v>41999.705555555498</v>
      </c>
      <c r="F1176" s="111">
        <f ca="1">IFERROR(__xludf.DUMMYFUNCTION("""COMPUTED_VALUE"""),7.45)</f>
        <v>7.45</v>
      </c>
      <c r="G1176" s="112">
        <f ca="1">IFERROR(__xludf.DUMMYFUNCTION("""COMPUTED_VALUE"""),41990.7055555555)</f>
        <v>41990.705555555498</v>
      </c>
      <c r="H1176" s="111">
        <f ca="1">IFERROR(__xludf.DUMMYFUNCTION("""COMPUTED_VALUE"""),9.47)</f>
        <v>9.4700000000000006</v>
      </c>
      <c r="K1176" s="112">
        <f ca="1">IFERROR(__xludf.DUMMYFUNCTION("""COMPUTED_VALUE"""),42450.7055555555)</f>
        <v>42450.705555555498</v>
      </c>
      <c r="L1176" s="111">
        <f ca="1">IFERROR(__xludf.DUMMYFUNCTION("""COMPUTED_VALUE"""),0.12)</f>
        <v>0.12</v>
      </c>
      <c r="M1176" s="112">
        <f ca="1">IFERROR(__xludf.DUMMYFUNCTION("""COMPUTED_VALUE"""),41907.7055555555)</f>
        <v>41907.705555555498</v>
      </c>
      <c r="N1176" s="111">
        <f ca="1">IFERROR(__xludf.DUMMYFUNCTION("""COMPUTED_VALUE"""),15.85)</f>
        <v>15.85</v>
      </c>
      <c r="O1176" s="112">
        <f ca="1">IFERROR(__xludf.DUMMYFUNCTION("""COMPUTED_VALUE"""),41983.7055555555)</f>
        <v>41983.705555555498</v>
      </c>
      <c r="P1176" s="111">
        <f ca="1">IFERROR(__xludf.DUMMYFUNCTION("""COMPUTED_VALUE"""),19.95)</f>
        <v>19.95</v>
      </c>
      <c r="Q1176" s="112">
        <f ca="1">IFERROR(__xludf.DUMMYFUNCTION("""COMPUTED_VALUE"""),41981.7055555555)</f>
        <v>41981.705555555498</v>
      </c>
      <c r="R1176" s="111">
        <f ca="1">IFERROR(__xludf.DUMMYFUNCTION("""COMPUTED_VALUE"""),25.9)</f>
        <v>25.9</v>
      </c>
      <c r="S1176" s="112">
        <f ca="1">IFERROR(__xludf.DUMMYFUNCTION("""COMPUTED_VALUE"""),41992.7055555555)</f>
        <v>41992.705555555498</v>
      </c>
      <c r="T1176" s="111">
        <f ca="1">IFERROR(__xludf.DUMMYFUNCTION("""COMPUTED_VALUE"""),11.29)</f>
        <v>11.29</v>
      </c>
    </row>
    <row r="1177" spans="1:20" x14ac:dyDescent="0.3">
      <c r="A1177" s="112">
        <f ca="1">IFERROR(__xludf.DUMMYFUNCTION("""COMPUTED_VALUE"""),41990.7055555555)</f>
        <v>41990.705555555498</v>
      </c>
      <c r="B1177" s="111">
        <f ca="1">IFERROR(__xludf.DUMMYFUNCTION("""COMPUTED_VALUE"""),5.46)</f>
        <v>5.46</v>
      </c>
      <c r="C1177" s="112">
        <f ca="1">IFERROR(__xludf.DUMMYFUNCTION("""COMPUTED_VALUE"""),41999.7055555555)</f>
        <v>41999.705555555498</v>
      </c>
      <c r="D1177" s="111">
        <f ca="1">IFERROR(__xludf.DUMMYFUNCTION("""COMPUTED_VALUE"""),21)</f>
        <v>21</v>
      </c>
      <c r="E1177" s="112">
        <f ca="1">IFERROR(__xludf.DUMMYFUNCTION("""COMPUTED_VALUE"""),42002.7055555555)</f>
        <v>42002.705555555498</v>
      </c>
      <c r="F1177" s="111">
        <f ca="1">IFERROR(__xludf.DUMMYFUNCTION("""COMPUTED_VALUE"""),7.47)</f>
        <v>7.47</v>
      </c>
      <c r="G1177" s="112">
        <f ca="1">IFERROR(__xludf.DUMMYFUNCTION("""COMPUTED_VALUE"""),41991.7055555555)</f>
        <v>41991.705555555498</v>
      </c>
      <c r="H1177" s="111">
        <f ca="1">IFERROR(__xludf.DUMMYFUNCTION("""COMPUTED_VALUE"""),9.57)</f>
        <v>9.57</v>
      </c>
      <c r="K1177" s="112">
        <f ca="1">IFERROR(__xludf.DUMMYFUNCTION("""COMPUTED_VALUE"""),42451.7055555555)</f>
        <v>42451.705555555498</v>
      </c>
      <c r="L1177" s="111">
        <f ca="1">IFERROR(__xludf.DUMMYFUNCTION("""COMPUTED_VALUE"""),0.12)</f>
        <v>0.12</v>
      </c>
      <c r="M1177" s="112">
        <f ca="1">IFERROR(__xludf.DUMMYFUNCTION("""COMPUTED_VALUE"""),41908.7055555555)</f>
        <v>41908.705555555498</v>
      </c>
      <c r="N1177" s="111">
        <f ca="1">IFERROR(__xludf.DUMMYFUNCTION("""COMPUTED_VALUE"""),16.55)</f>
        <v>16.55</v>
      </c>
      <c r="O1177" s="112">
        <f ca="1">IFERROR(__xludf.DUMMYFUNCTION("""COMPUTED_VALUE"""),41984.7055555555)</f>
        <v>41984.705555555498</v>
      </c>
      <c r="P1177" s="111">
        <f ca="1">IFERROR(__xludf.DUMMYFUNCTION("""COMPUTED_VALUE"""),19.27)</f>
        <v>19.27</v>
      </c>
      <c r="Q1177" s="112">
        <f ca="1">IFERROR(__xludf.DUMMYFUNCTION("""COMPUTED_VALUE"""),41982.7055555555)</f>
        <v>41982.705555555498</v>
      </c>
      <c r="R1177" s="111">
        <f ca="1">IFERROR(__xludf.DUMMYFUNCTION("""COMPUTED_VALUE"""),25.12)</f>
        <v>25.12</v>
      </c>
      <c r="S1177" s="112">
        <f ca="1">IFERROR(__xludf.DUMMYFUNCTION("""COMPUTED_VALUE"""),41995.7055555555)</f>
        <v>41995.705555555498</v>
      </c>
      <c r="T1177" s="111">
        <f ca="1">IFERROR(__xludf.DUMMYFUNCTION("""COMPUTED_VALUE"""),11.52)</f>
        <v>11.52</v>
      </c>
    </row>
    <row r="1178" spans="1:20" x14ac:dyDescent="0.3">
      <c r="A1178" s="112">
        <f ca="1">IFERROR(__xludf.DUMMYFUNCTION("""COMPUTED_VALUE"""),41991.7055555555)</f>
        <v>41991.705555555498</v>
      </c>
      <c r="B1178" s="111">
        <f ca="1">IFERROR(__xludf.DUMMYFUNCTION("""COMPUTED_VALUE"""),5.35)</f>
        <v>5.35</v>
      </c>
      <c r="C1178" s="112">
        <f ca="1">IFERROR(__xludf.DUMMYFUNCTION("""COMPUTED_VALUE"""),42002.7055555555)</f>
        <v>42002.705555555498</v>
      </c>
      <c r="D1178" s="111">
        <f ca="1">IFERROR(__xludf.DUMMYFUNCTION("""COMPUTED_VALUE"""),21.16)</f>
        <v>21.16</v>
      </c>
      <c r="E1178" s="112">
        <f ca="1">IFERROR(__xludf.DUMMYFUNCTION("""COMPUTED_VALUE"""),42003.7055555555)</f>
        <v>42003.705555555498</v>
      </c>
      <c r="F1178" s="111">
        <f ca="1">IFERROR(__xludf.DUMMYFUNCTION("""COMPUTED_VALUE"""),7.43)</f>
        <v>7.43</v>
      </c>
      <c r="G1178" s="112">
        <f ca="1">IFERROR(__xludf.DUMMYFUNCTION("""COMPUTED_VALUE"""),41992.7055555555)</f>
        <v>41992.705555555498</v>
      </c>
      <c r="H1178" s="111">
        <f ca="1">IFERROR(__xludf.DUMMYFUNCTION("""COMPUTED_VALUE"""),9.83)</f>
        <v>9.83</v>
      </c>
      <c r="K1178" s="112">
        <f ca="1">IFERROR(__xludf.DUMMYFUNCTION("""COMPUTED_VALUE"""),42452.7055555555)</f>
        <v>42452.705555555498</v>
      </c>
      <c r="L1178" s="111">
        <f ca="1">IFERROR(__xludf.DUMMYFUNCTION("""COMPUTED_VALUE"""),0.12)</f>
        <v>0.12</v>
      </c>
      <c r="M1178" s="112">
        <f ca="1">IFERROR(__xludf.DUMMYFUNCTION("""COMPUTED_VALUE"""),41911.7055555555)</f>
        <v>41911.705555555498</v>
      </c>
      <c r="N1178" s="111">
        <f ca="1">IFERROR(__xludf.DUMMYFUNCTION("""COMPUTED_VALUE"""),15.39)</f>
        <v>15.39</v>
      </c>
      <c r="O1178" s="112">
        <f ca="1">IFERROR(__xludf.DUMMYFUNCTION("""COMPUTED_VALUE"""),41985.7055555555)</f>
        <v>41985.705555555498</v>
      </c>
      <c r="P1178" s="111">
        <f ca="1">IFERROR(__xludf.DUMMYFUNCTION("""COMPUTED_VALUE"""),19.04)</f>
        <v>19.04</v>
      </c>
      <c r="Q1178" s="112">
        <f ca="1">IFERROR(__xludf.DUMMYFUNCTION("""COMPUTED_VALUE"""),41983.7055555555)</f>
        <v>41983.705555555498</v>
      </c>
      <c r="R1178" s="111">
        <f ca="1">IFERROR(__xludf.DUMMYFUNCTION("""COMPUTED_VALUE"""),23.9)</f>
        <v>23.9</v>
      </c>
      <c r="S1178" s="112">
        <f ca="1">IFERROR(__xludf.DUMMYFUNCTION("""COMPUTED_VALUE"""),41996.7055555555)</f>
        <v>41996.705555555498</v>
      </c>
      <c r="T1178" s="111">
        <f ca="1">IFERROR(__xludf.DUMMYFUNCTION("""COMPUTED_VALUE"""),11.36)</f>
        <v>11.36</v>
      </c>
    </row>
    <row r="1179" spans="1:20" x14ac:dyDescent="0.3">
      <c r="A1179" s="112">
        <f ca="1">IFERROR(__xludf.DUMMYFUNCTION("""COMPUTED_VALUE"""),41992.7055555555)</f>
        <v>41992.705555555498</v>
      </c>
      <c r="B1179" s="111">
        <f ca="1">IFERROR(__xludf.DUMMYFUNCTION("""COMPUTED_VALUE"""),5.52)</f>
        <v>5.52</v>
      </c>
      <c r="C1179" s="112">
        <f ca="1">IFERROR(__xludf.DUMMYFUNCTION("""COMPUTED_VALUE"""),42003.7055555555)</f>
        <v>42003.705555555498</v>
      </c>
      <c r="D1179" s="111">
        <f ca="1">IFERROR(__xludf.DUMMYFUNCTION("""COMPUTED_VALUE"""),20.97)</f>
        <v>20.97</v>
      </c>
      <c r="E1179" s="112">
        <f ca="1">IFERROR(__xludf.DUMMYFUNCTION("""COMPUTED_VALUE"""),42006.7055555555)</f>
        <v>42006.705555555498</v>
      </c>
      <c r="F1179" s="111">
        <f ca="1">IFERROR(__xludf.DUMMYFUNCTION("""COMPUTED_VALUE"""),7.23)</f>
        <v>7.23</v>
      </c>
      <c r="G1179" s="112">
        <f ca="1">IFERROR(__xludf.DUMMYFUNCTION("""COMPUTED_VALUE"""),41995.7055555555)</f>
        <v>41995.705555555498</v>
      </c>
      <c r="H1179" s="111">
        <f ca="1">IFERROR(__xludf.DUMMYFUNCTION("""COMPUTED_VALUE"""),10.37)</f>
        <v>10.37</v>
      </c>
      <c r="K1179" s="112">
        <f ca="1">IFERROR(__xludf.DUMMYFUNCTION("""COMPUTED_VALUE"""),42453.7055555555)</f>
        <v>42453.705555555498</v>
      </c>
      <c r="L1179" s="111">
        <f ca="1">IFERROR(__xludf.DUMMYFUNCTION("""COMPUTED_VALUE"""),0.12)</f>
        <v>0.12</v>
      </c>
      <c r="M1179" s="112">
        <f ca="1">IFERROR(__xludf.DUMMYFUNCTION("""COMPUTED_VALUE"""),41912.7055555555)</f>
        <v>41912.705555555498</v>
      </c>
      <c r="N1179" s="111">
        <f ca="1">IFERROR(__xludf.DUMMYFUNCTION("""COMPUTED_VALUE"""),15.03)</f>
        <v>15.03</v>
      </c>
      <c r="O1179" s="112">
        <f ca="1">IFERROR(__xludf.DUMMYFUNCTION("""COMPUTED_VALUE"""),41988.7055555555)</f>
        <v>41988.705555555498</v>
      </c>
      <c r="P1179" s="111">
        <f ca="1">IFERROR(__xludf.DUMMYFUNCTION("""COMPUTED_VALUE"""),18.61)</f>
        <v>18.61</v>
      </c>
      <c r="Q1179" s="112">
        <f ca="1">IFERROR(__xludf.DUMMYFUNCTION("""COMPUTED_VALUE"""),41984.7055555555)</f>
        <v>41984.705555555498</v>
      </c>
      <c r="R1179" s="111">
        <f ca="1">IFERROR(__xludf.DUMMYFUNCTION("""COMPUTED_VALUE"""),24.71)</f>
        <v>24.71</v>
      </c>
      <c r="S1179" s="112">
        <f ca="1">IFERROR(__xludf.DUMMYFUNCTION("""COMPUTED_VALUE"""),41999.7055555555)</f>
        <v>41999.705555555498</v>
      </c>
      <c r="T1179" s="111">
        <f ca="1">IFERROR(__xludf.DUMMYFUNCTION("""COMPUTED_VALUE"""),11.34)</f>
        <v>11.34</v>
      </c>
    </row>
    <row r="1180" spans="1:20" x14ac:dyDescent="0.3">
      <c r="A1180" s="112">
        <f ca="1">IFERROR(__xludf.DUMMYFUNCTION("""COMPUTED_VALUE"""),41995.7055555555)</f>
        <v>41995.705555555498</v>
      </c>
      <c r="B1180" s="111">
        <f ca="1">IFERROR(__xludf.DUMMYFUNCTION("""COMPUTED_VALUE"""),5.53)</f>
        <v>5.53</v>
      </c>
      <c r="C1180" s="112">
        <f ca="1">IFERROR(__xludf.DUMMYFUNCTION("""COMPUTED_VALUE"""),42006.7055555555)</f>
        <v>42006.705555555498</v>
      </c>
      <c r="D1180" s="111">
        <f ca="1">IFERROR(__xludf.DUMMYFUNCTION("""COMPUTED_VALUE"""),20.6)</f>
        <v>20.6</v>
      </c>
      <c r="E1180" s="112">
        <f ca="1">IFERROR(__xludf.DUMMYFUNCTION("""COMPUTED_VALUE"""),42009.7055555555)</f>
        <v>42009.705555555498</v>
      </c>
      <c r="F1180" s="111">
        <f ca="1">IFERROR(__xludf.DUMMYFUNCTION("""COMPUTED_VALUE"""),7.25)</f>
        <v>7.25</v>
      </c>
      <c r="G1180" s="112">
        <f ca="1">IFERROR(__xludf.DUMMYFUNCTION("""COMPUTED_VALUE"""),41996.7055555555)</f>
        <v>41996.705555555498</v>
      </c>
      <c r="H1180" s="111">
        <f ca="1">IFERROR(__xludf.DUMMYFUNCTION("""COMPUTED_VALUE"""),10.91)</f>
        <v>10.91</v>
      </c>
      <c r="K1180" s="112">
        <f ca="1">IFERROR(__xludf.DUMMYFUNCTION("""COMPUTED_VALUE"""),42457.7055555555)</f>
        <v>42457.705555555498</v>
      </c>
      <c r="L1180" s="111">
        <f ca="1">IFERROR(__xludf.DUMMYFUNCTION("""COMPUTED_VALUE"""),0.12)</f>
        <v>0.12</v>
      </c>
      <c r="M1180" s="112">
        <f ca="1">IFERROR(__xludf.DUMMYFUNCTION("""COMPUTED_VALUE"""),41913.7055555555)</f>
        <v>41913.705555555498</v>
      </c>
      <c r="N1180" s="111">
        <f ca="1">IFERROR(__xludf.DUMMYFUNCTION("""COMPUTED_VALUE"""),14.48)</f>
        <v>14.48</v>
      </c>
      <c r="O1180" s="112">
        <f ca="1">IFERROR(__xludf.DUMMYFUNCTION("""COMPUTED_VALUE"""),41989.7055555555)</f>
        <v>41989.705555555498</v>
      </c>
      <c r="P1180" s="111">
        <f ca="1">IFERROR(__xludf.DUMMYFUNCTION("""COMPUTED_VALUE"""),19.16)</f>
        <v>19.16</v>
      </c>
      <c r="Q1180" s="112">
        <f ca="1">IFERROR(__xludf.DUMMYFUNCTION("""COMPUTED_VALUE"""),41985.7055555555)</f>
        <v>41985.705555555498</v>
      </c>
      <c r="R1180" s="111">
        <f ca="1">IFERROR(__xludf.DUMMYFUNCTION("""COMPUTED_VALUE"""),23.38)</f>
        <v>23.38</v>
      </c>
      <c r="S1180" s="112">
        <f ca="1">IFERROR(__xludf.DUMMYFUNCTION("""COMPUTED_VALUE"""),42002.7055555555)</f>
        <v>42002.705555555498</v>
      </c>
      <c r="T1180" s="111">
        <f ca="1">IFERROR(__xludf.DUMMYFUNCTION("""COMPUTED_VALUE"""),11.41)</f>
        <v>11.41</v>
      </c>
    </row>
    <row r="1181" spans="1:20" x14ac:dyDescent="0.3">
      <c r="A1181" s="112">
        <f ca="1">IFERROR(__xludf.DUMMYFUNCTION("""COMPUTED_VALUE"""),41996.7055555555)</f>
        <v>41996.705555555498</v>
      </c>
      <c r="B1181" s="111">
        <f ca="1">IFERROR(__xludf.DUMMYFUNCTION("""COMPUTED_VALUE"""),5.52)</f>
        <v>5.52</v>
      </c>
      <c r="C1181" s="112">
        <f ca="1">IFERROR(__xludf.DUMMYFUNCTION("""COMPUTED_VALUE"""),42009.7055555555)</f>
        <v>42009.705555555498</v>
      </c>
      <c r="D1181" s="111">
        <f ca="1">IFERROR(__xludf.DUMMYFUNCTION("""COMPUTED_VALUE"""),20.55)</f>
        <v>20.55</v>
      </c>
      <c r="E1181" s="112">
        <f ca="1">IFERROR(__xludf.DUMMYFUNCTION("""COMPUTED_VALUE"""),42010.7055555555)</f>
        <v>42010.705555555498</v>
      </c>
      <c r="F1181" s="111">
        <f ca="1">IFERROR(__xludf.DUMMYFUNCTION("""COMPUTED_VALUE"""),7.34)</f>
        <v>7.34</v>
      </c>
      <c r="G1181" s="112">
        <f ca="1">IFERROR(__xludf.DUMMYFUNCTION("""COMPUTED_VALUE"""),41999.7055555555)</f>
        <v>41999.705555555498</v>
      </c>
      <c r="H1181" s="111">
        <f ca="1">IFERROR(__xludf.DUMMYFUNCTION("""COMPUTED_VALUE"""),10.32)</f>
        <v>10.32</v>
      </c>
      <c r="K1181" s="112">
        <f ca="1">IFERROR(__xludf.DUMMYFUNCTION("""COMPUTED_VALUE"""),42458.7055555555)</f>
        <v>42458.705555555498</v>
      </c>
      <c r="L1181" s="111">
        <f ca="1">IFERROR(__xludf.DUMMYFUNCTION("""COMPUTED_VALUE"""),0.12)</f>
        <v>0.12</v>
      </c>
      <c r="M1181" s="112">
        <f ca="1">IFERROR(__xludf.DUMMYFUNCTION("""COMPUTED_VALUE"""),41914.7055555555)</f>
        <v>41914.705555555498</v>
      </c>
      <c r="N1181" s="111">
        <f ca="1">IFERROR(__xludf.DUMMYFUNCTION("""COMPUTED_VALUE"""),14.93)</f>
        <v>14.93</v>
      </c>
      <c r="O1181" s="112">
        <f ca="1">IFERROR(__xludf.DUMMYFUNCTION("""COMPUTED_VALUE"""),41990.7055555555)</f>
        <v>41990.705555555498</v>
      </c>
      <c r="P1181" s="111">
        <f ca="1">IFERROR(__xludf.DUMMYFUNCTION("""COMPUTED_VALUE"""),19.52)</f>
        <v>19.52</v>
      </c>
      <c r="Q1181" s="112">
        <f ca="1">IFERROR(__xludf.DUMMYFUNCTION("""COMPUTED_VALUE"""),41988.7055555555)</f>
        <v>41988.705555555498</v>
      </c>
      <c r="R1181" s="111">
        <f ca="1">IFERROR(__xludf.DUMMYFUNCTION("""COMPUTED_VALUE"""),22.1)</f>
        <v>22.1</v>
      </c>
      <c r="S1181" s="112">
        <f ca="1">IFERROR(__xludf.DUMMYFUNCTION("""COMPUTED_VALUE"""),42003.7055555555)</f>
        <v>42003.705555555498</v>
      </c>
      <c r="T1181" s="111">
        <f ca="1">IFERROR(__xludf.DUMMYFUNCTION("""COMPUTED_VALUE"""),11.42)</f>
        <v>11.42</v>
      </c>
    </row>
    <row r="1182" spans="1:20" x14ac:dyDescent="0.3">
      <c r="A1182" s="112">
        <f ca="1">IFERROR(__xludf.DUMMYFUNCTION("""COMPUTED_VALUE"""),41999.7055555555)</f>
        <v>41999.705555555498</v>
      </c>
      <c r="B1182" s="111">
        <f ca="1">IFERROR(__xludf.DUMMYFUNCTION("""COMPUTED_VALUE"""),5.78)</f>
        <v>5.78</v>
      </c>
      <c r="C1182" s="112">
        <f ca="1">IFERROR(__xludf.DUMMYFUNCTION("""COMPUTED_VALUE"""),42010.7055555555)</f>
        <v>42010.705555555498</v>
      </c>
      <c r="D1182" s="111">
        <f ca="1">IFERROR(__xludf.DUMMYFUNCTION("""COMPUTED_VALUE"""),21.12)</f>
        <v>21.12</v>
      </c>
      <c r="E1182" s="112">
        <f ca="1">IFERROR(__xludf.DUMMYFUNCTION("""COMPUTED_VALUE"""),42011.7055555555)</f>
        <v>42011.705555555498</v>
      </c>
      <c r="F1182" s="111">
        <f ca="1">IFERROR(__xludf.DUMMYFUNCTION("""COMPUTED_VALUE"""),7.52)</f>
        <v>7.52</v>
      </c>
      <c r="G1182" s="112">
        <f ca="1">IFERROR(__xludf.DUMMYFUNCTION("""COMPUTED_VALUE"""),42002.7055555555)</f>
        <v>42002.705555555498</v>
      </c>
      <c r="H1182" s="111">
        <f ca="1">IFERROR(__xludf.DUMMYFUNCTION("""COMPUTED_VALUE"""),10.28)</f>
        <v>10.28</v>
      </c>
      <c r="K1182" s="112">
        <f ca="1">IFERROR(__xludf.DUMMYFUNCTION("""COMPUTED_VALUE"""),42459.7055555555)</f>
        <v>42459.705555555498</v>
      </c>
      <c r="L1182" s="111">
        <f ca="1">IFERROR(__xludf.DUMMYFUNCTION("""COMPUTED_VALUE"""),0.12)</f>
        <v>0.12</v>
      </c>
      <c r="M1182" s="112">
        <f ca="1">IFERROR(__xludf.DUMMYFUNCTION("""COMPUTED_VALUE"""),41915.7055555555)</f>
        <v>41915.705555555498</v>
      </c>
      <c r="N1182" s="111">
        <f ca="1">IFERROR(__xludf.DUMMYFUNCTION("""COMPUTED_VALUE"""),15.24)</f>
        <v>15.24</v>
      </c>
      <c r="O1182" s="112">
        <f ca="1">IFERROR(__xludf.DUMMYFUNCTION("""COMPUTED_VALUE"""),41991.7055555555)</f>
        <v>41991.705555555498</v>
      </c>
      <c r="P1182" s="111">
        <f ca="1">IFERROR(__xludf.DUMMYFUNCTION("""COMPUTED_VALUE"""),20.06)</f>
        <v>20.059999999999999</v>
      </c>
      <c r="Q1182" s="112">
        <f ca="1">IFERROR(__xludf.DUMMYFUNCTION("""COMPUTED_VALUE"""),41989.7055555555)</f>
        <v>41989.705555555498</v>
      </c>
      <c r="R1182" s="111">
        <f ca="1">IFERROR(__xludf.DUMMYFUNCTION("""COMPUTED_VALUE"""),21.45)</f>
        <v>21.45</v>
      </c>
      <c r="S1182" s="112">
        <f ca="1">IFERROR(__xludf.DUMMYFUNCTION("""COMPUTED_VALUE"""),42006.7055555555)</f>
        <v>42006.705555555498</v>
      </c>
      <c r="T1182" s="111">
        <f ca="1">IFERROR(__xludf.DUMMYFUNCTION("""COMPUTED_VALUE"""),11.32)</f>
        <v>11.32</v>
      </c>
    </row>
    <row r="1183" spans="1:20" x14ac:dyDescent="0.3">
      <c r="A1183" s="112">
        <f ca="1">IFERROR(__xludf.DUMMYFUNCTION("""COMPUTED_VALUE"""),42002.7055555555)</f>
        <v>42002.705555555498</v>
      </c>
      <c r="B1183" s="111">
        <f ca="1">IFERROR(__xludf.DUMMYFUNCTION("""COMPUTED_VALUE"""),5.88)</f>
        <v>5.88</v>
      </c>
      <c r="C1183" s="112">
        <f ca="1">IFERROR(__xludf.DUMMYFUNCTION("""COMPUTED_VALUE"""),42011.7055555555)</f>
        <v>42011.705555555498</v>
      </c>
      <c r="D1183" s="111">
        <f ca="1">IFERROR(__xludf.DUMMYFUNCTION("""COMPUTED_VALUE"""),21.56)</f>
        <v>21.56</v>
      </c>
      <c r="E1183" s="112">
        <f ca="1">IFERROR(__xludf.DUMMYFUNCTION("""COMPUTED_VALUE"""),42012.7055555555)</f>
        <v>42012.705555555498</v>
      </c>
      <c r="F1183" s="111">
        <f ca="1">IFERROR(__xludf.DUMMYFUNCTION("""COMPUTED_VALUE"""),7.68)</f>
        <v>7.68</v>
      </c>
      <c r="G1183" s="112">
        <f ca="1">IFERROR(__xludf.DUMMYFUNCTION("""COMPUTED_VALUE"""),42003.7055555555)</f>
        <v>42003.705555555498</v>
      </c>
      <c r="H1183" s="111">
        <f ca="1">IFERROR(__xludf.DUMMYFUNCTION("""COMPUTED_VALUE"""),10.03)</f>
        <v>10.029999999999999</v>
      </c>
      <c r="K1183" s="112">
        <f ca="1">IFERROR(__xludf.DUMMYFUNCTION("""COMPUTED_VALUE"""),42460.7055555555)</f>
        <v>42460.705555555498</v>
      </c>
      <c r="L1183" s="111">
        <f ca="1">IFERROR(__xludf.DUMMYFUNCTION("""COMPUTED_VALUE"""),0.11)</f>
        <v>0.11</v>
      </c>
      <c r="M1183" s="112">
        <f ca="1">IFERROR(__xludf.DUMMYFUNCTION("""COMPUTED_VALUE"""),41918.7055555555)</f>
        <v>41918.705555555498</v>
      </c>
      <c r="N1183" s="111">
        <f ca="1">IFERROR(__xludf.DUMMYFUNCTION("""COMPUTED_VALUE"""),16.38)</f>
        <v>16.38</v>
      </c>
      <c r="O1183" s="112">
        <f ca="1">IFERROR(__xludf.DUMMYFUNCTION("""COMPUTED_VALUE"""),41992.7055555555)</f>
        <v>41992.705555555498</v>
      </c>
      <c r="P1183" s="111">
        <f ca="1">IFERROR(__xludf.DUMMYFUNCTION("""COMPUTED_VALUE"""),21.76)</f>
        <v>21.76</v>
      </c>
      <c r="Q1183" s="112">
        <f ca="1">IFERROR(__xludf.DUMMYFUNCTION("""COMPUTED_VALUE"""),41990.7055555555)</f>
        <v>41990.705555555498</v>
      </c>
      <c r="R1183" s="111">
        <f ca="1">IFERROR(__xludf.DUMMYFUNCTION("""COMPUTED_VALUE"""),23.14)</f>
        <v>23.14</v>
      </c>
      <c r="S1183" s="112">
        <f ca="1">IFERROR(__xludf.DUMMYFUNCTION("""COMPUTED_VALUE"""),42009.7055555555)</f>
        <v>42009.705555555498</v>
      </c>
      <c r="T1183" s="111">
        <f ca="1">IFERROR(__xludf.DUMMYFUNCTION("""COMPUTED_VALUE"""),11.1)</f>
        <v>11.1</v>
      </c>
    </row>
    <row r="1184" spans="1:20" x14ac:dyDescent="0.3">
      <c r="A1184" s="112">
        <f ca="1">IFERROR(__xludf.DUMMYFUNCTION("""COMPUTED_VALUE"""),42003.7055555555)</f>
        <v>42003.705555555498</v>
      </c>
      <c r="B1184" s="111">
        <f ca="1">IFERROR(__xludf.DUMMYFUNCTION("""COMPUTED_VALUE"""),5.75)</f>
        <v>5.75</v>
      </c>
      <c r="C1184" s="112">
        <f ca="1">IFERROR(__xludf.DUMMYFUNCTION("""COMPUTED_VALUE"""),42012.7055555555)</f>
        <v>42012.705555555498</v>
      </c>
      <c r="D1184" s="111">
        <f ca="1">IFERROR(__xludf.DUMMYFUNCTION("""COMPUTED_VALUE"""),22.04)</f>
        <v>22.04</v>
      </c>
      <c r="E1184" s="112">
        <f ca="1">IFERROR(__xludf.DUMMYFUNCTION("""COMPUTED_VALUE"""),42013.7055555555)</f>
        <v>42013.705555555498</v>
      </c>
      <c r="F1184" s="111">
        <f ca="1">IFERROR(__xludf.DUMMYFUNCTION("""COMPUTED_VALUE"""),7.35)</f>
        <v>7.35</v>
      </c>
      <c r="G1184" s="112">
        <f ca="1">IFERROR(__xludf.DUMMYFUNCTION("""COMPUTED_VALUE"""),42006.7055555555)</f>
        <v>42006.705555555498</v>
      </c>
      <c r="H1184" s="111">
        <f ca="1">IFERROR(__xludf.DUMMYFUNCTION("""COMPUTED_VALUE"""),9.36)</f>
        <v>9.36</v>
      </c>
      <c r="K1184" s="112">
        <f ca="1">IFERROR(__xludf.DUMMYFUNCTION("""COMPUTED_VALUE"""),42461.7055555555)</f>
        <v>42461.705555555498</v>
      </c>
      <c r="L1184" s="111">
        <f ca="1">IFERROR(__xludf.DUMMYFUNCTION("""COMPUTED_VALUE"""),0.12)</f>
        <v>0.12</v>
      </c>
      <c r="M1184" s="112">
        <f ca="1">IFERROR(__xludf.DUMMYFUNCTION("""COMPUTED_VALUE"""),41919.7055555555)</f>
        <v>41919.705555555498</v>
      </c>
      <c r="N1184" s="111">
        <f ca="1">IFERROR(__xludf.DUMMYFUNCTION("""COMPUTED_VALUE"""),16.28)</f>
        <v>16.28</v>
      </c>
      <c r="O1184" s="112">
        <f ca="1">IFERROR(__xludf.DUMMYFUNCTION("""COMPUTED_VALUE"""),41995.7055555555)</f>
        <v>41995.705555555498</v>
      </c>
      <c r="P1184" s="111">
        <f ca="1">IFERROR(__xludf.DUMMYFUNCTION("""COMPUTED_VALUE"""),21.36)</f>
        <v>21.36</v>
      </c>
      <c r="Q1184" s="112">
        <f ca="1">IFERROR(__xludf.DUMMYFUNCTION("""COMPUTED_VALUE"""),41991.7055555555)</f>
        <v>41991.705555555498</v>
      </c>
      <c r="R1184" s="111">
        <f ca="1">IFERROR(__xludf.DUMMYFUNCTION("""COMPUTED_VALUE"""),23.32)</f>
        <v>23.32</v>
      </c>
      <c r="S1184" s="112">
        <f ca="1">IFERROR(__xludf.DUMMYFUNCTION("""COMPUTED_VALUE"""),42010.7055555555)</f>
        <v>42010.705555555498</v>
      </c>
      <c r="T1184" s="111">
        <f ca="1">IFERROR(__xludf.DUMMYFUNCTION("""COMPUTED_VALUE"""),11.29)</f>
        <v>11.29</v>
      </c>
    </row>
    <row r="1185" spans="1:20" x14ac:dyDescent="0.3">
      <c r="A1185" s="112">
        <f ca="1">IFERROR(__xludf.DUMMYFUNCTION("""COMPUTED_VALUE"""),42006.7055555555)</f>
        <v>42006.705555555498</v>
      </c>
      <c r="B1185" s="111">
        <f ca="1">IFERROR(__xludf.DUMMYFUNCTION("""COMPUTED_VALUE"""),5.57)</f>
        <v>5.57</v>
      </c>
      <c r="C1185" s="112">
        <f ca="1">IFERROR(__xludf.DUMMYFUNCTION("""COMPUTED_VALUE"""),42013.7055555555)</f>
        <v>42013.705555555498</v>
      </c>
      <c r="D1185" s="111">
        <f ca="1">IFERROR(__xludf.DUMMYFUNCTION("""COMPUTED_VALUE"""),21.02)</f>
        <v>21.02</v>
      </c>
      <c r="E1185" s="112">
        <f ca="1">IFERROR(__xludf.DUMMYFUNCTION("""COMPUTED_VALUE"""),42016.7055555555)</f>
        <v>42016.705555555498</v>
      </c>
      <c r="F1185" s="111">
        <f ca="1">IFERROR(__xludf.DUMMYFUNCTION("""COMPUTED_VALUE"""),7.23)</f>
        <v>7.23</v>
      </c>
      <c r="G1185" s="112">
        <f ca="1">IFERROR(__xludf.DUMMYFUNCTION("""COMPUTED_VALUE"""),42009.7055555555)</f>
        <v>42009.705555555498</v>
      </c>
      <c r="H1185" s="111">
        <f ca="1">IFERROR(__xludf.DUMMYFUNCTION("""COMPUTED_VALUE"""),8.56)</f>
        <v>8.56</v>
      </c>
      <c r="K1185" s="112">
        <f ca="1">IFERROR(__xludf.DUMMYFUNCTION("""COMPUTED_VALUE"""),42464.7055555555)</f>
        <v>42464.705555555498</v>
      </c>
      <c r="L1185" s="111">
        <f ca="1">IFERROR(__xludf.DUMMYFUNCTION("""COMPUTED_VALUE"""),0.11)</f>
        <v>0.11</v>
      </c>
      <c r="M1185" s="112">
        <f ca="1">IFERROR(__xludf.DUMMYFUNCTION("""COMPUTED_VALUE"""),41920.7055555555)</f>
        <v>41920.705555555498</v>
      </c>
      <c r="N1185" s="111">
        <f ca="1">IFERROR(__xludf.DUMMYFUNCTION("""COMPUTED_VALUE"""),16.14)</f>
        <v>16.14</v>
      </c>
      <c r="O1185" s="112">
        <f ca="1">IFERROR(__xludf.DUMMYFUNCTION("""COMPUTED_VALUE"""),41996.7055555555)</f>
        <v>41996.705555555498</v>
      </c>
      <c r="P1185" s="111">
        <f ca="1">IFERROR(__xludf.DUMMYFUNCTION("""COMPUTED_VALUE"""),22.08)</f>
        <v>22.08</v>
      </c>
      <c r="Q1185" s="112">
        <f ca="1">IFERROR(__xludf.DUMMYFUNCTION("""COMPUTED_VALUE"""),41992.7055555555)</f>
        <v>41992.705555555498</v>
      </c>
      <c r="R1185" s="111">
        <f ca="1">IFERROR(__xludf.DUMMYFUNCTION("""COMPUTED_VALUE"""),24.4)</f>
        <v>24.4</v>
      </c>
      <c r="S1185" s="112">
        <f ca="1">IFERROR(__xludf.DUMMYFUNCTION("""COMPUTED_VALUE"""),42011.7055555555)</f>
        <v>42011.705555555498</v>
      </c>
      <c r="T1185" s="111">
        <f ca="1">IFERROR(__xludf.DUMMYFUNCTION("""COMPUTED_VALUE"""),11.42)</f>
        <v>11.42</v>
      </c>
    </row>
    <row r="1186" spans="1:20" x14ac:dyDescent="0.3">
      <c r="A1186" s="112">
        <f ca="1">IFERROR(__xludf.DUMMYFUNCTION("""COMPUTED_VALUE"""),42009.7055555555)</f>
        <v>42009.705555555498</v>
      </c>
      <c r="B1186" s="111">
        <f ca="1">IFERROR(__xludf.DUMMYFUNCTION("""COMPUTED_VALUE"""),5.52)</f>
        <v>5.52</v>
      </c>
      <c r="C1186" s="112">
        <f ca="1">IFERROR(__xludf.DUMMYFUNCTION("""COMPUTED_VALUE"""),42016.7055555555)</f>
        <v>42016.705555555498</v>
      </c>
      <c r="D1186" s="111">
        <f ca="1">IFERROR(__xludf.DUMMYFUNCTION("""COMPUTED_VALUE"""),20.48)</f>
        <v>20.48</v>
      </c>
      <c r="E1186" s="112">
        <f ca="1">IFERROR(__xludf.DUMMYFUNCTION("""COMPUTED_VALUE"""),42017.7055555555)</f>
        <v>42017.705555555498</v>
      </c>
      <c r="F1186" s="111">
        <f ca="1">IFERROR(__xludf.DUMMYFUNCTION("""COMPUTED_VALUE"""),7.26)</f>
        <v>7.26</v>
      </c>
      <c r="G1186" s="112">
        <f ca="1">IFERROR(__xludf.DUMMYFUNCTION("""COMPUTED_VALUE"""),42010.7055555555)</f>
        <v>42010.705555555498</v>
      </c>
      <c r="H1186" s="111">
        <f ca="1">IFERROR(__xludf.DUMMYFUNCTION("""COMPUTED_VALUE"""),8.28)</f>
        <v>8.2799999999999994</v>
      </c>
      <c r="K1186" s="112">
        <f ca="1">IFERROR(__xludf.DUMMYFUNCTION("""COMPUTED_VALUE"""),42465.7055555555)</f>
        <v>42465.705555555498</v>
      </c>
      <c r="L1186" s="111">
        <f ca="1">IFERROR(__xludf.DUMMYFUNCTION("""COMPUTED_VALUE"""),0.11)</f>
        <v>0.11</v>
      </c>
      <c r="M1186" s="112">
        <f ca="1">IFERROR(__xludf.DUMMYFUNCTION("""COMPUTED_VALUE"""),41921.7055555555)</f>
        <v>41921.705555555498</v>
      </c>
      <c r="N1186" s="111">
        <f ca="1">IFERROR(__xludf.DUMMYFUNCTION("""COMPUTED_VALUE"""),16.45)</f>
        <v>16.45</v>
      </c>
      <c r="O1186" s="112">
        <f ca="1">IFERROR(__xludf.DUMMYFUNCTION("""COMPUTED_VALUE"""),41999.7055555555)</f>
        <v>41999.705555555498</v>
      </c>
      <c r="P1186" s="111">
        <f ca="1">IFERROR(__xludf.DUMMYFUNCTION("""COMPUTED_VALUE"""),21.79)</f>
        <v>21.79</v>
      </c>
      <c r="Q1186" s="112">
        <f ca="1">IFERROR(__xludf.DUMMYFUNCTION("""COMPUTED_VALUE"""),41995.7055555555)</f>
        <v>41995.705555555498</v>
      </c>
      <c r="R1186" s="111">
        <f ca="1">IFERROR(__xludf.DUMMYFUNCTION("""COMPUTED_VALUE"""),24.53)</f>
        <v>24.53</v>
      </c>
      <c r="S1186" s="112">
        <f ca="1">IFERROR(__xludf.DUMMYFUNCTION("""COMPUTED_VALUE"""),42012.7055555555)</f>
        <v>42012.705555555498</v>
      </c>
      <c r="T1186" s="111">
        <f ca="1">IFERROR(__xludf.DUMMYFUNCTION("""COMPUTED_VALUE"""),11.43)</f>
        <v>11.43</v>
      </c>
    </row>
    <row r="1187" spans="1:20" x14ac:dyDescent="0.3">
      <c r="A1187" s="112">
        <f ca="1">IFERROR(__xludf.DUMMYFUNCTION("""COMPUTED_VALUE"""),42010.7055555555)</f>
        <v>42010.705555555498</v>
      </c>
      <c r="B1187" s="111">
        <f ca="1">IFERROR(__xludf.DUMMYFUNCTION("""COMPUTED_VALUE"""),5.49)</f>
        <v>5.49</v>
      </c>
      <c r="C1187" s="112">
        <f ca="1">IFERROR(__xludf.DUMMYFUNCTION("""COMPUTED_VALUE"""),42017.7055555555)</f>
        <v>42017.705555555498</v>
      </c>
      <c r="D1187" s="111">
        <f ca="1">IFERROR(__xludf.DUMMYFUNCTION("""COMPUTED_VALUE"""),20.54)</f>
        <v>20.54</v>
      </c>
      <c r="E1187" s="112">
        <f ca="1">IFERROR(__xludf.DUMMYFUNCTION("""COMPUTED_VALUE"""),42018.7055555555)</f>
        <v>42018.705555555498</v>
      </c>
      <c r="F1187" s="111">
        <f ca="1">IFERROR(__xludf.DUMMYFUNCTION("""COMPUTED_VALUE"""),7.39)</f>
        <v>7.39</v>
      </c>
      <c r="G1187" s="112">
        <f ca="1">IFERROR(__xludf.DUMMYFUNCTION("""COMPUTED_VALUE"""),42011.7055555555)</f>
        <v>42011.705555555498</v>
      </c>
      <c r="H1187" s="111">
        <f ca="1">IFERROR(__xludf.DUMMYFUNCTION("""COMPUTED_VALUE"""),8.67)</f>
        <v>8.67</v>
      </c>
      <c r="K1187" s="112">
        <f ca="1">IFERROR(__xludf.DUMMYFUNCTION("""COMPUTED_VALUE"""),42466.7055555555)</f>
        <v>42466.705555555498</v>
      </c>
      <c r="L1187" s="111">
        <f ca="1">IFERROR(__xludf.DUMMYFUNCTION("""COMPUTED_VALUE"""),0.11)</f>
        <v>0.11</v>
      </c>
      <c r="M1187" s="112">
        <f ca="1">IFERROR(__xludf.DUMMYFUNCTION("""COMPUTED_VALUE"""),41922.7055555555)</f>
        <v>41922.705555555498</v>
      </c>
      <c r="N1187" s="111">
        <f ca="1">IFERROR(__xludf.DUMMYFUNCTION("""COMPUTED_VALUE"""),15.66)</f>
        <v>15.66</v>
      </c>
      <c r="O1187" s="112">
        <f ca="1">IFERROR(__xludf.DUMMYFUNCTION("""COMPUTED_VALUE"""),42002.7055555555)</f>
        <v>42002.705555555498</v>
      </c>
      <c r="P1187" s="111">
        <f ca="1">IFERROR(__xludf.DUMMYFUNCTION("""COMPUTED_VALUE"""),22.05)</f>
        <v>22.05</v>
      </c>
      <c r="Q1187" s="112">
        <f ca="1">IFERROR(__xludf.DUMMYFUNCTION("""COMPUTED_VALUE"""),41996.7055555555)</f>
        <v>41996.705555555498</v>
      </c>
      <c r="R1187" s="111">
        <f ca="1">IFERROR(__xludf.DUMMYFUNCTION("""COMPUTED_VALUE"""),24.25)</f>
        <v>24.25</v>
      </c>
      <c r="S1187" s="112">
        <f ca="1">IFERROR(__xludf.DUMMYFUNCTION("""COMPUTED_VALUE"""),42013.7055555555)</f>
        <v>42013.705555555498</v>
      </c>
      <c r="T1187" s="111">
        <f ca="1">IFERROR(__xludf.DUMMYFUNCTION("""COMPUTED_VALUE"""),11.01)</f>
        <v>11.01</v>
      </c>
    </row>
    <row r="1188" spans="1:20" x14ac:dyDescent="0.3">
      <c r="A1188" s="112">
        <f ca="1">IFERROR(__xludf.DUMMYFUNCTION("""COMPUTED_VALUE"""),42011.7055555555)</f>
        <v>42011.705555555498</v>
      </c>
      <c r="B1188" s="111">
        <f ca="1">IFERROR(__xludf.DUMMYFUNCTION("""COMPUTED_VALUE"""),5.76)</f>
        <v>5.76</v>
      </c>
      <c r="C1188" s="112">
        <f ca="1">IFERROR(__xludf.DUMMYFUNCTION("""COMPUTED_VALUE"""),42018.7055555555)</f>
        <v>42018.705555555498</v>
      </c>
      <c r="D1188" s="111">
        <f ca="1">IFERROR(__xludf.DUMMYFUNCTION("""COMPUTED_VALUE"""),20.68)</f>
        <v>20.68</v>
      </c>
      <c r="E1188" s="112">
        <f ca="1">IFERROR(__xludf.DUMMYFUNCTION("""COMPUTED_VALUE"""),42019.7055555555)</f>
        <v>42019.705555555498</v>
      </c>
      <c r="F1188" s="111">
        <f ca="1">IFERROR(__xludf.DUMMYFUNCTION("""COMPUTED_VALUE"""),7.34)</f>
        <v>7.34</v>
      </c>
      <c r="G1188" s="112">
        <f ca="1">IFERROR(__xludf.DUMMYFUNCTION("""COMPUTED_VALUE"""),42012.7055555555)</f>
        <v>42012.705555555498</v>
      </c>
      <c r="H1188" s="111">
        <f ca="1">IFERROR(__xludf.DUMMYFUNCTION("""COMPUTED_VALUE"""),9.23)</f>
        <v>9.23</v>
      </c>
      <c r="K1188" s="112">
        <f ca="1">IFERROR(__xludf.DUMMYFUNCTION("""COMPUTED_VALUE"""),42467.7055555555)</f>
        <v>42467.705555555498</v>
      </c>
      <c r="L1188" s="111">
        <f ca="1">IFERROR(__xludf.DUMMYFUNCTION("""COMPUTED_VALUE"""),0.11)</f>
        <v>0.11</v>
      </c>
      <c r="M1188" s="112">
        <f ca="1">IFERROR(__xludf.DUMMYFUNCTION("""COMPUTED_VALUE"""),41925.7055555555)</f>
        <v>41925.705555555498</v>
      </c>
      <c r="N1188" s="111">
        <f ca="1">IFERROR(__xludf.DUMMYFUNCTION("""COMPUTED_VALUE"""),16.88)</f>
        <v>16.88</v>
      </c>
      <c r="O1188" s="112">
        <f ca="1">IFERROR(__xludf.DUMMYFUNCTION("""COMPUTED_VALUE"""),42003.7055555555)</f>
        <v>42003.705555555498</v>
      </c>
      <c r="P1188" s="111">
        <f ca="1">IFERROR(__xludf.DUMMYFUNCTION("""COMPUTED_VALUE"""),21.69)</f>
        <v>21.69</v>
      </c>
      <c r="Q1188" s="112">
        <f ca="1">IFERROR(__xludf.DUMMYFUNCTION("""COMPUTED_VALUE"""),41999.7055555555)</f>
        <v>41999.705555555498</v>
      </c>
      <c r="R1188" s="111">
        <f ca="1">IFERROR(__xludf.DUMMYFUNCTION("""COMPUTED_VALUE"""),24.52)</f>
        <v>24.52</v>
      </c>
      <c r="S1188" s="112">
        <f ca="1">IFERROR(__xludf.DUMMYFUNCTION("""COMPUTED_VALUE"""),42016.7055555555)</f>
        <v>42016.705555555498</v>
      </c>
      <c r="T1188" s="111">
        <f ca="1">IFERROR(__xludf.DUMMYFUNCTION("""COMPUTED_VALUE"""),11.11)</f>
        <v>11.11</v>
      </c>
    </row>
    <row r="1189" spans="1:20" x14ac:dyDescent="0.3">
      <c r="A1189" s="112">
        <f ca="1">IFERROR(__xludf.DUMMYFUNCTION("""COMPUTED_VALUE"""),42012.7055555555)</f>
        <v>42012.705555555498</v>
      </c>
      <c r="B1189" s="111">
        <f ca="1">IFERROR(__xludf.DUMMYFUNCTION("""COMPUTED_VALUE"""),5.57)</f>
        <v>5.57</v>
      </c>
      <c r="C1189" s="112">
        <f ca="1">IFERROR(__xludf.DUMMYFUNCTION("""COMPUTED_VALUE"""),42019.7055555555)</f>
        <v>42019.705555555498</v>
      </c>
      <c r="D1189" s="111">
        <f ca="1">IFERROR(__xludf.DUMMYFUNCTION("""COMPUTED_VALUE"""),20.5)</f>
        <v>20.5</v>
      </c>
      <c r="E1189" s="112">
        <f ca="1">IFERROR(__xludf.DUMMYFUNCTION("""COMPUTED_VALUE"""),42020.7055555555)</f>
        <v>42020.705555555498</v>
      </c>
      <c r="F1189" s="111">
        <f ca="1">IFERROR(__xludf.DUMMYFUNCTION("""COMPUTED_VALUE"""),7.43)</f>
        <v>7.43</v>
      </c>
      <c r="G1189" s="112">
        <f ca="1">IFERROR(__xludf.DUMMYFUNCTION("""COMPUTED_VALUE"""),42013.7055555555)</f>
        <v>42013.705555555498</v>
      </c>
      <c r="H1189" s="111">
        <f ca="1">IFERROR(__xludf.DUMMYFUNCTION("""COMPUTED_VALUE"""),9.51)</f>
        <v>9.51</v>
      </c>
      <c r="K1189" s="112">
        <f ca="1">IFERROR(__xludf.DUMMYFUNCTION("""COMPUTED_VALUE"""),42468.7055555555)</f>
        <v>42468.705555555498</v>
      </c>
      <c r="L1189" s="111">
        <f ca="1">IFERROR(__xludf.DUMMYFUNCTION("""COMPUTED_VALUE"""),0.11)</f>
        <v>0.11</v>
      </c>
      <c r="M1189" s="112">
        <f ca="1">IFERROR(__xludf.DUMMYFUNCTION("""COMPUTED_VALUE"""),41926.7055555555)</f>
        <v>41926.705555555498</v>
      </c>
      <c r="N1189" s="111">
        <f ca="1">IFERROR(__xludf.DUMMYFUNCTION("""COMPUTED_VALUE"""),17.12)</f>
        <v>17.12</v>
      </c>
      <c r="O1189" s="112">
        <f ca="1">IFERROR(__xludf.DUMMYFUNCTION("""COMPUTED_VALUE"""),42006.7055555555)</f>
        <v>42006.705555555498</v>
      </c>
      <c r="P1189" s="111">
        <f ca="1">IFERROR(__xludf.DUMMYFUNCTION("""COMPUTED_VALUE"""),21.28)</f>
        <v>21.28</v>
      </c>
      <c r="Q1189" s="112">
        <f ca="1">IFERROR(__xludf.DUMMYFUNCTION("""COMPUTED_VALUE"""),42002.7055555555)</f>
        <v>42002.705555555498</v>
      </c>
      <c r="R1189" s="111">
        <f ca="1">IFERROR(__xludf.DUMMYFUNCTION("""COMPUTED_VALUE"""),24.33)</f>
        <v>24.33</v>
      </c>
      <c r="S1189" s="112">
        <f ca="1">IFERROR(__xludf.DUMMYFUNCTION("""COMPUTED_VALUE"""),42017.7055555555)</f>
        <v>42017.705555555498</v>
      </c>
      <c r="T1189" s="111">
        <f ca="1">IFERROR(__xludf.DUMMYFUNCTION("""COMPUTED_VALUE"""),11.14)</f>
        <v>11.14</v>
      </c>
    </row>
    <row r="1190" spans="1:20" x14ac:dyDescent="0.3">
      <c r="A1190" s="112">
        <f ca="1">IFERROR(__xludf.DUMMYFUNCTION("""COMPUTED_VALUE"""),42013.7055555555)</f>
        <v>42013.705555555498</v>
      </c>
      <c r="B1190" s="111">
        <f ca="1">IFERROR(__xludf.DUMMYFUNCTION("""COMPUTED_VALUE"""),5.49)</f>
        <v>5.49</v>
      </c>
      <c r="C1190" s="112">
        <f ca="1">IFERROR(__xludf.DUMMYFUNCTION("""COMPUTED_VALUE"""),42020.7055555555)</f>
        <v>42020.705555555498</v>
      </c>
      <c r="D1190" s="111">
        <f ca="1">IFERROR(__xludf.DUMMYFUNCTION("""COMPUTED_VALUE"""),20.84)</f>
        <v>20.84</v>
      </c>
      <c r="E1190" s="112">
        <f ca="1">IFERROR(__xludf.DUMMYFUNCTION("""COMPUTED_VALUE"""),42023.7055555555)</f>
        <v>42023.705555555498</v>
      </c>
      <c r="F1190" s="111">
        <f ca="1">IFERROR(__xludf.DUMMYFUNCTION("""COMPUTED_VALUE"""),7.12)</f>
        <v>7.12</v>
      </c>
      <c r="G1190" s="112">
        <f ca="1">IFERROR(__xludf.DUMMYFUNCTION("""COMPUTED_VALUE"""),42016.7055555555)</f>
        <v>42016.705555555498</v>
      </c>
      <c r="H1190" s="111">
        <f ca="1">IFERROR(__xludf.DUMMYFUNCTION("""COMPUTED_VALUE"""),8.84)</f>
        <v>8.84</v>
      </c>
      <c r="K1190" s="112">
        <f ca="1">IFERROR(__xludf.DUMMYFUNCTION("""COMPUTED_VALUE"""),42471.7055555555)</f>
        <v>42471.705555555498</v>
      </c>
      <c r="L1190" s="111">
        <f ca="1">IFERROR(__xludf.DUMMYFUNCTION("""COMPUTED_VALUE"""),0.11)</f>
        <v>0.11</v>
      </c>
      <c r="M1190" s="112">
        <f ca="1">IFERROR(__xludf.DUMMYFUNCTION("""COMPUTED_VALUE"""),41927.7055555555)</f>
        <v>41927.705555555498</v>
      </c>
      <c r="N1190" s="111">
        <f ca="1">IFERROR(__xludf.DUMMYFUNCTION("""COMPUTED_VALUE"""),16.18)</f>
        <v>16.18</v>
      </c>
      <c r="O1190" s="112">
        <f ca="1">IFERROR(__xludf.DUMMYFUNCTION("""COMPUTED_VALUE"""),42009.7055555555)</f>
        <v>42009.705555555498</v>
      </c>
      <c r="P1190" s="111">
        <f ca="1">IFERROR(__xludf.DUMMYFUNCTION("""COMPUTED_VALUE"""),20.91)</f>
        <v>20.91</v>
      </c>
      <c r="Q1190" s="112">
        <f ca="1">IFERROR(__xludf.DUMMYFUNCTION("""COMPUTED_VALUE"""),42003.7055555555)</f>
        <v>42003.705555555498</v>
      </c>
      <c r="R1190" s="111">
        <f ca="1">IFERROR(__xludf.DUMMYFUNCTION("""COMPUTED_VALUE"""),23.9)</f>
        <v>23.9</v>
      </c>
      <c r="S1190" s="112">
        <f ca="1">IFERROR(__xludf.DUMMYFUNCTION("""COMPUTED_VALUE"""),42018.7055555555)</f>
        <v>42018.705555555498</v>
      </c>
      <c r="T1190" s="111">
        <f ca="1">IFERROR(__xludf.DUMMYFUNCTION("""COMPUTED_VALUE"""),11.11)</f>
        <v>11.11</v>
      </c>
    </row>
    <row r="1191" spans="1:20" x14ac:dyDescent="0.3">
      <c r="A1191" s="112">
        <f ca="1">IFERROR(__xludf.DUMMYFUNCTION("""COMPUTED_VALUE"""),42016.7055555555)</f>
        <v>42016.705555555498</v>
      </c>
      <c r="B1191" s="111">
        <f ca="1">IFERROR(__xludf.DUMMYFUNCTION("""COMPUTED_VALUE"""),5.5)</f>
        <v>5.5</v>
      </c>
      <c r="C1191" s="112">
        <f ca="1">IFERROR(__xludf.DUMMYFUNCTION("""COMPUTED_VALUE"""),42023.7055555555)</f>
        <v>42023.705555555498</v>
      </c>
      <c r="D1191" s="111">
        <f ca="1">IFERROR(__xludf.DUMMYFUNCTION("""COMPUTED_VALUE"""),20.08)</f>
        <v>20.079999999999998</v>
      </c>
      <c r="E1191" s="112">
        <f ca="1">IFERROR(__xludf.DUMMYFUNCTION("""COMPUTED_VALUE"""),42024.7055555555)</f>
        <v>42024.705555555498</v>
      </c>
      <c r="F1191" s="111">
        <f ca="1">IFERROR(__xludf.DUMMYFUNCTION("""COMPUTED_VALUE"""),7.28)</f>
        <v>7.28</v>
      </c>
      <c r="G1191" s="112">
        <f ca="1">IFERROR(__xludf.DUMMYFUNCTION("""COMPUTED_VALUE"""),42017.7055555555)</f>
        <v>42017.705555555498</v>
      </c>
      <c r="H1191" s="111">
        <f ca="1">IFERROR(__xludf.DUMMYFUNCTION("""COMPUTED_VALUE"""),9.09)</f>
        <v>9.09</v>
      </c>
      <c r="K1191" s="112">
        <f ca="1">IFERROR(__xludf.DUMMYFUNCTION("""COMPUTED_VALUE"""),42472.7055555555)</f>
        <v>42472.705555555498</v>
      </c>
      <c r="L1191" s="111">
        <f ca="1">IFERROR(__xludf.DUMMYFUNCTION("""COMPUTED_VALUE"""),0.11)</f>
        <v>0.11</v>
      </c>
      <c r="M1191" s="112">
        <f ca="1">IFERROR(__xludf.DUMMYFUNCTION("""COMPUTED_VALUE"""),41928.7055555555)</f>
        <v>41928.705555555498</v>
      </c>
      <c r="N1191" s="111">
        <f ca="1">IFERROR(__xludf.DUMMYFUNCTION("""COMPUTED_VALUE"""),15.61)</f>
        <v>15.61</v>
      </c>
      <c r="O1191" s="112">
        <f ca="1">IFERROR(__xludf.DUMMYFUNCTION("""COMPUTED_VALUE"""),42010.7055555555)</f>
        <v>42010.705555555498</v>
      </c>
      <c r="P1191" s="111">
        <f ca="1">IFERROR(__xludf.DUMMYFUNCTION("""COMPUTED_VALUE"""),21.97)</f>
        <v>21.97</v>
      </c>
      <c r="Q1191" s="112">
        <f ca="1">IFERROR(__xludf.DUMMYFUNCTION("""COMPUTED_VALUE"""),42006.7055555555)</f>
        <v>42006.705555555498</v>
      </c>
      <c r="R1191" s="111">
        <f ca="1">IFERROR(__xludf.DUMMYFUNCTION("""COMPUTED_VALUE"""),22.64)</f>
        <v>22.64</v>
      </c>
      <c r="S1191" s="112">
        <f ca="1">IFERROR(__xludf.DUMMYFUNCTION("""COMPUTED_VALUE"""),42019.7055555555)</f>
        <v>42019.705555555498</v>
      </c>
      <c r="T1191" s="111">
        <f ca="1">IFERROR(__xludf.DUMMYFUNCTION("""COMPUTED_VALUE"""),11.12)</f>
        <v>11.12</v>
      </c>
    </row>
    <row r="1192" spans="1:20" x14ac:dyDescent="0.3">
      <c r="A1192" s="112">
        <f ca="1">IFERROR(__xludf.DUMMYFUNCTION("""COMPUTED_VALUE"""),42017.7055555555)</f>
        <v>42017.705555555498</v>
      </c>
      <c r="B1192" s="111">
        <f ca="1">IFERROR(__xludf.DUMMYFUNCTION("""COMPUTED_VALUE"""),5.49)</f>
        <v>5.49</v>
      </c>
      <c r="C1192" s="112">
        <f ca="1">IFERROR(__xludf.DUMMYFUNCTION("""COMPUTED_VALUE"""),42024.7055555555)</f>
        <v>42024.705555555498</v>
      </c>
      <c r="D1192" s="111">
        <f ca="1">IFERROR(__xludf.DUMMYFUNCTION("""COMPUTED_VALUE"""),20.21)</f>
        <v>20.21</v>
      </c>
      <c r="E1192" s="112">
        <f ca="1">IFERROR(__xludf.DUMMYFUNCTION("""COMPUTED_VALUE"""),42025.7055555555)</f>
        <v>42025.705555555498</v>
      </c>
      <c r="F1192" s="111">
        <f ca="1">IFERROR(__xludf.DUMMYFUNCTION("""COMPUTED_VALUE"""),7.56)</f>
        <v>7.56</v>
      </c>
      <c r="G1192" s="112">
        <f ca="1">IFERROR(__xludf.DUMMYFUNCTION("""COMPUTED_VALUE"""),42018.7055555555)</f>
        <v>42018.705555555498</v>
      </c>
      <c r="H1192" s="111">
        <f ca="1">IFERROR(__xludf.DUMMYFUNCTION("""COMPUTED_VALUE"""),8.91)</f>
        <v>8.91</v>
      </c>
      <c r="K1192" s="112">
        <f ca="1">IFERROR(__xludf.DUMMYFUNCTION("""COMPUTED_VALUE"""),42473.7055555555)</f>
        <v>42473.705555555498</v>
      </c>
      <c r="L1192" s="111">
        <f ca="1">IFERROR(__xludf.DUMMYFUNCTION("""COMPUTED_VALUE"""),0.11)</f>
        <v>0.11</v>
      </c>
      <c r="M1192" s="112">
        <f ca="1">IFERROR(__xludf.DUMMYFUNCTION("""COMPUTED_VALUE"""),41929.7055555555)</f>
        <v>41929.705555555498</v>
      </c>
      <c r="N1192" s="111">
        <f ca="1">IFERROR(__xludf.DUMMYFUNCTION("""COMPUTED_VALUE"""),16.21)</f>
        <v>16.21</v>
      </c>
      <c r="O1192" s="112">
        <f ca="1">IFERROR(__xludf.DUMMYFUNCTION("""COMPUTED_VALUE"""),42011.7055555555)</f>
        <v>42011.705555555498</v>
      </c>
      <c r="P1192" s="111">
        <f ca="1">IFERROR(__xludf.DUMMYFUNCTION("""COMPUTED_VALUE"""),22.63)</f>
        <v>22.63</v>
      </c>
      <c r="Q1192" s="112">
        <f ca="1">IFERROR(__xludf.DUMMYFUNCTION("""COMPUTED_VALUE"""),42009.7055555555)</f>
        <v>42009.705555555498</v>
      </c>
      <c r="R1192" s="111">
        <f ca="1">IFERROR(__xludf.DUMMYFUNCTION("""COMPUTED_VALUE"""),22.16)</f>
        <v>22.16</v>
      </c>
      <c r="S1192" s="112">
        <f ca="1">IFERROR(__xludf.DUMMYFUNCTION("""COMPUTED_VALUE"""),42020.7055555555)</f>
        <v>42020.705555555498</v>
      </c>
      <c r="T1192" s="111">
        <f ca="1">IFERROR(__xludf.DUMMYFUNCTION("""COMPUTED_VALUE"""),11.1)</f>
        <v>11.1</v>
      </c>
    </row>
    <row r="1193" spans="1:20" x14ac:dyDescent="0.3">
      <c r="A1193" s="112">
        <f ca="1">IFERROR(__xludf.DUMMYFUNCTION("""COMPUTED_VALUE"""),42018.7055555555)</f>
        <v>42018.705555555498</v>
      </c>
      <c r="B1193" s="111">
        <f ca="1">IFERROR(__xludf.DUMMYFUNCTION("""COMPUTED_VALUE"""),5.6)</f>
        <v>5.6</v>
      </c>
      <c r="C1193" s="112">
        <f ca="1">IFERROR(__xludf.DUMMYFUNCTION("""COMPUTED_VALUE"""),42025.7055555555)</f>
        <v>42025.705555555498</v>
      </c>
      <c r="D1193" s="111">
        <f ca="1">IFERROR(__xludf.DUMMYFUNCTION("""COMPUTED_VALUE"""),20.77)</f>
        <v>20.77</v>
      </c>
      <c r="E1193" s="112">
        <f ca="1">IFERROR(__xludf.DUMMYFUNCTION("""COMPUTED_VALUE"""),42026.7055555555)</f>
        <v>42026.705555555498</v>
      </c>
      <c r="F1193" s="111">
        <f ca="1">IFERROR(__xludf.DUMMYFUNCTION("""COMPUTED_VALUE"""),7.67)</f>
        <v>7.67</v>
      </c>
      <c r="G1193" s="112">
        <f ca="1">IFERROR(__xludf.DUMMYFUNCTION("""COMPUTED_VALUE"""),42019.7055555555)</f>
        <v>42019.705555555498</v>
      </c>
      <c r="H1193" s="111">
        <f ca="1">IFERROR(__xludf.DUMMYFUNCTION("""COMPUTED_VALUE"""),9.31)</f>
        <v>9.31</v>
      </c>
      <c r="K1193" s="112">
        <f ca="1">IFERROR(__xludf.DUMMYFUNCTION("""COMPUTED_VALUE"""),42474.7055555555)</f>
        <v>42474.705555555498</v>
      </c>
      <c r="L1193" s="111">
        <f ca="1">IFERROR(__xludf.DUMMYFUNCTION("""COMPUTED_VALUE"""),0.11)</f>
        <v>0.11</v>
      </c>
      <c r="M1193" s="112">
        <f ca="1">IFERROR(__xludf.DUMMYFUNCTION("""COMPUTED_VALUE"""),41932.7055555555)</f>
        <v>41932.705555555498</v>
      </c>
      <c r="N1193" s="111">
        <f ca="1">IFERROR(__xludf.DUMMYFUNCTION("""COMPUTED_VALUE"""),15.83)</f>
        <v>15.83</v>
      </c>
      <c r="O1193" s="112">
        <f ca="1">IFERROR(__xludf.DUMMYFUNCTION("""COMPUTED_VALUE"""),42012.7055555555)</f>
        <v>42012.705555555498</v>
      </c>
      <c r="P1193" s="111">
        <f ca="1">IFERROR(__xludf.DUMMYFUNCTION("""COMPUTED_VALUE"""),22.86)</f>
        <v>22.86</v>
      </c>
      <c r="Q1193" s="112">
        <f ca="1">IFERROR(__xludf.DUMMYFUNCTION("""COMPUTED_VALUE"""),42010.7055555555)</f>
        <v>42010.705555555498</v>
      </c>
      <c r="R1193" s="111">
        <f ca="1">IFERROR(__xludf.DUMMYFUNCTION("""COMPUTED_VALUE"""),22.6)</f>
        <v>22.6</v>
      </c>
      <c r="S1193" s="112">
        <f ca="1">IFERROR(__xludf.DUMMYFUNCTION("""COMPUTED_VALUE"""),42023.7055555555)</f>
        <v>42023.705555555498</v>
      </c>
      <c r="T1193" s="111">
        <f ca="1">IFERROR(__xludf.DUMMYFUNCTION("""COMPUTED_VALUE"""),11)</f>
        <v>11</v>
      </c>
    </row>
    <row r="1194" spans="1:20" x14ac:dyDescent="0.3">
      <c r="A1194" s="112">
        <f ca="1">IFERROR(__xludf.DUMMYFUNCTION("""COMPUTED_VALUE"""),42019.7055555555)</f>
        <v>42019.705555555498</v>
      </c>
      <c r="B1194" s="111">
        <f ca="1">IFERROR(__xludf.DUMMYFUNCTION("""COMPUTED_VALUE"""),5.56)</f>
        <v>5.56</v>
      </c>
      <c r="C1194" s="112">
        <f ca="1">IFERROR(__xludf.DUMMYFUNCTION("""COMPUTED_VALUE"""),42026.7055555555)</f>
        <v>42026.705555555498</v>
      </c>
      <c r="D1194" s="111">
        <f ca="1">IFERROR(__xludf.DUMMYFUNCTION("""COMPUTED_VALUE"""),21)</f>
        <v>21</v>
      </c>
      <c r="E1194" s="112">
        <f ca="1">IFERROR(__xludf.DUMMYFUNCTION("""COMPUTED_VALUE"""),42027.7055555555)</f>
        <v>42027.705555555498</v>
      </c>
      <c r="F1194" s="111">
        <f ca="1">IFERROR(__xludf.DUMMYFUNCTION("""COMPUTED_VALUE"""),7.57)</f>
        <v>7.57</v>
      </c>
      <c r="G1194" s="112">
        <f ca="1">IFERROR(__xludf.DUMMYFUNCTION("""COMPUTED_VALUE"""),42020.7055555555)</f>
        <v>42020.705555555498</v>
      </c>
      <c r="H1194" s="111">
        <f ca="1">IFERROR(__xludf.DUMMYFUNCTION("""COMPUTED_VALUE"""),9.44)</f>
        <v>9.44</v>
      </c>
      <c r="K1194" s="112">
        <f ca="1">IFERROR(__xludf.DUMMYFUNCTION("""COMPUTED_VALUE"""),42475.7055555555)</f>
        <v>42475.705555555498</v>
      </c>
      <c r="L1194" s="111">
        <f ca="1">IFERROR(__xludf.DUMMYFUNCTION("""COMPUTED_VALUE"""),0.11)</f>
        <v>0.11</v>
      </c>
      <c r="M1194" s="112">
        <f ca="1">IFERROR(__xludf.DUMMYFUNCTION("""COMPUTED_VALUE"""),41933.7055555555)</f>
        <v>41933.705555555498</v>
      </c>
      <c r="N1194" s="111">
        <f ca="1">IFERROR(__xludf.DUMMYFUNCTION("""COMPUTED_VALUE"""),15.02)</f>
        <v>15.02</v>
      </c>
      <c r="O1194" s="112">
        <f ca="1">IFERROR(__xludf.DUMMYFUNCTION("""COMPUTED_VALUE"""),42013.7055555555)</f>
        <v>42013.705555555498</v>
      </c>
      <c r="P1194" s="111">
        <f ca="1">IFERROR(__xludf.DUMMYFUNCTION("""COMPUTED_VALUE"""),22.45)</f>
        <v>22.45</v>
      </c>
      <c r="Q1194" s="112">
        <f ca="1">IFERROR(__xludf.DUMMYFUNCTION("""COMPUTED_VALUE"""),42011.7055555555)</f>
        <v>42011.705555555498</v>
      </c>
      <c r="R1194" s="111">
        <f ca="1">IFERROR(__xludf.DUMMYFUNCTION("""COMPUTED_VALUE"""),23.46)</f>
        <v>23.46</v>
      </c>
      <c r="S1194" s="112">
        <f ca="1">IFERROR(__xludf.DUMMYFUNCTION("""COMPUTED_VALUE"""),42024.7055555555)</f>
        <v>42024.705555555498</v>
      </c>
      <c r="T1194" s="111">
        <f ca="1">IFERROR(__xludf.DUMMYFUNCTION("""COMPUTED_VALUE"""),11.05)</f>
        <v>11.05</v>
      </c>
    </row>
    <row r="1195" spans="1:20" x14ac:dyDescent="0.3">
      <c r="A1195" s="112">
        <f ca="1">IFERROR(__xludf.DUMMYFUNCTION("""COMPUTED_VALUE"""),42020.7055555555)</f>
        <v>42020.705555555498</v>
      </c>
      <c r="B1195" s="111">
        <f ca="1">IFERROR(__xludf.DUMMYFUNCTION("""COMPUTED_VALUE"""),5.55)</f>
        <v>5.55</v>
      </c>
      <c r="C1195" s="112">
        <f ca="1">IFERROR(__xludf.DUMMYFUNCTION("""COMPUTED_VALUE"""),42027.7055555555)</f>
        <v>42027.705555555498</v>
      </c>
      <c r="D1195" s="111">
        <f ca="1">IFERROR(__xludf.DUMMYFUNCTION("""COMPUTED_VALUE"""),20.65)</f>
        <v>20.65</v>
      </c>
      <c r="E1195" s="112">
        <f ca="1">IFERROR(__xludf.DUMMYFUNCTION("""COMPUTED_VALUE"""),42030.7055555555)</f>
        <v>42030.705555555498</v>
      </c>
      <c r="F1195" s="111">
        <f ca="1">IFERROR(__xludf.DUMMYFUNCTION("""COMPUTED_VALUE"""),7.56)</f>
        <v>7.56</v>
      </c>
      <c r="G1195" s="112">
        <f ca="1">IFERROR(__xludf.DUMMYFUNCTION("""COMPUTED_VALUE"""),42023.7055555555)</f>
        <v>42023.705555555498</v>
      </c>
      <c r="H1195" s="111">
        <f ca="1">IFERROR(__xludf.DUMMYFUNCTION("""COMPUTED_VALUE"""),9.17)</f>
        <v>9.17</v>
      </c>
      <c r="K1195" s="112">
        <f ca="1">IFERROR(__xludf.DUMMYFUNCTION("""COMPUTED_VALUE"""),42478.7055555555)</f>
        <v>42478.705555555498</v>
      </c>
      <c r="L1195" s="111">
        <f ca="1">IFERROR(__xludf.DUMMYFUNCTION("""COMPUTED_VALUE"""),0.11)</f>
        <v>0.11</v>
      </c>
      <c r="M1195" s="112">
        <f ca="1">IFERROR(__xludf.DUMMYFUNCTION("""COMPUTED_VALUE"""),41934.7055555555)</f>
        <v>41934.705555555498</v>
      </c>
      <c r="N1195" s="111">
        <f ca="1">IFERROR(__xludf.DUMMYFUNCTION("""COMPUTED_VALUE"""),15.05)</f>
        <v>15.05</v>
      </c>
      <c r="O1195" s="112">
        <f ca="1">IFERROR(__xludf.DUMMYFUNCTION("""COMPUTED_VALUE"""),42016.7055555555)</f>
        <v>42016.705555555498</v>
      </c>
      <c r="P1195" s="111">
        <f ca="1">IFERROR(__xludf.DUMMYFUNCTION("""COMPUTED_VALUE"""),22.66)</f>
        <v>22.66</v>
      </c>
      <c r="Q1195" s="112">
        <f ca="1">IFERROR(__xludf.DUMMYFUNCTION("""COMPUTED_VALUE"""),42012.7055555555)</f>
        <v>42012.705555555498</v>
      </c>
      <c r="R1195" s="111">
        <f ca="1">IFERROR(__xludf.DUMMYFUNCTION("""COMPUTED_VALUE"""),23.64)</f>
        <v>23.64</v>
      </c>
      <c r="S1195" s="112">
        <f ca="1">IFERROR(__xludf.DUMMYFUNCTION("""COMPUTED_VALUE"""),42025.7055555555)</f>
        <v>42025.705555555498</v>
      </c>
      <c r="T1195" s="111">
        <f ca="1">IFERROR(__xludf.DUMMYFUNCTION("""COMPUTED_VALUE"""),11.04)</f>
        <v>11.04</v>
      </c>
    </row>
    <row r="1196" spans="1:20" x14ac:dyDescent="0.3">
      <c r="A1196" s="112">
        <f ca="1">IFERROR(__xludf.DUMMYFUNCTION("""COMPUTED_VALUE"""),42023.7055555555)</f>
        <v>42023.705555555498</v>
      </c>
      <c r="B1196" s="111">
        <f ca="1">IFERROR(__xludf.DUMMYFUNCTION("""COMPUTED_VALUE"""),5.3)</f>
        <v>5.3</v>
      </c>
      <c r="C1196" s="112">
        <f ca="1">IFERROR(__xludf.DUMMYFUNCTION("""COMPUTED_VALUE"""),42030.7055555555)</f>
        <v>42030.705555555498</v>
      </c>
      <c r="D1196" s="111">
        <f ca="1">IFERROR(__xludf.DUMMYFUNCTION("""COMPUTED_VALUE"""),20.85)</f>
        <v>20.85</v>
      </c>
      <c r="E1196" s="112">
        <f ca="1">IFERROR(__xludf.DUMMYFUNCTION("""COMPUTED_VALUE"""),42031.7055555555)</f>
        <v>42031.705555555498</v>
      </c>
      <c r="F1196" s="111">
        <f ca="1">IFERROR(__xludf.DUMMYFUNCTION("""COMPUTED_VALUE"""),7.56)</f>
        <v>7.56</v>
      </c>
      <c r="G1196" s="112">
        <f ca="1">IFERROR(__xludf.DUMMYFUNCTION("""COMPUTED_VALUE"""),42024.7055555555)</f>
        <v>42024.705555555498</v>
      </c>
      <c r="H1196" s="111">
        <f ca="1">IFERROR(__xludf.DUMMYFUNCTION("""COMPUTED_VALUE"""),9.31)</f>
        <v>9.31</v>
      </c>
      <c r="K1196" s="112">
        <f ca="1">IFERROR(__xludf.DUMMYFUNCTION("""COMPUTED_VALUE"""),42479.7055555555)</f>
        <v>42479.705555555498</v>
      </c>
      <c r="L1196" s="111">
        <f ca="1">IFERROR(__xludf.DUMMYFUNCTION("""COMPUTED_VALUE"""),0.11)</f>
        <v>0.11</v>
      </c>
      <c r="M1196" s="112">
        <f ca="1">IFERROR(__xludf.DUMMYFUNCTION("""COMPUTED_VALUE"""),41935.7055555555)</f>
        <v>41935.705555555498</v>
      </c>
      <c r="N1196" s="111">
        <f ca="1">IFERROR(__xludf.DUMMYFUNCTION("""COMPUTED_VALUE"""),14.15)</f>
        <v>14.15</v>
      </c>
      <c r="O1196" s="112">
        <f ca="1">IFERROR(__xludf.DUMMYFUNCTION("""COMPUTED_VALUE"""),42017.7055555555)</f>
        <v>42017.705555555498</v>
      </c>
      <c r="P1196" s="111">
        <f ca="1">IFERROR(__xludf.DUMMYFUNCTION("""COMPUTED_VALUE"""),22.66)</f>
        <v>22.66</v>
      </c>
      <c r="Q1196" s="112">
        <f ca="1">IFERROR(__xludf.DUMMYFUNCTION("""COMPUTED_VALUE"""),42013.7055555555)</f>
        <v>42013.705555555498</v>
      </c>
      <c r="R1196" s="111">
        <f ca="1">IFERROR(__xludf.DUMMYFUNCTION("""COMPUTED_VALUE"""),22.55)</f>
        <v>22.55</v>
      </c>
      <c r="S1196" s="112">
        <f ca="1">IFERROR(__xludf.DUMMYFUNCTION("""COMPUTED_VALUE"""),42026.7055555555)</f>
        <v>42026.705555555498</v>
      </c>
      <c r="T1196" s="111">
        <f ca="1">IFERROR(__xludf.DUMMYFUNCTION("""COMPUTED_VALUE"""),10.91)</f>
        <v>10.91</v>
      </c>
    </row>
    <row r="1197" spans="1:20" x14ac:dyDescent="0.3">
      <c r="A1197" s="112">
        <f ca="1">IFERROR(__xludf.DUMMYFUNCTION("""COMPUTED_VALUE"""),42024.7055555555)</f>
        <v>42024.705555555498</v>
      </c>
      <c r="B1197" s="111">
        <f ca="1">IFERROR(__xludf.DUMMYFUNCTION("""COMPUTED_VALUE"""),5.27)</f>
        <v>5.27</v>
      </c>
      <c r="C1197" s="112">
        <f ca="1">IFERROR(__xludf.DUMMYFUNCTION("""COMPUTED_VALUE"""),42031.7055555555)</f>
        <v>42031.705555555498</v>
      </c>
      <c r="D1197" s="111">
        <f ca="1">IFERROR(__xludf.DUMMYFUNCTION("""COMPUTED_VALUE"""),20.79)</f>
        <v>20.79</v>
      </c>
      <c r="E1197" s="112">
        <f ca="1">IFERROR(__xludf.DUMMYFUNCTION("""COMPUTED_VALUE"""),42032.7055555555)</f>
        <v>42032.705555555498</v>
      </c>
      <c r="F1197" s="111">
        <f ca="1">IFERROR(__xludf.DUMMYFUNCTION("""COMPUTED_VALUE"""),7.36)</f>
        <v>7.36</v>
      </c>
      <c r="G1197" s="112">
        <f ca="1">IFERROR(__xludf.DUMMYFUNCTION("""COMPUTED_VALUE"""),42025.7055555555)</f>
        <v>42025.705555555498</v>
      </c>
      <c r="H1197" s="111">
        <f ca="1">IFERROR(__xludf.DUMMYFUNCTION("""COMPUTED_VALUE"""),9.9)</f>
        <v>9.9</v>
      </c>
      <c r="K1197" s="112">
        <f ca="1">IFERROR(__xludf.DUMMYFUNCTION("""COMPUTED_VALUE"""),42480.7055555555)</f>
        <v>42480.705555555498</v>
      </c>
      <c r="L1197" s="111">
        <f ca="1">IFERROR(__xludf.DUMMYFUNCTION("""COMPUTED_VALUE"""),0.11)</f>
        <v>0.11</v>
      </c>
      <c r="M1197" s="112">
        <f ca="1">IFERROR(__xludf.DUMMYFUNCTION("""COMPUTED_VALUE"""),41936.7055555555)</f>
        <v>41936.705555555498</v>
      </c>
      <c r="N1197" s="111">
        <f ca="1">IFERROR(__xludf.DUMMYFUNCTION("""COMPUTED_VALUE"""),14.51)</f>
        <v>14.51</v>
      </c>
      <c r="O1197" s="112">
        <f ca="1">IFERROR(__xludf.DUMMYFUNCTION("""COMPUTED_VALUE"""),42018.7055555555)</f>
        <v>42018.705555555498</v>
      </c>
      <c r="P1197" s="111">
        <f ca="1">IFERROR(__xludf.DUMMYFUNCTION("""COMPUTED_VALUE"""),20.92)</f>
        <v>20.92</v>
      </c>
      <c r="Q1197" s="112">
        <f ca="1">IFERROR(__xludf.DUMMYFUNCTION("""COMPUTED_VALUE"""),42016.7055555555)</f>
        <v>42016.705555555498</v>
      </c>
      <c r="R1197" s="111">
        <f ca="1">IFERROR(__xludf.DUMMYFUNCTION("""COMPUTED_VALUE"""),22.11)</f>
        <v>22.11</v>
      </c>
      <c r="S1197" s="112">
        <f ca="1">IFERROR(__xludf.DUMMYFUNCTION("""COMPUTED_VALUE"""),42027.7055555555)</f>
        <v>42027.705555555498</v>
      </c>
      <c r="T1197" s="111">
        <f ca="1">IFERROR(__xludf.DUMMYFUNCTION("""COMPUTED_VALUE"""),10.85)</f>
        <v>10.85</v>
      </c>
    </row>
    <row r="1198" spans="1:20" x14ac:dyDescent="0.3">
      <c r="A1198" s="112">
        <f ca="1">IFERROR(__xludf.DUMMYFUNCTION("""COMPUTED_VALUE"""),42025.7055555555)</f>
        <v>42025.705555555498</v>
      </c>
      <c r="B1198" s="111">
        <f ca="1">IFERROR(__xludf.DUMMYFUNCTION("""COMPUTED_VALUE"""),5.44)</f>
        <v>5.44</v>
      </c>
      <c r="C1198" s="112">
        <f ca="1">IFERROR(__xludf.DUMMYFUNCTION("""COMPUTED_VALUE"""),42032.7055555555)</f>
        <v>42032.705555555498</v>
      </c>
      <c r="D1198" s="111">
        <f ca="1">IFERROR(__xludf.DUMMYFUNCTION("""COMPUTED_VALUE"""),20.36)</f>
        <v>20.36</v>
      </c>
      <c r="E1198" s="112">
        <f ca="1">IFERROR(__xludf.DUMMYFUNCTION("""COMPUTED_VALUE"""),42033.7055555555)</f>
        <v>42033.705555555498</v>
      </c>
      <c r="F1198" s="111">
        <f ca="1">IFERROR(__xludf.DUMMYFUNCTION("""COMPUTED_VALUE"""),7.39)</f>
        <v>7.39</v>
      </c>
      <c r="G1198" s="112">
        <f ca="1">IFERROR(__xludf.DUMMYFUNCTION("""COMPUTED_VALUE"""),42026.7055555555)</f>
        <v>42026.705555555498</v>
      </c>
      <c r="H1198" s="111">
        <f ca="1">IFERROR(__xludf.DUMMYFUNCTION("""COMPUTED_VALUE"""),10.23)</f>
        <v>10.23</v>
      </c>
      <c r="K1198" s="112">
        <f ca="1">IFERROR(__xludf.DUMMYFUNCTION("""COMPUTED_VALUE"""),42481.7055555555)</f>
        <v>42481.705555555498</v>
      </c>
      <c r="L1198" s="111">
        <f ca="1">IFERROR(__xludf.DUMMYFUNCTION("""COMPUTED_VALUE"""),0.11)</f>
        <v>0.11</v>
      </c>
      <c r="M1198" s="112">
        <f ca="1">IFERROR(__xludf.DUMMYFUNCTION("""COMPUTED_VALUE"""),41939.7055555555)</f>
        <v>41939.705555555498</v>
      </c>
      <c r="N1198" s="111">
        <f ca="1">IFERROR(__xludf.DUMMYFUNCTION("""COMPUTED_VALUE"""),14.19)</f>
        <v>14.19</v>
      </c>
      <c r="O1198" s="112">
        <f ca="1">IFERROR(__xludf.DUMMYFUNCTION("""COMPUTED_VALUE"""),42019.7055555555)</f>
        <v>42019.705555555498</v>
      </c>
      <c r="P1198" s="111">
        <f ca="1">IFERROR(__xludf.DUMMYFUNCTION("""COMPUTED_VALUE"""),21.14)</f>
        <v>21.14</v>
      </c>
      <c r="Q1198" s="112">
        <f ca="1">IFERROR(__xludf.DUMMYFUNCTION("""COMPUTED_VALUE"""),42017.7055555555)</f>
        <v>42017.705555555498</v>
      </c>
      <c r="R1198" s="111">
        <f ca="1">IFERROR(__xludf.DUMMYFUNCTION("""COMPUTED_VALUE"""),21.95)</f>
        <v>21.95</v>
      </c>
      <c r="S1198" s="112">
        <f ca="1">IFERROR(__xludf.DUMMYFUNCTION("""COMPUTED_VALUE"""),42030.7055555555)</f>
        <v>42030.705555555498</v>
      </c>
      <c r="T1198" s="111">
        <f ca="1">IFERROR(__xludf.DUMMYFUNCTION("""COMPUTED_VALUE"""),10.78)</f>
        <v>10.78</v>
      </c>
    </row>
    <row r="1199" spans="1:20" x14ac:dyDescent="0.3">
      <c r="A1199" s="112">
        <f ca="1">IFERROR(__xludf.DUMMYFUNCTION("""COMPUTED_VALUE"""),42026.7055555555)</f>
        <v>42026.705555555498</v>
      </c>
      <c r="B1199" s="111">
        <f ca="1">IFERROR(__xludf.DUMMYFUNCTION("""COMPUTED_VALUE"""),5.41)</f>
        <v>5.41</v>
      </c>
      <c r="C1199" s="112">
        <f ca="1">IFERROR(__xludf.DUMMYFUNCTION("""COMPUTED_VALUE"""),42033.7055555555)</f>
        <v>42033.705555555498</v>
      </c>
      <c r="D1199" s="111">
        <f ca="1">IFERROR(__xludf.DUMMYFUNCTION("""COMPUTED_VALUE"""),20.1)</f>
        <v>20.100000000000001</v>
      </c>
      <c r="E1199" s="112">
        <f ca="1">IFERROR(__xludf.DUMMYFUNCTION("""COMPUTED_VALUE"""),42034.7055555555)</f>
        <v>42034.705555555498</v>
      </c>
      <c r="F1199" s="111">
        <f ca="1">IFERROR(__xludf.DUMMYFUNCTION("""COMPUTED_VALUE"""),7.21)</f>
        <v>7.21</v>
      </c>
      <c r="G1199" s="112">
        <f ca="1">IFERROR(__xludf.DUMMYFUNCTION("""COMPUTED_VALUE"""),42027.7055555555)</f>
        <v>42027.705555555498</v>
      </c>
      <c r="H1199" s="111">
        <f ca="1">IFERROR(__xludf.DUMMYFUNCTION("""COMPUTED_VALUE"""),9.98)</f>
        <v>9.98</v>
      </c>
      <c r="K1199" s="112">
        <f ca="1">IFERROR(__xludf.DUMMYFUNCTION("""COMPUTED_VALUE"""),42482.7055555555)</f>
        <v>42482.705555555498</v>
      </c>
      <c r="L1199" s="111">
        <f ca="1">IFERROR(__xludf.DUMMYFUNCTION("""COMPUTED_VALUE"""),0.11)</f>
        <v>0.11</v>
      </c>
      <c r="M1199" s="112">
        <f ca="1">IFERROR(__xludf.DUMMYFUNCTION("""COMPUTED_VALUE"""),41940.7055555555)</f>
        <v>41940.705555555498</v>
      </c>
      <c r="N1199" s="111">
        <f ca="1">IFERROR(__xludf.DUMMYFUNCTION("""COMPUTED_VALUE"""),15.15)</f>
        <v>15.15</v>
      </c>
      <c r="O1199" s="112">
        <f ca="1">IFERROR(__xludf.DUMMYFUNCTION("""COMPUTED_VALUE"""),42020.7055555555)</f>
        <v>42020.705555555498</v>
      </c>
      <c r="P1199" s="111">
        <f ca="1">IFERROR(__xludf.DUMMYFUNCTION("""COMPUTED_VALUE"""),21.81)</f>
        <v>21.81</v>
      </c>
      <c r="Q1199" s="112">
        <f ca="1">IFERROR(__xludf.DUMMYFUNCTION("""COMPUTED_VALUE"""),42018.7055555555)</f>
        <v>42018.705555555498</v>
      </c>
      <c r="R1199" s="111">
        <f ca="1">IFERROR(__xludf.DUMMYFUNCTION("""COMPUTED_VALUE"""),22.4)</f>
        <v>22.4</v>
      </c>
      <c r="S1199" s="112">
        <f ca="1">IFERROR(__xludf.DUMMYFUNCTION("""COMPUTED_VALUE"""),42031.7055555555)</f>
        <v>42031.705555555498</v>
      </c>
      <c r="T1199" s="111">
        <f ca="1">IFERROR(__xludf.DUMMYFUNCTION("""COMPUTED_VALUE"""),10.8)</f>
        <v>10.8</v>
      </c>
    </row>
    <row r="1200" spans="1:20" x14ac:dyDescent="0.3">
      <c r="A1200" s="112">
        <f ca="1">IFERROR(__xludf.DUMMYFUNCTION("""COMPUTED_VALUE"""),42027.7055555555)</f>
        <v>42027.705555555498</v>
      </c>
      <c r="B1200" s="111">
        <f ca="1">IFERROR(__xludf.DUMMYFUNCTION("""COMPUTED_VALUE"""),5.16)</f>
        <v>5.16</v>
      </c>
      <c r="C1200" s="112">
        <f ca="1">IFERROR(__xludf.DUMMYFUNCTION("""COMPUTED_VALUE"""),42034.7055555555)</f>
        <v>42034.705555555498</v>
      </c>
      <c r="D1200" s="111">
        <f ca="1">IFERROR(__xludf.DUMMYFUNCTION("""COMPUTED_VALUE"""),19.87)</f>
        <v>19.87</v>
      </c>
      <c r="E1200" s="112">
        <f ca="1">IFERROR(__xludf.DUMMYFUNCTION("""COMPUTED_VALUE"""),42037.7055555555)</f>
        <v>42037.705555555498</v>
      </c>
      <c r="F1200" s="111">
        <f ca="1">IFERROR(__xludf.DUMMYFUNCTION("""COMPUTED_VALUE"""),7.33)</f>
        <v>7.33</v>
      </c>
      <c r="G1200" s="112">
        <f ca="1">IFERROR(__xludf.DUMMYFUNCTION("""COMPUTED_VALUE"""),42030.7055555555)</f>
        <v>42030.705555555498</v>
      </c>
      <c r="H1200" s="111">
        <f ca="1">IFERROR(__xludf.DUMMYFUNCTION("""COMPUTED_VALUE"""),9.83)</f>
        <v>9.83</v>
      </c>
      <c r="K1200" s="112">
        <f ca="1">IFERROR(__xludf.DUMMYFUNCTION("""COMPUTED_VALUE"""),42485.7055555555)</f>
        <v>42485.705555555498</v>
      </c>
      <c r="L1200" s="111">
        <f ca="1">IFERROR(__xludf.DUMMYFUNCTION("""COMPUTED_VALUE"""),0.11)</f>
        <v>0.11</v>
      </c>
      <c r="M1200" s="112">
        <f ca="1">IFERROR(__xludf.DUMMYFUNCTION("""COMPUTED_VALUE"""),41941.7055555555)</f>
        <v>41941.705555555498</v>
      </c>
      <c r="N1200" s="111">
        <f ca="1">IFERROR(__xludf.DUMMYFUNCTION("""COMPUTED_VALUE"""),14.55)</f>
        <v>14.55</v>
      </c>
      <c r="O1200" s="112">
        <f ca="1">IFERROR(__xludf.DUMMYFUNCTION("""COMPUTED_VALUE"""),42023.7055555555)</f>
        <v>42023.705555555498</v>
      </c>
      <c r="P1200" s="111">
        <f ca="1">IFERROR(__xludf.DUMMYFUNCTION("""COMPUTED_VALUE"""),21.51)</f>
        <v>21.51</v>
      </c>
      <c r="Q1200" s="112">
        <f ca="1">IFERROR(__xludf.DUMMYFUNCTION("""COMPUTED_VALUE"""),42019.7055555555)</f>
        <v>42019.705555555498</v>
      </c>
      <c r="R1200" s="111">
        <f ca="1">IFERROR(__xludf.DUMMYFUNCTION("""COMPUTED_VALUE"""),22.22)</f>
        <v>22.22</v>
      </c>
      <c r="S1200" s="112">
        <f ca="1">IFERROR(__xludf.DUMMYFUNCTION("""COMPUTED_VALUE"""),42032.7055555555)</f>
        <v>42032.705555555498</v>
      </c>
      <c r="T1200" s="111">
        <f ca="1">IFERROR(__xludf.DUMMYFUNCTION("""COMPUTED_VALUE"""),10.81)</f>
        <v>10.81</v>
      </c>
    </row>
    <row r="1201" spans="1:20" x14ac:dyDescent="0.3">
      <c r="A1201" s="112">
        <f ca="1">IFERROR(__xludf.DUMMYFUNCTION("""COMPUTED_VALUE"""),42030.7055555555)</f>
        <v>42030.705555555498</v>
      </c>
      <c r="B1201" s="111">
        <f ca="1">IFERROR(__xludf.DUMMYFUNCTION("""COMPUTED_VALUE"""),5.19)</f>
        <v>5.19</v>
      </c>
      <c r="C1201" s="112">
        <f ca="1">IFERROR(__xludf.DUMMYFUNCTION("""COMPUTED_VALUE"""),42037.7055555555)</f>
        <v>42037.705555555498</v>
      </c>
      <c r="D1201" s="111">
        <f ca="1">IFERROR(__xludf.DUMMYFUNCTION("""COMPUTED_VALUE"""),20.32)</f>
        <v>20.32</v>
      </c>
      <c r="E1201" s="112">
        <f ca="1">IFERROR(__xludf.DUMMYFUNCTION("""COMPUTED_VALUE"""),42038.7055555555)</f>
        <v>42038.705555555498</v>
      </c>
      <c r="F1201" s="111">
        <f ca="1">IFERROR(__xludf.DUMMYFUNCTION("""COMPUTED_VALUE"""),7.5)</f>
        <v>7.5</v>
      </c>
      <c r="G1201" s="112">
        <f ca="1">IFERROR(__xludf.DUMMYFUNCTION("""COMPUTED_VALUE"""),42031.7055555555)</f>
        <v>42031.705555555498</v>
      </c>
      <c r="H1201" s="111">
        <f ca="1">IFERROR(__xludf.DUMMYFUNCTION("""COMPUTED_VALUE"""),10.14)</f>
        <v>10.14</v>
      </c>
      <c r="K1201" s="112">
        <f ca="1">IFERROR(__xludf.DUMMYFUNCTION("""COMPUTED_VALUE"""),42486.7055555555)</f>
        <v>42486.705555555498</v>
      </c>
      <c r="L1201" s="111">
        <f ca="1">IFERROR(__xludf.DUMMYFUNCTION("""COMPUTED_VALUE"""),0.11)</f>
        <v>0.11</v>
      </c>
      <c r="M1201" s="112">
        <f ca="1">IFERROR(__xludf.DUMMYFUNCTION("""COMPUTED_VALUE"""),41942.7055555555)</f>
        <v>41942.705555555498</v>
      </c>
      <c r="N1201" s="111">
        <f ca="1">IFERROR(__xludf.DUMMYFUNCTION("""COMPUTED_VALUE"""),15.55)</f>
        <v>15.55</v>
      </c>
      <c r="O1201" s="112">
        <f ca="1">IFERROR(__xludf.DUMMYFUNCTION("""COMPUTED_VALUE"""),42024.7055555555)</f>
        <v>42024.705555555498</v>
      </c>
      <c r="P1201" s="111">
        <f ca="1">IFERROR(__xludf.DUMMYFUNCTION("""COMPUTED_VALUE"""),21.79)</f>
        <v>21.79</v>
      </c>
      <c r="Q1201" s="112">
        <f ca="1">IFERROR(__xludf.DUMMYFUNCTION("""COMPUTED_VALUE"""),42020.7055555555)</f>
        <v>42020.705555555498</v>
      </c>
      <c r="R1201" s="111">
        <f ca="1">IFERROR(__xludf.DUMMYFUNCTION("""COMPUTED_VALUE"""),22.47)</f>
        <v>22.47</v>
      </c>
      <c r="S1201" s="112">
        <f ca="1">IFERROR(__xludf.DUMMYFUNCTION("""COMPUTED_VALUE"""),42033.7055555555)</f>
        <v>42033.705555555498</v>
      </c>
      <c r="T1201" s="111">
        <f ca="1">IFERROR(__xludf.DUMMYFUNCTION("""COMPUTED_VALUE"""),10.84)</f>
        <v>10.84</v>
      </c>
    </row>
    <row r="1202" spans="1:20" x14ac:dyDescent="0.3">
      <c r="A1202" s="112">
        <f ca="1">IFERROR(__xludf.DUMMYFUNCTION("""COMPUTED_VALUE"""),42031.7055555555)</f>
        <v>42031.705555555498</v>
      </c>
      <c r="B1202" s="111">
        <f ca="1">IFERROR(__xludf.DUMMYFUNCTION("""COMPUTED_VALUE"""),5.19)</f>
        <v>5.19</v>
      </c>
      <c r="C1202" s="112">
        <f ca="1">IFERROR(__xludf.DUMMYFUNCTION("""COMPUTED_VALUE"""),42038.7055555555)</f>
        <v>42038.705555555498</v>
      </c>
      <c r="D1202" s="111">
        <f ca="1">IFERROR(__xludf.DUMMYFUNCTION("""COMPUTED_VALUE"""),20.74)</f>
        <v>20.74</v>
      </c>
      <c r="E1202" s="112">
        <f ca="1">IFERROR(__xludf.DUMMYFUNCTION("""COMPUTED_VALUE"""),42039.7055555555)</f>
        <v>42039.705555555498</v>
      </c>
      <c r="F1202" s="111">
        <f ca="1">IFERROR(__xludf.DUMMYFUNCTION("""COMPUTED_VALUE"""),7.83)</f>
        <v>7.83</v>
      </c>
      <c r="G1202" s="112">
        <f ca="1">IFERROR(__xludf.DUMMYFUNCTION("""COMPUTED_VALUE"""),42032.7055555555)</f>
        <v>42032.705555555498</v>
      </c>
      <c r="H1202" s="111">
        <f ca="1">IFERROR(__xludf.DUMMYFUNCTION("""COMPUTED_VALUE"""),9.11)</f>
        <v>9.11</v>
      </c>
      <c r="K1202" s="112">
        <f ca="1">IFERROR(__xludf.DUMMYFUNCTION("""COMPUTED_VALUE"""),42487.7055555555)</f>
        <v>42487.705555555498</v>
      </c>
      <c r="L1202" s="111">
        <f ca="1">IFERROR(__xludf.DUMMYFUNCTION("""COMPUTED_VALUE"""),0.14)</f>
        <v>0.14000000000000001</v>
      </c>
      <c r="M1202" s="112">
        <f ca="1">IFERROR(__xludf.DUMMYFUNCTION("""COMPUTED_VALUE"""),41943.7055555555)</f>
        <v>41943.705555555498</v>
      </c>
      <c r="N1202" s="111">
        <f ca="1">IFERROR(__xludf.DUMMYFUNCTION("""COMPUTED_VALUE"""),16.09)</f>
        <v>16.09</v>
      </c>
      <c r="O1202" s="112">
        <f ca="1">IFERROR(__xludf.DUMMYFUNCTION("""COMPUTED_VALUE"""),42025.7055555555)</f>
        <v>42025.705555555498</v>
      </c>
      <c r="P1202" s="111">
        <f ca="1">IFERROR(__xludf.DUMMYFUNCTION("""COMPUTED_VALUE"""),22.26)</f>
        <v>22.26</v>
      </c>
      <c r="Q1202" s="112">
        <f ca="1">IFERROR(__xludf.DUMMYFUNCTION("""COMPUTED_VALUE"""),42023.7055555555)</f>
        <v>42023.705555555498</v>
      </c>
      <c r="R1202" s="111">
        <f ca="1">IFERROR(__xludf.DUMMYFUNCTION("""COMPUTED_VALUE"""),22.32)</f>
        <v>22.32</v>
      </c>
      <c r="S1202" s="112">
        <f ca="1">IFERROR(__xludf.DUMMYFUNCTION("""COMPUTED_VALUE"""),42034.7055555555)</f>
        <v>42034.705555555498</v>
      </c>
      <c r="T1202" s="111">
        <f ca="1">IFERROR(__xludf.DUMMYFUNCTION("""COMPUTED_VALUE"""),10.55)</f>
        <v>10.55</v>
      </c>
    </row>
    <row r="1203" spans="1:20" x14ac:dyDescent="0.3">
      <c r="A1203" s="112">
        <f ca="1">IFERROR(__xludf.DUMMYFUNCTION("""COMPUTED_VALUE"""),42032.7055555555)</f>
        <v>42032.705555555498</v>
      </c>
      <c r="B1203" s="111">
        <f ca="1">IFERROR(__xludf.DUMMYFUNCTION("""COMPUTED_VALUE"""),5.21)</f>
        <v>5.21</v>
      </c>
      <c r="C1203" s="112">
        <f ca="1">IFERROR(__xludf.DUMMYFUNCTION("""COMPUTED_VALUE"""),42039.7055555555)</f>
        <v>42039.705555555498</v>
      </c>
      <c r="D1203" s="111">
        <f ca="1">IFERROR(__xludf.DUMMYFUNCTION("""COMPUTED_VALUE"""),21.64)</f>
        <v>21.64</v>
      </c>
      <c r="E1203" s="112">
        <f ca="1">IFERROR(__xludf.DUMMYFUNCTION("""COMPUTED_VALUE"""),42040.7055555555)</f>
        <v>42040.705555555498</v>
      </c>
      <c r="F1203" s="111">
        <f ca="1">IFERROR(__xludf.DUMMYFUNCTION("""COMPUTED_VALUE"""),7.86)</f>
        <v>7.86</v>
      </c>
      <c r="G1203" s="112">
        <f ca="1">IFERROR(__xludf.DUMMYFUNCTION("""COMPUTED_VALUE"""),42033.7055555555)</f>
        <v>42033.705555555498</v>
      </c>
      <c r="H1203" s="111">
        <f ca="1">IFERROR(__xludf.DUMMYFUNCTION("""COMPUTED_VALUE"""),8.67)</f>
        <v>8.67</v>
      </c>
      <c r="K1203" s="112">
        <f ca="1">IFERROR(__xludf.DUMMYFUNCTION("""COMPUTED_VALUE"""),42488.7055555555)</f>
        <v>42488.705555555498</v>
      </c>
      <c r="L1203" s="111">
        <f ca="1">IFERROR(__xludf.DUMMYFUNCTION("""COMPUTED_VALUE"""),0.13)</f>
        <v>0.13</v>
      </c>
      <c r="M1203" s="112">
        <f ca="1">IFERROR(__xludf.DUMMYFUNCTION("""COMPUTED_VALUE"""),41946.7055555555)</f>
        <v>41946.705555555498</v>
      </c>
      <c r="N1203" s="111">
        <f ca="1">IFERROR(__xludf.DUMMYFUNCTION("""COMPUTED_VALUE"""),15.89)</f>
        <v>15.89</v>
      </c>
      <c r="O1203" s="112">
        <f ca="1">IFERROR(__xludf.DUMMYFUNCTION("""COMPUTED_VALUE"""),42026.7055555555)</f>
        <v>42026.705555555498</v>
      </c>
      <c r="P1203" s="111">
        <f ca="1">IFERROR(__xludf.DUMMYFUNCTION("""COMPUTED_VALUE"""),22.11)</f>
        <v>22.11</v>
      </c>
      <c r="Q1203" s="112">
        <f ca="1">IFERROR(__xludf.DUMMYFUNCTION("""COMPUTED_VALUE"""),42024.7055555555)</f>
        <v>42024.705555555498</v>
      </c>
      <c r="R1203" s="111">
        <f ca="1">IFERROR(__xludf.DUMMYFUNCTION("""COMPUTED_VALUE"""),22.2)</f>
        <v>22.2</v>
      </c>
      <c r="S1203" s="112">
        <f ca="1">IFERROR(__xludf.DUMMYFUNCTION("""COMPUTED_VALUE"""),42037.7055555555)</f>
        <v>42037.705555555498</v>
      </c>
      <c r="T1203" s="111">
        <f ca="1">IFERROR(__xludf.DUMMYFUNCTION("""COMPUTED_VALUE"""),10.78)</f>
        <v>10.78</v>
      </c>
    </row>
    <row r="1204" spans="1:20" x14ac:dyDescent="0.3">
      <c r="A1204" s="112">
        <f ca="1">IFERROR(__xludf.DUMMYFUNCTION("""COMPUTED_VALUE"""),42033.7055555555)</f>
        <v>42033.705555555498</v>
      </c>
      <c r="B1204" s="111">
        <f ca="1">IFERROR(__xludf.DUMMYFUNCTION("""COMPUTED_VALUE"""),5.24)</f>
        <v>5.24</v>
      </c>
      <c r="C1204" s="112">
        <f ca="1">IFERROR(__xludf.DUMMYFUNCTION("""COMPUTED_VALUE"""),42040.7055555555)</f>
        <v>42040.705555555498</v>
      </c>
      <c r="D1204" s="111">
        <f ca="1">IFERROR(__xludf.DUMMYFUNCTION("""COMPUTED_VALUE"""),21.45)</f>
        <v>21.45</v>
      </c>
      <c r="E1204" s="112">
        <f ca="1">IFERROR(__xludf.DUMMYFUNCTION("""COMPUTED_VALUE"""),42041.7055555555)</f>
        <v>42041.705555555498</v>
      </c>
      <c r="F1204" s="111">
        <f ca="1">IFERROR(__xludf.DUMMYFUNCTION("""COMPUTED_VALUE"""),7.83)</f>
        <v>7.83</v>
      </c>
      <c r="G1204" s="112">
        <f ca="1">IFERROR(__xludf.DUMMYFUNCTION("""COMPUTED_VALUE"""),42034.7055555555)</f>
        <v>42034.705555555498</v>
      </c>
      <c r="H1204" s="111">
        <f ca="1">IFERROR(__xludf.DUMMYFUNCTION("""COMPUTED_VALUE"""),8.3)</f>
        <v>8.3000000000000007</v>
      </c>
      <c r="K1204" s="112">
        <f ca="1">IFERROR(__xludf.DUMMYFUNCTION("""COMPUTED_VALUE"""),42489.7055555555)</f>
        <v>42489.705555555498</v>
      </c>
      <c r="L1204" s="111">
        <f ca="1">IFERROR(__xludf.DUMMYFUNCTION("""COMPUTED_VALUE"""),0.13)</f>
        <v>0.13</v>
      </c>
      <c r="M1204" s="112">
        <f ca="1">IFERROR(__xludf.DUMMYFUNCTION("""COMPUTED_VALUE"""),41947.7055555555)</f>
        <v>41947.705555555498</v>
      </c>
      <c r="N1204" s="111">
        <f ca="1">IFERROR(__xludf.DUMMYFUNCTION("""COMPUTED_VALUE"""),16.08)</f>
        <v>16.079999999999998</v>
      </c>
      <c r="O1204" s="112">
        <f ca="1">IFERROR(__xludf.DUMMYFUNCTION("""COMPUTED_VALUE"""),42027.7055555555)</f>
        <v>42027.705555555498</v>
      </c>
      <c r="P1204" s="111">
        <f ca="1">IFERROR(__xludf.DUMMYFUNCTION("""COMPUTED_VALUE"""),20.34)</f>
        <v>20.34</v>
      </c>
      <c r="Q1204" s="112">
        <f ca="1">IFERROR(__xludf.DUMMYFUNCTION("""COMPUTED_VALUE"""),42025.7055555555)</f>
        <v>42025.705555555498</v>
      </c>
      <c r="R1204" s="111">
        <f ca="1">IFERROR(__xludf.DUMMYFUNCTION("""COMPUTED_VALUE"""),22.67)</f>
        <v>22.67</v>
      </c>
      <c r="S1204" s="112">
        <f ca="1">IFERROR(__xludf.DUMMYFUNCTION("""COMPUTED_VALUE"""),42038.7055555555)</f>
        <v>42038.705555555498</v>
      </c>
      <c r="T1204" s="111">
        <f ca="1">IFERROR(__xludf.DUMMYFUNCTION("""COMPUTED_VALUE"""),10.81)</f>
        <v>10.81</v>
      </c>
    </row>
    <row r="1205" spans="1:20" x14ac:dyDescent="0.3">
      <c r="A1205" s="112">
        <f ca="1">IFERROR(__xludf.DUMMYFUNCTION("""COMPUTED_VALUE"""),42034.7055555555)</f>
        <v>42034.705555555498</v>
      </c>
      <c r="B1205" s="111">
        <f ca="1">IFERROR(__xludf.DUMMYFUNCTION("""COMPUTED_VALUE"""),5)</f>
        <v>5</v>
      </c>
      <c r="C1205" s="112">
        <f ca="1">IFERROR(__xludf.DUMMYFUNCTION("""COMPUTED_VALUE"""),42041.7055555555)</f>
        <v>42041.705555555498</v>
      </c>
      <c r="D1205" s="111">
        <f ca="1">IFERROR(__xludf.DUMMYFUNCTION("""COMPUTED_VALUE"""),21.19)</f>
        <v>21.19</v>
      </c>
      <c r="E1205" s="112">
        <f ca="1">IFERROR(__xludf.DUMMYFUNCTION("""COMPUTED_VALUE"""),42044.7055555555)</f>
        <v>42044.705555555498</v>
      </c>
      <c r="F1205" s="111">
        <f ca="1">IFERROR(__xludf.DUMMYFUNCTION("""COMPUTED_VALUE"""),7.86)</f>
        <v>7.86</v>
      </c>
      <c r="G1205" s="112">
        <f ca="1">IFERROR(__xludf.DUMMYFUNCTION("""COMPUTED_VALUE"""),42037.7055555555)</f>
        <v>42037.705555555498</v>
      </c>
      <c r="H1205" s="111">
        <f ca="1">IFERROR(__xludf.DUMMYFUNCTION("""COMPUTED_VALUE"""),8.79)</f>
        <v>8.7899999999999991</v>
      </c>
      <c r="K1205" s="112">
        <f ca="1">IFERROR(__xludf.DUMMYFUNCTION("""COMPUTED_VALUE"""),42492.7055555555)</f>
        <v>42492.705555555498</v>
      </c>
      <c r="L1205" s="111">
        <f ca="1">IFERROR(__xludf.DUMMYFUNCTION("""COMPUTED_VALUE"""),0.14)</f>
        <v>0.14000000000000001</v>
      </c>
      <c r="M1205" s="112">
        <f ca="1">IFERROR(__xludf.DUMMYFUNCTION("""COMPUTED_VALUE"""),41948.7055555555)</f>
        <v>41948.705555555498</v>
      </c>
      <c r="N1205" s="111">
        <f ca="1">IFERROR(__xludf.DUMMYFUNCTION("""COMPUTED_VALUE"""),15.85)</f>
        <v>15.85</v>
      </c>
      <c r="O1205" s="112">
        <f ca="1">IFERROR(__xludf.DUMMYFUNCTION("""COMPUTED_VALUE"""),42030.7055555555)</f>
        <v>42030.705555555498</v>
      </c>
      <c r="P1205" s="111">
        <f ca="1">IFERROR(__xludf.DUMMYFUNCTION("""COMPUTED_VALUE"""),19.38)</f>
        <v>19.38</v>
      </c>
      <c r="Q1205" s="112">
        <f ca="1">IFERROR(__xludf.DUMMYFUNCTION("""COMPUTED_VALUE"""),42026.7055555555)</f>
        <v>42026.705555555498</v>
      </c>
      <c r="R1205" s="111">
        <f ca="1">IFERROR(__xludf.DUMMYFUNCTION("""COMPUTED_VALUE"""),22.91)</f>
        <v>22.91</v>
      </c>
      <c r="S1205" s="112">
        <f ca="1">IFERROR(__xludf.DUMMYFUNCTION("""COMPUTED_VALUE"""),42039.7055555555)</f>
        <v>42039.705555555498</v>
      </c>
      <c r="T1205" s="111">
        <f ca="1">IFERROR(__xludf.DUMMYFUNCTION("""COMPUTED_VALUE"""),10.79)</f>
        <v>10.79</v>
      </c>
    </row>
    <row r="1206" spans="1:20" x14ac:dyDescent="0.3">
      <c r="A1206" s="112">
        <f ca="1">IFERROR(__xludf.DUMMYFUNCTION("""COMPUTED_VALUE"""),42037.7055555555)</f>
        <v>42037.705555555498</v>
      </c>
      <c r="B1206" s="111">
        <f ca="1">IFERROR(__xludf.DUMMYFUNCTION("""COMPUTED_VALUE"""),5.13)</f>
        <v>5.13</v>
      </c>
      <c r="C1206" s="112">
        <f ca="1">IFERROR(__xludf.DUMMYFUNCTION("""COMPUTED_VALUE"""),42044.7055555555)</f>
        <v>42044.705555555498</v>
      </c>
      <c r="D1206" s="111">
        <f ca="1">IFERROR(__xludf.DUMMYFUNCTION("""COMPUTED_VALUE"""),21.51)</f>
        <v>21.51</v>
      </c>
      <c r="E1206" s="112">
        <f ca="1">IFERROR(__xludf.DUMMYFUNCTION("""COMPUTED_VALUE"""),42045.7055555555)</f>
        <v>42045.705555555498</v>
      </c>
      <c r="F1206" s="111">
        <f ca="1">IFERROR(__xludf.DUMMYFUNCTION("""COMPUTED_VALUE"""),7.71)</f>
        <v>7.71</v>
      </c>
      <c r="G1206" s="112">
        <f ca="1">IFERROR(__xludf.DUMMYFUNCTION("""COMPUTED_VALUE"""),42038.7055555555)</f>
        <v>42038.705555555498</v>
      </c>
      <c r="H1206" s="111">
        <f ca="1">IFERROR(__xludf.DUMMYFUNCTION("""COMPUTED_VALUE"""),9.97)</f>
        <v>9.9700000000000006</v>
      </c>
      <c r="K1206" s="112">
        <f ca="1">IFERROR(__xludf.DUMMYFUNCTION("""COMPUTED_VALUE"""),42493.7055555555)</f>
        <v>42493.705555555498</v>
      </c>
      <c r="L1206" s="111">
        <f ca="1">IFERROR(__xludf.DUMMYFUNCTION("""COMPUTED_VALUE"""),0.13)</f>
        <v>0.13</v>
      </c>
      <c r="M1206" s="112">
        <f ca="1">IFERROR(__xludf.DUMMYFUNCTION("""COMPUTED_VALUE"""),41949.7055555555)</f>
        <v>41949.705555555498</v>
      </c>
      <c r="N1206" s="111">
        <f ca="1">IFERROR(__xludf.DUMMYFUNCTION("""COMPUTED_VALUE"""),15.5)</f>
        <v>15.5</v>
      </c>
      <c r="O1206" s="112">
        <f ca="1">IFERROR(__xludf.DUMMYFUNCTION("""COMPUTED_VALUE"""),42031.7055555555)</f>
        <v>42031.705555555498</v>
      </c>
      <c r="P1206" s="111">
        <f ca="1">IFERROR(__xludf.DUMMYFUNCTION("""COMPUTED_VALUE"""),19.04)</f>
        <v>19.04</v>
      </c>
      <c r="Q1206" s="112">
        <f ca="1">IFERROR(__xludf.DUMMYFUNCTION("""COMPUTED_VALUE"""),42027.7055555555)</f>
        <v>42027.705555555498</v>
      </c>
      <c r="R1206" s="111">
        <f ca="1">IFERROR(__xludf.DUMMYFUNCTION("""COMPUTED_VALUE"""),22.72)</f>
        <v>22.72</v>
      </c>
      <c r="S1206" s="112">
        <f ca="1">IFERROR(__xludf.DUMMYFUNCTION("""COMPUTED_VALUE"""),42040.7055555555)</f>
        <v>42040.705555555498</v>
      </c>
      <c r="T1206" s="111">
        <f ca="1">IFERROR(__xludf.DUMMYFUNCTION("""COMPUTED_VALUE"""),11.03)</f>
        <v>11.03</v>
      </c>
    </row>
    <row r="1207" spans="1:20" x14ac:dyDescent="0.3">
      <c r="A1207" s="112">
        <f ca="1">IFERROR(__xludf.DUMMYFUNCTION("""COMPUTED_VALUE"""),42038.7055555555)</f>
        <v>42038.705555555498</v>
      </c>
      <c r="B1207" s="111">
        <f ca="1">IFERROR(__xludf.DUMMYFUNCTION("""COMPUTED_VALUE"""),5.31)</f>
        <v>5.31</v>
      </c>
      <c r="C1207" s="112">
        <f ca="1">IFERROR(__xludf.DUMMYFUNCTION("""COMPUTED_VALUE"""),42045.7055555555)</f>
        <v>42045.705555555498</v>
      </c>
      <c r="D1207" s="111">
        <f ca="1">IFERROR(__xludf.DUMMYFUNCTION("""COMPUTED_VALUE"""),21.15)</f>
        <v>21.15</v>
      </c>
      <c r="E1207" s="112">
        <f ca="1">IFERROR(__xludf.DUMMYFUNCTION("""COMPUTED_VALUE"""),42046.7055555555)</f>
        <v>42046.705555555498</v>
      </c>
      <c r="F1207" s="111">
        <f ca="1">IFERROR(__xludf.DUMMYFUNCTION("""COMPUTED_VALUE"""),7.4)</f>
        <v>7.4</v>
      </c>
      <c r="G1207" s="112">
        <f ca="1">IFERROR(__xludf.DUMMYFUNCTION("""COMPUTED_VALUE"""),42039.7055555555)</f>
        <v>42039.705555555498</v>
      </c>
      <c r="H1207" s="111">
        <f ca="1">IFERROR(__xludf.DUMMYFUNCTION("""COMPUTED_VALUE"""),10.02)</f>
        <v>10.02</v>
      </c>
      <c r="K1207" s="112">
        <f ca="1">IFERROR(__xludf.DUMMYFUNCTION("""COMPUTED_VALUE"""),42494.7055555555)</f>
        <v>42494.705555555498</v>
      </c>
      <c r="L1207" s="111">
        <f ca="1">IFERROR(__xludf.DUMMYFUNCTION("""COMPUTED_VALUE"""),0.13)</f>
        <v>0.13</v>
      </c>
      <c r="M1207" s="112">
        <f ca="1">IFERROR(__xludf.DUMMYFUNCTION("""COMPUTED_VALUE"""),41950.7055555555)</f>
        <v>41950.705555555498</v>
      </c>
      <c r="N1207" s="111">
        <f ca="1">IFERROR(__xludf.DUMMYFUNCTION("""COMPUTED_VALUE"""),15.56)</f>
        <v>15.56</v>
      </c>
      <c r="O1207" s="112">
        <f ca="1">IFERROR(__xludf.DUMMYFUNCTION("""COMPUTED_VALUE"""),42032.7055555555)</f>
        <v>42032.705555555498</v>
      </c>
      <c r="P1207" s="111">
        <f ca="1">IFERROR(__xludf.DUMMYFUNCTION("""COMPUTED_VALUE"""),18.9)</f>
        <v>18.899999999999999</v>
      </c>
      <c r="Q1207" s="112">
        <f ca="1">IFERROR(__xludf.DUMMYFUNCTION("""COMPUTED_VALUE"""),42030.7055555555)</f>
        <v>42030.705555555498</v>
      </c>
      <c r="R1207" s="111">
        <f ca="1">IFERROR(__xludf.DUMMYFUNCTION("""COMPUTED_VALUE"""),22.56)</f>
        <v>22.56</v>
      </c>
      <c r="S1207" s="112">
        <f ca="1">IFERROR(__xludf.DUMMYFUNCTION("""COMPUTED_VALUE"""),42041.7055555555)</f>
        <v>42041.705555555498</v>
      </c>
      <c r="T1207" s="111">
        <f ca="1">IFERROR(__xludf.DUMMYFUNCTION("""COMPUTED_VALUE"""),10.78)</f>
        <v>10.78</v>
      </c>
    </row>
    <row r="1208" spans="1:20" x14ac:dyDescent="0.3">
      <c r="A1208" s="112">
        <f ca="1">IFERROR(__xludf.DUMMYFUNCTION("""COMPUTED_VALUE"""),42039.7055555555)</f>
        <v>42039.705555555498</v>
      </c>
      <c r="B1208" s="111">
        <f ca="1">IFERROR(__xludf.DUMMYFUNCTION("""COMPUTED_VALUE"""),5.18)</f>
        <v>5.18</v>
      </c>
      <c r="C1208" s="112">
        <f ca="1">IFERROR(__xludf.DUMMYFUNCTION("""COMPUTED_VALUE"""),42046.7055555555)</f>
        <v>42046.705555555498</v>
      </c>
      <c r="D1208" s="111">
        <f ca="1">IFERROR(__xludf.DUMMYFUNCTION("""COMPUTED_VALUE"""),20.3)</f>
        <v>20.3</v>
      </c>
      <c r="E1208" s="112">
        <f ca="1">IFERROR(__xludf.DUMMYFUNCTION("""COMPUTED_VALUE"""),42047.7055555555)</f>
        <v>42047.705555555498</v>
      </c>
      <c r="F1208" s="111">
        <f ca="1">IFERROR(__xludf.DUMMYFUNCTION("""COMPUTED_VALUE"""),7.54)</f>
        <v>7.54</v>
      </c>
      <c r="G1208" s="112">
        <f ca="1">IFERROR(__xludf.DUMMYFUNCTION("""COMPUTED_VALUE"""),42040.7055555555)</f>
        <v>42040.705555555498</v>
      </c>
      <c r="H1208" s="111">
        <f ca="1">IFERROR(__xludf.DUMMYFUNCTION("""COMPUTED_VALUE"""),9.83)</f>
        <v>9.83</v>
      </c>
      <c r="K1208" s="112">
        <f ca="1">IFERROR(__xludf.DUMMYFUNCTION("""COMPUTED_VALUE"""),42495.7055555555)</f>
        <v>42495.705555555498</v>
      </c>
      <c r="L1208" s="111">
        <f ca="1">IFERROR(__xludf.DUMMYFUNCTION("""COMPUTED_VALUE"""),0.11)</f>
        <v>0.11</v>
      </c>
      <c r="M1208" s="112">
        <f ca="1">IFERROR(__xludf.DUMMYFUNCTION("""COMPUTED_VALUE"""),41953.7055555555)</f>
        <v>41953.705555555498</v>
      </c>
      <c r="N1208" s="111">
        <f ca="1">IFERROR(__xludf.DUMMYFUNCTION("""COMPUTED_VALUE"""),15.65)</f>
        <v>15.65</v>
      </c>
      <c r="O1208" s="112">
        <f ca="1">IFERROR(__xludf.DUMMYFUNCTION("""COMPUTED_VALUE"""),42033.7055555555)</f>
        <v>42033.705555555498</v>
      </c>
      <c r="P1208" s="111">
        <f ca="1">IFERROR(__xludf.DUMMYFUNCTION("""COMPUTED_VALUE"""),17.95)</f>
        <v>17.95</v>
      </c>
      <c r="Q1208" s="112">
        <f ca="1">IFERROR(__xludf.DUMMYFUNCTION("""COMPUTED_VALUE"""),42031.7055555555)</f>
        <v>42031.705555555498</v>
      </c>
      <c r="R1208" s="111">
        <f ca="1">IFERROR(__xludf.DUMMYFUNCTION("""COMPUTED_VALUE"""),23.05)</f>
        <v>23.05</v>
      </c>
      <c r="S1208" s="112">
        <f ca="1">IFERROR(__xludf.DUMMYFUNCTION("""COMPUTED_VALUE"""),42044.7055555555)</f>
        <v>42044.705555555498</v>
      </c>
      <c r="T1208" s="111">
        <f ca="1">IFERROR(__xludf.DUMMYFUNCTION("""COMPUTED_VALUE"""),11.12)</f>
        <v>11.12</v>
      </c>
    </row>
    <row r="1209" spans="1:20" x14ac:dyDescent="0.3">
      <c r="A1209" s="112">
        <f ca="1">IFERROR(__xludf.DUMMYFUNCTION("""COMPUTED_VALUE"""),42040.7055555555)</f>
        <v>42040.705555555498</v>
      </c>
      <c r="B1209" s="111">
        <f ca="1">IFERROR(__xludf.DUMMYFUNCTION("""COMPUTED_VALUE"""),5.1)</f>
        <v>5.0999999999999996</v>
      </c>
      <c r="C1209" s="112">
        <f ca="1">IFERROR(__xludf.DUMMYFUNCTION("""COMPUTED_VALUE"""),42047.7055555555)</f>
        <v>42047.705555555498</v>
      </c>
      <c r="D1209" s="111">
        <f ca="1">IFERROR(__xludf.DUMMYFUNCTION("""COMPUTED_VALUE"""),20.89)</f>
        <v>20.89</v>
      </c>
      <c r="E1209" s="112">
        <f ca="1">IFERROR(__xludf.DUMMYFUNCTION("""COMPUTED_VALUE"""),42048.7055555555)</f>
        <v>42048.705555555498</v>
      </c>
      <c r="F1209" s="111">
        <f ca="1">IFERROR(__xludf.DUMMYFUNCTION("""COMPUTED_VALUE"""),7.83)</f>
        <v>7.83</v>
      </c>
      <c r="G1209" s="112">
        <f ca="1">IFERROR(__xludf.DUMMYFUNCTION("""COMPUTED_VALUE"""),42041.7055555555)</f>
        <v>42041.705555555498</v>
      </c>
      <c r="H1209" s="111">
        <f ca="1">IFERROR(__xludf.DUMMYFUNCTION("""COMPUTED_VALUE"""),9.12)</f>
        <v>9.1199999999999992</v>
      </c>
      <c r="K1209" s="112">
        <f ca="1">IFERROR(__xludf.DUMMYFUNCTION("""COMPUTED_VALUE"""),42496.7055555555)</f>
        <v>42496.705555555498</v>
      </c>
      <c r="L1209" s="111">
        <f ca="1">IFERROR(__xludf.DUMMYFUNCTION("""COMPUTED_VALUE"""),0.13)</f>
        <v>0.13</v>
      </c>
      <c r="M1209" s="112">
        <f ca="1">IFERROR(__xludf.DUMMYFUNCTION("""COMPUTED_VALUE"""),41954.7055555555)</f>
        <v>41954.705555555498</v>
      </c>
      <c r="N1209" s="111">
        <f ca="1">IFERROR(__xludf.DUMMYFUNCTION("""COMPUTED_VALUE"""),15.75)</f>
        <v>15.75</v>
      </c>
      <c r="O1209" s="112">
        <f ca="1">IFERROR(__xludf.DUMMYFUNCTION("""COMPUTED_VALUE"""),42034.7055555555)</f>
        <v>42034.705555555498</v>
      </c>
      <c r="P1209" s="111">
        <f ca="1">IFERROR(__xludf.DUMMYFUNCTION("""COMPUTED_VALUE"""),18.8)</f>
        <v>18.8</v>
      </c>
      <c r="Q1209" s="112">
        <f ca="1">IFERROR(__xludf.DUMMYFUNCTION("""COMPUTED_VALUE"""),42032.7055555555)</f>
        <v>42032.705555555498</v>
      </c>
      <c r="R1209" s="111">
        <f ca="1">IFERROR(__xludf.DUMMYFUNCTION("""COMPUTED_VALUE"""),22.01)</f>
        <v>22.01</v>
      </c>
      <c r="S1209" s="112">
        <f ca="1">IFERROR(__xludf.DUMMYFUNCTION("""COMPUTED_VALUE"""),42045.7055555555)</f>
        <v>42045.705555555498</v>
      </c>
      <c r="T1209" s="111">
        <f ca="1">IFERROR(__xludf.DUMMYFUNCTION("""COMPUTED_VALUE"""),10.78)</f>
        <v>10.78</v>
      </c>
    </row>
    <row r="1210" spans="1:20" x14ac:dyDescent="0.3">
      <c r="A1210" s="112">
        <f ca="1">IFERROR(__xludf.DUMMYFUNCTION("""COMPUTED_VALUE"""),42041.7055555555)</f>
        <v>42041.705555555498</v>
      </c>
      <c r="B1210" s="111">
        <f ca="1">IFERROR(__xludf.DUMMYFUNCTION("""COMPUTED_VALUE"""),5.09)</f>
        <v>5.09</v>
      </c>
      <c r="C1210" s="112">
        <f ca="1">IFERROR(__xludf.DUMMYFUNCTION("""COMPUTED_VALUE"""),42048.7055555555)</f>
        <v>42048.705555555498</v>
      </c>
      <c r="D1210" s="111">
        <f ca="1">IFERROR(__xludf.DUMMYFUNCTION("""COMPUTED_VALUE"""),21.69)</f>
        <v>21.69</v>
      </c>
      <c r="E1210" s="112">
        <f ca="1">IFERROR(__xludf.DUMMYFUNCTION("""COMPUTED_VALUE"""),42053.7055555555)</f>
        <v>42053.705555555498</v>
      </c>
      <c r="F1210" s="111">
        <f ca="1">IFERROR(__xludf.DUMMYFUNCTION("""COMPUTED_VALUE"""),7.87)</f>
        <v>7.87</v>
      </c>
      <c r="G1210" s="112">
        <f ca="1">IFERROR(__xludf.DUMMYFUNCTION("""COMPUTED_VALUE"""),42044.7055555555)</f>
        <v>42044.705555555498</v>
      </c>
      <c r="H1210" s="111">
        <f ca="1">IFERROR(__xludf.DUMMYFUNCTION("""COMPUTED_VALUE"""),9.4)</f>
        <v>9.4</v>
      </c>
      <c r="K1210" s="112">
        <f ca="1">IFERROR(__xludf.DUMMYFUNCTION("""COMPUTED_VALUE"""),42499.7055555555)</f>
        <v>42499.705555555498</v>
      </c>
      <c r="L1210" s="111">
        <f ca="1">IFERROR(__xludf.DUMMYFUNCTION("""COMPUTED_VALUE"""),0.14)</f>
        <v>0.14000000000000001</v>
      </c>
      <c r="M1210" s="112">
        <f ca="1">IFERROR(__xludf.DUMMYFUNCTION("""COMPUTED_VALUE"""),41955.7055555555)</f>
        <v>41955.705555555498</v>
      </c>
      <c r="N1210" s="111">
        <f ca="1">IFERROR(__xludf.DUMMYFUNCTION("""COMPUTED_VALUE"""),15.78)</f>
        <v>15.78</v>
      </c>
      <c r="O1210" s="112">
        <f ca="1">IFERROR(__xludf.DUMMYFUNCTION("""COMPUTED_VALUE"""),42037.7055555555)</f>
        <v>42037.705555555498</v>
      </c>
      <c r="P1210" s="111">
        <f ca="1">IFERROR(__xludf.DUMMYFUNCTION("""COMPUTED_VALUE"""),19.96)</f>
        <v>19.96</v>
      </c>
      <c r="Q1210" s="112">
        <f ca="1">IFERROR(__xludf.DUMMYFUNCTION("""COMPUTED_VALUE"""),42033.7055555555)</f>
        <v>42033.705555555498</v>
      </c>
      <c r="R1210" s="111">
        <f ca="1">IFERROR(__xludf.DUMMYFUNCTION("""COMPUTED_VALUE"""),21.61)</f>
        <v>21.61</v>
      </c>
      <c r="S1210" s="112">
        <f ca="1">IFERROR(__xludf.DUMMYFUNCTION("""COMPUTED_VALUE"""),42046.7055555555)</f>
        <v>42046.705555555498</v>
      </c>
      <c r="T1210" s="111">
        <f ca="1">IFERROR(__xludf.DUMMYFUNCTION("""COMPUTED_VALUE"""),10.64)</f>
        <v>10.64</v>
      </c>
    </row>
    <row r="1211" spans="1:20" x14ac:dyDescent="0.3">
      <c r="A1211" s="112">
        <f ca="1">IFERROR(__xludf.DUMMYFUNCTION("""COMPUTED_VALUE"""),42044.7055555555)</f>
        <v>42044.705555555498</v>
      </c>
      <c r="B1211" s="111">
        <f ca="1">IFERROR(__xludf.DUMMYFUNCTION("""COMPUTED_VALUE"""),4.99)</f>
        <v>4.99</v>
      </c>
      <c r="C1211" s="112">
        <f ca="1">IFERROR(__xludf.DUMMYFUNCTION("""COMPUTED_VALUE"""),42053.7055555555)</f>
        <v>42053.705555555498</v>
      </c>
      <c r="D1211" s="111">
        <f ca="1">IFERROR(__xludf.DUMMYFUNCTION("""COMPUTED_VALUE"""),21.68)</f>
        <v>21.68</v>
      </c>
      <c r="E1211" s="112">
        <f ca="1">IFERROR(__xludf.DUMMYFUNCTION("""COMPUTED_VALUE"""),42054.7055555555)</f>
        <v>42054.705555555498</v>
      </c>
      <c r="F1211" s="111">
        <f ca="1">IFERROR(__xludf.DUMMYFUNCTION("""COMPUTED_VALUE"""),7.86)</f>
        <v>7.86</v>
      </c>
      <c r="G1211" s="112">
        <f ca="1">IFERROR(__xludf.DUMMYFUNCTION("""COMPUTED_VALUE"""),42045.7055555555)</f>
        <v>42045.705555555498</v>
      </c>
      <c r="H1211" s="111">
        <f ca="1">IFERROR(__xludf.DUMMYFUNCTION("""COMPUTED_VALUE"""),8.91)</f>
        <v>8.91</v>
      </c>
      <c r="K1211" s="112">
        <f ca="1">IFERROR(__xludf.DUMMYFUNCTION("""COMPUTED_VALUE"""),42500.7055555555)</f>
        <v>42500.705555555498</v>
      </c>
      <c r="L1211" s="111">
        <f ca="1">IFERROR(__xludf.DUMMYFUNCTION("""COMPUTED_VALUE"""),0.14)</f>
        <v>0.14000000000000001</v>
      </c>
      <c r="M1211" s="112">
        <f ca="1">IFERROR(__xludf.DUMMYFUNCTION("""COMPUTED_VALUE"""),41956.7055555555)</f>
        <v>41956.705555555498</v>
      </c>
      <c r="N1211" s="111">
        <f ca="1">IFERROR(__xludf.DUMMYFUNCTION("""COMPUTED_VALUE"""),15.36)</f>
        <v>15.36</v>
      </c>
      <c r="O1211" s="112">
        <f ca="1">IFERROR(__xludf.DUMMYFUNCTION("""COMPUTED_VALUE"""),42038.7055555555)</f>
        <v>42038.705555555498</v>
      </c>
      <c r="P1211" s="111">
        <f ca="1">IFERROR(__xludf.DUMMYFUNCTION("""COMPUTED_VALUE"""),20.86)</f>
        <v>20.86</v>
      </c>
      <c r="Q1211" s="112">
        <f ca="1">IFERROR(__xludf.DUMMYFUNCTION("""COMPUTED_VALUE"""),42034.7055555555)</f>
        <v>42034.705555555498</v>
      </c>
      <c r="R1211" s="111">
        <f ca="1">IFERROR(__xludf.DUMMYFUNCTION("""COMPUTED_VALUE"""),20.7)</f>
        <v>20.7</v>
      </c>
      <c r="S1211" s="112">
        <f ca="1">IFERROR(__xludf.DUMMYFUNCTION("""COMPUTED_VALUE"""),42047.7055555555)</f>
        <v>42047.705555555498</v>
      </c>
      <c r="T1211" s="111">
        <f ca="1">IFERROR(__xludf.DUMMYFUNCTION("""COMPUTED_VALUE"""),10.76)</f>
        <v>10.76</v>
      </c>
    </row>
    <row r="1212" spans="1:20" x14ac:dyDescent="0.3">
      <c r="A1212" s="112">
        <f ca="1">IFERROR(__xludf.DUMMYFUNCTION("""COMPUTED_VALUE"""),42045.7055555555)</f>
        <v>42045.705555555498</v>
      </c>
      <c r="B1212" s="111">
        <f ca="1">IFERROR(__xludf.DUMMYFUNCTION("""COMPUTED_VALUE"""),4.88)</f>
        <v>4.88</v>
      </c>
      <c r="C1212" s="112">
        <f ca="1">IFERROR(__xludf.DUMMYFUNCTION("""COMPUTED_VALUE"""),42054.7055555555)</f>
        <v>42054.705555555498</v>
      </c>
      <c r="D1212" s="111">
        <f ca="1">IFERROR(__xludf.DUMMYFUNCTION("""COMPUTED_VALUE"""),21.61)</f>
        <v>21.61</v>
      </c>
      <c r="E1212" s="112">
        <f ca="1">IFERROR(__xludf.DUMMYFUNCTION("""COMPUTED_VALUE"""),42055.7055555555)</f>
        <v>42055.705555555498</v>
      </c>
      <c r="F1212" s="111">
        <f ca="1">IFERROR(__xludf.DUMMYFUNCTION("""COMPUTED_VALUE"""),7.87)</f>
        <v>7.87</v>
      </c>
      <c r="G1212" s="112">
        <f ca="1">IFERROR(__xludf.DUMMYFUNCTION("""COMPUTED_VALUE"""),42046.7055555555)</f>
        <v>42046.705555555498</v>
      </c>
      <c r="H1212" s="111">
        <f ca="1">IFERROR(__xludf.DUMMYFUNCTION("""COMPUTED_VALUE"""),9.08)</f>
        <v>9.08</v>
      </c>
      <c r="K1212" s="112">
        <f ca="1">IFERROR(__xludf.DUMMYFUNCTION("""COMPUTED_VALUE"""),42501.7055555555)</f>
        <v>42501.705555555498</v>
      </c>
      <c r="L1212" s="111">
        <f ca="1">IFERROR(__xludf.DUMMYFUNCTION("""COMPUTED_VALUE"""),0.14)</f>
        <v>0.14000000000000001</v>
      </c>
      <c r="M1212" s="112">
        <f ca="1">IFERROR(__xludf.DUMMYFUNCTION("""COMPUTED_VALUE"""),41957.7055555555)</f>
        <v>41957.705555555498</v>
      </c>
      <c r="N1212" s="111">
        <f ca="1">IFERROR(__xludf.DUMMYFUNCTION("""COMPUTED_VALUE"""),15.42)</f>
        <v>15.42</v>
      </c>
      <c r="O1212" s="112">
        <f ca="1">IFERROR(__xludf.DUMMYFUNCTION("""COMPUTED_VALUE"""),42039.7055555555)</f>
        <v>42039.705555555498</v>
      </c>
      <c r="P1212" s="111">
        <f ca="1">IFERROR(__xludf.DUMMYFUNCTION("""COMPUTED_VALUE"""),20.62)</f>
        <v>20.62</v>
      </c>
      <c r="Q1212" s="112">
        <f ca="1">IFERROR(__xludf.DUMMYFUNCTION("""COMPUTED_VALUE"""),42037.7055555555)</f>
        <v>42037.705555555498</v>
      </c>
      <c r="R1212" s="111">
        <f ca="1">IFERROR(__xludf.DUMMYFUNCTION("""COMPUTED_VALUE"""),20.29)</f>
        <v>20.29</v>
      </c>
      <c r="S1212" s="112">
        <f ca="1">IFERROR(__xludf.DUMMYFUNCTION("""COMPUTED_VALUE"""),42048.7055555555)</f>
        <v>42048.705555555498</v>
      </c>
      <c r="T1212" s="111">
        <f ca="1">IFERROR(__xludf.DUMMYFUNCTION("""COMPUTED_VALUE"""),11.69)</f>
        <v>11.69</v>
      </c>
    </row>
    <row r="1213" spans="1:20" x14ac:dyDescent="0.3">
      <c r="A1213" s="112">
        <f ca="1">IFERROR(__xludf.DUMMYFUNCTION("""COMPUTED_VALUE"""),42046.7055555555)</f>
        <v>42046.705555555498</v>
      </c>
      <c r="B1213" s="111">
        <f ca="1">IFERROR(__xludf.DUMMYFUNCTION("""COMPUTED_VALUE"""),4.98)</f>
        <v>4.9800000000000004</v>
      </c>
      <c r="C1213" s="112">
        <f ca="1">IFERROR(__xludf.DUMMYFUNCTION("""COMPUTED_VALUE"""),42055.7055555555)</f>
        <v>42055.705555555498</v>
      </c>
      <c r="D1213" s="111">
        <f ca="1">IFERROR(__xludf.DUMMYFUNCTION("""COMPUTED_VALUE"""),21.76)</f>
        <v>21.76</v>
      </c>
      <c r="E1213" s="112">
        <f ca="1">IFERROR(__xludf.DUMMYFUNCTION("""COMPUTED_VALUE"""),42058.7055555555)</f>
        <v>42058.705555555498</v>
      </c>
      <c r="F1213" s="111">
        <f ca="1">IFERROR(__xludf.DUMMYFUNCTION("""COMPUTED_VALUE"""),7.92)</f>
        <v>7.92</v>
      </c>
      <c r="G1213" s="112">
        <f ca="1">IFERROR(__xludf.DUMMYFUNCTION("""COMPUTED_VALUE"""),42047.7055555555)</f>
        <v>42047.705555555498</v>
      </c>
      <c r="H1213" s="111">
        <f ca="1">IFERROR(__xludf.DUMMYFUNCTION("""COMPUTED_VALUE"""),9.45)</f>
        <v>9.4499999999999993</v>
      </c>
      <c r="K1213" s="112">
        <f ca="1">IFERROR(__xludf.DUMMYFUNCTION("""COMPUTED_VALUE"""),42502.7055555555)</f>
        <v>42502.705555555498</v>
      </c>
      <c r="L1213" s="111">
        <f ca="1">IFERROR(__xludf.DUMMYFUNCTION("""COMPUTED_VALUE"""),0.13)</f>
        <v>0.13</v>
      </c>
      <c r="M1213" s="112">
        <f ca="1">IFERROR(__xludf.DUMMYFUNCTION("""COMPUTED_VALUE"""),41960.7055555555)</f>
        <v>41960.705555555498</v>
      </c>
      <c r="N1213" s="111">
        <f ca="1">IFERROR(__xludf.DUMMYFUNCTION("""COMPUTED_VALUE"""),15.07)</f>
        <v>15.07</v>
      </c>
      <c r="O1213" s="112">
        <f ca="1">IFERROR(__xludf.DUMMYFUNCTION("""COMPUTED_VALUE"""),42040.7055555555)</f>
        <v>42040.705555555498</v>
      </c>
      <c r="P1213" s="111">
        <f ca="1">IFERROR(__xludf.DUMMYFUNCTION("""COMPUTED_VALUE"""),20.56)</f>
        <v>20.56</v>
      </c>
      <c r="Q1213" s="112">
        <f ca="1">IFERROR(__xludf.DUMMYFUNCTION("""COMPUTED_VALUE"""),42038.7055555555)</f>
        <v>42038.705555555498</v>
      </c>
      <c r="R1213" s="111">
        <f ca="1">IFERROR(__xludf.DUMMYFUNCTION("""COMPUTED_VALUE"""),20.97)</f>
        <v>20.97</v>
      </c>
      <c r="S1213" s="112">
        <f ca="1">IFERROR(__xludf.DUMMYFUNCTION("""COMPUTED_VALUE"""),42053.7055555555)</f>
        <v>42053.705555555498</v>
      </c>
      <c r="T1213" s="111">
        <f ca="1">IFERROR(__xludf.DUMMYFUNCTION("""COMPUTED_VALUE"""),11.77)</f>
        <v>11.77</v>
      </c>
    </row>
    <row r="1214" spans="1:20" x14ac:dyDescent="0.3">
      <c r="A1214" s="112">
        <f ca="1">IFERROR(__xludf.DUMMYFUNCTION("""COMPUTED_VALUE"""),42047.7055555555)</f>
        <v>42047.705555555498</v>
      </c>
      <c r="B1214" s="111">
        <f ca="1">IFERROR(__xludf.DUMMYFUNCTION("""COMPUTED_VALUE"""),4.99)</f>
        <v>4.99</v>
      </c>
      <c r="C1214" s="112">
        <f ca="1">IFERROR(__xludf.DUMMYFUNCTION("""COMPUTED_VALUE"""),42058.7055555555)</f>
        <v>42058.705555555498</v>
      </c>
      <c r="D1214" s="111">
        <f ca="1">IFERROR(__xludf.DUMMYFUNCTION("""COMPUTED_VALUE"""),21.95)</f>
        <v>21.95</v>
      </c>
      <c r="E1214" s="112">
        <f ca="1">IFERROR(__xludf.DUMMYFUNCTION("""COMPUTED_VALUE"""),42059.7055555555)</f>
        <v>42059.705555555498</v>
      </c>
      <c r="F1214" s="111">
        <f ca="1">IFERROR(__xludf.DUMMYFUNCTION("""COMPUTED_VALUE"""),8.03)</f>
        <v>8.0299999999999994</v>
      </c>
      <c r="G1214" s="112">
        <f ca="1">IFERROR(__xludf.DUMMYFUNCTION("""COMPUTED_VALUE"""),42048.7055555555)</f>
        <v>42048.705555555498</v>
      </c>
      <c r="H1214" s="111">
        <f ca="1">IFERROR(__xludf.DUMMYFUNCTION("""COMPUTED_VALUE"""),10.03)</f>
        <v>10.029999999999999</v>
      </c>
      <c r="K1214" s="112">
        <f ca="1">IFERROR(__xludf.DUMMYFUNCTION("""COMPUTED_VALUE"""),42503.7055555555)</f>
        <v>42503.705555555498</v>
      </c>
      <c r="L1214" s="111">
        <f ca="1">IFERROR(__xludf.DUMMYFUNCTION("""COMPUTED_VALUE"""),0.13)</f>
        <v>0.13</v>
      </c>
      <c r="M1214" s="112">
        <f ca="1">IFERROR(__xludf.DUMMYFUNCTION("""COMPUTED_VALUE"""),41961.7055555555)</f>
        <v>41961.705555555498</v>
      </c>
      <c r="N1214" s="111">
        <f ca="1">IFERROR(__xludf.DUMMYFUNCTION("""COMPUTED_VALUE"""),15.75)</f>
        <v>15.75</v>
      </c>
      <c r="O1214" s="112">
        <f ca="1">IFERROR(__xludf.DUMMYFUNCTION("""COMPUTED_VALUE"""),42041.7055555555)</f>
        <v>42041.705555555498</v>
      </c>
      <c r="P1214" s="111">
        <f ca="1">IFERROR(__xludf.DUMMYFUNCTION("""COMPUTED_VALUE"""),20.45)</f>
        <v>20.45</v>
      </c>
      <c r="Q1214" s="112">
        <f ca="1">IFERROR(__xludf.DUMMYFUNCTION("""COMPUTED_VALUE"""),42039.7055555555)</f>
        <v>42039.705555555498</v>
      </c>
      <c r="R1214" s="111">
        <f ca="1">IFERROR(__xludf.DUMMYFUNCTION("""COMPUTED_VALUE"""),22.44)</f>
        <v>22.44</v>
      </c>
      <c r="S1214" s="112">
        <f ca="1">IFERROR(__xludf.DUMMYFUNCTION("""COMPUTED_VALUE"""),42054.7055555555)</f>
        <v>42054.705555555498</v>
      </c>
      <c r="T1214" s="111">
        <f ca="1">IFERROR(__xludf.DUMMYFUNCTION("""COMPUTED_VALUE"""),12.19)</f>
        <v>12.19</v>
      </c>
    </row>
    <row r="1215" spans="1:20" x14ac:dyDescent="0.3">
      <c r="A1215" s="112">
        <f ca="1">IFERROR(__xludf.DUMMYFUNCTION("""COMPUTED_VALUE"""),42048.7055555555)</f>
        <v>42048.705555555498</v>
      </c>
      <c r="B1215" s="111">
        <f ca="1">IFERROR(__xludf.DUMMYFUNCTION("""COMPUTED_VALUE"""),5.04)</f>
        <v>5.04</v>
      </c>
      <c r="C1215" s="112">
        <f ca="1">IFERROR(__xludf.DUMMYFUNCTION("""COMPUTED_VALUE"""),42059.7055555555)</f>
        <v>42059.705555555498</v>
      </c>
      <c r="D1215" s="111">
        <f ca="1">IFERROR(__xludf.DUMMYFUNCTION("""COMPUTED_VALUE"""),22.27)</f>
        <v>22.27</v>
      </c>
      <c r="E1215" s="112">
        <f ca="1">IFERROR(__xludf.DUMMYFUNCTION("""COMPUTED_VALUE"""),42060.7055555555)</f>
        <v>42060.705555555498</v>
      </c>
      <c r="F1215" s="111">
        <f ca="1">IFERROR(__xludf.DUMMYFUNCTION("""COMPUTED_VALUE"""),8.03)</f>
        <v>8.0299999999999994</v>
      </c>
      <c r="G1215" s="112">
        <f ca="1">IFERROR(__xludf.DUMMYFUNCTION("""COMPUTED_VALUE"""),42053.7055555555)</f>
        <v>42053.705555555498</v>
      </c>
      <c r="H1215" s="111">
        <f ca="1">IFERROR(__xludf.DUMMYFUNCTION("""COMPUTED_VALUE"""),10.04)</f>
        <v>10.039999999999999</v>
      </c>
      <c r="K1215" s="112">
        <f ca="1">IFERROR(__xludf.DUMMYFUNCTION("""COMPUTED_VALUE"""),42506.7055555555)</f>
        <v>42506.705555555498</v>
      </c>
      <c r="L1215" s="111">
        <f ca="1">IFERROR(__xludf.DUMMYFUNCTION("""COMPUTED_VALUE"""),0.13)</f>
        <v>0.13</v>
      </c>
      <c r="M1215" s="112">
        <f ca="1">IFERROR(__xludf.DUMMYFUNCTION("""COMPUTED_VALUE"""),41962.7055555555)</f>
        <v>41962.705555555498</v>
      </c>
      <c r="N1215" s="111">
        <f ca="1">IFERROR(__xludf.DUMMYFUNCTION("""COMPUTED_VALUE"""),16.43)</f>
        <v>16.43</v>
      </c>
      <c r="O1215" s="112">
        <f ca="1">IFERROR(__xludf.DUMMYFUNCTION("""COMPUTED_VALUE"""),42044.7055555555)</f>
        <v>42044.705555555498</v>
      </c>
      <c r="P1215" s="111">
        <f ca="1">IFERROR(__xludf.DUMMYFUNCTION("""COMPUTED_VALUE"""),21.55)</f>
        <v>21.55</v>
      </c>
      <c r="Q1215" s="112">
        <f ca="1">IFERROR(__xludf.DUMMYFUNCTION("""COMPUTED_VALUE"""),42040.7055555555)</f>
        <v>42040.705555555498</v>
      </c>
      <c r="R1215" s="111">
        <f ca="1">IFERROR(__xludf.DUMMYFUNCTION("""COMPUTED_VALUE"""),22.86)</f>
        <v>22.86</v>
      </c>
      <c r="S1215" s="112">
        <f ca="1">IFERROR(__xludf.DUMMYFUNCTION("""COMPUTED_VALUE"""),42055.7055555555)</f>
        <v>42055.705555555498</v>
      </c>
      <c r="T1215" s="111">
        <f ca="1">IFERROR(__xludf.DUMMYFUNCTION("""COMPUTED_VALUE"""),12.15)</f>
        <v>12.15</v>
      </c>
    </row>
    <row r="1216" spans="1:20" x14ac:dyDescent="0.3">
      <c r="A1216" s="112">
        <f ca="1">IFERROR(__xludf.DUMMYFUNCTION("""COMPUTED_VALUE"""),42053.7055555555)</f>
        <v>42053.705555555498</v>
      </c>
      <c r="B1216" s="111">
        <f ca="1">IFERROR(__xludf.DUMMYFUNCTION("""COMPUTED_VALUE"""),5.21)</f>
        <v>5.21</v>
      </c>
      <c r="C1216" s="112">
        <f ca="1">IFERROR(__xludf.DUMMYFUNCTION("""COMPUTED_VALUE"""),42060.7055555555)</f>
        <v>42060.705555555498</v>
      </c>
      <c r="D1216" s="111">
        <f ca="1">IFERROR(__xludf.DUMMYFUNCTION("""COMPUTED_VALUE"""),22.27)</f>
        <v>22.27</v>
      </c>
      <c r="E1216" s="112">
        <f ca="1">IFERROR(__xludf.DUMMYFUNCTION("""COMPUTED_VALUE"""),42061.7055555555)</f>
        <v>42061.705555555498</v>
      </c>
      <c r="F1216" s="111">
        <f ca="1">IFERROR(__xludf.DUMMYFUNCTION("""COMPUTED_VALUE"""),8.08)</f>
        <v>8.08</v>
      </c>
      <c r="G1216" s="112">
        <f ca="1">IFERROR(__xludf.DUMMYFUNCTION("""COMPUTED_VALUE"""),42054.7055555555)</f>
        <v>42054.705555555498</v>
      </c>
      <c r="H1216" s="111">
        <f ca="1">IFERROR(__xludf.DUMMYFUNCTION("""COMPUTED_VALUE"""),9.71)</f>
        <v>9.7100000000000009</v>
      </c>
      <c r="K1216" s="112">
        <f ca="1">IFERROR(__xludf.DUMMYFUNCTION("""COMPUTED_VALUE"""),42507.7055555555)</f>
        <v>42507.705555555498</v>
      </c>
      <c r="L1216" s="111">
        <f ca="1">IFERROR(__xludf.DUMMYFUNCTION("""COMPUTED_VALUE"""),0.13)</f>
        <v>0.13</v>
      </c>
      <c r="M1216" s="112">
        <f ca="1">IFERROR(__xludf.DUMMYFUNCTION("""COMPUTED_VALUE"""),41964.7055555555)</f>
        <v>41964.705555555498</v>
      </c>
      <c r="N1216" s="111">
        <f ca="1">IFERROR(__xludf.DUMMYFUNCTION("""COMPUTED_VALUE"""),17.68)</f>
        <v>17.68</v>
      </c>
      <c r="O1216" s="112">
        <f ca="1">IFERROR(__xludf.DUMMYFUNCTION("""COMPUTED_VALUE"""),42045.7055555555)</f>
        <v>42045.705555555498</v>
      </c>
      <c r="P1216" s="111">
        <f ca="1">IFERROR(__xludf.DUMMYFUNCTION("""COMPUTED_VALUE"""),20.57)</f>
        <v>20.57</v>
      </c>
      <c r="Q1216" s="112">
        <f ca="1">IFERROR(__xludf.DUMMYFUNCTION("""COMPUTED_VALUE"""),42041.7055555555)</f>
        <v>42041.705555555498</v>
      </c>
      <c r="R1216" s="111">
        <f ca="1">IFERROR(__xludf.DUMMYFUNCTION("""COMPUTED_VALUE"""),21.81)</f>
        <v>21.81</v>
      </c>
      <c r="S1216" s="112">
        <f ca="1">IFERROR(__xludf.DUMMYFUNCTION("""COMPUTED_VALUE"""),42058.7055555555)</f>
        <v>42058.705555555498</v>
      </c>
      <c r="T1216" s="111">
        <f ca="1">IFERROR(__xludf.DUMMYFUNCTION("""COMPUTED_VALUE"""),12.12)</f>
        <v>12.12</v>
      </c>
    </row>
    <row r="1217" spans="1:20" x14ac:dyDescent="0.3">
      <c r="A1217" s="112">
        <f ca="1">IFERROR(__xludf.DUMMYFUNCTION("""COMPUTED_VALUE"""),42054.7055555555)</f>
        <v>42054.705555555498</v>
      </c>
      <c r="B1217" s="111">
        <f ca="1">IFERROR(__xludf.DUMMYFUNCTION("""COMPUTED_VALUE"""),5.35)</f>
        <v>5.35</v>
      </c>
      <c r="C1217" s="112">
        <f ca="1">IFERROR(__xludf.DUMMYFUNCTION("""COMPUTED_VALUE"""),42061.7055555555)</f>
        <v>42061.705555555498</v>
      </c>
      <c r="D1217" s="111">
        <f ca="1">IFERROR(__xludf.DUMMYFUNCTION("""COMPUTED_VALUE"""),22.42)</f>
        <v>22.42</v>
      </c>
      <c r="E1217" s="112">
        <f ca="1">IFERROR(__xludf.DUMMYFUNCTION("""COMPUTED_VALUE"""),42062.7055555555)</f>
        <v>42062.705555555498</v>
      </c>
      <c r="F1217" s="111">
        <f ca="1">IFERROR(__xludf.DUMMYFUNCTION("""COMPUTED_VALUE"""),7.95)</f>
        <v>7.95</v>
      </c>
      <c r="G1217" s="112">
        <f ca="1">IFERROR(__xludf.DUMMYFUNCTION("""COMPUTED_VALUE"""),42055.7055555555)</f>
        <v>42055.705555555498</v>
      </c>
      <c r="H1217" s="111">
        <f ca="1">IFERROR(__xludf.DUMMYFUNCTION("""COMPUTED_VALUE"""),9.64)</f>
        <v>9.64</v>
      </c>
      <c r="K1217" s="112">
        <f ca="1">IFERROR(__xludf.DUMMYFUNCTION("""COMPUTED_VALUE"""),42508.7055555555)</f>
        <v>42508.705555555498</v>
      </c>
      <c r="L1217" s="111">
        <f ca="1">IFERROR(__xludf.DUMMYFUNCTION("""COMPUTED_VALUE"""),0.14)</f>
        <v>0.14000000000000001</v>
      </c>
      <c r="M1217" s="112">
        <f ca="1">IFERROR(__xludf.DUMMYFUNCTION("""COMPUTED_VALUE"""),41967.7055555555)</f>
        <v>41967.705555555498</v>
      </c>
      <c r="N1217" s="111">
        <f ca="1">IFERROR(__xludf.DUMMYFUNCTION("""COMPUTED_VALUE"""),17.39)</f>
        <v>17.39</v>
      </c>
      <c r="O1217" s="112">
        <f ca="1">IFERROR(__xludf.DUMMYFUNCTION("""COMPUTED_VALUE"""),42046.7055555555)</f>
        <v>42046.705555555498</v>
      </c>
      <c r="P1217" s="111">
        <f ca="1">IFERROR(__xludf.DUMMYFUNCTION("""COMPUTED_VALUE"""),21.34)</f>
        <v>21.34</v>
      </c>
      <c r="Q1217" s="112">
        <f ca="1">IFERROR(__xludf.DUMMYFUNCTION("""COMPUTED_VALUE"""),42044.7055555555)</f>
        <v>42044.705555555498</v>
      </c>
      <c r="R1217" s="111">
        <f ca="1">IFERROR(__xludf.DUMMYFUNCTION("""COMPUTED_VALUE"""),22.42)</f>
        <v>22.42</v>
      </c>
      <c r="S1217" s="112">
        <f ca="1">IFERROR(__xludf.DUMMYFUNCTION("""COMPUTED_VALUE"""),42059.7055555555)</f>
        <v>42059.705555555498</v>
      </c>
      <c r="T1217" s="111">
        <f ca="1">IFERROR(__xludf.DUMMYFUNCTION("""COMPUTED_VALUE"""),12.38)</f>
        <v>12.38</v>
      </c>
    </row>
    <row r="1218" spans="1:20" x14ac:dyDescent="0.3">
      <c r="A1218" s="112">
        <f ca="1">IFERROR(__xludf.DUMMYFUNCTION("""COMPUTED_VALUE"""),42055.7055555555)</f>
        <v>42055.705555555498</v>
      </c>
      <c r="B1218" s="111">
        <f ca="1">IFERROR(__xludf.DUMMYFUNCTION("""COMPUTED_VALUE"""),5.19)</f>
        <v>5.19</v>
      </c>
      <c r="C1218" s="112">
        <f ca="1">IFERROR(__xludf.DUMMYFUNCTION("""COMPUTED_VALUE"""),42062.7055555555)</f>
        <v>42062.705555555498</v>
      </c>
      <c r="D1218" s="111">
        <f ca="1">IFERROR(__xludf.DUMMYFUNCTION("""COMPUTED_VALUE"""),22.07)</f>
        <v>22.07</v>
      </c>
      <c r="E1218" s="112">
        <f ca="1">IFERROR(__xludf.DUMMYFUNCTION("""COMPUTED_VALUE"""),42065.7055555555)</f>
        <v>42065.705555555498</v>
      </c>
      <c r="F1218" s="111">
        <f ca="1">IFERROR(__xludf.DUMMYFUNCTION("""COMPUTED_VALUE"""),7.87)</f>
        <v>7.87</v>
      </c>
      <c r="G1218" s="112">
        <f ca="1">IFERROR(__xludf.DUMMYFUNCTION("""COMPUTED_VALUE"""),42058.7055555555)</f>
        <v>42058.705555555498</v>
      </c>
      <c r="H1218" s="111">
        <f ca="1">IFERROR(__xludf.DUMMYFUNCTION("""COMPUTED_VALUE"""),9.5)</f>
        <v>9.5</v>
      </c>
      <c r="K1218" s="112">
        <f ca="1">IFERROR(__xludf.DUMMYFUNCTION("""COMPUTED_VALUE"""),42509.7055555555)</f>
        <v>42509.705555555498</v>
      </c>
      <c r="L1218" s="111">
        <f ca="1">IFERROR(__xludf.DUMMYFUNCTION("""COMPUTED_VALUE"""),0.13)</f>
        <v>0.13</v>
      </c>
      <c r="M1218" s="112">
        <f ca="1">IFERROR(__xludf.DUMMYFUNCTION("""COMPUTED_VALUE"""),41968.7055555555)</f>
        <v>41968.705555555498</v>
      </c>
      <c r="N1218" s="111">
        <f ca="1">IFERROR(__xludf.DUMMYFUNCTION("""COMPUTED_VALUE"""),17.65)</f>
        <v>17.649999999999999</v>
      </c>
      <c r="O1218" s="112">
        <f ca="1">IFERROR(__xludf.DUMMYFUNCTION("""COMPUTED_VALUE"""),42047.7055555555)</f>
        <v>42047.705555555498</v>
      </c>
      <c r="P1218" s="111">
        <f ca="1">IFERROR(__xludf.DUMMYFUNCTION("""COMPUTED_VALUE"""),21.66)</f>
        <v>21.66</v>
      </c>
      <c r="Q1218" s="112">
        <f ca="1">IFERROR(__xludf.DUMMYFUNCTION("""COMPUTED_VALUE"""),42045.7055555555)</f>
        <v>42045.705555555498</v>
      </c>
      <c r="R1218" s="111">
        <f ca="1">IFERROR(__xludf.DUMMYFUNCTION("""COMPUTED_VALUE"""),21.62)</f>
        <v>21.62</v>
      </c>
      <c r="S1218" s="112">
        <f ca="1">IFERROR(__xludf.DUMMYFUNCTION("""COMPUTED_VALUE"""),42060.7055555555)</f>
        <v>42060.705555555498</v>
      </c>
      <c r="T1218" s="111">
        <f ca="1">IFERROR(__xludf.DUMMYFUNCTION("""COMPUTED_VALUE"""),12.61)</f>
        <v>12.61</v>
      </c>
    </row>
    <row r="1219" spans="1:20" x14ac:dyDescent="0.3">
      <c r="A1219" s="112">
        <f ca="1">IFERROR(__xludf.DUMMYFUNCTION("""COMPUTED_VALUE"""),42058.7055555555)</f>
        <v>42058.705555555498</v>
      </c>
      <c r="B1219" s="111">
        <f ca="1">IFERROR(__xludf.DUMMYFUNCTION("""COMPUTED_VALUE"""),5)</f>
        <v>5</v>
      </c>
      <c r="C1219" s="112">
        <f ca="1">IFERROR(__xludf.DUMMYFUNCTION("""COMPUTED_VALUE"""),42065.7055555555)</f>
        <v>42065.705555555498</v>
      </c>
      <c r="D1219" s="111">
        <f ca="1">IFERROR(__xludf.DUMMYFUNCTION("""COMPUTED_VALUE"""),22.06)</f>
        <v>22.06</v>
      </c>
      <c r="E1219" s="112">
        <f ca="1">IFERROR(__xludf.DUMMYFUNCTION("""COMPUTED_VALUE"""),42066.7055555555)</f>
        <v>42066.705555555498</v>
      </c>
      <c r="F1219" s="111">
        <f ca="1">IFERROR(__xludf.DUMMYFUNCTION("""COMPUTED_VALUE"""),7.91)</f>
        <v>7.91</v>
      </c>
      <c r="G1219" s="112">
        <f ca="1">IFERROR(__xludf.DUMMYFUNCTION("""COMPUTED_VALUE"""),42059.7055555555)</f>
        <v>42059.705555555498</v>
      </c>
      <c r="H1219" s="111">
        <f ca="1">IFERROR(__xludf.DUMMYFUNCTION("""COMPUTED_VALUE"""),9.9)</f>
        <v>9.9</v>
      </c>
      <c r="K1219" s="112">
        <f ca="1">IFERROR(__xludf.DUMMYFUNCTION("""COMPUTED_VALUE"""),42510.7055555555)</f>
        <v>42510.705555555498</v>
      </c>
      <c r="L1219" s="111">
        <f ca="1">IFERROR(__xludf.DUMMYFUNCTION("""COMPUTED_VALUE"""),0.14)</f>
        <v>0.14000000000000001</v>
      </c>
      <c r="M1219" s="112">
        <f ca="1">IFERROR(__xludf.DUMMYFUNCTION("""COMPUTED_VALUE"""),41969.7055555555)</f>
        <v>41969.705555555498</v>
      </c>
      <c r="N1219" s="111">
        <f ca="1">IFERROR(__xludf.DUMMYFUNCTION("""COMPUTED_VALUE"""),17.46)</f>
        <v>17.46</v>
      </c>
      <c r="O1219" s="112">
        <f ca="1">IFERROR(__xludf.DUMMYFUNCTION("""COMPUTED_VALUE"""),42048.7055555555)</f>
        <v>42048.705555555498</v>
      </c>
      <c r="P1219" s="111">
        <f ca="1">IFERROR(__xludf.DUMMYFUNCTION("""COMPUTED_VALUE"""),22.61)</f>
        <v>22.61</v>
      </c>
      <c r="Q1219" s="112">
        <f ca="1">IFERROR(__xludf.DUMMYFUNCTION("""COMPUTED_VALUE"""),42046.7055555555)</f>
        <v>42046.705555555498</v>
      </c>
      <c r="R1219" s="111">
        <f ca="1">IFERROR(__xludf.DUMMYFUNCTION("""COMPUTED_VALUE"""),22.07)</f>
        <v>22.07</v>
      </c>
      <c r="S1219" s="112">
        <f ca="1">IFERROR(__xludf.DUMMYFUNCTION("""COMPUTED_VALUE"""),42061.7055555555)</f>
        <v>42061.705555555498</v>
      </c>
      <c r="T1219" s="111">
        <f ca="1">IFERROR(__xludf.DUMMYFUNCTION("""COMPUTED_VALUE"""),12.56)</f>
        <v>12.56</v>
      </c>
    </row>
    <row r="1220" spans="1:20" x14ac:dyDescent="0.3">
      <c r="A1220" s="112">
        <f ca="1">IFERROR(__xludf.DUMMYFUNCTION("""COMPUTED_VALUE"""),42059.7055555555)</f>
        <v>42059.705555555498</v>
      </c>
      <c r="B1220" s="111">
        <f ca="1">IFERROR(__xludf.DUMMYFUNCTION("""COMPUTED_VALUE"""),5.07)</f>
        <v>5.07</v>
      </c>
      <c r="C1220" s="112">
        <f ca="1">IFERROR(__xludf.DUMMYFUNCTION("""COMPUTED_VALUE"""),42066.7055555555)</f>
        <v>42066.705555555498</v>
      </c>
      <c r="D1220" s="111">
        <f ca="1">IFERROR(__xludf.DUMMYFUNCTION("""COMPUTED_VALUE"""),22.25)</f>
        <v>22.25</v>
      </c>
      <c r="E1220" s="112">
        <f ca="1">IFERROR(__xludf.DUMMYFUNCTION("""COMPUTED_VALUE"""),42067.7055555555)</f>
        <v>42067.705555555498</v>
      </c>
      <c r="F1220" s="111">
        <f ca="1">IFERROR(__xludf.DUMMYFUNCTION("""COMPUTED_VALUE"""),7.86)</f>
        <v>7.86</v>
      </c>
      <c r="G1220" s="112">
        <f ca="1">IFERROR(__xludf.DUMMYFUNCTION("""COMPUTED_VALUE"""),42060.7055555555)</f>
        <v>42060.705555555498</v>
      </c>
      <c r="H1220" s="111">
        <f ca="1">IFERROR(__xludf.DUMMYFUNCTION("""COMPUTED_VALUE"""),9.4)</f>
        <v>9.4</v>
      </c>
      <c r="K1220" s="112">
        <f ca="1">IFERROR(__xludf.DUMMYFUNCTION("""COMPUTED_VALUE"""),42513.7055555555)</f>
        <v>42513.705555555498</v>
      </c>
      <c r="L1220" s="111">
        <f ca="1">IFERROR(__xludf.DUMMYFUNCTION("""COMPUTED_VALUE"""),0.13)</f>
        <v>0.13</v>
      </c>
      <c r="M1220" s="112">
        <f ca="1">IFERROR(__xludf.DUMMYFUNCTION("""COMPUTED_VALUE"""),41970.7055555555)</f>
        <v>41970.705555555498</v>
      </c>
      <c r="N1220" s="111">
        <f ca="1">IFERROR(__xludf.DUMMYFUNCTION("""COMPUTED_VALUE"""),17.14)</f>
        <v>17.14</v>
      </c>
      <c r="O1220" s="112">
        <f ca="1">IFERROR(__xludf.DUMMYFUNCTION("""COMPUTED_VALUE"""),42053.7055555555)</f>
        <v>42053.705555555498</v>
      </c>
      <c r="P1220" s="111">
        <f ca="1">IFERROR(__xludf.DUMMYFUNCTION("""COMPUTED_VALUE"""),22.6)</f>
        <v>22.6</v>
      </c>
      <c r="Q1220" s="112">
        <f ca="1">IFERROR(__xludf.DUMMYFUNCTION("""COMPUTED_VALUE"""),42047.7055555555)</f>
        <v>42047.705555555498</v>
      </c>
      <c r="R1220" s="111">
        <f ca="1">IFERROR(__xludf.DUMMYFUNCTION("""COMPUTED_VALUE"""),23.08)</f>
        <v>23.08</v>
      </c>
      <c r="S1220" s="112">
        <f ca="1">IFERROR(__xludf.DUMMYFUNCTION("""COMPUTED_VALUE"""),42062.7055555555)</f>
        <v>42062.705555555498</v>
      </c>
      <c r="T1220" s="111">
        <f ca="1">IFERROR(__xludf.DUMMYFUNCTION("""COMPUTED_VALUE"""),12.67)</f>
        <v>12.67</v>
      </c>
    </row>
    <row r="1221" spans="1:20" x14ac:dyDescent="0.3">
      <c r="A1221" s="112">
        <f ca="1">IFERROR(__xludf.DUMMYFUNCTION("""COMPUTED_VALUE"""),42060.7055555555)</f>
        <v>42060.705555555498</v>
      </c>
      <c r="B1221" s="111">
        <f ca="1">IFERROR(__xludf.DUMMYFUNCTION("""COMPUTED_VALUE"""),5.09)</f>
        <v>5.09</v>
      </c>
      <c r="C1221" s="112">
        <f ca="1">IFERROR(__xludf.DUMMYFUNCTION("""COMPUTED_VALUE"""),42067.7055555555)</f>
        <v>42067.705555555498</v>
      </c>
      <c r="D1221" s="111">
        <f ca="1">IFERROR(__xludf.DUMMYFUNCTION("""COMPUTED_VALUE"""),22.1)</f>
        <v>22.1</v>
      </c>
      <c r="E1221" s="112">
        <f ca="1">IFERROR(__xludf.DUMMYFUNCTION("""COMPUTED_VALUE"""),42068.7055555555)</f>
        <v>42068.705555555498</v>
      </c>
      <c r="F1221" s="111">
        <f ca="1">IFERROR(__xludf.DUMMYFUNCTION("""COMPUTED_VALUE"""),7.74)</f>
        <v>7.74</v>
      </c>
      <c r="G1221" s="112">
        <f ca="1">IFERROR(__xludf.DUMMYFUNCTION("""COMPUTED_VALUE"""),42061.7055555555)</f>
        <v>42061.705555555498</v>
      </c>
      <c r="H1221" s="111">
        <f ca="1">IFERROR(__xludf.DUMMYFUNCTION("""COMPUTED_VALUE"""),9.23)</f>
        <v>9.23</v>
      </c>
      <c r="K1221" s="112">
        <f ca="1">IFERROR(__xludf.DUMMYFUNCTION("""COMPUTED_VALUE"""),42514.7055555555)</f>
        <v>42514.705555555498</v>
      </c>
      <c r="L1221" s="111">
        <f ca="1">IFERROR(__xludf.DUMMYFUNCTION("""COMPUTED_VALUE"""),0.14)</f>
        <v>0.14000000000000001</v>
      </c>
      <c r="M1221" s="112">
        <f ca="1">IFERROR(__xludf.DUMMYFUNCTION("""COMPUTED_VALUE"""),41971.7055555555)</f>
        <v>41971.705555555498</v>
      </c>
      <c r="N1221" s="111">
        <f ca="1">IFERROR(__xludf.DUMMYFUNCTION("""COMPUTED_VALUE"""),17.05)</f>
        <v>17.05</v>
      </c>
      <c r="O1221" s="112">
        <f ca="1">IFERROR(__xludf.DUMMYFUNCTION("""COMPUTED_VALUE"""),42054.7055555555)</f>
        <v>42054.705555555498</v>
      </c>
      <c r="P1221" s="111">
        <f ca="1">IFERROR(__xludf.DUMMYFUNCTION("""COMPUTED_VALUE"""),22.1)</f>
        <v>22.1</v>
      </c>
      <c r="Q1221" s="112">
        <f ca="1">IFERROR(__xludf.DUMMYFUNCTION("""COMPUTED_VALUE"""),42048.7055555555)</f>
        <v>42048.705555555498</v>
      </c>
      <c r="R1221" s="111">
        <f ca="1">IFERROR(__xludf.DUMMYFUNCTION("""COMPUTED_VALUE"""),24.69)</f>
        <v>24.69</v>
      </c>
      <c r="S1221" s="112">
        <f ca="1">IFERROR(__xludf.DUMMYFUNCTION("""COMPUTED_VALUE"""),42065.7055555555)</f>
        <v>42065.705555555498</v>
      </c>
      <c r="T1221" s="111">
        <f ca="1">IFERROR(__xludf.DUMMYFUNCTION("""COMPUTED_VALUE"""),12.8)</f>
        <v>12.8</v>
      </c>
    </row>
    <row r="1222" spans="1:20" x14ac:dyDescent="0.3">
      <c r="A1222" s="112">
        <f ca="1">IFERROR(__xludf.DUMMYFUNCTION("""COMPUTED_VALUE"""),42061.7055555555)</f>
        <v>42061.705555555498</v>
      </c>
      <c r="B1222" s="111">
        <f ca="1">IFERROR(__xludf.DUMMYFUNCTION("""COMPUTED_VALUE"""),5.27)</f>
        <v>5.27</v>
      </c>
      <c r="C1222" s="112">
        <f ca="1">IFERROR(__xludf.DUMMYFUNCTION("""COMPUTED_VALUE"""),42068.7055555555)</f>
        <v>42068.705555555498</v>
      </c>
      <c r="D1222" s="111">
        <f ca="1">IFERROR(__xludf.DUMMYFUNCTION("""COMPUTED_VALUE"""),21.68)</f>
        <v>21.68</v>
      </c>
      <c r="E1222" s="112">
        <f ca="1">IFERROR(__xludf.DUMMYFUNCTION("""COMPUTED_VALUE"""),42069.7055555555)</f>
        <v>42069.705555555498</v>
      </c>
      <c r="F1222" s="111">
        <f ca="1">IFERROR(__xludf.DUMMYFUNCTION("""COMPUTED_VALUE"""),7.58)</f>
        <v>7.58</v>
      </c>
      <c r="G1222" s="112">
        <f ca="1">IFERROR(__xludf.DUMMYFUNCTION("""COMPUTED_VALUE"""),42062.7055555555)</f>
        <v>42062.705555555498</v>
      </c>
      <c r="H1222" s="111">
        <f ca="1">IFERROR(__xludf.DUMMYFUNCTION("""COMPUTED_VALUE"""),9.55)</f>
        <v>9.5500000000000007</v>
      </c>
      <c r="K1222" s="112">
        <f ca="1">IFERROR(__xludf.DUMMYFUNCTION("""COMPUTED_VALUE"""),42515.7055555555)</f>
        <v>42515.705555555498</v>
      </c>
      <c r="L1222" s="111">
        <f ca="1">IFERROR(__xludf.DUMMYFUNCTION("""COMPUTED_VALUE"""),0.13)</f>
        <v>0.13</v>
      </c>
      <c r="M1222" s="112">
        <f ca="1">IFERROR(__xludf.DUMMYFUNCTION("""COMPUTED_VALUE"""),41974.7055555555)</f>
        <v>41974.705555555498</v>
      </c>
      <c r="N1222" s="111">
        <f ca="1">IFERROR(__xludf.DUMMYFUNCTION("""COMPUTED_VALUE"""),16.16)</f>
        <v>16.16</v>
      </c>
      <c r="O1222" s="112">
        <f ca="1">IFERROR(__xludf.DUMMYFUNCTION("""COMPUTED_VALUE"""),42055.7055555555)</f>
        <v>42055.705555555498</v>
      </c>
      <c r="P1222" s="111">
        <f ca="1">IFERROR(__xludf.DUMMYFUNCTION("""COMPUTED_VALUE"""),22.49)</f>
        <v>22.49</v>
      </c>
      <c r="Q1222" s="112">
        <f ca="1">IFERROR(__xludf.DUMMYFUNCTION("""COMPUTED_VALUE"""),42053.7055555555)</f>
        <v>42053.705555555498</v>
      </c>
      <c r="R1222" s="111">
        <f ca="1">IFERROR(__xludf.DUMMYFUNCTION("""COMPUTED_VALUE"""),23.97)</f>
        <v>23.97</v>
      </c>
      <c r="S1222" s="112">
        <f ca="1">IFERROR(__xludf.DUMMYFUNCTION("""COMPUTED_VALUE"""),42066.7055555555)</f>
        <v>42066.705555555498</v>
      </c>
      <c r="T1222" s="111">
        <f ca="1">IFERROR(__xludf.DUMMYFUNCTION("""COMPUTED_VALUE"""),12.74)</f>
        <v>12.74</v>
      </c>
    </row>
    <row r="1223" spans="1:20" x14ac:dyDescent="0.3">
      <c r="A1223" s="112">
        <f ca="1">IFERROR(__xludf.DUMMYFUNCTION("""COMPUTED_VALUE"""),42062.7055555555)</f>
        <v>42062.705555555498</v>
      </c>
      <c r="B1223" s="111">
        <f ca="1">IFERROR(__xludf.DUMMYFUNCTION("""COMPUTED_VALUE"""),5.28)</f>
        <v>5.28</v>
      </c>
      <c r="C1223" s="112">
        <f ca="1">IFERROR(__xludf.DUMMYFUNCTION("""COMPUTED_VALUE"""),42069.7055555555)</f>
        <v>42069.705555555498</v>
      </c>
      <c r="D1223" s="111">
        <f ca="1">IFERROR(__xludf.DUMMYFUNCTION("""COMPUTED_VALUE"""),21.07)</f>
        <v>21.07</v>
      </c>
      <c r="E1223" s="112">
        <f ca="1">IFERROR(__xludf.DUMMYFUNCTION("""COMPUTED_VALUE"""),42072.7055555555)</f>
        <v>42072.705555555498</v>
      </c>
      <c r="F1223" s="111">
        <f ca="1">IFERROR(__xludf.DUMMYFUNCTION("""COMPUTED_VALUE"""),7.4)</f>
        <v>7.4</v>
      </c>
      <c r="G1223" s="112">
        <f ca="1">IFERROR(__xludf.DUMMYFUNCTION("""COMPUTED_VALUE"""),42065.7055555555)</f>
        <v>42065.705555555498</v>
      </c>
      <c r="H1223" s="111">
        <f ca="1">IFERROR(__xludf.DUMMYFUNCTION("""COMPUTED_VALUE"""),9.42)</f>
        <v>9.42</v>
      </c>
      <c r="K1223" s="112">
        <f ca="1">IFERROR(__xludf.DUMMYFUNCTION("""COMPUTED_VALUE"""),42517.7055555555)</f>
        <v>42517.705555555498</v>
      </c>
      <c r="L1223" s="111">
        <f ca="1">IFERROR(__xludf.DUMMYFUNCTION("""COMPUTED_VALUE"""),0.13)</f>
        <v>0.13</v>
      </c>
      <c r="M1223" s="112">
        <f ca="1">IFERROR(__xludf.DUMMYFUNCTION("""COMPUTED_VALUE"""),41975.7055555555)</f>
        <v>41975.705555555498</v>
      </c>
      <c r="N1223" s="111">
        <f ca="1">IFERROR(__xludf.DUMMYFUNCTION("""COMPUTED_VALUE"""),15.88)</f>
        <v>15.88</v>
      </c>
      <c r="O1223" s="112">
        <f ca="1">IFERROR(__xludf.DUMMYFUNCTION("""COMPUTED_VALUE"""),42058.7055555555)</f>
        <v>42058.705555555498</v>
      </c>
      <c r="P1223" s="111">
        <f ca="1">IFERROR(__xludf.DUMMYFUNCTION("""COMPUTED_VALUE"""),21.51)</f>
        <v>21.51</v>
      </c>
      <c r="Q1223" s="112">
        <f ca="1">IFERROR(__xludf.DUMMYFUNCTION("""COMPUTED_VALUE"""),42054.7055555555)</f>
        <v>42054.705555555498</v>
      </c>
      <c r="R1223" s="111">
        <f ca="1">IFERROR(__xludf.DUMMYFUNCTION("""COMPUTED_VALUE"""),24.4)</f>
        <v>24.4</v>
      </c>
      <c r="S1223" s="112">
        <f ca="1">IFERROR(__xludf.DUMMYFUNCTION("""COMPUTED_VALUE"""),42067.7055555555)</f>
        <v>42067.705555555498</v>
      </c>
      <c r="T1223" s="111">
        <f ca="1">IFERROR(__xludf.DUMMYFUNCTION("""COMPUTED_VALUE"""),12.55)</f>
        <v>12.55</v>
      </c>
    </row>
    <row r="1224" spans="1:20" x14ac:dyDescent="0.3">
      <c r="A1224" s="112">
        <f ca="1">IFERROR(__xludf.DUMMYFUNCTION("""COMPUTED_VALUE"""),42065.7055555555)</f>
        <v>42065.705555555498</v>
      </c>
      <c r="B1224" s="111">
        <f ca="1">IFERROR(__xludf.DUMMYFUNCTION("""COMPUTED_VALUE"""),5.04)</f>
        <v>5.04</v>
      </c>
      <c r="C1224" s="112">
        <f ca="1">IFERROR(__xludf.DUMMYFUNCTION("""COMPUTED_VALUE"""),42072.7055555555)</f>
        <v>42072.705555555498</v>
      </c>
      <c r="D1224" s="111">
        <f ca="1">IFERROR(__xludf.DUMMYFUNCTION("""COMPUTED_VALUE"""),20.59)</f>
        <v>20.59</v>
      </c>
      <c r="E1224" s="112">
        <f ca="1">IFERROR(__xludf.DUMMYFUNCTION("""COMPUTED_VALUE"""),42073.7055555555)</f>
        <v>42073.705555555498</v>
      </c>
      <c r="F1224" s="111">
        <f ca="1">IFERROR(__xludf.DUMMYFUNCTION("""COMPUTED_VALUE"""),7.22)</f>
        <v>7.22</v>
      </c>
      <c r="G1224" s="112">
        <f ca="1">IFERROR(__xludf.DUMMYFUNCTION("""COMPUTED_VALUE"""),42066.7055555555)</f>
        <v>42066.705555555498</v>
      </c>
      <c r="H1224" s="111">
        <f ca="1">IFERROR(__xludf.DUMMYFUNCTION("""COMPUTED_VALUE"""),9.57)</f>
        <v>9.57</v>
      </c>
      <c r="K1224" s="112">
        <f ca="1">IFERROR(__xludf.DUMMYFUNCTION("""COMPUTED_VALUE"""),42520.7055555555)</f>
        <v>42520.705555555498</v>
      </c>
      <c r="L1224" s="111">
        <f ca="1">IFERROR(__xludf.DUMMYFUNCTION("""COMPUTED_VALUE"""),0.13)</f>
        <v>0.13</v>
      </c>
      <c r="M1224" s="112">
        <f ca="1">IFERROR(__xludf.DUMMYFUNCTION("""COMPUTED_VALUE"""),41976.7055555555)</f>
        <v>41976.705555555498</v>
      </c>
      <c r="N1224" s="111">
        <f ca="1">IFERROR(__xludf.DUMMYFUNCTION("""COMPUTED_VALUE"""),16.15)</f>
        <v>16.149999999999999</v>
      </c>
      <c r="O1224" s="112">
        <f ca="1">IFERROR(__xludf.DUMMYFUNCTION("""COMPUTED_VALUE"""),42059.7055555555)</f>
        <v>42059.705555555498</v>
      </c>
      <c r="P1224" s="111">
        <f ca="1">IFERROR(__xludf.DUMMYFUNCTION("""COMPUTED_VALUE"""),22)</f>
        <v>22</v>
      </c>
      <c r="Q1224" s="112">
        <f ca="1">IFERROR(__xludf.DUMMYFUNCTION("""COMPUTED_VALUE"""),42055.7055555555)</f>
        <v>42055.705555555498</v>
      </c>
      <c r="R1224" s="111">
        <f ca="1">IFERROR(__xludf.DUMMYFUNCTION("""COMPUTED_VALUE"""),23.97)</f>
        <v>23.97</v>
      </c>
      <c r="S1224" s="112">
        <f ca="1">IFERROR(__xludf.DUMMYFUNCTION("""COMPUTED_VALUE"""),42068.7055555555)</f>
        <v>42068.705555555498</v>
      </c>
      <c r="T1224" s="111">
        <f ca="1">IFERROR(__xludf.DUMMYFUNCTION("""COMPUTED_VALUE"""),12.4)</f>
        <v>12.4</v>
      </c>
    </row>
    <row r="1225" spans="1:20" x14ac:dyDescent="0.3">
      <c r="A1225" s="112">
        <f ca="1">IFERROR(__xludf.DUMMYFUNCTION("""COMPUTED_VALUE"""),42066.7055555555)</f>
        <v>42066.705555555498</v>
      </c>
      <c r="B1225" s="111">
        <f ca="1">IFERROR(__xludf.DUMMYFUNCTION("""COMPUTED_VALUE"""),5.08)</f>
        <v>5.08</v>
      </c>
      <c r="C1225" s="112">
        <f ca="1">IFERROR(__xludf.DUMMYFUNCTION("""COMPUTED_VALUE"""),42073.7055555555)</f>
        <v>42073.705555555498</v>
      </c>
      <c r="D1225" s="111">
        <f ca="1">IFERROR(__xludf.DUMMYFUNCTION("""COMPUTED_VALUE"""),19.81)</f>
        <v>19.809999999999999</v>
      </c>
      <c r="E1225" s="112">
        <f ca="1">IFERROR(__xludf.DUMMYFUNCTION("""COMPUTED_VALUE"""),42074.7055555555)</f>
        <v>42074.705555555498</v>
      </c>
      <c r="F1225" s="111">
        <f ca="1">IFERROR(__xludf.DUMMYFUNCTION("""COMPUTED_VALUE"""),7.48)</f>
        <v>7.48</v>
      </c>
      <c r="G1225" s="112">
        <f ca="1">IFERROR(__xludf.DUMMYFUNCTION("""COMPUTED_VALUE"""),42067.7055555555)</f>
        <v>42067.705555555498</v>
      </c>
      <c r="H1225" s="111">
        <f ca="1">IFERROR(__xludf.DUMMYFUNCTION("""COMPUTED_VALUE"""),9.27)</f>
        <v>9.27</v>
      </c>
      <c r="K1225" s="112">
        <f ca="1">IFERROR(__xludf.DUMMYFUNCTION("""COMPUTED_VALUE"""),42521.7055555555)</f>
        <v>42521.705555555498</v>
      </c>
      <c r="L1225" s="111">
        <f ca="1">IFERROR(__xludf.DUMMYFUNCTION("""COMPUTED_VALUE"""),0.14)</f>
        <v>0.14000000000000001</v>
      </c>
      <c r="M1225" s="112">
        <f ca="1">IFERROR(__xludf.DUMMYFUNCTION("""COMPUTED_VALUE"""),41977.7055555555)</f>
        <v>41977.705555555498</v>
      </c>
      <c r="N1225" s="111">
        <f ca="1">IFERROR(__xludf.DUMMYFUNCTION("""COMPUTED_VALUE"""),15.8)</f>
        <v>15.8</v>
      </c>
      <c r="O1225" s="112">
        <f ca="1">IFERROR(__xludf.DUMMYFUNCTION("""COMPUTED_VALUE"""),42060.7055555555)</f>
        <v>42060.705555555498</v>
      </c>
      <c r="P1225" s="111">
        <f ca="1">IFERROR(__xludf.DUMMYFUNCTION("""COMPUTED_VALUE"""),22.05)</f>
        <v>22.05</v>
      </c>
      <c r="Q1225" s="112">
        <f ca="1">IFERROR(__xludf.DUMMYFUNCTION("""COMPUTED_VALUE"""),42058.7055555555)</f>
        <v>42058.705555555498</v>
      </c>
      <c r="R1225" s="111">
        <f ca="1">IFERROR(__xludf.DUMMYFUNCTION("""COMPUTED_VALUE"""),23.88)</f>
        <v>23.88</v>
      </c>
      <c r="S1225" s="112">
        <f ca="1">IFERROR(__xludf.DUMMYFUNCTION("""COMPUTED_VALUE"""),42069.7055555555)</f>
        <v>42069.705555555498</v>
      </c>
      <c r="T1225" s="111">
        <f ca="1">IFERROR(__xludf.DUMMYFUNCTION("""COMPUTED_VALUE"""),12.36)</f>
        <v>12.36</v>
      </c>
    </row>
    <row r="1226" spans="1:20" x14ac:dyDescent="0.3">
      <c r="A1226" s="112">
        <f ca="1">IFERROR(__xludf.DUMMYFUNCTION("""COMPUTED_VALUE"""),42067.7055555555)</f>
        <v>42067.705555555498</v>
      </c>
      <c r="B1226" s="111">
        <f ca="1">IFERROR(__xludf.DUMMYFUNCTION("""COMPUTED_VALUE"""),5.06)</f>
        <v>5.0599999999999996</v>
      </c>
      <c r="C1226" s="112">
        <f ca="1">IFERROR(__xludf.DUMMYFUNCTION("""COMPUTED_VALUE"""),42074.7055555555)</f>
        <v>42074.705555555498</v>
      </c>
      <c r="D1226" s="111">
        <f ca="1">IFERROR(__xludf.DUMMYFUNCTION("""COMPUTED_VALUE"""),20.36)</f>
        <v>20.36</v>
      </c>
      <c r="E1226" s="112">
        <f ca="1">IFERROR(__xludf.DUMMYFUNCTION("""COMPUTED_VALUE"""),42075.7055555555)</f>
        <v>42075.705555555498</v>
      </c>
      <c r="F1226" s="111">
        <f ca="1">IFERROR(__xludf.DUMMYFUNCTION("""COMPUTED_VALUE"""),7.48)</f>
        <v>7.48</v>
      </c>
      <c r="G1226" s="112">
        <f ca="1">IFERROR(__xludf.DUMMYFUNCTION("""COMPUTED_VALUE"""),42068.7055555555)</f>
        <v>42068.705555555498</v>
      </c>
      <c r="H1226" s="111">
        <f ca="1">IFERROR(__xludf.DUMMYFUNCTION("""COMPUTED_VALUE"""),9.24)</f>
        <v>9.24</v>
      </c>
      <c r="K1226" s="112">
        <f ca="1">IFERROR(__xludf.DUMMYFUNCTION("""COMPUTED_VALUE"""),42522.7055555555)</f>
        <v>42522.705555555498</v>
      </c>
      <c r="L1226" s="111">
        <f ca="1">IFERROR(__xludf.DUMMYFUNCTION("""COMPUTED_VALUE"""),0.13)</f>
        <v>0.13</v>
      </c>
      <c r="M1226" s="112">
        <f ca="1">IFERROR(__xludf.DUMMYFUNCTION("""COMPUTED_VALUE"""),41978.7055555555)</f>
        <v>41978.705555555498</v>
      </c>
      <c r="N1226" s="111">
        <f ca="1">IFERROR(__xludf.DUMMYFUNCTION("""COMPUTED_VALUE"""),16.15)</f>
        <v>16.149999999999999</v>
      </c>
      <c r="O1226" s="112">
        <f ca="1">IFERROR(__xludf.DUMMYFUNCTION("""COMPUTED_VALUE"""),42061.7055555555)</f>
        <v>42061.705555555498</v>
      </c>
      <c r="P1226" s="111">
        <f ca="1">IFERROR(__xludf.DUMMYFUNCTION("""COMPUTED_VALUE"""),21.25)</f>
        <v>21.25</v>
      </c>
      <c r="Q1226" s="112">
        <f ca="1">IFERROR(__xludf.DUMMYFUNCTION("""COMPUTED_VALUE"""),42059.7055555555)</f>
        <v>42059.705555555498</v>
      </c>
      <c r="R1226" s="111">
        <f ca="1">IFERROR(__xludf.DUMMYFUNCTION("""COMPUTED_VALUE"""),23.66)</f>
        <v>23.66</v>
      </c>
      <c r="S1226" s="112">
        <f ca="1">IFERROR(__xludf.DUMMYFUNCTION("""COMPUTED_VALUE"""),42072.7055555555)</f>
        <v>42072.705555555498</v>
      </c>
      <c r="T1226" s="111">
        <f ca="1">IFERROR(__xludf.DUMMYFUNCTION("""COMPUTED_VALUE"""),12.28)</f>
        <v>12.28</v>
      </c>
    </row>
    <row r="1227" spans="1:20" x14ac:dyDescent="0.3">
      <c r="A1227" s="112">
        <f ca="1">IFERROR(__xludf.DUMMYFUNCTION("""COMPUTED_VALUE"""),42068.7055555555)</f>
        <v>42068.705555555498</v>
      </c>
      <c r="B1227" s="111">
        <f ca="1">IFERROR(__xludf.DUMMYFUNCTION("""COMPUTED_VALUE"""),5.06)</f>
        <v>5.0599999999999996</v>
      </c>
      <c r="C1227" s="112">
        <f ca="1">IFERROR(__xludf.DUMMYFUNCTION("""COMPUTED_VALUE"""),42075.7055555555)</f>
        <v>42075.705555555498</v>
      </c>
      <c r="D1227" s="111">
        <f ca="1">IFERROR(__xludf.DUMMYFUNCTION("""COMPUTED_VALUE"""),20.56)</f>
        <v>20.56</v>
      </c>
      <c r="E1227" s="112">
        <f ca="1">IFERROR(__xludf.DUMMYFUNCTION("""COMPUTED_VALUE"""),42076.7055555555)</f>
        <v>42076.705555555498</v>
      </c>
      <c r="F1227" s="111">
        <f ca="1">IFERROR(__xludf.DUMMYFUNCTION("""COMPUTED_VALUE"""),7.48)</f>
        <v>7.48</v>
      </c>
      <c r="G1227" s="112">
        <f ca="1">IFERROR(__xludf.DUMMYFUNCTION("""COMPUTED_VALUE"""),42069.7055555555)</f>
        <v>42069.705555555498</v>
      </c>
      <c r="H1227" s="111">
        <f ca="1">IFERROR(__xludf.DUMMYFUNCTION("""COMPUTED_VALUE"""),9.25)</f>
        <v>9.25</v>
      </c>
      <c r="K1227" s="112">
        <f ca="1">IFERROR(__xludf.DUMMYFUNCTION("""COMPUTED_VALUE"""),42523.7055555555)</f>
        <v>42523.705555555498</v>
      </c>
      <c r="L1227" s="111">
        <f ca="1">IFERROR(__xludf.DUMMYFUNCTION("""COMPUTED_VALUE"""),0.14)</f>
        <v>0.14000000000000001</v>
      </c>
      <c r="M1227" s="112">
        <f ca="1">IFERROR(__xludf.DUMMYFUNCTION("""COMPUTED_VALUE"""),41981.7055555555)</f>
        <v>41981.705555555498</v>
      </c>
      <c r="N1227" s="111">
        <f ca="1">IFERROR(__xludf.DUMMYFUNCTION("""COMPUTED_VALUE"""),15.35)</f>
        <v>15.35</v>
      </c>
      <c r="O1227" s="112">
        <f ca="1">IFERROR(__xludf.DUMMYFUNCTION("""COMPUTED_VALUE"""),42062.7055555555)</f>
        <v>42062.705555555498</v>
      </c>
      <c r="P1227" s="111">
        <f ca="1">IFERROR(__xludf.DUMMYFUNCTION("""COMPUTED_VALUE"""),21.1)</f>
        <v>21.1</v>
      </c>
      <c r="Q1227" s="112">
        <f ca="1">IFERROR(__xludf.DUMMYFUNCTION("""COMPUTED_VALUE"""),42060.7055555555)</f>
        <v>42060.705555555498</v>
      </c>
      <c r="R1227" s="111">
        <f ca="1">IFERROR(__xludf.DUMMYFUNCTION("""COMPUTED_VALUE"""),23.2)</f>
        <v>23.2</v>
      </c>
      <c r="S1227" s="112">
        <f ca="1">IFERROR(__xludf.DUMMYFUNCTION("""COMPUTED_VALUE"""),42073.7055555555)</f>
        <v>42073.705555555498</v>
      </c>
      <c r="T1227" s="111">
        <f ca="1">IFERROR(__xludf.DUMMYFUNCTION("""COMPUTED_VALUE"""),12.1)</f>
        <v>12.1</v>
      </c>
    </row>
    <row r="1228" spans="1:20" x14ac:dyDescent="0.3">
      <c r="A1228" s="112">
        <f ca="1">IFERROR(__xludf.DUMMYFUNCTION("""COMPUTED_VALUE"""),42069.7055555555)</f>
        <v>42069.705555555498</v>
      </c>
      <c r="B1228" s="111">
        <f ca="1">IFERROR(__xludf.DUMMYFUNCTION("""COMPUTED_VALUE"""),5.01)</f>
        <v>5.01</v>
      </c>
      <c r="C1228" s="112">
        <f ca="1">IFERROR(__xludf.DUMMYFUNCTION("""COMPUTED_VALUE"""),42076.7055555555)</f>
        <v>42076.705555555498</v>
      </c>
      <c r="D1228" s="111">
        <f ca="1">IFERROR(__xludf.DUMMYFUNCTION("""COMPUTED_VALUE"""),20.49)</f>
        <v>20.49</v>
      </c>
      <c r="E1228" s="112">
        <f ca="1">IFERROR(__xludf.DUMMYFUNCTION("""COMPUTED_VALUE"""),42079.7055555555)</f>
        <v>42079.705555555498</v>
      </c>
      <c r="F1228" s="111">
        <f ca="1">IFERROR(__xludf.DUMMYFUNCTION("""COMPUTED_VALUE"""),7.47)</f>
        <v>7.47</v>
      </c>
      <c r="G1228" s="112">
        <f ca="1">IFERROR(__xludf.DUMMYFUNCTION("""COMPUTED_VALUE"""),42072.7055555555)</f>
        <v>42072.705555555498</v>
      </c>
      <c r="H1228" s="111">
        <f ca="1">IFERROR(__xludf.DUMMYFUNCTION("""COMPUTED_VALUE"""),8.92)</f>
        <v>8.92</v>
      </c>
      <c r="K1228" s="112">
        <f ca="1">IFERROR(__xludf.DUMMYFUNCTION("""COMPUTED_VALUE"""),42524.7055555555)</f>
        <v>42524.705555555498</v>
      </c>
      <c r="L1228" s="111">
        <f ca="1">IFERROR(__xludf.DUMMYFUNCTION("""COMPUTED_VALUE"""),0.14)</f>
        <v>0.14000000000000001</v>
      </c>
      <c r="M1228" s="112">
        <f ca="1">IFERROR(__xludf.DUMMYFUNCTION("""COMPUTED_VALUE"""),41982.7055555555)</f>
        <v>41982.705555555498</v>
      </c>
      <c r="N1228" s="111">
        <f ca="1">IFERROR(__xludf.DUMMYFUNCTION("""COMPUTED_VALUE"""),15.7)</f>
        <v>15.7</v>
      </c>
      <c r="O1228" s="112">
        <f ca="1">IFERROR(__xludf.DUMMYFUNCTION("""COMPUTED_VALUE"""),42065.7055555555)</f>
        <v>42065.705555555498</v>
      </c>
      <c r="P1228" s="111">
        <f ca="1">IFERROR(__xludf.DUMMYFUNCTION("""COMPUTED_VALUE"""),20.77)</f>
        <v>20.77</v>
      </c>
      <c r="Q1228" s="112">
        <f ca="1">IFERROR(__xludf.DUMMYFUNCTION("""COMPUTED_VALUE"""),42061.7055555555)</f>
        <v>42061.705555555498</v>
      </c>
      <c r="R1228" s="111">
        <f ca="1">IFERROR(__xludf.DUMMYFUNCTION("""COMPUTED_VALUE"""),23.03)</f>
        <v>23.03</v>
      </c>
      <c r="S1228" s="112">
        <f ca="1">IFERROR(__xludf.DUMMYFUNCTION("""COMPUTED_VALUE"""),42074.7055555555)</f>
        <v>42074.705555555498</v>
      </c>
      <c r="T1228" s="111">
        <f ca="1">IFERROR(__xludf.DUMMYFUNCTION("""COMPUTED_VALUE"""),12.33)</f>
        <v>12.33</v>
      </c>
    </row>
    <row r="1229" spans="1:20" x14ac:dyDescent="0.3">
      <c r="A1229" s="112">
        <f ca="1">IFERROR(__xludf.DUMMYFUNCTION("""COMPUTED_VALUE"""),42072.7055555555)</f>
        <v>42072.705555555498</v>
      </c>
      <c r="B1229" s="111">
        <f ca="1">IFERROR(__xludf.DUMMYFUNCTION("""COMPUTED_VALUE"""),4.95)</f>
        <v>4.95</v>
      </c>
      <c r="C1229" s="112">
        <f ca="1">IFERROR(__xludf.DUMMYFUNCTION("""COMPUTED_VALUE"""),42079.7055555555)</f>
        <v>42079.705555555498</v>
      </c>
      <c r="D1229" s="111">
        <f ca="1">IFERROR(__xludf.DUMMYFUNCTION("""COMPUTED_VALUE"""),20.48)</f>
        <v>20.48</v>
      </c>
      <c r="E1229" s="112">
        <f ca="1">IFERROR(__xludf.DUMMYFUNCTION("""COMPUTED_VALUE"""),42080.7055555555)</f>
        <v>42080.705555555498</v>
      </c>
      <c r="F1229" s="111">
        <f ca="1">IFERROR(__xludf.DUMMYFUNCTION("""COMPUTED_VALUE"""),7.69)</f>
        <v>7.69</v>
      </c>
      <c r="G1229" s="112">
        <f ca="1">IFERROR(__xludf.DUMMYFUNCTION("""COMPUTED_VALUE"""),42073.7055555555)</f>
        <v>42073.705555555498</v>
      </c>
      <c r="H1229" s="111">
        <f ca="1">IFERROR(__xludf.DUMMYFUNCTION("""COMPUTED_VALUE"""),8.52)</f>
        <v>8.52</v>
      </c>
      <c r="K1229" s="112">
        <f ca="1">IFERROR(__xludf.DUMMYFUNCTION("""COMPUTED_VALUE"""),42527.7055555555)</f>
        <v>42527.705555555498</v>
      </c>
      <c r="L1229" s="111">
        <f ca="1">IFERROR(__xludf.DUMMYFUNCTION("""COMPUTED_VALUE"""),0.15)</f>
        <v>0.15</v>
      </c>
      <c r="M1229" s="112">
        <f ca="1">IFERROR(__xludf.DUMMYFUNCTION("""COMPUTED_VALUE"""),41983.7055555555)</f>
        <v>41983.705555555498</v>
      </c>
      <c r="N1229" s="111">
        <f ca="1">IFERROR(__xludf.DUMMYFUNCTION("""COMPUTED_VALUE"""),15.25)</f>
        <v>15.25</v>
      </c>
      <c r="O1229" s="112">
        <f ca="1">IFERROR(__xludf.DUMMYFUNCTION("""COMPUTED_VALUE"""),42066.7055555555)</f>
        <v>42066.705555555498</v>
      </c>
      <c r="P1229" s="111">
        <f ca="1">IFERROR(__xludf.DUMMYFUNCTION("""COMPUTED_VALUE"""),20.88)</f>
        <v>20.88</v>
      </c>
      <c r="Q1229" s="112">
        <f ca="1">IFERROR(__xludf.DUMMYFUNCTION("""COMPUTED_VALUE"""),42062.7055555555)</f>
        <v>42062.705555555498</v>
      </c>
      <c r="R1229" s="111">
        <f ca="1">IFERROR(__xludf.DUMMYFUNCTION("""COMPUTED_VALUE"""),23.69)</f>
        <v>23.69</v>
      </c>
      <c r="S1229" s="112">
        <f ca="1">IFERROR(__xludf.DUMMYFUNCTION("""COMPUTED_VALUE"""),42075.7055555555)</f>
        <v>42075.705555555498</v>
      </c>
      <c r="T1229" s="111">
        <f ca="1">IFERROR(__xludf.DUMMYFUNCTION("""COMPUTED_VALUE"""),12.54)</f>
        <v>12.54</v>
      </c>
    </row>
    <row r="1230" spans="1:20" x14ac:dyDescent="0.3">
      <c r="A1230" s="112">
        <f ca="1">IFERROR(__xludf.DUMMYFUNCTION("""COMPUTED_VALUE"""),42073.7055555555)</f>
        <v>42073.705555555498</v>
      </c>
      <c r="B1230" s="111">
        <f ca="1">IFERROR(__xludf.DUMMYFUNCTION("""COMPUTED_VALUE"""),4.91)</f>
        <v>4.91</v>
      </c>
      <c r="C1230" s="112">
        <f ca="1">IFERROR(__xludf.DUMMYFUNCTION("""COMPUTED_VALUE"""),42080.7055555555)</f>
        <v>42080.705555555498</v>
      </c>
      <c r="D1230" s="111">
        <f ca="1">IFERROR(__xludf.DUMMYFUNCTION("""COMPUTED_VALUE"""),21.1)</f>
        <v>21.1</v>
      </c>
      <c r="E1230" s="112">
        <f ca="1">IFERROR(__xludf.DUMMYFUNCTION("""COMPUTED_VALUE"""),42081.7055555555)</f>
        <v>42081.705555555498</v>
      </c>
      <c r="F1230" s="111">
        <f ca="1">IFERROR(__xludf.DUMMYFUNCTION("""COMPUTED_VALUE"""),7.97)</f>
        <v>7.97</v>
      </c>
      <c r="G1230" s="112">
        <f ca="1">IFERROR(__xludf.DUMMYFUNCTION("""COMPUTED_VALUE"""),42074.7055555555)</f>
        <v>42074.705555555498</v>
      </c>
      <c r="H1230" s="111">
        <f ca="1">IFERROR(__xludf.DUMMYFUNCTION("""COMPUTED_VALUE"""),8.74)</f>
        <v>8.74</v>
      </c>
      <c r="K1230" s="112">
        <f ca="1">IFERROR(__xludf.DUMMYFUNCTION("""COMPUTED_VALUE"""),42528.7055555555)</f>
        <v>42528.705555555498</v>
      </c>
      <c r="L1230" s="111">
        <f ca="1">IFERROR(__xludf.DUMMYFUNCTION("""COMPUTED_VALUE"""),0.15)</f>
        <v>0.15</v>
      </c>
      <c r="M1230" s="112">
        <f ca="1">IFERROR(__xludf.DUMMYFUNCTION("""COMPUTED_VALUE"""),41984.7055555555)</f>
        <v>41984.705555555498</v>
      </c>
      <c r="N1230" s="111">
        <f ca="1">IFERROR(__xludf.DUMMYFUNCTION("""COMPUTED_VALUE"""),15.61)</f>
        <v>15.61</v>
      </c>
      <c r="O1230" s="112">
        <f ca="1">IFERROR(__xludf.DUMMYFUNCTION("""COMPUTED_VALUE"""),42067.7055555555)</f>
        <v>42067.705555555498</v>
      </c>
      <c r="P1230" s="111">
        <f ca="1">IFERROR(__xludf.DUMMYFUNCTION("""COMPUTED_VALUE"""),20.48)</f>
        <v>20.48</v>
      </c>
      <c r="Q1230" s="112">
        <f ca="1">IFERROR(__xludf.DUMMYFUNCTION("""COMPUTED_VALUE"""),42065.7055555555)</f>
        <v>42065.705555555498</v>
      </c>
      <c r="R1230" s="111">
        <f ca="1">IFERROR(__xludf.DUMMYFUNCTION("""COMPUTED_VALUE"""),23.65)</f>
        <v>23.65</v>
      </c>
      <c r="S1230" s="112">
        <f ca="1">IFERROR(__xludf.DUMMYFUNCTION("""COMPUTED_VALUE"""),42076.7055555555)</f>
        <v>42076.705555555498</v>
      </c>
      <c r="T1230" s="111">
        <f ca="1">IFERROR(__xludf.DUMMYFUNCTION("""COMPUTED_VALUE"""),12.4)</f>
        <v>12.4</v>
      </c>
    </row>
    <row r="1231" spans="1:20" x14ac:dyDescent="0.3">
      <c r="A1231" s="112">
        <f ca="1">IFERROR(__xludf.DUMMYFUNCTION("""COMPUTED_VALUE"""),42074.7055555555)</f>
        <v>42074.705555555498</v>
      </c>
      <c r="B1231" s="111">
        <f ca="1">IFERROR(__xludf.DUMMYFUNCTION("""COMPUTED_VALUE"""),4.87)</f>
        <v>4.87</v>
      </c>
      <c r="C1231" s="112">
        <f ca="1">IFERROR(__xludf.DUMMYFUNCTION("""COMPUTED_VALUE"""),42081.7055555555)</f>
        <v>42081.705555555498</v>
      </c>
      <c r="D1231" s="111">
        <f ca="1">IFERROR(__xludf.DUMMYFUNCTION("""COMPUTED_VALUE"""),21.7)</f>
        <v>21.7</v>
      </c>
      <c r="E1231" s="112">
        <f ca="1">IFERROR(__xludf.DUMMYFUNCTION("""COMPUTED_VALUE"""),42082.7055555555)</f>
        <v>42082.705555555498</v>
      </c>
      <c r="F1231" s="111">
        <f ca="1">IFERROR(__xludf.DUMMYFUNCTION("""COMPUTED_VALUE"""),7.97)</f>
        <v>7.97</v>
      </c>
      <c r="G1231" s="112">
        <f ca="1">IFERROR(__xludf.DUMMYFUNCTION("""COMPUTED_VALUE"""),42075.7055555555)</f>
        <v>42075.705555555498</v>
      </c>
      <c r="H1231" s="111">
        <f ca="1">IFERROR(__xludf.DUMMYFUNCTION("""COMPUTED_VALUE"""),8.47)</f>
        <v>8.4700000000000006</v>
      </c>
      <c r="K1231" s="112">
        <f ca="1">IFERROR(__xludf.DUMMYFUNCTION("""COMPUTED_VALUE"""),42529.7055555555)</f>
        <v>42529.705555555498</v>
      </c>
      <c r="L1231" s="111">
        <f ca="1">IFERROR(__xludf.DUMMYFUNCTION("""COMPUTED_VALUE"""),0.15)</f>
        <v>0.15</v>
      </c>
      <c r="M1231" s="112">
        <f ca="1">IFERROR(__xludf.DUMMYFUNCTION("""COMPUTED_VALUE"""),41985.7055555555)</f>
        <v>41985.705555555498</v>
      </c>
      <c r="N1231" s="111">
        <f ca="1">IFERROR(__xludf.DUMMYFUNCTION("""COMPUTED_VALUE"""),14.69)</f>
        <v>14.69</v>
      </c>
      <c r="O1231" s="112">
        <f ca="1">IFERROR(__xludf.DUMMYFUNCTION("""COMPUTED_VALUE"""),42068.7055555555)</f>
        <v>42068.705555555498</v>
      </c>
      <c r="P1231" s="111">
        <f ca="1">IFERROR(__xludf.DUMMYFUNCTION("""COMPUTED_VALUE"""),19.5)</f>
        <v>19.5</v>
      </c>
      <c r="Q1231" s="112">
        <f ca="1">IFERROR(__xludf.DUMMYFUNCTION("""COMPUTED_VALUE"""),42066.7055555555)</f>
        <v>42066.705555555498</v>
      </c>
      <c r="R1231" s="111">
        <f ca="1">IFERROR(__xludf.DUMMYFUNCTION("""COMPUTED_VALUE"""),23.6)</f>
        <v>23.6</v>
      </c>
      <c r="S1231" s="112">
        <f ca="1">IFERROR(__xludf.DUMMYFUNCTION("""COMPUTED_VALUE"""),42079.7055555555)</f>
        <v>42079.705555555498</v>
      </c>
      <c r="T1231" s="111">
        <f ca="1">IFERROR(__xludf.DUMMYFUNCTION("""COMPUTED_VALUE"""),12.35)</f>
        <v>12.35</v>
      </c>
    </row>
    <row r="1232" spans="1:20" x14ac:dyDescent="0.3">
      <c r="A1232" s="112">
        <f ca="1">IFERROR(__xludf.DUMMYFUNCTION("""COMPUTED_VALUE"""),42075.7055555555)</f>
        <v>42075.705555555498</v>
      </c>
      <c r="B1232" s="111">
        <f ca="1">IFERROR(__xludf.DUMMYFUNCTION("""COMPUTED_VALUE"""),4.84)</f>
        <v>4.84</v>
      </c>
      <c r="C1232" s="112">
        <f ca="1">IFERROR(__xludf.DUMMYFUNCTION("""COMPUTED_VALUE"""),42082.7055555555)</f>
        <v>42082.705555555498</v>
      </c>
      <c r="D1232" s="111">
        <f ca="1">IFERROR(__xludf.DUMMYFUNCTION("""COMPUTED_VALUE"""),21.65)</f>
        <v>21.65</v>
      </c>
      <c r="E1232" s="112">
        <f ca="1">IFERROR(__xludf.DUMMYFUNCTION("""COMPUTED_VALUE"""),42083.7055555555)</f>
        <v>42083.705555555498</v>
      </c>
      <c r="F1232" s="111">
        <f ca="1">IFERROR(__xludf.DUMMYFUNCTION("""COMPUTED_VALUE"""),7.94)</f>
        <v>7.94</v>
      </c>
      <c r="G1232" s="112">
        <f ca="1">IFERROR(__xludf.DUMMYFUNCTION("""COMPUTED_VALUE"""),42076.7055555555)</f>
        <v>42076.705555555498</v>
      </c>
      <c r="H1232" s="111">
        <f ca="1">IFERROR(__xludf.DUMMYFUNCTION("""COMPUTED_VALUE"""),8.34)</f>
        <v>8.34</v>
      </c>
      <c r="K1232" s="112">
        <f ca="1">IFERROR(__xludf.DUMMYFUNCTION("""COMPUTED_VALUE"""),42530.7055555555)</f>
        <v>42530.705555555498</v>
      </c>
      <c r="L1232" s="111">
        <f ca="1">IFERROR(__xludf.DUMMYFUNCTION("""COMPUTED_VALUE"""),0.15)</f>
        <v>0.15</v>
      </c>
      <c r="M1232" s="112">
        <f ca="1">IFERROR(__xludf.DUMMYFUNCTION("""COMPUTED_VALUE"""),41988.7055555555)</f>
        <v>41988.705555555498</v>
      </c>
      <c r="N1232" s="111">
        <f ca="1">IFERROR(__xludf.DUMMYFUNCTION("""COMPUTED_VALUE"""),14.28)</f>
        <v>14.28</v>
      </c>
      <c r="O1232" s="112">
        <f ca="1">IFERROR(__xludf.DUMMYFUNCTION("""COMPUTED_VALUE"""),42069.7055555555)</f>
        <v>42069.705555555498</v>
      </c>
      <c r="P1232" s="111">
        <f ca="1">IFERROR(__xludf.DUMMYFUNCTION("""COMPUTED_VALUE"""),19.62)</f>
        <v>19.62</v>
      </c>
      <c r="Q1232" s="112">
        <f ca="1">IFERROR(__xludf.DUMMYFUNCTION("""COMPUTED_VALUE"""),42067.7055555555)</f>
        <v>42067.705555555498</v>
      </c>
      <c r="R1232" s="111">
        <f ca="1">IFERROR(__xludf.DUMMYFUNCTION("""COMPUTED_VALUE"""),22.35)</f>
        <v>22.35</v>
      </c>
      <c r="S1232" s="112">
        <f ca="1">IFERROR(__xludf.DUMMYFUNCTION("""COMPUTED_VALUE"""),42080.7055555555)</f>
        <v>42080.705555555498</v>
      </c>
      <c r="T1232" s="111">
        <f ca="1">IFERROR(__xludf.DUMMYFUNCTION("""COMPUTED_VALUE"""),12.65)</f>
        <v>12.65</v>
      </c>
    </row>
    <row r="1233" spans="1:20" x14ac:dyDescent="0.3">
      <c r="A1233" s="112">
        <f ca="1">IFERROR(__xludf.DUMMYFUNCTION("""COMPUTED_VALUE"""),42076.7055555555)</f>
        <v>42076.705555555498</v>
      </c>
      <c r="B1233" s="111">
        <f ca="1">IFERROR(__xludf.DUMMYFUNCTION("""COMPUTED_VALUE"""),4.92)</f>
        <v>4.92</v>
      </c>
      <c r="C1233" s="112">
        <f ca="1">IFERROR(__xludf.DUMMYFUNCTION("""COMPUTED_VALUE"""),42083.7055555555)</f>
        <v>42083.705555555498</v>
      </c>
      <c r="D1233" s="111">
        <f ca="1">IFERROR(__xludf.DUMMYFUNCTION("""COMPUTED_VALUE"""),21.7)</f>
        <v>21.7</v>
      </c>
      <c r="E1233" s="112">
        <f ca="1">IFERROR(__xludf.DUMMYFUNCTION("""COMPUTED_VALUE"""),42086.7055555555)</f>
        <v>42086.705555555498</v>
      </c>
      <c r="F1233" s="111">
        <f ca="1">IFERROR(__xludf.DUMMYFUNCTION("""COMPUTED_VALUE"""),7.97)</f>
        <v>7.97</v>
      </c>
      <c r="G1233" s="112">
        <f ca="1">IFERROR(__xludf.DUMMYFUNCTION("""COMPUTED_VALUE"""),42079.7055555555)</f>
        <v>42079.705555555498</v>
      </c>
      <c r="H1233" s="111">
        <f ca="1">IFERROR(__xludf.DUMMYFUNCTION("""COMPUTED_VALUE"""),8.39)</f>
        <v>8.39</v>
      </c>
      <c r="K1233" s="112">
        <f ca="1">IFERROR(__xludf.DUMMYFUNCTION("""COMPUTED_VALUE"""),42531.7055555555)</f>
        <v>42531.705555555498</v>
      </c>
      <c r="L1233" s="111">
        <f ca="1">IFERROR(__xludf.DUMMYFUNCTION("""COMPUTED_VALUE"""),0.14)</f>
        <v>0.14000000000000001</v>
      </c>
      <c r="M1233" s="112">
        <f ca="1">IFERROR(__xludf.DUMMYFUNCTION("""COMPUTED_VALUE"""),41989.7055555555)</f>
        <v>41989.705555555498</v>
      </c>
      <c r="N1233" s="111">
        <f ca="1">IFERROR(__xludf.DUMMYFUNCTION("""COMPUTED_VALUE"""),14.35)</f>
        <v>14.35</v>
      </c>
      <c r="O1233" s="112">
        <f ca="1">IFERROR(__xludf.DUMMYFUNCTION("""COMPUTED_VALUE"""),42072.7055555555)</f>
        <v>42072.705555555498</v>
      </c>
      <c r="P1233" s="111">
        <f ca="1">IFERROR(__xludf.DUMMYFUNCTION("""COMPUTED_VALUE"""),19.55)</f>
        <v>19.55</v>
      </c>
      <c r="Q1233" s="112">
        <f ca="1">IFERROR(__xludf.DUMMYFUNCTION("""COMPUTED_VALUE"""),42068.7055555555)</f>
        <v>42068.705555555498</v>
      </c>
      <c r="R1233" s="111">
        <f ca="1">IFERROR(__xludf.DUMMYFUNCTION("""COMPUTED_VALUE"""),22.45)</f>
        <v>22.45</v>
      </c>
      <c r="S1233" s="112">
        <f ca="1">IFERROR(__xludf.DUMMYFUNCTION("""COMPUTED_VALUE"""),42081.7055555555)</f>
        <v>42081.705555555498</v>
      </c>
      <c r="T1233" s="111">
        <f ca="1">IFERROR(__xludf.DUMMYFUNCTION("""COMPUTED_VALUE"""),12.89)</f>
        <v>12.89</v>
      </c>
    </row>
    <row r="1234" spans="1:20" x14ac:dyDescent="0.3">
      <c r="A1234" s="112">
        <f ca="1">IFERROR(__xludf.DUMMYFUNCTION("""COMPUTED_VALUE"""),42079.7055555555)</f>
        <v>42079.705555555498</v>
      </c>
      <c r="B1234" s="111">
        <f ca="1">IFERROR(__xludf.DUMMYFUNCTION("""COMPUTED_VALUE"""),4.83)</f>
        <v>4.83</v>
      </c>
      <c r="C1234" s="112">
        <f ca="1">IFERROR(__xludf.DUMMYFUNCTION("""COMPUTED_VALUE"""),42086.7055555555)</f>
        <v>42086.705555555498</v>
      </c>
      <c r="D1234" s="111">
        <f ca="1">IFERROR(__xludf.DUMMYFUNCTION("""COMPUTED_VALUE"""),21.59)</f>
        <v>21.59</v>
      </c>
      <c r="E1234" s="112">
        <f ca="1">IFERROR(__xludf.DUMMYFUNCTION("""COMPUTED_VALUE"""),42087.7055555555)</f>
        <v>42087.705555555498</v>
      </c>
      <c r="F1234" s="111">
        <f ca="1">IFERROR(__xludf.DUMMYFUNCTION("""COMPUTED_VALUE"""),7.96)</f>
        <v>7.96</v>
      </c>
      <c r="G1234" s="112">
        <f ca="1">IFERROR(__xludf.DUMMYFUNCTION("""COMPUTED_VALUE"""),42080.7055555555)</f>
        <v>42080.705555555498</v>
      </c>
      <c r="H1234" s="111">
        <f ca="1">IFERROR(__xludf.DUMMYFUNCTION("""COMPUTED_VALUE"""),8.86)</f>
        <v>8.86</v>
      </c>
      <c r="K1234" s="112">
        <f ca="1">IFERROR(__xludf.DUMMYFUNCTION("""COMPUTED_VALUE"""),42534.7055555555)</f>
        <v>42534.705555555498</v>
      </c>
      <c r="L1234" s="111">
        <f ca="1">IFERROR(__xludf.DUMMYFUNCTION("""COMPUTED_VALUE"""),0.14)</f>
        <v>0.14000000000000001</v>
      </c>
      <c r="M1234" s="112">
        <f ca="1">IFERROR(__xludf.DUMMYFUNCTION("""COMPUTED_VALUE"""),41990.7055555555)</f>
        <v>41990.705555555498</v>
      </c>
      <c r="N1234" s="111">
        <f ca="1">IFERROR(__xludf.DUMMYFUNCTION("""COMPUTED_VALUE"""),15.05)</f>
        <v>15.05</v>
      </c>
      <c r="O1234" s="112">
        <f ca="1">IFERROR(__xludf.DUMMYFUNCTION("""COMPUTED_VALUE"""),42073.7055555555)</f>
        <v>42073.705555555498</v>
      </c>
      <c r="P1234" s="111">
        <f ca="1">IFERROR(__xludf.DUMMYFUNCTION("""COMPUTED_VALUE"""),18.85)</f>
        <v>18.850000000000001</v>
      </c>
      <c r="Q1234" s="112">
        <f ca="1">IFERROR(__xludf.DUMMYFUNCTION("""COMPUTED_VALUE"""),42069.7055555555)</f>
        <v>42069.705555555498</v>
      </c>
      <c r="R1234" s="111">
        <f ca="1">IFERROR(__xludf.DUMMYFUNCTION("""COMPUTED_VALUE"""),22)</f>
        <v>22</v>
      </c>
      <c r="S1234" s="112">
        <f ca="1">IFERROR(__xludf.DUMMYFUNCTION("""COMPUTED_VALUE"""),42082.7055555555)</f>
        <v>42082.705555555498</v>
      </c>
      <c r="T1234" s="111">
        <f ca="1">IFERROR(__xludf.DUMMYFUNCTION("""COMPUTED_VALUE"""),12.68)</f>
        <v>12.68</v>
      </c>
    </row>
    <row r="1235" spans="1:20" x14ac:dyDescent="0.3">
      <c r="A1235" s="112">
        <f ca="1">IFERROR(__xludf.DUMMYFUNCTION("""COMPUTED_VALUE"""),42080.7055555555)</f>
        <v>42080.705555555498</v>
      </c>
      <c r="B1235" s="111">
        <f ca="1">IFERROR(__xludf.DUMMYFUNCTION("""COMPUTED_VALUE"""),5.05)</f>
        <v>5.05</v>
      </c>
      <c r="C1235" s="112">
        <f ca="1">IFERROR(__xludf.DUMMYFUNCTION("""COMPUTED_VALUE"""),42087.7055555555)</f>
        <v>42087.705555555498</v>
      </c>
      <c r="D1235" s="111">
        <f ca="1">IFERROR(__xludf.DUMMYFUNCTION("""COMPUTED_VALUE"""),21.61)</f>
        <v>21.61</v>
      </c>
      <c r="E1235" s="112">
        <f ca="1">IFERROR(__xludf.DUMMYFUNCTION("""COMPUTED_VALUE"""),42088.7055555555)</f>
        <v>42088.705555555498</v>
      </c>
      <c r="F1235" s="111">
        <f ca="1">IFERROR(__xludf.DUMMYFUNCTION("""COMPUTED_VALUE"""),7.96)</f>
        <v>7.96</v>
      </c>
      <c r="G1235" s="112">
        <f ca="1">IFERROR(__xludf.DUMMYFUNCTION("""COMPUTED_VALUE"""),42081.7055555555)</f>
        <v>42081.705555555498</v>
      </c>
      <c r="H1235" s="111">
        <f ca="1">IFERROR(__xludf.DUMMYFUNCTION("""COMPUTED_VALUE"""),9.2)</f>
        <v>9.1999999999999993</v>
      </c>
      <c r="K1235" s="112">
        <f ca="1">IFERROR(__xludf.DUMMYFUNCTION("""COMPUTED_VALUE"""),42535.7055555555)</f>
        <v>42535.705555555498</v>
      </c>
      <c r="L1235" s="111">
        <f ca="1">IFERROR(__xludf.DUMMYFUNCTION("""COMPUTED_VALUE"""),0.14)</f>
        <v>0.14000000000000001</v>
      </c>
      <c r="M1235" s="112">
        <f ca="1">IFERROR(__xludf.DUMMYFUNCTION("""COMPUTED_VALUE"""),41991.7055555555)</f>
        <v>41991.705555555498</v>
      </c>
      <c r="N1235" s="111">
        <f ca="1">IFERROR(__xludf.DUMMYFUNCTION("""COMPUTED_VALUE"""),14.96)</f>
        <v>14.96</v>
      </c>
      <c r="O1235" s="112">
        <f ca="1">IFERROR(__xludf.DUMMYFUNCTION("""COMPUTED_VALUE"""),42074.7055555555)</f>
        <v>42074.705555555498</v>
      </c>
      <c r="P1235" s="111">
        <f ca="1">IFERROR(__xludf.DUMMYFUNCTION("""COMPUTED_VALUE"""),18.9)</f>
        <v>18.899999999999999</v>
      </c>
      <c r="Q1235" s="112">
        <f ca="1">IFERROR(__xludf.DUMMYFUNCTION("""COMPUTED_VALUE"""),42072.7055555555)</f>
        <v>42072.705555555498</v>
      </c>
      <c r="R1235" s="111">
        <f ca="1">IFERROR(__xludf.DUMMYFUNCTION("""COMPUTED_VALUE"""),21.13)</f>
        <v>21.13</v>
      </c>
      <c r="S1235" s="112">
        <f ca="1">IFERROR(__xludf.DUMMYFUNCTION("""COMPUTED_VALUE"""),42083.7055555555)</f>
        <v>42083.705555555498</v>
      </c>
      <c r="T1235" s="111">
        <f ca="1">IFERROR(__xludf.DUMMYFUNCTION("""COMPUTED_VALUE"""),12.9)</f>
        <v>12.9</v>
      </c>
    </row>
    <row r="1236" spans="1:20" x14ac:dyDescent="0.3">
      <c r="A1236" s="112">
        <f ca="1">IFERROR(__xludf.DUMMYFUNCTION("""COMPUTED_VALUE"""),42081.7055555555)</f>
        <v>42081.705555555498</v>
      </c>
      <c r="B1236" s="111">
        <f ca="1">IFERROR(__xludf.DUMMYFUNCTION("""COMPUTED_VALUE"""),5.27)</f>
        <v>5.27</v>
      </c>
      <c r="C1236" s="112">
        <f ca="1">IFERROR(__xludf.DUMMYFUNCTION("""COMPUTED_VALUE"""),42088.7055555555)</f>
        <v>42088.705555555498</v>
      </c>
      <c r="D1236" s="111">
        <f ca="1">IFERROR(__xludf.DUMMYFUNCTION("""COMPUTED_VALUE"""),21.41)</f>
        <v>21.41</v>
      </c>
      <c r="E1236" s="112">
        <f ca="1">IFERROR(__xludf.DUMMYFUNCTION("""COMPUTED_VALUE"""),42089.7055555555)</f>
        <v>42089.705555555498</v>
      </c>
      <c r="F1236" s="111">
        <f ca="1">IFERROR(__xludf.DUMMYFUNCTION("""COMPUTED_VALUE"""),7.72)</f>
        <v>7.72</v>
      </c>
      <c r="G1236" s="112">
        <f ca="1">IFERROR(__xludf.DUMMYFUNCTION("""COMPUTED_VALUE"""),42082.7055555555)</f>
        <v>42082.705555555498</v>
      </c>
      <c r="H1236" s="111">
        <f ca="1">IFERROR(__xludf.DUMMYFUNCTION("""COMPUTED_VALUE"""),8.92)</f>
        <v>8.92</v>
      </c>
      <c r="K1236" s="112">
        <f ca="1">IFERROR(__xludf.DUMMYFUNCTION("""COMPUTED_VALUE"""),42536.7055555555)</f>
        <v>42536.705555555498</v>
      </c>
      <c r="L1236" s="111">
        <f ca="1">IFERROR(__xludf.DUMMYFUNCTION("""COMPUTED_VALUE"""),0.14)</f>
        <v>0.14000000000000001</v>
      </c>
      <c r="M1236" s="112">
        <f ca="1">IFERROR(__xludf.DUMMYFUNCTION("""COMPUTED_VALUE"""),41992.7055555555)</f>
        <v>41992.705555555498</v>
      </c>
      <c r="N1236" s="111">
        <f ca="1">IFERROR(__xludf.DUMMYFUNCTION("""COMPUTED_VALUE"""),15.35)</f>
        <v>15.35</v>
      </c>
      <c r="O1236" s="112">
        <f ca="1">IFERROR(__xludf.DUMMYFUNCTION("""COMPUTED_VALUE"""),42075.7055555555)</f>
        <v>42075.705555555498</v>
      </c>
      <c r="P1236" s="111">
        <f ca="1">IFERROR(__xludf.DUMMYFUNCTION("""COMPUTED_VALUE"""),18.88)</f>
        <v>18.88</v>
      </c>
      <c r="Q1236" s="112">
        <f ca="1">IFERROR(__xludf.DUMMYFUNCTION("""COMPUTED_VALUE"""),42073.7055555555)</f>
        <v>42073.705555555498</v>
      </c>
      <c r="R1236" s="111">
        <f ca="1">IFERROR(__xludf.DUMMYFUNCTION("""COMPUTED_VALUE"""),21.3)</f>
        <v>21.3</v>
      </c>
      <c r="S1236" s="112">
        <f ca="1">IFERROR(__xludf.DUMMYFUNCTION("""COMPUTED_VALUE"""),42086.7055555555)</f>
        <v>42086.705555555498</v>
      </c>
      <c r="T1236" s="111">
        <f ca="1">IFERROR(__xludf.DUMMYFUNCTION("""COMPUTED_VALUE"""),12.91)</f>
        <v>12.91</v>
      </c>
    </row>
    <row r="1237" spans="1:20" x14ac:dyDescent="0.3">
      <c r="A1237" s="112">
        <f ca="1">IFERROR(__xludf.DUMMYFUNCTION("""COMPUTED_VALUE"""),42082.7055555555)</f>
        <v>42082.705555555498</v>
      </c>
      <c r="B1237" s="111">
        <f ca="1">IFERROR(__xludf.DUMMYFUNCTION("""COMPUTED_VALUE"""),5.22)</f>
        <v>5.22</v>
      </c>
      <c r="C1237" s="112">
        <f ca="1">IFERROR(__xludf.DUMMYFUNCTION("""COMPUTED_VALUE"""),42089.7055555555)</f>
        <v>42089.705555555498</v>
      </c>
      <c r="D1237" s="111">
        <f ca="1">IFERROR(__xludf.DUMMYFUNCTION("""COMPUTED_VALUE"""),20.88)</f>
        <v>20.88</v>
      </c>
      <c r="E1237" s="112">
        <f ca="1">IFERROR(__xludf.DUMMYFUNCTION("""COMPUTED_VALUE"""),42090.7055555555)</f>
        <v>42090.705555555498</v>
      </c>
      <c r="F1237" s="111">
        <f ca="1">IFERROR(__xludf.DUMMYFUNCTION("""COMPUTED_VALUE"""),7.59)</f>
        <v>7.59</v>
      </c>
      <c r="G1237" s="112">
        <f ca="1">IFERROR(__xludf.DUMMYFUNCTION("""COMPUTED_VALUE"""),42083.7055555555)</f>
        <v>42083.705555555498</v>
      </c>
      <c r="H1237" s="111">
        <f ca="1">IFERROR(__xludf.DUMMYFUNCTION("""COMPUTED_VALUE"""),9.22)</f>
        <v>9.2200000000000006</v>
      </c>
      <c r="K1237" s="112">
        <f ca="1">IFERROR(__xludf.DUMMYFUNCTION("""COMPUTED_VALUE"""),42537.7055555555)</f>
        <v>42537.705555555498</v>
      </c>
      <c r="L1237" s="111">
        <f ca="1">IFERROR(__xludf.DUMMYFUNCTION("""COMPUTED_VALUE"""),0.13)</f>
        <v>0.13</v>
      </c>
      <c r="M1237" s="112">
        <f ca="1">IFERROR(__xludf.DUMMYFUNCTION("""COMPUTED_VALUE"""),41995.7055555555)</f>
        <v>41995.705555555498</v>
      </c>
      <c r="N1237" s="111">
        <f ca="1">IFERROR(__xludf.DUMMYFUNCTION("""COMPUTED_VALUE"""),15.48)</f>
        <v>15.48</v>
      </c>
      <c r="O1237" s="112">
        <f ca="1">IFERROR(__xludf.DUMMYFUNCTION("""COMPUTED_VALUE"""),42076.7055555555)</f>
        <v>42076.705555555498</v>
      </c>
      <c r="P1237" s="111">
        <f ca="1">IFERROR(__xludf.DUMMYFUNCTION("""COMPUTED_VALUE"""),19.07)</f>
        <v>19.07</v>
      </c>
      <c r="Q1237" s="112">
        <f ca="1">IFERROR(__xludf.DUMMYFUNCTION("""COMPUTED_VALUE"""),42074.7055555555)</f>
        <v>42074.705555555498</v>
      </c>
      <c r="R1237" s="111">
        <f ca="1">IFERROR(__xludf.DUMMYFUNCTION("""COMPUTED_VALUE"""),21.71)</f>
        <v>21.71</v>
      </c>
      <c r="S1237" s="112">
        <f ca="1">IFERROR(__xludf.DUMMYFUNCTION("""COMPUTED_VALUE"""),42087.7055555555)</f>
        <v>42087.705555555498</v>
      </c>
      <c r="T1237" s="111">
        <f ca="1">IFERROR(__xludf.DUMMYFUNCTION("""COMPUTED_VALUE"""),12.95)</f>
        <v>12.95</v>
      </c>
    </row>
    <row r="1238" spans="1:20" x14ac:dyDescent="0.3">
      <c r="A1238" s="112">
        <f ca="1">IFERROR(__xludf.DUMMYFUNCTION("""COMPUTED_VALUE"""),42083.7055555555)</f>
        <v>42083.705555555498</v>
      </c>
      <c r="B1238" s="111">
        <f ca="1">IFERROR(__xludf.DUMMYFUNCTION("""COMPUTED_VALUE"""),5.45)</f>
        <v>5.45</v>
      </c>
      <c r="C1238" s="112">
        <f ca="1">IFERROR(__xludf.DUMMYFUNCTION("""COMPUTED_VALUE"""),42090.7055555555)</f>
        <v>42090.705555555498</v>
      </c>
      <c r="D1238" s="111">
        <f ca="1">IFERROR(__xludf.DUMMYFUNCTION("""COMPUTED_VALUE"""),20.53)</f>
        <v>20.53</v>
      </c>
      <c r="E1238" s="112">
        <f ca="1">IFERROR(__xludf.DUMMYFUNCTION("""COMPUTED_VALUE"""),42093.7055555555)</f>
        <v>42093.705555555498</v>
      </c>
      <c r="F1238" s="111">
        <f ca="1">IFERROR(__xludf.DUMMYFUNCTION("""COMPUTED_VALUE"""),7.82)</f>
        <v>7.82</v>
      </c>
      <c r="G1238" s="112">
        <f ca="1">IFERROR(__xludf.DUMMYFUNCTION("""COMPUTED_VALUE"""),42086.7055555555)</f>
        <v>42086.705555555498</v>
      </c>
      <c r="H1238" s="111">
        <f ca="1">IFERROR(__xludf.DUMMYFUNCTION("""COMPUTED_VALUE"""),9.33)</f>
        <v>9.33</v>
      </c>
      <c r="K1238" s="112">
        <f ca="1">IFERROR(__xludf.DUMMYFUNCTION("""COMPUTED_VALUE"""),42538.7055555555)</f>
        <v>42538.705555555498</v>
      </c>
      <c r="L1238" s="111">
        <f ca="1">IFERROR(__xludf.DUMMYFUNCTION("""COMPUTED_VALUE"""),0.14)</f>
        <v>0.14000000000000001</v>
      </c>
      <c r="M1238" s="112">
        <f ca="1">IFERROR(__xludf.DUMMYFUNCTION("""COMPUTED_VALUE"""),41996.7055555555)</f>
        <v>41996.705555555498</v>
      </c>
      <c r="N1238" s="111">
        <f ca="1">IFERROR(__xludf.DUMMYFUNCTION("""COMPUTED_VALUE"""),15.45)</f>
        <v>15.45</v>
      </c>
      <c r="O1238" s="112">
        <f ca="1">IFERROR(__xludf.DUMMYFUNCTION("""COMPUTED_VALUE"""),42079.7055555555)</f>
        <v>42079.705555555498</v>
      </c>
      <c r="P1238" s="111">
        <f ca="1">IFERROR(__xludf.DUMMYFUNCTION("""COMPUTED_VALUE"""),18.7)</f>
        <v>18.7</v>
      </c>
      <c r="Q1238" s="112">
        <f ca="1">IFERROR(__xludf.DUMMYFUNCTION("""COMPUTED_VALUE"""),42075.7055555555)</f>
        <v>42075.705555555498</v>
      </c>
      <c r="R1238" s="111">
        <f ca="1">IFERROR(__xludf.DUMMYFUNCTION("""COMPUTED_VALUE"""),21.85)</f>
        <v>21.85</v>
      </c>
      <c r="S1238" s="112">
        <f ca="1">IFERROR(__xludf.DUMMYFUNCTION("""COMPUTED_VALUE"""),42088.7055555555)</f>
        <v>42088.705555555498</v>
      </c>
      <c r="T1238" s="111">
        <f ca="1">IFERROR(__xludf.DUMMYFUNCTION("""COMPUTED_VALUE"""),13.11)</f>
        <v>13.11</v>
      </c>
    </row>
    <row r="1239" spans="1:20" x14ac:dyDescent="0.3">
      <c r="A1239" s="112">
        <f ca="1">IFERROR(__xludf.DUMMYFUNCTION("""COMPUTED_VALUE"""),42086.7055555555)</f>
        <v>42086.705555555498</v>
      </c>
      <c r="B1239" s="111">
        <f ca="1">IFERROR(__xludf.DUMMYFUNCTION("""COMPUTED_VALUE"""),5.65)</f>
        <v>5.65</v>
      </c>
      <c r="C1239" s="112">
        <f ca="1">IFERROR(__xludf.DUMMYFUNCTION("""COMPUTED_VALUE"""),42093.7055555555)</f>
        <v>42093.705555555498</v>
      </c>
      <c r="D1239" s="111">
        <f ca="1">IFERROR(__xludf.DUMMYFUNCTION("""COMPUTED_VALUE"""),21.21)</f>
        <v>21.21</v>
      </c>
      <c r="E1239" s="112">
        <f ca="1">IFERROR(__xludf.DUMMYFUNCTION("""COMPUTED_VALUE"""),42094.7055555555)</f>
        <v>42094.705555555498</v>
      </c>
      <c r="F1239" s="111">
        <f ca="1">IFERROR(__xludf.DUMMYFUNCTION("""COMPUTED_VALUE"""),7.84)</f>
        <v>7.84</v>
      </c>
      <c r="G1239" s="112">
        <f ca="1">IFERROR(__xludf.DUMMYFUNCTION("""COMPUTED_VALUE"""),42087.7055555555)</f>
        <v>42087.705555555498</v>
      </c>
      <c r="H1239" s="111">
        <f ca="1">IFERROR(__xludf.DUMMYFUNCTION("""COMPUTED_VALUE"""),9.42)</f>
        <v>9.42</v>
      </c>
      <c r="K1239" s="112">
        <f ca="1">IFERROR(__xludf.DUMMYFUNCTION("""COMPUTED_VALUE"""),42541.7055555555)</f>
        <v>42541.705555555498</v>
      </c>
      <c r="L1239" s="111">
        <f ca="1">IFERROR(__xludf.DUMMYFUNCTION("""COMPUTED_VALUE"""),0.14)</f>
        <v>0.14000000000000001</v>
      </c>
      <c r="M1239" s="112">
        <f ca="1">IFERROR(__xludf.DUMMYFUNCTION("""COMPUTED_VALUE"""),41999.7055555555)</f>
        <v>41999.705555555498</v>
      </c>
      <c r="N1239" s="111">
        <f ca="1">IFERROR(__xludf.DUMMYFUNCTION("""COMPUTED_VALUE"""),15.12)</f>
        <v>15.12</v>
      </c>
      <c r="O1239" s="112">
        <f ca="1">IFERROR(__xludf.DUMMYFUNCTION("""COMPUTED_VALUE"""),42080.7055555555)</f>
        <v>42080.705555555498</v>
      </c>
      <c r="P1239" s="111">
        <f ca="1">IFERROR(__xludf.DUMMYFUNCTION("""COMPUTED_VALUE"""),19.93)</f>
        <v>19.93</v>
      </c>
      <c r="Q1239" s="112">
        <f ca="1">IFERROR(__xludf.DUMMYFUNCTION("""COMPUTED_VALUE"""),42076.7055555555)</f>
        <v>42076.705555555498</v>
      </c>
      <c r="R1239" s="111">
        <f ca="1">IFERROR(__xludf.DUMMYFUNCTION("""COMPUTED_VALUE"""),21.37)</f>
        <v>21.37</v>
      </c>
      <c r="S1239" s="112">
        <f ca="1">IFERROR(__xludf.DUMMYFUNCTION("""COMPUTED_VALUE"""),42089.7055555555)</f>
        <v>42089.705555555498</v>
      </c>
      <c r="T1239" s="111">
        <f ca="1">IFERROR(__xludf.DUMMYFUNCTION("""COMPUTED_VALUE"""),12.96)</f>
        <v>12.96</v>
      </c>
    </row>
    <row r="1240" spans="1:20" x14ac:dyDescent="0.3">
      <c r="A1240" s="112">
        <f ca="1">IFERROR(__xludf.DUMMYFUNCTION("""COMPUTED_VALUE"""),42087.7055555555)</f>
        <v>42087.705555555498</v>
      </c>
      <c r="B1240" s="111">
        <f ca="1">IFERROR(__xludf.DUMMYFUNCTION("""COMPUTED_VALUE"""),5.87)</f>
        <v>5.87</v>
      </c>
      <c r="C1240" s="112">
        <f ca="1">IFERROR(__xludf.DUMMYFUNCTION("""COMPUTED_VALUE"""),42094.7055555555)</f>
        <v>42094.705555555498</v>
      </c>
      <c r="D1240" s="111">
        <f ca="1">IFERROR(__xludf.DUMMYFUNCTION("""COMPUTED_VALUE"""),21.36)</f>
        <v>21.36</v>
      </c>
      <c r="E1240" s="112">
        <f ca="1">IFERROR(__xludf.DUMMYFUNCTION("""COMPUTED_VALUE"""),42095.7055555555)</f>
        <v>42095.705555555498</v>
      </c>
      <c r="F1240" s="111">
        <f ca="1">IFERROR(__xludf.DUMMYFUNCTION("""COMPUTED_VALUE"""),8.12)</f>
        <v>8.1199999999999992</v>
      </c>
      <c r="G1240" s="112">
        <f ca="1">IFERROR(__xludf.DUMMYFUNCTION("""COMPUTED_VALUE"""),42088.7055555555)</f>
        <v>42088.705555555498</v>
      </c>
      <c r="H1240" s="111">
        <f ca="1">IFERROR(__xludf.DUMMYFUNCTION("""COMPUTED_VALUE"""),9.8)</f>
        <v>9.8000000000000007</v>
      </c>
      <c r="K1240" s="112">
        <f ca="1">IFERROR(__xludf.DUMMYFUNCTION("""COMPUTED_VALUE"""),42542.7055555555)</f>
        <v>42542.705555555498</v>
      </c>
      <c r="L1240" s="111">
        <f ca="1">IFERROR(__xludf.DUMMYFUNCTION("""COMPUTED_VALUE"""),0.15)</f>
        <v>0.15</v>
      </c>
      <c r="M1240" s="112">
        <f ca="1">IFERROR(__xludf.DUMMYFUNCTION("""COMPUTED_VALUE"""),42002.7055555555)</f>
        <v>42002.705555555498</v>
      </c>
      <c r="N1240" s="111">
        <f ca="1">IFERROR(__xludf.DUMMYFUNCTION("""COMPUTED_VALUE"""),15.22)</f>
        <v>15.22</v>
      </c>
      <c r="O1240" s="112">
        <f ca="1">IFERROR(__xludf.DUMMYFUNCTION("""COMPUTED_VALUE"""),42081.7055555555)</f>
        <v>42081.705555555498</v>
      </c>
      <c r="P1240" s="111">
        <f ca="1">IFERROR(__xludf.DUMMYFUNCTION("""COMPUTED_VALUE"""),19.46)</f>
        <v>19.46</v>
      </c>
      <c r="Q1240" s="112">
        <f ca="1">IFERROR(__xludf.DUMMYFUNCTION("""COMPUTED_VALUE"""),42079.7055555555)</f>
        <v>42079.705555555498</v>
      </c>
      <c r="R1240" s="111">
        <f ca="1">IFERROR(__xludf.DUMMYFUNCTION("""COMPUTED_VALUE"""),21.28)</f>
        <v>21.28</v>
      </c>
      <c r="S1240" s="112">
        <f ca="1">IFERROR(__xludf.DUMMYFUNCTION("""COMPUTED_VALUE"""),42090.7055555555)</f>
        <v>42090.705555555498</v>
      </c>
      <c r="T1240" s="111">
        <f ca="1">IFERROR(__xludf.DUMMYFUNCTION("""COMPUTED_VALUE"""),13.22)</f>
        <v>13.22</v>
      </c>
    </row>
    <row r="1241" spans="1:20" x14ac:dyDescent="0.3">
      <c r="A1241" s="112">
        <f ca="1">IFERROR(__xludf.DUMMYFUNCTION("""COMPUTED_VALUE"""),42088.7055555555)</f>
        <v>42088.705555555498</v>
      </c>
      <c r="B1241" s="111">
        <f ca="1">IFERROR(__xludf.DUMMYFUNCTION("""COMPUTED_VALUE"""),5.93)</f>
        <v>5.93</v>
      </c>
      <c r="C1241" s="112">
        <f ca="1">IFERROR(__xludf.DUMMYFUNCTION("""COMPUTED_VALUE"""),42095.7055555555)</f>
        <v>42095.705555555498</v>
      </c>
      <c r="D1241" s="111">
        <f ca="1">IFERROR(__xludf.DUMMYFUNCTION("""COMPUTED_VALUE"""),22.04)</f>
        <v>22.04</v>
      </c>
      <c r="E1241" s="112">
        <f ca="1">IFERROR(__xludf.DUMMYFUNCTION("""COMPUTED_VALUE"""),42096.7055555555)</f>
        <v>42096.705555555498</v>
      </c>
      <c r="F1241" s="111">
        <f ca="1">IFERROR(__xludf.DUMMYFUNCTION("""COMPUTED_VALUE"""),8.22)</f>
        <v>8.2200000000000006</v>
      </c>
      <c r="G1241" s="112">
        <f ca="1">IFERROR(__xludf.DUMMYFUNCTION("""COMPUTED_VALUE"""),42089.7055555555)</f>
        <v>42089.705555555498</v>
      </c>
      <c r="H1241" s="111">
        <f ca="1">IFERROR(__xludf.DUMMYFUNCTION("""COMPUTED_VALUE"""),9.33)</f>
        <v>9.33</v>
      </c>
      <c r="K1241" s="112">
        <f ca="1">IFERROR(__xludf.DUMMYFUNCTION("""COMPUTED_VALUE"""),42543.7055555555)</f>
        <v>42543.705555555498</v>
      </c>
      <c r="L1241" s="111">
        <f ca="1">IFERROR(__xludf.DUMMYFUNCTION("""COMPUTED_VALUE"""),0.15)</f>
        <v>0.15</v>
      </c>
      <c r="M1241" s="112">
        <f ca="1">IFERROR(__xludf.DUMMYFUNCTION("""COMPUTED_VALUE"""),42003.7055555555)</f>
        <v>42003.705555555498</v>
      </c>
      <c r="N1241" s="111">
        <f ca="1">IFERROR(__xludf.DUMMYFUNCTION("""COMPUTED_VALUE"""),15.12)</f>
        <v>15.12</v>
      </c>
      <c r="O1241" s="112">
        <f ca="1">IFERROR(__xludf.DUMMYFUNCTION("""COMPUTED_VALUE"""),42082.7055555555)</f>
        <v>42082.705555555498</v>
      </c>
      <c r="P1241" s="111">
        <f ca="1">IFERROR(__xludf.DUMMYFUNCTION("""COMPUTED_VALUE"""),19.14)</f>
        <v>19.14</v>
      </c>
      <c r="Q1241" s="112">
        <f ca="1">IFERROR(__xludf.DUMMYFUNCTION("""COMPUTED_VALUE"""),42080.7055555555)</f>
        <v>42080.705555555498</v>
      </c>
      <c r="R1241" s="111">
        <f ca="1">IFERROR(__xludf.DUMMYFUNCTION("""COMPUTED_VALUE"""),22.57)</f>
        <v>22.57</v>
      </c>
      <c r="S1241" s="112">
        <f ca="1">IFERROR(__xludf.DUMMYFUNCTION("""COMPUTED_VALUE"""),42093.7055555555)</f>
        <v>42093.705555555498</v>
      </c>
      <c r="T1241" s="111">
        <f ca="1">IFERROR(__xludf.DUMMYFUNCTION("""COMPUTED_VALUE"""),13.44)</f>
        <v>13.44</v>
      </c>
    </row>
    <row r="1242" spans="1:20" x14ac:dyDescent="0.3">
      <c r="A1242" s="112">
        <f ca="1">IFERROR(__xludf.DUMMYFUNCTION("""COMPUTED_VALUE"""),42089.7055555555)</f>
        <v>42089.705555555498</v>
      </c>
      <c r="B1242" s="111">
        <f ca="1">IFERROR(__xludf.DUMMYFUNCTION("""COMPUTED_VALUE"""),5.65)</f>
        <v>5.65</v>
      </c>
      <c r="C1242" s="112">
        <f ca="1">IFERROR(__xludf.DUMMYFUNCTION("""COMPUTED_VALUE"""),42096.7055555555)</f>
        <v>42096.705555555498</v>
      </c>
      <c r="D1242" s="111">
        <f ca="1">IFERROR(__xludf.DUMMYFUNCTION("""COMPUTED_VALUE"""),22.18)</f>
        <v>22.18</v>
      </c>
      <c r="E1242" s="112">
        <f ca="1">IFERROR(__xludf.DUMMYFUNCTION("""COMPUTED_VALUE"""),42100.7055555555)</f>
        <v>42100.705555555498</v>
      </c>
      <c r="F1242" s="111">
        <f ca="1">IFERROR(__xludf.DUMMYFUNCTION("""COMPUTED_VALUE"""),8.41)</f>
        <v>8.41</v>
      </c>
      <c r="G1242" s="112">
        <f ca="1">IFERROR(__xludf.DUMMYFUNCTION("""COMPUTED_VALUE"""),42090.7055555555)</f>
        <v>42090.705555555498</v>
      </c>
      <c r="H1242" s="111">
        <f ca="1">IFERROR(__xludf.DUMMYFUNCTION("""COMPUTED_VALUE"""),9.36)</f>
        <v>9.36</v>
      </c>
      <c r="K1242" s="112">
        <f ca="1">IFERROR(__xludf.DUMMYFUNCTION("""COMPUTED_VALUE"""),42544.7055555555)</f>
        <v>42544.705555555498</v>
      </c>
      <c r="L1242" s="111">
        <f ca="1">IFERROR(__xludf.DUMMYFUNCTION("""COMPUTED_VALUE"""),0.15)</f>
        <v>0.15</v>
      </c>
      <c r="M1242" s="112">
        <f ca="1">IFERROR(__xludf.DUMMYFUNCTION("""COMPUTED_VALUE"""),42006.7055555555)</f>
        <v>42006.705555555498</v>
      </c>
      <c r="N1242" s="111">
        <f ca="1">IFERROR(__xludf.DUMMYFUNCTION("""COMPUTED_VALUE"""),14.79)</f>
        <v>14.79</v>
      </c>
      <c r="O1242" s="112">
        <f ca="1">IFERROR(__xludf.DUMMYFUNCTION("""COMPUTED_VALUE"""),42083.7055555555)</f>
        <v>42083.705555555498</v>
      </c>
      <c r="P1242" s="111">
        <f ca="1">IFERROR(__xludf.DUMMYFUNCTION("""COMPUTED_VALUE"""),20.15)</f>
        <v>20.149999999999999</v>
      </c>
      <c r="Q1242" s="112">
        <f ca="1">IFERROR(__xludf.DUMMYFUNCTION("""COMPUTED_VALUE"""),42081.7055555555)</f>
        <v>42081.705555555498</v>
      </c>
      <c r="R1242" s="111">
        <f ca="1">IFERROR(__xludf.DUMMYFUNCTION("""COMPUTED_VALUE"""),24.07)</f>
        <v>24.07</v>
      </c>
      <c r="S1242" s="112">
        <f ca="1">IFERROR(__xludf.DUMMYFUNCTION("""COMPUTED_VALUE"""),42094.7055555555)</f>
        <v>42094.705555555498</v>
      </c>
      <c r="T1242" s="111">
        <f ca="1">IFERROR(__xludf.DUMMYFUNCTION("""COMPUTED_VALUE"""),13.7)</f>
        <v>13.7</v>
      </c>
    </row>
    <row r="1243" spans="1:20" x14ac:dyDescent="0.3">
      <c r="A1243" s="112">
        <f ca="1">IFERROR(__xludf.DUMMYFUNCTION("""COMPUTED_VALUE"""),42090.7055555555)</f>
        <v>42090.705555555498</v>
      </c>
      <c r="B1243" s="111">
        <f ca="1">IFERROR(__xludf.DUMMYFUNCTION("""COMPUTED_VALUE"""),5.39)</f>
        <v>5.39</v>
      </c>
      <c r="C1243" s="112">
        <f ca="1">IFERROR(__xludf.DUMMYFUNCTION("""COMPUTED_VALUE"""),42100.7055555555)</f>
        <v>42100.705555555498</v>
      </c>
      <c r="D1243" s="111">
        <f ca="1">IFERROR(__xludf.DUMMYFUNCTION("""COMPUTED_VALUE"""),22.53)</f>
        <v>22.53</v>
      </c>
      <c r="E1243" s="112">
        <f ca="1">IFERROR(__xludf.DUMMYFUNCTION("""COMPUTED_VALUE"""),42101.7055555555)</f>
        <v>42101.705555555498</v>
      </c>
      <c r="F1243" s="111">
        <f ca="1">IFERROR(__xludf.DUMMYFUNCTION("""COMPUTED_VALUE"""),8.4)</f>
        <v>8.4</v>
      </c>
      <c r="G1243" s="112">
        <f ca="1">IFERROR(__xludf.DUMMYFUNCTION("""COMPUTED_VALUE"""),42093.7055555555)</f>
        <v>42093.705555555498</v>
      </c>
      <c r="H1243" s="111">
        <f ca="1">IFERROR(__xludf.DUMMYFUNCTION("""COMPUTED_VALUE"""),9.71)</f>
        <v>9.7100000000000009</v>
      </c>
      <c r="K1243" s="112">
        <f ca="1">IFERROR(__xludf.DUMMYFUNCTION("""COMPUTED_VALUE"""),42545.7055555555)</f>
        <v>42545.705555555498</v>
      </c>
      <c r="L1243" s="111">
        <f ca="1">IFERROR(__xludf.DUMMYFUNCTION("""COMPUTED_VALUE"""),0.14)</f>
        <v>0.14000000000000001</v>
      </c>
      <c r="M1243" s="112">
        <f ca="1">IFERROR(__xludf.DUMMYFUNCTION("""COMPUTED_VALUE"""),42009.7055555555)</f>
        <v>42009.705555555498</v>
      </c>
      <c r="N1243" s="111">
        <f ca="1">IFERROR(__xludf.DUMMYFUNCTION("""COMPUTED_VALUE"""),14.81)</f>
        <v>14.81</v>
      </c>
      <c r="O1243" s="112">
        <f ca="1">IFERROR(__xludf.DUMMYFUNCTION("""COMPUTED_VALUE"""),42086.7055555555)</f>
        <v>42086.705555555498</v>
      </c>
      <c r="P1243" s="111">
        <f ca="1">IFERROR(__xludf.DUMMYFUNCTION("""COMPUTED_VALUE"""),20.3)</f>
        <v>20.3</v>
      </c>
      <c r="Q1243" s="112">
        <f ca="1">IFERROR(__xludf.DUMMYFUNCTION("""COMPUTED_VALUE"""),42082.7055555555)</f>
        <v>42082.705555555498</v>
      </c>
      <c r="R1243" s="111">
        <f ca="1">IFERROR(__xludf.DUMMYFUNCTION("""COMPUTED_VALUE"""),22.92)</f>
        <v>22.92</v>
      </c>
      <c r="S1243" s="112">
        <f ca="1">IFERROR(__xludf.DUMMYFUNCTION("""COMPUTED_VALUE"""),42095.7055555555)</f>
        <v>42095.705555555498</v>
      </c>
      <c r="T1243" s="111">
        <f ca="1">IFERROR(__xludf.DUMMYFUNCTION("""COMPUTED_VALUE"""),14.01)</f>
        <v>14.01</v>
      </c>
    </row>
    <row r="1244" spans="1:20" x14ac:dyDescent="0.3">
      <c r="A1244" s="112">
        <f ca="1">IFERROR(__xludf.DUMMYFUNCTION("""COMPUTED_VALUE"""),42093.7055555555)</f>
        <v>42093.705555555498</v>
      </c>
      <c r="B1244" s="111">
        <f ca="1">IFERROR(__xludf.DUMMYFUNCTION("""COMPUTED_VALUE"""),5.66)</f>
        <v>5.66</v>
      </c>
      <c r="C1244" s="112">
        <f ca="1">IFERROR(__xludf.DUMMYFUNCTION("""COMPUTED_VALUE"""),42101.7055555555)</f>
        <v>42101.705555555498</v>
      </c>
      <c r="D1244" s="111">
        <f ca="1">IFERROR(__xludf.DUMMYFUNCTION("""COMPUTED_VALUE"""),22.67)</f>
        <v>22.67</v>
      </c>
      <c r="E1244" s="112">
        <f ca="1">IFERROR(__xludf.DUMMYFUNCTION("""COMPUTED_VALUE"""),42102.7055555555)</f>
        <v>42102.705555555498</v>
      </c>
      <c r="F1244" s="111">
        <f ca="1">IFERROR(__xludf.DUMMYFUNCTION("""COMPUTED_VALUE"""),8.36)</f>
        <v>8.36</v>
      </c>
      <c r="G1244" s="112">
        <f ca="1">IFERROR(__xludf.DUMMYFUNCTION("""COMPUTED_VALUE"""),42094.7055555555)</f>
        <v>42094.705555555498</v>
      </c>
      <c r="H1244" s="111">
        <f ca="1">IFERROR(__xludf.DUMMYFUNCTION("""COMPUTED_VALUE"""),9.66)</f>
        <v>9.66</v>
      </c>
      <c r="K1244" s="112">
        <f ca="1">IFERROR(__xludf.DUMMYFUNCTION("""COMPUTED_VALUE"""),42548.7055555555)</f>
        <v>42548.705555555498</v>
      </c>
      <c r="L1244" s="111">
        <f ca="1">IFERROR(__xludf.DUMMYFUNCTION("""COMPUTED_VALUE"""),0.14)</f>
        <v>0.14000000000000001</v>
      </c>
      <c r="M1244" s="112">
        <f ca="1">IFERROR(__xludf.DUMMYFUNCTION("""COMPUTED_VALUE"""),42010.7055555555)</f>
        <v>42010.705555555498</v>
      </c>
      <c r="N1244" s="111">
        <f ca="1">IFERROR(__xludf.DUMMYFUNCTION("""COMPUTED_VALUE"""),15.3)</f>
        <v>15.3</v>
      </c>
      <c r="O1244" s="112">
        <f ca="1">IFERROR(__xludf.DUMMYFUNCTION("""COMPUTED_VALUE"""),42087.7055555555)</f>
        <v>42087.705555555498</v>
      </c>
      <c r="P1244" s="111">
        <f ca="1">IFERROR(__xludf.DUMMYFUNCTION("""COMPUTED_VALUE"""),19.59)</f>
        <v>19.59</v>
      </c>
      <c r="Q1244" s="112">
        <f ca="1">IFERROR(__xludf.DUMMYFUNCTION("""COMPUTED_VALUE"""),42083.7055555555)</f>
        <v>42083.705555555498</v>
      </c>
      <c r="R1244" s="111">
        <f ca="1">IFERROR(__xludf.DUMMYFUNCTION("""COMPUTED_VALUE"""),23.77)</f>
        <v>23.77</v>
      </c>
      <c r="S1244" s="112">
        <f ca="1">IFERROR(__xludf.DUMMYFUNCTION("""COMPUTED_VALUE"""),42096.7055555555)</f>
        <v>42096.705555555498</v>
      </c>
      <c r="T1244" s="111">
        <f ca="1">IFERROR(__xludf.DUMMYFUNCTION("""COMPUTED_VALUE"""),13.98)</f>
        <v>13.98</v>
      </c>
    </row>
    <row r="1245" spans="1:20" x14ac:dyDescent="0.3">
      <c r="A1245" s="112">
        <f ca="1">IFERROR(__xludf.DUMMYFUNCTION("""COMPUTED_VALUE"""),42094.7055555555)</f>
        <v>42094.705555555498</v>
      </c>
      <c r="B1245" s="111">
        <f ca="1">IFERROR(__xludf.DUMMYFUNCTION("""COMPUTED_VALUE"""),5.71)</f>
        <v>5.71</v>
      </c>
      <c r="C1245" s="112">
        <f ca="1">IFERROR(__xludf.DUMMYFUNCTION("""COMPUTED_VALUE"""),42102.7055555555)</f>
        <v>42102.705555555498</v>
      </c>
      <c r="D1245" s="111">
        <f ca="1">IFERROR(__xludf.DUMMYFUNCTION("""COMPUTED_VALUE"""),22.72)</f>
        <v>22.72</v>
      </c>
      <c r="E1245" s="112">
        <f ca="1">IFERROR(__xludf.DUMMYFUNCTION("""COMPUTED_VALUE"""),42103.7055555555)</f>
        <v>42103.705555555498</v>
      </c>
      <c r="F1245" s="111">
        <f ca="1">IFERROR(__xludf.DUMMYFUNCTION("""COMPUTED_VALUE"""),8.25)</f>
        <v>8.25</v>
      </c>
      <c r="G1245" s="112">
        <f ca="1">IFERROR(__xludf.DUMMYFUNCTION("""COMPUTED_VALUE"""),42095.7055555555)</f>
        <v>42095.705555555498</v>
      </c>
      <c r="H1245" s="111">
        <f ca="1">IFERROR(__xludf.DUMMYFUNCTION("""COMPUTED_VALUE"""),10.26)</f>
        <v>10.26</v>
      </c>
      <c r="K1245" s="112">
        <f ca="1">IFERROR(__xludf.DUMMYFUNCTION("""COMPUTED_VALUE"""),42549.7055555555)</f>
        <v>42549.705555555498</v>
      </c>
      <c r="L1245" s="111">
        <f ca="1">IFERROR(__xludf.DUMMYFUNCTION("""COMPUTED_VALUE"""),0.15)</f>
        <v>0.15</v>
      </c>
      <c r="M1245" s="112">
        <f ca="1">IFERROR(__xludf.DUMMYFUNCTION("""COMPUTED_VALUE"""),42011.7055555555)</f>
        <v>42011.705555555498</v>
      </c>
      <c r="N1245" s="111">
        <f ca="1">IFERROR(__xludf.DUMMYFUNCTION("""COMPUTED_VALUE"""),15.91)</f>
        <v>15.91</v>
      </c>
      <c r="O1245" s="112">
        <f ca="1">IFERROR(__xludf.DUMMYFUNCTION("""COMPUTED_VALUE"""),42088.7055555555)</f>
        <v>42088.705555555498</v>
      </c>
      <c r="P1245" s="111">
        <f ca="1">IFERROR(__xludf.DUMMYFUNCTION("""COMPUTED_VALUE"""),19.63)</f>
        <v>19.63</v>
      </c>
      <c r="Q1245" s="112">
        <f ca="1">IFERROR(__xludf.DUMMYFUNCTION("""COMPUTED_VALUE"""),42086.7055555555)</f>
        <v>42086.705555555498</v>
      </c>
      <c r="R1245" s="111">
        <f ca="1">IFERROR(__xludf.DUMMYFUNCTION("""COMPUTED_VALUE"""),23.97)</f>
        <v>23.97</v>
      </c>
      <c r="S1245" s="112">
        <f ca="1">IFERROR(__xludf.DUMMYFUNCTION("""COMPUTED_VALUE"""),42100.7055555555)</f>
        <v>42100.705555555498</v>
      </c>
      <c r="T1245" s="111">
        <f ca="1">IFERROR(__xludf.DUMMYFUNCTION("""COMPUTED_VALUE"""),14.09)</f>
        <v>14.09</v>
      </c>
    </row>
    <row r="1246" spans="1:20" x14ac:dyDescent="0.3">
      <c r="A1246" s="112">
        <f ca="1">IFERROR(__xludf.DUMMYFUNCTION("""COMPUTED_VALUE"""),42095.7055555555)</f>
        <v>42095.705555555498</v>
      </c>
      <c r="B1246" s="111">
        <f ca="1">IFERROR(__xludf.DUMMYFUNCTION("""COMPUTED_VALUE"""),5.88)</f>
        <v>5.88</v>
      </c>
      <c r="C1246" s="112">
        <f ca="1">IFERROR(__xludf.DUMMYFUNCTION("""COMPUTED_VALUE"""),42103.7055555555)</f>
        <v>42103.705555555498</v>
      </c>
      <c r="D1246" s="111">
        <f ca="1">IFERROR(__xludf.DUMMYFUNCTION("""COMPUTED_VALUE"""),22.27)</f>
        <v>22.27</v>
      </c>
      <c r="E1246" s="112">
        <f ca="1">IFERROR(__xludf.DUMMYFUNCTION("""COMPUTED_VALUE"""),42104.7055555555)</f>
        <v>42104.705555555498</v>
      </c>
      <c r="F1246" s="111">
        <f ca="1">IFERROR(__xludf.DUMMYFUNCTION("""COMPUTED_VALUE"""),8.3)</f>
        <v>8.3000000000000007</v>
      </c>
      <c r="G1246" s="112">
        <f ca="1">IFERROR(__xludf.DUMMYFUNCTION("""COMPUTED_VALUE"""),42096.7055555555)</f>
        <v>42096.705555555498</v>
      </c>
      <c r="H1246" s="111">
        <f ca="1">IFERROR(__xludf.DUMMYFUNCTION("""COMPUTED_VALUE"""),10.69)</f>
        <v>10.69</v>
      </c>
      <c r="K1246" s="112">
        <f ca="1">IFERROR(__xludf.DUMMYFUNCTION("""COMPUTED_VALUE"""),42550.7055555555)</f>
        <v>42550.705555555498</v>
      </c>
      <c r="L1246" s="111">
        <f ca="1">IFERROR(__xludf.DUMMYFUNCTION("""COMPUTED_VALUE"""),0.15)</f>
        <v>0.15</v>
      </c>
      <c r="M1246" s="112">
        <f ca="1">IFERROR(__xludf.DUMMYFUNCTION("""COMPUTED_VALUE"""),42012.7055555555)</f>
        <v>42012.705555555498</v>
      </c>
      <c r="N1246" s="111">
        <f ca="1">IFERROR(__xludf.DUMMYFUNCTION("""COMPUTED_VALUE"""),15.99)</f>
        <v>15.99</v>
      </c>
      <c r="O1246" s="112">
        <f ca="1">IFERROR(__xludf.DUMMYFUNCTION("""COMPUTED_VALUE"""),42089.7055555555)</f>
        <v>42089.705555555498</v>
      </c>
      <c r="P1246" s="111">
        <f ca="1">IFERROR(__xludf.DUMMYFUNCTION("""COMPUTED_VALUE"""),18.88)</f>
        <v>18.88</v>
      </c>
      <c r="Q1246" s="112">
        <f ca="1">IFERROR(__xludf.DUMMYFUNCTION("""COMPUTED_VALUE"""),42087.7055555555)</f>
        <v>42087.705555555498</v>
      </c>
      <c r="R1246" s="111">
        <f ca="1">IFERROR(__xludf.DUMMYFUNCTION("""COMPUTED_VALUE"""),23.72)</f>
        <v>23.72</v>
      </c>
      <c r="S1246" s="112">
        <f ca="1">IFERROR(__xludf.DUMMYFUNCTION("""COMPUTED_VALUE"""),42101.7055555555)</f>
        <v>42101.705555555498</v>
      </c>
      <c r="T1246" s="111">
        <f ca="1">IFERROR(__xludf.DUMMYFUNCTION("""COMPUTED_VALUE"""),14.12)</f>
        <v>14.12</v>
      </c>
    </row>
    <row r="1247" spans="1:20" x14ac:dyDescent="0.3">
      <c r="A1247" s="112">
        <f ca="1">IFERROR(__xludf.DUMMYFUNCTION("""COMPUTED_VALUE"""),42096.7055555555)</f>
        <v>42096.705555555498</v>
      </c>
      <c r="B1247" s="111">
        <f ca="1">IFERROR(__xludf.DUMMYFUNCTION("""COMPUTED_VALUE"""),5.91)</f>
        <v>5.91</v>
      </c>
      <c r="C1247" s="112">
        <f ca="1">IFERROR(__xludf.DUMMYFUNCTION("""COMPUTED_VALUE"""),42104.7055555555)</f>
        <v>42104.705555555498</v>
      </c>
      <c r="D1247" s="111">
        <f ca="1">IFERROR(__xludf.DUMMYFUNCTION("""COMPUTED_VALUE"""),22.36)</f>
        <v>22.36</v>
      </c>
      <c r="E1247" s="112">
        <f ca="1">IFERROR(__xludf.DUMMYFUNCTION("""COMPUTED_VALUE"""),42107.7055555555)</f>
        <v>42107.705555555498</v>
      </c>
      <c r="F1247" s="111">
        <f ca="1">IFERROR(__xludf.DUMMYFUNCTION("""COMPUTED_VALUE"""),8.26)</f>
        <v>8.26</v>
      </c>
      <c r="G1247" s="112">
        <f ca="1">IFERROR(__xludf.DUMMYFUNCTION("""COMPUTED_VALUE"""),42100.7055555555)</f>
        <v>42100.705555555498</v>
      </c>
      <c r="H1247" s="111">
        <f ca="1">IFERROR(__xludf.DUMMYFUNCTION("""COMPUTED_VALUE"""),10.71)</f>
        <v>10.71</v>
      </c>
      <c r="K1247" s="112">
        <f ca="1">IFERROR(__xludf.DUMMYFUNCTION("""COMPUTED_VALUE"""),42551.7055555555)</f>
        <v>42551.705555555498</v>
      </c>
      <c r="L1247" s="111">
        <f ca="1">IFERROR(__xludf.DUMMYFUNCTION("""COMPUTED_VALUE"""),0.15)</f>
        <v>0.15</v>
      </c>
      <c r="M1247" s="112">
        <f ca="1">IFERROR(__xludf.DUMMYFUNCTION("""COMPUTED_VALUE"""),42013.7055555555)</f>
        <v>42013.705555555498</v>
      </c>
      <c r="N1247" s="111">
        <f ca="1">IFERROR(__xludf.DUMMYFUNCTION("""COMPUTED_VALUE"""),15.29)</f>
        <v>15.29</v>
      </c>
      <c r="O1247" s="112">
        <f ca="1">IFERROR(__xludf.DUMMYFUNCTION("""COMPUTED_VALUE"""),42090.7055555555)</f>
        <v>42090.705555555498</v>
      </c>
      <c r="P1247" s="111">
        <f ca="1">IFERROR(__xludf.DUMMYFUNCTION("""COMPUTED_VALUE"""),18.3)</f>
        <v>18.3</v>
      </c>
      <c r="Q1247" s="112">
        <f ca="1">IFERROR(__xludf.DUMMYFUNCTION("""COMPUTED_VALUE"""),42088.7055555555)</f>
        <v>42088.705555555498</v>
      </c>
      <c r="R1247" s="111">
        <f ca="1">IFERROR(__xludf.DUMMYFUNCTION("""COMPUTED_VALUE"""),22.95)</f>
        <v>22.95</v>
      </c>
      <c r="S1247" s="112">
        <f ca="1">IFERROR(__xludf.DUMMYFUNCTION("""COMPUTED_VALUE"""),42102.7055555555)</f>
        <v>42102.705555555498</v>
      </c>
      <c r="T1247" s="111">
        <f ca="1">IFERROR(__xludf.DUMMYFUNCTION("""COMPUTED_VALUE"""),14.11)</f>
        <v>14.11</v>
      </c>
    </row>
    <row r="1248" spans="1:20" x14ac:dyDescent="0.3">
      <c r="A1248" s="112">
        <f ca="1">IFERROR(__xludf.DUMMYFUNCTION("""COMPUTED_VALUE"""),42100.7055555555)</f>
        <v>42100.705555555498</v>
      </c>
      <c r="B1248" s="111">
        <f ca="1">IFERROR(__xludf.DUMMYFUNCTION("""COMPUTED_VALUE"""),5.97)</f>
        <v>5.97</v>
      </c>
      <c r="C1248" s="112">
        <f ca="1">IFERROR(__xludf.DUMMYFUNCTION("""COMPUTED_VALUE"""),42107.7055555555)</f>
        <v>42107.705555555498</v>
      </c>
      <c r="D1248" s="111">
        <f ca="1">IFERROR(__xludf.DUMMYFUNCTION("""COMPUTED_VALUE"""),22.24)</f>
        <v>22.24</v>
      </c>
      <c r="E1248" s="112">
        <f ca="1">IFERROR(__xludf.DUMMYFUNCTION("""COMPUTED_VALUE"""),42108.7055555555)</f>
        <v>42108.705555555498</v>
      </c>
      <c r="F1248" s="111">
        <f ca="1">IFERROR(__xludf.DUMMYFUNCTION("""COMPUTED_VALUE"""),8.29)</f>
        <v>8.2899999999999991</v>
      </c>
      <c r="G1248" s="112">
        <f ca="1">IFERROR(__xludf.DUMMYFUNCTION("""COMPUTED_VALUE"""),42101.7055555555)</f>
        <v>42101.705555555498</v>
      </c>
      <c r="H1248" s="111">
        <f ca="1">IFERROR(__xludf.DUMMYFUNCTION("""COMPUTED_VALUE"""),10.92)</f>
        <v>10.92</v>
      </c>
      <c r="K1248" s="112">
        <f ca="1">IFERROR(__xludf.DUMMYFUNCTION("""COMPUTED_VALUE"""),42552.7055555555)</f>
        <v>42552.705555555498</v>
      </c>
      <c r="L1248" s="111">
        <f ca="1">IFERROR(__xludf.DUMMYFUNCTION("""COMPUTED_VALUE"""),0.15)</f>
        <v>0.15</v>
      </c>
      <c r="M1248" s="112">
        <f ca="1">IFERROR(__xludf.DUMMYFUNCTION("""COMPUTED_VALUE"""),42016.7055555555)</f>
        <v>42016.705555555498</v>
      </c>
      <c r="N1248" s="111">
        <f ca="1">IFERROR(__xludf.DUMMYFUNCTION("""COMPUTED_VALUE"""),15.03)</f>
        <v>15.03</v>
      </c>
      <c r="O1248" s="112">
        <f ca="1">IFERROR(__xludf.DUMMYFUNCTION("""COMPUTED_VALUE"""),42093.7055555555)</f>
        <v>42093.705555555498</v>
      </c>
      <c r="P1248" s="111">
        <f ca="1">IFERROR(__xludf.DUMMYFUNCTION("""COMPUTED_VALUE"""),18.65)</f>
        <v>18.649999999999999</v>
      </c>
      <c r="Q1248" s="112">
        <f ca="1">IFERROR(__xludf.DUMMYFUNCTION("""COMPUTED_VALUE"""),42089.7055555555)</f>
        <v>42089.705555555498</v>
      </c>
      <c r="R1248" s="111">
        <f ca="1">IFERROR(__xludf.DUMMYFUNCTION("""COMPUTED_VALUE"""),22.05)</f>
        <v>22.05</v>
      </c>
      <c r="S1248" s="112">
        <f ca="1">IFERROR(__xludf.DUMMYFUNCTION("""COMPUTED_VALUE"""),42103.7055555555)</f>
        <v>42103.705555555498</v>
      </c>
      <c r="T1248" s="111">
        <f ca="1">IFERROR(__xludf.DUMMYFUNCTION("""COMPUTED_VALUE"""),14.1)</f>
        <v>14.1</v>
      </c>
    </row>
    <row r="1249" spans="1:20" x14ac:dyDescent="0.3">
      <c r="A1249" s="112">
        <f ca="1">IFERROR(__xludf.DUMMYFUNCTION("""COMPUTED_VALUE"""),42101.7055555555)</f>
        <v>42101.705555555498</v>
      </c>
      <c r="B1249" s="111">
        <f ca="1">IFERROR(__xludf.DUMMYFUNCTION("""COMPUTED_VALUE"""),5.98)</f>
        <v>5.98</v>
      </c>
      <c r="C1249" s="112">
        <f ca="1">IFERROR(__xludf.DUMMYFUNCTION("""COMPUTED_VALUE"""),42108.7055555555)</f>
        <v>42108.705555555498</v>
      </c>
      <c r="D1249" s="111">
        <f ca="1">IFERROR(__xludf.DUMMYFUNCTION("""COMPUTED_VALUE"""),22.27)</f>
        <v>22.27</v>
      </c>
      <c r="E1249" s="112">
        <f ca="1">IFERROR(__xludf.DUMMYFUNCTION("""COMPUTED_VALUE"""),42109.7055555555)</f>
        <v>42109.705555555498</v>
      </c>
      <c r="F1249" s="111">
        <f ca="1">IFERROR(__xludf.DUMMYFUNCTION("""COMPUTED_VALUE"""),8.37)</f>
        <v>8.3699999999999992</v>
      </c>
      <c r="G1249" s="112">
        <f ca="1">IFERROR(__xludf.DUMMYFUNCTION("""COMPUTED_VALUE"""),42102.7055555555)</f>
        <v>42102.705555555498</v>
      </c>
      <c r="H1249" s="111">
        <f ca="1">IFERROR(__xludf.DUMMYFUNCTION("""COMPUTED_VALUE"""),10.57)</f>
        <v>10.57</v>
      </c>
      <c r="K1249" s="112">
        <f ca="1">IFERROR(__xludf.DUMMYFUNCTION("""COMPUTED_VALUE"""),42555.7055555555)</f>
        <v>42555.705555555498</v>
      </c>
      <c r="L1249" s="111">
        <f ca="1">IFERROR(__xludf.DUMMYFUNCTION("""COMPUTED_VALUE"""),0.15)</f>
        <v>0.15</v>
      </c>
      <c r="M1249" s="112">
        <f ca="1">IFERROR(__xludf.DUMMYFUNCTION("""COMPUTED_VALUE"""),42017.7055555555)</f>
        <v>42017.705555555498</v>
      </c>
      <c r="N1249" s="111">
        <f ca="1">IFERROR(__xludf.DUMMYFUNCTION("""COMPUTED_VALUE"""),15.07)</f>
        <v>15.07</v>
      </c>
      <c r="O1249" s="112">
        <f ca="1">IFERROR(__xludf.DUMMYFUNCTION("""COMPUTED_VALUE"""),42094.7055555555)</f>
        <v>42094.705555555498</v>
      </c>
      <c r="P1249" s="111">
        <f ca="1">IFERROR(__xludf.DUMMYFUNCTION("""COMPUTED_VALUE"""),17.85)</f>
        <v>17.850000000000001</v>
      </c>
      <c r="Q1249" s="112">
        <f ca="1">IFERROR(__xludf.DUMMYFUNCTION("""COMPUTED_VALUE"""),42090.7055555555)</f>
        <v>42090.705555555498</v>
      </c>
      <c r="R1249" s="111">
        <f ca="1">IFERROR(__xludf.DUMMYFUNCTION("""COMPUTED_VALUE"""),22.13)</f>
        <v>22.13</v>
      </c>
      <c r="S1249" s="112">
        <f ca="1">IFERROR(__xludf.DUMMYFUNCTION("""COMPUTED_VALUE"""),42104.7055555555)</f>
        <v>42104.705555555498</v>
      </c>
      <c r="T1249" s="111">
        <f ca="1">IFERROR(__xludf.DUMMYFUNCTION("""COMPUTED_VALUE"""),14.2)</f>
        <v>14.2</v>
      </c>
    </row>
    <row r="1250" spans="1:20" x14ac:dyDescent="0.3">
      <c r="A1250" s="112">
        <f ca="1">IFERROR(__xludf.DUMMYFUNCTION("""COMPUTED_VALUE"""),42102.7055555555)</f>
        <v>42102.705555555498</v>
      </c>
      <c r="B1250" s="111">
        <f ca="1">IFERROR(__xludf.DUMMYFUNCTION("""COMPUTED_VALUE"""),5.93)</f>
        <v>5.93</v>
      </c>
      <c r="C1250" s="112">
        <f ca="1">IFERROR(__xludf.DUMMYFUNCTION("""COMPUTED_VALUE"""),42109.7055555555)</f>
        <v>42109.705555555498</v>
      </c>
      <c r="D1250" s="111">
        <f ca="1">IFERROR(__xludf.DUMMYFUNCTION("""COMPUTED_VALUE"""),22.5)</f>
        <v>22.5</v>
      </c>
      <c r="E1250" s="112">
        <f ca="1">IFERROR(__xludf.DUMMYFUNCTION("""COMPUTED_VALUE"""),42110.7055555555)</f>
        <v>42110.705555555498</v>
      </c>
      <c r="F1250" s="111">
        <f ca="1">IFERROR(__xludf.DUMMYFUNCTION("""COMPUTED_VALUE"""),8.34)</f>
        <v>8.34</v>
      </c>
      <c r="G1250" s="112">
        <f ca="1">IFERROR(__xludf.DUMMYFUNCTION("""COMPUTED_VALUE"""),42103.7055555555)</f>
        <v>42103.705555555498</v>
      </c>
      <c r="H1250" s="111">
        <f ca="1">IFERROR(__xludf.DUMMYFUNCTION("""COMPUTED_VALUE"""),11.58)</f>
        <v>11.58</v>
      </c>
      <c r="K1250" s="112">
        <f ca="1">IFERROR(__xludf.DUMMYFUNCTION("""COMPUTED_VALUE"""),42556.7055555555)</f>
        <v>42556.705555555498</v>
      </c>
      <c r="L1250" s="111">
        <f ca="1">IFERROR(__xludf.DUMMYFUNCTION("""COMPUTED_VALUE"""),0.15)</f>
        <v>0.15</v>
      </c>
      <c r="M1250" s="112">
        <f ca="1">IFERROR(__xludf.DUMMYFUNCTION("""COMPUTED_VALUE"""),42018.7055555555)</f>
        <v>42018.705555555498</v>
      </c>
      <c r="N1250" s="111">
        <f ca="1">IFERROR(__xludf.DUMMYFUNCTION("""COMPUTED_VALUE"""),15.23)</f>
        <v>15.23</v>
      </c>
      <c r="O1250" s="112">
        <f ca="1">IFERROR(__xludf.DUMMYFUNCTION("""COMPUTED_VALUE"""),42095.7055555555)</f>
        <v>42095.705555555498</v>
      </c>
      <c r="P1250" s="111">
        <f ca="1">IFERROR(__xludf.DUMMYFUNCTION("""COMPUTED_VALUE"""),17.6)</f>
        <v>17.600000000000001</v>
      </c>
      <c r="Q1250" s="112">
        <f ca="1">IFERROR(__xludf.DUMMYFUNCTION("""COMPUTED_VALUE"""),42093.7055555555)</f>
        <v>42093.705555555498</v>
      </c>
      <c r="R1250" s="111">
        <f ca="1">IFERROR(__xludf.DUMMYFUNCTION("""COMPUTED_VALUE"""),22.84)</f>
        <v>22.84</v>
      </c>
      <c r="S1250" s="112">
        <f ca="1">IFERROR(__xludf.DUMMYFUNCTION("""COMPUTED_VALUE"""),42107.7055555555)</f>
        <v>42107.705555555498</v>
      </c>
      <c r="T1250" s="111">
        <f ca="1">IFERROR(__xludf.DUMMYFUNCTION("""COMPUTED_VALUE"""),14)</f>
        <v>14</v>
      </c>
    </row>
    <row r="1251" spans="1:20" x14ac:dyDescent="0.3">
      <c r="A1251" s="112">
        <f ca="1">IFERROR(__xludf.DUMMYFUNCTION("""COMPUTED_VALUE"""),42103.7055555555)</f>
        <v>42103.705555555498</v>
      </c>
      <c r="B1251" s="111">
        <f ca="1">IFERROR(__xludf.DUMMYFUNCTION("""COMPUTED_VALUE"""),5.96)</f>
        <v>5.96</v>
      </c>
      <c r="C1251" s="112">
        <f ca="1">IFERROR(__xludf.DUMMYFUNCTION("""COMPUTED_VALUE"""),42110.7055555555)</f>
        <v>42110.705555555498</v>
      </c>
      <c r="D1251" s="111">
        <f ca="1">IFERROR(__xludf.DUMMYFUNCTION("""COMPUTED_VALUE"""),22.44)</f>
        <v>22.44</v>
      </c>
      <c r="E1251" s="112">
        <f ca="1">IFERROR(__xludf.DUMMYFUNCTION("""COMPUTED_VALUE"""),42111.7055555555)</f>
        <v>42111.705555555498</v>
      </c>
      <c r="F1251" s="111">
        <f ca="1">IFERROR(__xludf.DUMMYFUNCTION("""COMPUTED_VALUE"""),8.27)</f>
        <v>8.27</v>
      </c>
      <c r="G1251" s="112">
        <f ca="1">IFERROR(__xludf.DUMMYFUNCTION("""COMPUTED_VALUE"""),42104.7055555555)</f>
        <v>42104.705555555498</v>
      </c>
      <c r="H1251" s="111">
        <f ca="1">IFERROR(__xludf.DUMMYFUNCTION("""COMPUTED_VALUE"""),11.81)</f>
        <v>11.81</v>
      </c>
      <c r="K1251" s="112">
        <f ca="1">IFERROR(__xludf.DUMMYFUNCTION("""COMPUTED_VALUE"""),42557.7055555555)</f>
        <v>42557.705555555498</v>
      </c>
      <c r="L1251" s="111">
        <f ca="1">IFERROR(__xludf.DUMMYFUNCTION("""COMPUTED_VALUE"""),0.15)</f>
        <v>0.15</v>
      </c>
      <c r="M1251" s="112">
        <f ca="1">IFERROR(__xludf.DUMMYFUNCTION("""COMPUTED_VALUE"""),42019.7055555555)</f>
        <v>42019.705555555498</v>
      </c>
      <c r="N1251" s="111">
        <f ca="1">IFERROR(__xludf.DUMMYFUNCTION("""COMPUTED_VALUE"""),15.07)</f>
        <v>15.07</v>
      </c>
      <c r="O1251" s="112">
        <f ca="1">IFERROR(__xludf.DUMMYFUNCTION("""COMPUTED_VALUE"""),42096.7055555555)</f>
        <v>42096.705555555498</v>
      </c>
      <c r="P1251" s="111">
        <f ca="1">IFERROR(__xludf.DUMMYFUNCTION("""COMPUTED_VALUE"""),17.93)</f>
        <v>17.93</v>
      </c>
      <c r="Q1251" s="112">
        <f ca="1">IFERROR(__xludf.DUMMYFUNCTION("""COMPUTED_VALUE"""),42094.7055555555)</f>
        <v>42094.705555555498</v>
      </c>
      <c r="R1251" s="111">
        <f ca="1">IFERROR(__xludf.DUMMYFUNCTION("""COMPUTED_VALUE"""),22.89)</f>
        <v>22.89</v>
      </c>
      <c r="S1251" s="112">
        <f ca="1">IFERROR(__xludf.DUMMYFUNCTION("""COMPUTED_VALUE"""),42108.7055555555)</f>
        <v>42108.705555555498</v>
      </c>
      <c r="T1251" s="111">
        <f ca="1">IFERROR(__xludf.DUMMYFUNCTION("""COMPUTED_VALUE"""),14.15)</f>
        <v>14.15</v>
      </c>
    </row>
    <row r="1252" spans="1:20" x14ac:dyDescent="0.3">
      <c r="A1252" s="112">
        <f ca="1">IFERROR(__xludf.DUMMYFUNCTION("""COMPUTED_VALUE"""),42104.7055555555)</f>
        <v>42104.705555555498</v>
      </c>
      <c r="B1252" s="111">
        <f ca="1">IFERROR(__xludf.DUMMYFUNCTION("""COMPUTED_VALUE"""),5.91)</f>
        <v>5.91</v>
      </c>
      <c r="C1252" s="112">
        <f ca="1">IFERROR(__xludf.DUMMYFUNCTION("""COMPUTED_VALUE"""),42111.7055555555)</f>
        <v>42111.705555555498</v>
      </c>
      <c r="D1252" s="111">
        <f ca="1">IFERROR(__xludf.DUMMYFUNCTION("""COMPUTED_VALUE"""),22.1)</f>
        <v>22.1</v>
      </c>
      <c r="E1252" s="112">
        <f ca="1">IFERROR(__xludf.DUMMYFUNCTION("""COMPUTED_VALUE"""),42114.7055555555)</f>
        <v>42114.705555555498</v>
      </c>
      <c r="F1252" s="111">
        <f ca="1">IFERROR(__xludf.DUMMYFUNCTION("""COMPUTED_VALUE"""),8.15)</f>
        <v>8.15</v>
      </c>
      <c r="G1252" s="112">
        <f ca="1">IFERROR(__xludf.DUMMYFUNCTION("""COMPUTED_VALUE"""),42107.7055555555)</f>
        <v>42107.705555555498</v>
      </c>
      <c r="H1252" s="111">
        <f ca="1">IFERROR(__xludf.DUMMYFUNCTION("""COMPUTED_VALUE"""),12.27)</f>
        <v>12.27</v>
      </c>
      <c r="K1252" s="112">
        <f ca="1">IFERROR(__xludf.DUMMYFUNCTION("""COMPUTED_VALUE"""),42559.7055555555)</f>
        <v>42559.705555555498</v>
      </c>
      <c r="L1252" s="111">
        <f ca="1">IFERROR(__xludf.DUMMYFUNCTION("""COMPUTED_VALUE"""),0.16)</f>
        <v>0.16</v>
      </c>
      <c r="M1252" s="112">
        <f ca="1">IFERROR(__xludf.DUMMYFUNCTION("""COMPUTED_VALUE"""),42020.7055555555)</f>
        <v>42020.705555555498</v>
      </c>
      <c r="N1252" s="111">
        <f ca="1">IFERROR(__xludf.DUMMYFUNCTION("""COMPUTED_VALUE"""),15.22)</f>
        <v>15.22</v>
      </c>
      <c r="O1252" s="112">
        <f ca="1">IFERROR(__xludf.DUMMYFUNCTION("""COMPUTED_VALUE"""),42100.7055555555)</f>
        <v>42100.705555555498</v>
      </c>
      <c r="P1252" s="111">
        <f ca="1">IFERROR(__xludf.DUMMYFUNCTION("""COMPUTED_VALUE"""),18.14)</f>
        <v>18.14</v>
      </c>
      <c r="Q1252" s="112">
        <f ca="1">IFERROR(__xludf.DUMMYFUNCTION("""COMPUTED_VALUE"""),42095.7055555555)</f>
        <v>42095.705555555498</v>
      </c>
      <c r="R1252" s="111">
        <f ca="1">IFERROR(__xludf.DUMMYFUNCTION("""COMPUTED_VALUE"""),23.8)</f>
        <v>23.8</v>
      </c>
      <c r="S1252" s="112">
        <f ca="1">IFERROR(__xludf.DUMMYFUNCTION("""COMPUTED_VALUE"""),42109.7055555555)</f>
        <v>42109.705555555498</v>
      </c>
      <c r="T1252" s="111">
        <f ca="1">IFERROR(__xludf.DUMMYFUNCTION("""COMPUTED_VALUE"""),14.35)</f>
        <v>14.35</v>
      </c>
    </row>
    <row r="1253" spans="1:20" x14ac:dyDescent="0.3">
      <c r="A1253" s="112">
        <f ca="1">IFERROR(__xludf.DUMMYFUNCTION("""COMPUTED_VALUE"""),42107.7055555555)</f>
        <v>42107.705555555498</v>
      </c>
      <c r="B1253" s="111">
        <f ca="1">IFERROR(__xludf.DUMMYFUNCTION("""COMPUTED_VALUE"""),6.04)</f>
        <v>6.04</v>
      </c>
      <c r="C1253" s="112">
        <f ca="1">IFERROR(__xludf.DUMMYFUNCTION("""COMPUTED_VALUE"""),42114.7055555555)</f>
        <v>42114.705555555498</v>
      </c>
      <c r="D1253" s="111">
        <f ca="1">IFERROR(__xludf.DUMMYFUNCTION("""COMPUTED_VALUE"""),21.76)</f>
        <v>21.76</v>
      </c>
      <c r="E1253" s="112">
        <f ca="1">IFERROR(__xludf.DUMMYFUNCTION("""COMPUTED_VALUE"""),42116.7055555555)</f>
        <v>42116.705555555498</v>
      </c>
      <c r="F1253" s="111">
        <f ca="1">IFERROR(__xludf.DUMMYFUNCTION("""COMPUTED_VALUE"""),8.19)</f>
        <v>8.19</v>
      </c>
      <c r="G1253" s="112">
        <f ca="1">IFERROR(__xludf.DUMMYFUNCTION("""COMPUTED_VALUE"""),42108.7055555555)</f>
        <v>42108.705555555498</v>
      </c>
      <c r="H1253" s="111">
        <f ca="1">IFERROR(__xludf.DUMMYFUNCTION("""COMPUTED_VALUE"""),12.46)</f>
        <v>12.46</v>
      </c>
      <c r="K1253" s="112">
        <f ca="1">IFERROR(__xludf.DUMMYFUNCTION("""COMPUTED_VALUE"""),42562.7055555555)</f>
        <v>42562.705555555498</v>
      </c>
      <c r="L1253" s="111">
        <f ca="1">IFERROR(__xludf.DUMMYFUNCTION("""COMPUTED_VALUE"""),0.16)</f>
        <v>0.16</v>
      </c>
      <c r="M1253" s="112">
        <f ca="1">IFERROR(__xludf.DUMMYFUNCTION("""COMPUTED_VALUE"""),42023.7055555555)</f>
        <v>42023.705555555498</v>
      </c>
      <c r="N1253" s="111">
        <f ca="1">IFERROR(__xludf.DUMMYFUNCTION("""COMPUTED_VALUE"""),14.9)</f>
        <v>14.9</v>
      </c>
      <c r="O1253" s="112">
        <f ca="1">IFERROR(__xludf.DUMMYFUNCTION("""COMPUTED_VALUE"""),42101.7055555555)</f>
        <v>42101.705555555498</v>
      </c>
      <c r="P1253" s="111">
        <f ca="1">IFERROR(__xludf.DUMMYFUNCTION("""COMPUTED_VALUE"""),19.1)</f>
        <v>19.100000000000001</v>
      </c>
      <c r="Q1253" s="112">
        <f ca="1">IFERROR(__xludf.DUMMYFUNCTION("""COMPUTED_VALUE"""),42096.7055555555)</f>
        <v>42096.705555555498</v>
      </c>
      <c r="R1253" s="111">
        <f ca="1">IFERROR(__xludf.DUMMYFUNCTION("""COMPUTED_VALUE"""),24.57)</f>
        <v>24.57</v>
      </c>
      <c r="S1253" s="112">
        <f ca="1">IFERROR(__xludf.DUMMYFUNCTION("""COMPUTED_VALUE"""),42110.7055555555)</f>
        <v>42110.705555555498</v>
      </c>
      <c r="T1253" s="111">
        <f ca="1">IFERROR(__xludf.DUMMYFUNCTION("""COMPUTED_VALUE"""),14.03)</f>
        <v>14.03</v>
      </c>
    </row>
    <row r="1254" spans="1:20" x14ac:dyDescent="0.3">
      <c r="A1254" s="112">
        <f ca="1">IFERROR(__xludf.DUMMYFUNCTION("""COMPUTED_VALUE"""),42108.7055555555)</f>
        <v>42108.705555555498</v>
      </c>
      <c r="B1254" s="111">
        <f ca="1">IFERROR(__xludf.DUMMYFUNCTION("""COMPUTED_VALUE"""),5.89)</f>
        <v>5.89</v>
      </c>
      <c r="C1254" s="112">
        <f ca="1">IFERROR(__xludf.DUMMYFUNCTION("""COMPUTED_VALUE"""),42116.7055555555)</f>
        <v>42116.705555555498</v>
      </c>
      <c r="D1254" s="111">
        <f ca="1">IFERROR(__xludf.DUMMYFUNCTION("""COMPUTED_VALUE"""),22.3)</f>
        <v>22.3</v>
      </c>
      <c r="E1254" s="112">
        <f ca="1">IFERROR(__xludf.DUMMYFUNCTION("""COMPUTED_VALUE"""),42117.7055555555)</f>
        <v>42117.705555555498</v>
      </c>
      <c r="F1254" s="111">
        <f ca="1">IFERROR(__xludf.DUMMYFUNCTION("""COMPUTED_VALUE"""),8.3)</f>
        <v>8.3000000000000007</v>
      </c>
      <c r="G1254" s="112">
        <f ca="1">IFERROR(__xludf.DUMMYFUNCTION("""COMPUTED_VALUE"""),42109.7055555555)</f>
        <v>42109.705555555498</v>
      </c>
      <c r="H1254" s="111">
        <f ca="1">IFERROR(__xludf.DUMMYFUNCTION("""COMPUTED_VALUE"""),13.34)</f>
        <v>13.34</v>
      </c>
      <c r="K1254" s="112">
        <f ca="1">IFERROR(__xludf.DUMMYFUNCTION("""COMPUTED_VALUE"""),42563.7055555555)</f>
        <v>42563.705555555498</v>
      </c>
      <c r="L1254" s="111">
        <f ca="1">IFERROR(__xludf.DUMMYFUNCTION("""COMPUTED_VALUE"""),0.16)</f>
        <v>0.16</v>
      </c>
      <c r="M1254" s="112">
        <f ca="1">IFERROR(__xludf.DUMMYFUNCTION("""COMPUTED_VALUE"""),42024.7055555555)</f>
        <v>42024.705555555498</v>
      </c>
      <c r="N1254" s="111">
        <f ca="1">IFERROR(__xludf.DUMMYFUNCTION("""COMPUTED_VALUE"""),14.85)</f>
        <v>14.85</v>
      </c>
      <c r="O1254" s="112">
        <f ca="1">IFERROR(__xludf.DUMMYFUNCTION("""COMPUTED_VALUE"""),42102.7055555555)</f>
        <v>42102.705555555498</v>
      </c>
      <c r="P1254" s="111">
        <f ca="1">IFERROR(__xludf.DUMMYFUNCTION("""COMPUTED_VALUE"""),18.74)</f>
        <v>18.739999999999998</v>
      </c>
      <c r="Q1254" s="112">
        <f ca="1">IFERROR(__xludf.DUMMYFUNCTION("""COMPUTED_VALUE"""),42100.7055555555)</f>
        <v>42100.705555555498</v>
      </c>
      <c r="R1254" s="111">
        <f ca="1">IFERROR(__xludf.DUMMYFUNCTION("""COMPUTED_VALUE"""),25.45)</f>
        <v>25.45</v>
      </c>
      <c r="S1254" s="112">
        <f ca="1">IFERROR(__xludf.DUMMYFUNCTION("""COMPUTED_VALUE"""),42111.7055555555)</f>
        <v>42111.705555555498</v>
      </c>
      <c r="T1254" s="111">
        <f ca="1">IFERROR(__xludf.DUMMYFUNCTION("""COMPUTED_VALUE"""),13.75)</f>
        <v>13.75</v>
      </c>
    </row>
    <row r="1255" spans="1:20" x14ac:dyDescent="0.3">
      <c r="A1255" s="112">
        <f ca="1">IFERROR(__xludf.DUMMYFUNCTION("""COMPUTED_VALUE"""),42109.7055555555)</f>
        <v>42109.705555555498</v>
      </c>
      <c r="B1255" s="111">
        <f ca="1">IFERROR(__xludf.DUMMYFUNCTION("""COMPUTED_VALUE"""),6.11)</f>
        <v>6.11</v>
      </c>
      <c r="C1255" s="112">
        <f ca="1">IFERROR(__xludf.DUMMYFUNCTION("""COMPUTED_VALUE"""),42117.7055555555)</f>
        <v>42117.705555555498</v>
      </c>
      <c r="D1255" s="111">
        <f ca="1">IFERROR(__xludf.DUMMYFUNCTION("""COMPUTED_VALUE"""),22.93)</f>
        <v>22.93</v>
      </c>
      <c r="E1255" s="112">
        <f ca="1">IFERROR(__xludf.DUMMYFUNCTION("""COMPUTED_VALUE"""),42118.7055555555)</f>
        <v>42118.705555555498</v>
      </c>
      <c r="F1255" s="111">
        <f ca="1">IFERROR(__xludf.DUMMYFUNCTION("""COMPUTED_VALUE"""),8.53)</f>
        <v>8.5299999999999994</v>
      </c>
      <c r="G1255" s="112">
        <f ca="1">IFERROR(__xludf.DUMMYFUNCTION("""COMPUTED_VALUE"""),42110.7055555555)</f>
        <v>42110.705555555498</v>
      </c>
      <c r="H1255" s="111">
        <f ca="1">IFERROR(__xludf.DUMMYFUNCTION("""COMPUTED_VALUE"""),12.98)</f>
        <v>12.98</v>
      </c>
      <c r="K1255" s="112">
        <f ca="1">IFERROR(__xludf.DUMMYFUNCTION("""COMPUTED_VALUE"""),42564.7055555555)</f>
        <v>42564.705555555498</v>
      </c>
      <c r="L1255" s="111">
        <f ca="1">IFERROR(__xludf.DUMMYFUNCTION("""COMPUTED_VALUE"""),0.16)</f>
        <v>0.16</v>
      </c>
      <c r="M1255" s="112">
        <f ca="1">IFERROR(__xludf.DUMMYFUNCTION("""COMPUTED_VALUE"""),42025.7055555555)</f>
        <v>42025.705555555498</v>
      </c>
      <c r="N1255" s="111">
        <f ca="1">IFERROR(__xludf.DUMMYFUNCTION("""COMPUTED_VALUE"""),15.22)</f>
        <v>15.22</v>
      </c>
      <c r="O1255" s="112">
        <f ca="1">IFERROR(__xludf.DUMMYFUNCTION("""COMPUTED_VALUE"""),42103.7055555555)</f>
        <v>42103.705555555498</v>
      </c>
      <c r="P1255" s="111">
        <f ca="1">IFERROR(__xludf.DUMMYFUNCTION("""COMPUTED_VALUE"""),18.85)</f>
        <v>18.850000000000001</v>
      </c>
      <c r="Q1255" s="112">
        <f ca="1">IFERROR(__xludf.DUMMYFUNCTION("""COMPUTED_VALUE"""),42101.7055555555)</f>
        <v>42101.705555555498</v>
      </c>
      <c r="R1255" s="111">
        <f ca="1">IFERROR(__xludf.DUMMYFUNCTION("""COMPUTED_VALUE"""),24.72)</f>
        <v>24.72</v>
      </c>
      <c r="S1255" s="112">
        <f ca="1">IFERROR(__xludf.DUMMYFUNCTION("""COMPUTED_VALUE"""),42114.7055555555)</f>
        <v>42114.705555555498</v>
      </c>
      <c r="T1255" s="111">
        <f ca="1">IFERROR(__xludf.DUMMYFUNCTION("""COMPUTED_VALUE"""),13.87)</f>
        <v>13.87</v>
      </c>
    </row>
    <row r="1256" spans="1:20" x14ac:dyDescent="0.3">
      <c r="A1256" s="112">
        <f ca="1">IFERROR(__xludf.DUMMYFUNCTION("""COMPUTED_VALUE"""),42110.7055555555)</f>
        <v>42110.705555555498</v>
      </c>
      <c r="B1256" s="111">
        <f ca="1">IFERROR(__xludf.DUMMYFUNCTION("""COMPUTED_VALUE"""),6.28)</f>
        <v>6.28</v>
      </c>
      <c r="C1256" s="112">
        <f ca="1">IFERROR(__xludf.DUMMYFUNCTION("""COMPUTED_VALUE"""),42118.7055555555)</f>
        <v>42118.705555555498</v>
      </c>
      <c r="D1256" s="111">
        <f ca="1">IFERROR(__xludf.DUMMYFUNCTION("""COMPUTED_VALUE"""),23.68)</f>
        <v>23.68</v>
      </c>
      <c r="E1256" s="112">
        <f ca="1">IFERROR(__xludf.DUMMYFUNCTION("""COMPUTED_VALUE"""),42121.7055555555)</f>
        <v>42121.705555555498</v>
      </c>
      <c r="F1256" s="111">
        <f ca="1">IFERROR(__xludf.DUMMYFUNCTION("""COMPUTED_VALUE"""),8.5)</f>
        <v>8.5</v>
      </c>
      <c r="G1256" s="112">
        <f ca="1">IFERROR(__xludf.DUMMYFUNCTION("""COMPUTED_VALUE"""),42111.7055555555)</f>
        <v>42111.705555555498</v>
      </c>
      <c r="H1256" s="111">
        <f ca="1">IFERROR(__xludf.DUMMYFUNCTION("""COMPUTED_VALUE"""),12.95)</f>
        <v>12.95</v>
      </c>
      <c r="K1256" s="112">
        <f ca="1">IFERROR(__xludf.DUMMYFUNCTION("""COMPUTED_VALUE"""),42565.7055555555)</f>
        <v>42565.705555555498</v>
      </c>
      <c r="L1256" s="111">
        <f ca="1">IFERROR(__xludf.DUMMYFUNCTION("""COMPUTED_VALUE"""),0.17)</f>
        <v>0.17</v>
      </c>
      <c r="M1256" s="112">
        <f ca="1">IFERROR(__xludf.DUMMYFUNCTION("""COMPUTED_VALUE"""),42026.7055555555)</f>
        <v>42026.705555555498</v>
      </c>
      <c r="N1256" s="111">
        <f ca="1">IFERROR(__xludf.DUMMYFUNCTION("""COMPUTED_VALUE"""),15.38)</f>
        <v>15.38</v>
      </c>
      <c r="O1256" s="112">
        <f ca="1">IFERROR(__xludf.DUMMYFUNCTION("""COMPUTED_VALUE"""),42104.7055555555)</f>
        <v>42104.705555555498</v>
      </c>
      <c r="P1256" s="111">
        <f ca="1">IFERROR(__xludf.DUMMYFUNCTION("""COMPUTED_VALUE"""),18.43)</f>
        <v>18.43</v>
      </c>
      <c r="Q1256" s="112">
        <f ca="1">IFERROR(__xludf.DUMMYFUNCTION("""COMPUTED_VALUE"""),42102.7055555555)</f>
        <v>42102.705555555498</v>
      </c>
      <c r="R1256" s="111">
        <f ca="1">IFERROR(__xludf.DUMMYFUNCTION("""COMPUTED_VALUE"""),24.45)</f>
        <v>24.45</v>
      </c>
      <c r="S1256" s="112">
        <f ca="1">IFERROR(__xludf.DUMMYFUNCTION("""COMPUTED_VALUE"""),42116.7055555555)</f>
        <v>42116.705555555498</v>
      </c>
      <c r="T1256" s="111">
        <f ca="1">IFERROR(__xludf.DUMMYFUNCTION("""COMPUTED_VALUE"""),13.85)</f>
        <v>13.85</v>
      </c>
    </row>
    <row r="1257" spans="1:20" x14ac:dyDescent="0.3">
      <c r="A1257" s="112">
        <f ca="1">IFERROR(__xludf.DUMMYFUNCTION("""COMPUTED_VALUE"""),42111.7055555555)</f>
        <v>42111.705555555498</v>
      </c>
      <c r="B1257" s="111">
        <f ca="1">IFERROR(__xludf.DUMMYFUNCTION("""COMPUTED_VALUE"""),6.13)</f>
        <v>6.13</v>
      </c>
      <c r="C1257" s="112">
        <f ca="1">IFERROR(__xludf.DUMMYFUNCTION("""COMPUTED_VALUE"""),42121.7055555555)</f>
        <v>42121.705555555498</v>
      </c>
      <c r="D1257" s="111">
        <f ca="1">IFERROR(__xludf.DUMMYFUNCTION("""COMPUTED_VALUE"""),23.27)</f>
        <v>23.27</v>
      </c>
      <c r="E1257" s="112">
        <f ca="1">IFERROR(__xludf.DUMMYFUNCTION("""COMPUTED_VALUE"""),42122.7055555555)</f>
        <v>42122.705555555498</v>
      </c>
      <c r="F1257" s="111">
        <f ca="1">IFERROR(__xludf.DUMMYFUNCTION("""COMPUTED_VALUE"""),8.52)</f>
        <v>8.52</v>
      </c>
      <c r="G1257" s="112">
        <f ca="1">IFERROR(__xludf.DUMMYFUNCTION("""COMPUTED_VALUE"""),42114.7055555555)</f>
        <v>42114.705555555498</v>
      </c>
      <c r="H1257" s="111">
        <f ca="1">IFERROR(__xludf.DUMMYFUNCTION("""COMPUTED_VALUE"""),13.07)</f>
        <v>13.07</v>
      </c>
      <c r="K1257" s="112">
        <f ca="1">IFERROR(__xludf.DUMMYFUNCTION("""COMPUTED_VALUE"""),42566.7055555555)</f>
        <v>42566.705555555498</v>
      </c>
      <c r="L1257" s="111">
        <f ca="1">IFERROR(__xludf.DUMMYFUNCTION("""COMPUTED_VALUE"""),0.17)</f>
        <v>0.17</v>
      </c>
      <c r="M1257" s="112">
        <f ca="1">IFERROR(__xludf.DUMMYFUNCTION("""COMPUTED_VALUE"""),42027.7055555555)</f>
        <v>42027.705555555498</v>
      </c>
      <c r="N1257" s="111">
        <f ca="1">IFERROR(__xludf.DUMMYFUNCTION("""COMPUTED_VALUE"""),15.25)</f>
        <v>15.25</v>
      </c>
      <c r="O1257" s="112">
        <f ca="1">IFERROR(__xludf.DUMMYFUNCTION("""COMPUTED_VALUE"""),42107.7055555555)</f>
        <v>42107.705555555498</v>
      </c>
      <c r="P1257" s="111">
        <f ca="1">IFERROR(__xludf.DUMMYFUNCTION("""COMPUTED_VALUE"""),18.21)</f>
        <v>18.21</v>
      </c>
      <c r="Q1257" s="112">
        <f ca="1">IFERROR(__xludf.DUMMYFUNCTION("""COMPUTED_VALUE"""),42103.7055555555)</f>
        <v>42103.705555555498</v>
      </c>
      <c r="R1257" s="111">
        <f ca="1">IFERROR(__xludf.DUMMYFUNCTION("""COMPUTED_VALUE"""),23.41)</f>
        <v>23.41</v>
      </c>
      <c r="S1257" s="112">
        <f ca="1">IFERROR(__xludf.DUMMYFUNCTION("""COMPUTED_VALUE"""),42117.7055555555)</f>
        <v>42117.705555555498</v>
      </c>
      <c r="T1257" s="111">
        <f ca="1">IFERROR(__xludf.DUMMYFUNCTION("""COMPUTED_VALUE"""),14.23)</f>
        <v>14.23</v>
      </c>
    </row>
    <row r="1258" spans="1:20" x14ac:dyDescent="0.3">
      <c r="A1258" s="112">
        <f ca="1">IFERROR(__xludf.DUMMYFUNCTION("""COMPUTED_VALUE"""),42114.7055555555)</f>
        <v>42114.705555555498</v>
      </c>
      <c r="B1258" s="111">
        <f ca="1">IFERROR(__xludf.DUMMYFUNCTION("""COMPUTED_VALUE"""),6.2)</f>
        <v>6.2</v>
      </c>
      <c r="C1258" s="112">
        <f ca="1">IFERROR(__xludf.DUMMYFUNCTION("""COMPUTED_VALUE"""),42122.7055555555)</f>
        <v>42122.705555555498</v>
      </c>
      <c r="D1258" s="111">
        <f ca="1">IFERROR(__xludf.DUMMYFUNCTION("""COMPUTED_VALUE"""),23.54)</f>
        <v>23.54</v>
      </c>
      <c r="E1258" s="112">
        <f ca="1">IFERROR(__xludf.DUMMYFUNCTION("""COMPUTED_VALUE"""),42123.7055555555)</f>
        <v>42123.705555555498</v>
      </c>
      <c r="F1258" s="111">
        <f ca="1">IFERROR(__xludf.DUMMYFUNCTION("""COMPUTED_VALUE"""),8.42)</f>
        <v>8.42</v>
      </c>
      <c r="G1258" s="112">
        <f ca="1">IFERROR(__xludf.DUMMYFUNCTION("""COMPUTED_VALUE"""),42116.7055555555)</f>
        <v>42116.705555555498</v>
      </c>
      <c r="H1258" s="111">
        <f ca="1">IFERROR(__xludf.DUMMYFUNCTION("""COMPUTED_VALUE"""),13)</f>
        <v>13</v>
      </c>
      <c r="K1258" s="112">
        <f ca="1">IFERROR(__xludf.DUMMYFUNCTION("""COMPUTED_VALUE"""),42569.7055555555)</f>
        <v>42569.705555555498</v>
      </c>
      <c r="L1258" s="111">
        <f ca="1">IFERROR(__xludf.DUMMYFUNCTION("""COMPUTED_VALUE"""),0.17)</f>
        <v>0.17</v>
      </c>
      <c r="M1258" s="112">
        <f ca="1">IFERROR(__xludf.DUMMYFUNCTION("""COMPUTED_VALUE"""),42030.7055555555)</f>
        <v>42030.705555555498</v>
      </c>
      <c r="N1258" s="111">
        <f ca="1">IFERROR(__xludf.DUMMYFUNCTION("""COMPUTED_VALUE"""),15.5)</f>
        <v>15.5</v>
      </c>
      <c r="O1258" s="112">
        <f ca="1">IFERROR(__xludf.DUMMYFUNCTION("""COMPUTED_VALUE"""),42108.7055555555)</f>
        <v>42108.705555555498</v>
      </c>
      <c r="P1258" s="111">
        <f ca="1">IFERROR(__xludf.DUMMYFUNCTION("""COMPUTED_VALUE"""),18.66)</f>
        <v>18.66</v>
      </c>
      <c r="Q1258" s="112">
        <f ca="1">IFERROR(__xludf.DUMMYFUNCTION("""COMPUTED_VALUE"""),42104.7055555555)</f>
        <v>42104.705555555498</v>
      </c>
      <c r="R1258" s="111">
        <f ca="1">IFERROR(__xludf.DUMMYFUNCTION("""COMPUTED_VALUE"""),24.29)</f>
        <v>24.29</v>
      </c>
      <c r="S1258" s="112">
        <f ca="1">IFERROR(__xludf.DUMMYFUNCTION("""COMPUTED_VALUE"""),42118.7055555555)</f>
        <v>42118.705555555498</v>
      </c>
      <c r="T1258" s="111">
        <f ca="1">IFERROR(__xludf.DUMMYFUNCTION("""COMPUTED_VALUE"""),14.29)</f>
        <v>14.29</v>
      </c>
    </row>
    <row r="1259" spans="1:20" x14ac:dyDescent="0.3">
      <c r="A1259" s="112">
        <f ca="1">IFERROR(__xludf.DUMMYFUNCTION("""COMPUTED_VALUE"""),42116.7055555555)</f>
        <v>42116.705555555498</v>
      </c>
      <c r="B1259" s="111">
        <f ca="1">IFERROR(__xludf.DUMMYFUNCTION("""COMPUTED_VALUE"""),6.56)</f>
        <v>6.56</v>
      </c>
      <c r="C1259" s="112">
        <f ca="1">IFERROR(__xludf.DUMMYFUNCTION("""COMPUTED_VALUE"""),42123.7055555555)</f>
        <v>42123.705555555498</v>
      </c>
      <c r="D1259" s="111">
        <f ca="1">IFERROR(__xludf.DUMMYFUNCTION("""COMPUTED_VALUE"""),23.16)</f>
        <v>23.16</v>
      </c>
      <c r="E1259" s="112">
        <f ca="1">IFERROR(__xludf.DUMMYFUNCTION("""COMPUTED_VALUE"""),42124.7055555555)</f>
        <v>42124.705555555498</v>
      </c>
      <c r="F1259" s="111">
        <f ca="1">IFERROR(__xludf.DUMMYFUNCTION("""COMPUTED_VALUE"""),8.39)</f>
        <v>8.39</v>
      </c>
      <c r="G1259" s="112">
        <f ca="1">IFERROR(__xludf.DUMMYFUNCTION("""COMPUTED_VALUE"""),42117.7055555555)</f>
        <v>42117.705555555498</v>
      </c>
      <c r="H1259" s="111">
        <f ca="1">IFERROR(__xludf.DUMMYFUNCTION("""COMPUTED_VALUE"""),12.87)</f>
        <v>12.87</v>
      </c>
      <c r="K1259" s="112">
        <f ca="1">IFERROR(__xludf.DUMMYFUNCTION("""COMPUTED_VALUE"""),42570.7055555555)</f>
        <v>42570.705555555498</v>
      </c>
      <c r="L1259" s="111">
        <f ca="1">IFERROR(__xludf.DUMMYFUNCTION("""COMPUTED_VALUE"""),0.17)</f>
        <v>0.17</v>
      </c>
      <c r="M1259" s="112">
        <f ca="1">IFERROR(__xludf.DUMMYFUNCTION("""COMPUTED_VALUE"""),42031.7055555555)</f>
        <v>42031.705555555498</v>
      </c>
      <c r="N1259" s="111">
        <f ca="1">IFERROR(__xludf.DUMMYFUNCTION("""COMPUTED_VALUE"""),15.53)</f>
        <v>15.53</v>
      </c>
      <c r="O1259" s="112">
        <f ca="1">IFERROR(__xludf.DUMMYFUNCTION("""COMPUTED_VALUE"""),42109.7055555555)</f>
        <v>42109.705555555498</v>
      </c>
      <c r="P1259" s="111">
        <f ca="1">IFERROR(__xludf.DUMMYFUNCTION("""COMPUTED_VALUE"""),18.6)</f>
        <v>18.600000000000001</v>
      </c>
      <c r="Q1259" s="112">
        <f ca="1">IFERROR(__xludf.DUMMYFUNCTION("""COMPUTED_VALUE"""),42107.7055555555)</f>
        <v>42107.705555555498</v>
      </c>
      <c r="R1259" s="111">
        <f ca="1">IFERROR(__xludf.DUMMYFUNCTION("""COMPUTED_VALUE"""),24.3)</f>
        <v>24.3</v>
      </c>
      <c r="S1259" s="112">
        <f ca="1">IFERROR(__xludf.DUMMYFUNCTION("""COMPUTED_VALUE"""),42121.7055555555)</f>
        <v>42121.705555555498</v>
      </c>
      <c r="T1259" s="111">
        <f ca="1">IFERROR(__xludf.DUMMYFUNCTION("""COMPUTED_VALUE"""),14.31)</f>
        <v>14.31</v>
      </c>
    </row>
    <row r="1260" spans="1:20" x14ac:dyDescent="0.3">
      <c r="A1260" s="112">
        <f ca="1">IFERROR(__xludf.DUMMYFUNCTION("""COMPUTED_VALUE"""),42117.7055555555)</f>
        <v>42117.705555555498</v>
      </c>
      <c r="B1260" s="111">
        <f ca="1">IFERROR(__xludf.DUMMYFUNCTION("""COMPUTED_VALUE"""),6.79)</f>
        <v>6.79</v>
      </c>
      <c r="C1260" s="112">
        <f ca="1">IFERROR(__xludf.DUMMYFUNCTION("""COMPUTED_VALUE"""),42124.7055555555)</f>
        <v>42124.705555555498</v>
      </c>
      <c r="D1260" s="111">
        <f ca="1">IFERROR(__xludf.DUMMYFUNCTION("""COMPUTED_VALUE"""),23.36)</f>
        <v>23.36</v>
      </c>
      <c r="E1260" s="112">
        <f ca="1">IFERROR(__xludf.DUMMYFUNCTION("""COMPUTED_VALUE"""),42128.7055555555)</f>
        <v>42128.705555555498</v>
      </c>
      <c r="F1260" s="111">
        <f ca="1">IFERROR(__xludf.DUMMYFUNCTION("""COMPUTED_VALUE"""),8.47)</f>
        <v>8.4700000000000006</v>
      </c>
      <c r="G1260" s="112">
        <f ca="1">IFERROR(__xludf.DUMMYFUNCTION("""COMPUTED_VALUE"""),42118.7055555555)</f>
        <v>42118.705555555498</v>
      </c>
      <c r="H1260" s="111">
        <f ca="1">IFERROR(__xludf.DUMMYFUNCTION("""COMPUTED_VALUE"""),13.22)</f>
        <v>13.22</v>
      </c>
      <c r="K1260" s="112">
        <f ca="1">IFERROR(__xludf.DUMMYFUNCTION("""COMPUTED_VALUE"""),42571.7055555555)</f>
        <v>42571.705555555498</v>
      </c>
      <c r="L1260" s="111">
        <f ca="1">IFERROR(__xludf.DUMMYFUNCTION("""COMPUTED_VALUE"""),0.17)</f>
        <v>0.17</v>
      </c>
      <c r="M1260" s="112">
        <f ca="1">IFERROR(__xludf.DUMMYFUNCTION("""COMPUTED_VALUE"""),42032.7055555555)</f>
        <v>42032.705555555498</v>
      </c>
      <c r="N1260" s="111">
        <f ca="1">IFERROR(__xludf.DUMMYFUNCTION("""COMPUTED_VALUE"""),15.15)</f>
        <v>15.15</v>
      </c>
      <c r="O1260" s="112">
        <f ca="1">IFERROR(__xludf.DUMMYFUNCTION("""COMPUTED_VALUE"""),42110.7055555555)</f>
        <v>42110.705555555498</v>
      </c>
      <c r="P1260" s="111">
        <f ca="1">IFERROR(__xludf.DUMMYFUNCTION("""COMPUTED_VALUE"""),18.15)</f>
        <v>18.149999999999999</v>
      </c>
      <c r="Q1260" s="112">
        <f ca="1">IFERROR(__xludf.DUMMYFUNCTION("""COMPUTED_VALUE"""),42108.7055555555)</f>
        <v>42108.705555555498</v>
      </c>
      <c r="R1260" s="111">
        <f ca="1">IFERROR(__xludf.DUMMYFUNCTION("""COMPUTED_VALUE"""),24.1)</f>
        <v>24.1</v>
      </c>
      <c r="S1260" s="112">
        <f ca="1">IFERROR(__xludf.DUMMYFUNCTION("""COMPUTED_VALUE"""),42122.7055555555)</f>
        <v>42122.705555555498</v>
      </c>
      <c r="T1260" s="111">
        <f ca="1">IFERROR(__xludf.DUMMYFUNCTION("""COMPUTED_VALUE"""),14.26)</f>
        <v>14.26</v>
      </c>
    </row>
    <row r="1261" spans="1:20" x14ac:dyDescent="0.3">
      <c r="A1261" s="112">
        <f ca="1">IFERROR(__xludf.DUMMYFUNCTION("""COMPUTED_VALUE"""),42118.7055555555)</f>
        <v>42118.705555555498</v>
      </c>
      <c r="B1261" s="111">
        <f ca="1">IFERROR(__xludf.DUMMYFUNCTION("""COMPUTED_VALUE"""),7.24)</f>
        <v>7.24</v>
      </c>
      <c r="C1261" s="112">
        <f ca="1">IFERROR(__xludf.DUMMYFUNCTION("""COMPUTED_VALUE"""),42128.7055555555)</f>
        <v>42128.705555555498</v>
      </c>
      <c r="D1261" s="111">
        <f ca="1">IFERROR(__xludf.DUMMYFUNCTION("""COMPUTED_VALUE"""),23.7)</f>
        <v>23.7</v>
      </c>
      <c r="E1261" s="112">
        <f ca="1">IFERROR(__xludf.DUMMYFUNCTION("""COMPUTED_VALUE"""),42129.7055555555)</f>
        <v>42129.705555555498</v>
      </c>
      <c r="F1261" s="111">
        <f ca="1">IFERROR(__xludf.DUMMYFUNCTION("""COMPUTED_VALUE"""),8.33)</f>
        <v>8.33</v>
      </c>
      <c r="G1261" s="112">
        <f ca="1">IFERROR(__xludf.DUMMYFUNCTION("""COMPUTED_VALUE"""),42121.7055555555)</f>
        <v>42121.705555555498</v>
      </c>
      <c r="H1261" s="111">
        <f ca="1">IFERROR(__xludf.DUMMYFUNCTION("""COMPUTED_VALUE"""),12.52)</f>
        <v>12.52</v>
      </c>
      <c r="K1261" s="112">
        <f ca="1">IFERROR(__xludf.DUMMYFUNCTION("""COMPUTED_VALUE"""),42572.7055555555)</f>
        <v>42572.705555555498</v>
      </c>
      <c r="L1261" s="111">
        <f ca="1">IFERROR(__xludf.DUMMYFUNCTION("""COMPUTED_VALUE"""),0.17)</f>
        <v>0.17</v>
      </c>
      <c r="M1261" s="112">
        <f ca="1">IFERROR(__xludf.DUMMYFUNCTION("""COMPUTED_VALUE"""),42033.7055555555)</f>
        <v>42033.705555555498</v>
      </c>
      <c r="N1261" s="111">
        <f ca="1">IFERROR(__xludf.DUMMYFUNCTION("""COMPUTED_VALUE"""),14.99)</f>
        <v>14.99</v>
      </c>
      <c r="O1261" s="112">
        <f ca="1">IFERROR(__xludf.DUMMYFUNCTION("""COMPUTED_VALUE"""),42111.7055555555)</f>
        <v>42111.705555555498</v>
      </c>
      <c r="P1261" s="111">
        <f ca="1">IFERROR(__xludf.DUMMYFUNCTION("""COMPUTED_VALUE"""),17.9)</f>
        <v>17.899999999999999</v>
      </c>
      <c r="Q1261" s="112">
        <f ca="1">IFERROR(__xludf.DUMMYFUNCTION("""COMPUTED_VALUE"""),42109.7055555555)</f>
        <v>42109.705555555498</v>
      </c>
      <c r="R1261" s="111">
        <f ca="1">IFERROR(__xludf.DUMMYFUNCTION("""COMPUTED_VALUE"""),25.03)</f>
        <v>25.03</v>
      </c>
      <c r="S1261" s="112">
        <f ca="1">IFERROR(__xludf.DUMMYFUNCTION("""COMPUTED_VALUE"""),42123.7055555555)</f>
        <v>42123.705555555498</v>
      </c>
      <c r="T1261" s="111">
        <f ca="1">IFERROR(__xludf.DUMMYFUNCTION("""COMPUTED_VALUE"""),14.66)</f>
        <v>14.66</v>
      </c>
    </row>
    <row r="1262" spans="1:20" x14ac:dyDescent="0.3">
      <c r="A1262" s="112">
        <f ca="1">IFERROR(__xludf.DUMMYFUNCTION("""COMPUTED_VALUE"""),42121.7055555555)</f>
        <v>42121.705555555498</v>
      </c>
      <c r="B1262" s="111">
        <f ca="1">IFERROR(__xludf.DUMMYFUNCTION("""COMPUTED_VALUE"""),7.35)</f>
        <v>7.35</v>
      </c>
      <c r="C1262" s="112">
        <f ca="1">IFERROR(__xludf.DUMMYFUNCTION("""COMPUTED_VALUE"""),42129.7055555555)</f>
        <v>42129.705555555498</v>
      </c>
      <c r="D1262" s="111">
        <f ca="1">IFERROR(__xludf.DUMMYFUNCTION("""COMPUTED_VALUE"""),23.45)</f>
        <v>23.45</v>
      </c>
      <c r="E1262" s="112">
        <f ca="1">IFERROR(__xludf.DUMMYFUNCTION("""COMPUTED_VALUE"""),42130.7055555555)</f>
        <v>42130.705555555498</v>
      </c>
      <c r="F1262" s="111">
        <f ca="1">IFERROR(__xludf.DUMMYFUNCTION("""COMPUTED_VALUE"""),7.49)</f>
        <v>7.49</v>
      </c>
      <c r="G1262" s="112">
        <f ca="1">IFERROR(__xludf.DUMMYFUNCTION("""COMPUTED_VALUE"""),42122.7055555555)</f>
        <v>42122.705555555498</v>
      </c>
      <c r="H1262" s="111">
        <f ca="1">IFERROR(__xludf.DUMMYFUNCTION("""COMPUTED_VALUE"""),12.77)</f>
        <v>12.77</v>
      </c>
      <c r="K1262" s="112">
        <f ca="1">IFERROR(__xludf.DUMMYFUNCTION("""COMPUTED_VALUE"""),42573.7055555555)</f>
        <v>42573.705555555498</v>
      </c>
      <c r="L1262" s="111">
        <f ca="1">IFERROR(__xludf.DUMMYFUNCTION("""COMPUTED_VALUE"""),0.17)</f>
        <v>0.17</v>
      </c>
      <c r="M1262" s="112">
        <f ca="1">IFERROR(__xludf.DUMMYFUNCTION("""COMPUTED_VALUE"""),42034.7055555555)</f>
        <v>42034.705555555498</v>
      </c>
      <c r="N1262" s="111">
        <f ca="1">IFERROR(__xludf.DUMMYFUNCTION("""COMPUTED_VALUE"""),14.55)</f>
        <v>14.55</v>
      </c>
      <c r="O1262" s="112">
        <f ca="1">IFERROR(__xludf.DUMMYFUNCTION("""COMPUTED_VALUE"""),42114.7055555555)</f>
        <v>42114.705555555498</v>
      </c>
      <c r="P1262" s="111">
        <f ca="1">IFERROR(__xludf.DUMMYFUNCTION("""COMPUTED_VALUE"""),17.68)</f>
        <v>17.68</v>
      </c>
      <c r="Q1262" s="112">
        <f ca="1">IFERROR(__xludf.DUMMYFUNCTION("""COMPUTED_VALUE"""),42110.7055555555)</f>
        <v>42110.705555555498</v>
      </c>
      <c r="R1262" s="111">
        <f ca="1">IFERROR(__xludf.DUMMYFUNCTION("""COMPUTED_VALUE"""),25.75)</f>
        <v>25.75</v>
      </c>
      <c r="S1262" s="112">
        <f ca="1">IFERROR(__xludf.DUMMYFUNCTION("""COMPUTED_VALUE"""),42124.7055555555)</f>
        <v>42124.705555555498</v>
      </c>
      <c r="T1262" s="111">
        <f ca="1">IFERROR(__xludf.DUMMYFUNCTION("""COMPUTED_VALUE"""),15.93)</f>
        <v>15.93</v>
      </c>
    </row>
    <row r="1263" spans="1:20" x14ac:dyDescent="0.3">
      <c r="A1263" s="112">
        <f ca="1">IFERROR(__xludf.DUMMYFUNCTION("""COMPUTED_VALUE"""),42122.7055555555)</f>
        <v>42122.705555555498</v>
      </c>
      <c r="B1263" s="111">
        <f ca="1">IFERROR(__xludf.DUMMYFUNCTION("""COMPUTED_VALUE"""),7.7)</f>
        <v>7.7</v>
      </c>
      <c r="C1263" s="112">
        <f ca="1">IFERROR(__xludf.DUMMYFUNCTION("""COMPUTED_VALUE"""),42130.7055555555)</f>
        <v>42130.705555555498</v>
      </c>
      <c r="D1263" s="111">
        <f ca="1">IFERROR(__xludf.DUMMYFUNCTION("""COMPUTED_VALUE"""),22.81)</f>
        <v>22.81</v>
      </c>
      <c r="E1263" s="112">
        <f ca="1">IFERROR(__xludf.DUMMYFUNCTION("""COMPUTED_VALUE"""),42131.7055555555)</f>
        <v>42131.705555555498</v>
      </c>
      <c r="F1263" s="111">
        <f ca="1">IFERROR(__xludf.DUMMYFUNCTION("""COMPUTED_VALUE"""),7.54)</f>
        <v>7.54</v>
      </c>
      <c r="G1263" s="112">
        <f ca="1">IFERROR(__xludf.DUMMYFUNCTION("""COMPUTED_VALUE"""),42123.7055555555)</f>
        <v>42123.705555555498</v>
      </c>
      <c r="H1263" s="111">
        <f ca="1">IFERROR(__xludf.DUMMYFUNCTION("""COMPUTED_VALUE"""),12.82)</f>
        <v>12.82</v>
      </c>
      <c r="K1263" s="112">
        <f ca="1">IFERROR(__xludf.DUMMYFUNCTION("""COMPUTED_VALUE"""),42576.7055555555)</f>
        <v>42576.705555555498</v>
      </c>
      <c r="L1263" s="111">
        <f ca="1">IFERROR(__xludf.DUMMYFUNCTION("""COMPUTED_VALUE"""),0.18)</f>
        <v>0.18</v>
      </c>
      <c r="M1263" s="112">
        <f ca="1">IFERROR(__xludf.DUMMYFUNCTION("""COMPUTED_VALUE"""),42037.7055555555)</f>
        <v>42037.705555555498</v>
      </c>
      <c r="N1263" s="111">
        <f ca="1">IFERROR(__xludf.DUMMYFUNCTION("""COMPUTED_VALUE"""),14.69)</f>
        <v>14.69</v>
      </c>
      <c r="O1263" s="112">
        <f ca="1">IFERROR(__xludf.DUMMYFUNCTION("""COMPUTED_VALUE"""),42116.7055555555)</f>
        <v>42116.705555555498</v>
      </c>
      <c r="P1263" s="111">
        <f ca="1">IFERROR(__xludf.DUMMYFUNCTION("""COMPUTED_VALUE"""),19.45)</f>
        <v>19.45</v>
      </c>
      <c r="Q1263" s="112">
        <f ca="1">IFERROR(__xludf.DUMMYFUNCTION("""COMPUTED_VALUE"""),42111.7055555555)</f>
        <v>42111.705555555498</v>
      </c>
      <c r="R1263" s="111">
        <f ca="1">IFERROR(__xludf.DUMMYFUNCTION("""COMPUTED_VALUE"""),24.5)</f>
        <v>24.5</v>
      </c>
      <c r="S1263" s="112">
        <f ca="1">IFERROR(__xludf.DUMMYFUNCTION("""COMPUTED_VALUE"""),42128.7055555555)</f>
        <v>42128.705555555498</v>
      </c>
      <c r="T1263" s="111">
        <f ca="1">IFERROR(__xludf.DUMMYFUNCTION("""COMPUTED_VALUE"""),15.91)</f>
        <v>15.91</v>
      </c>
    </row>
    <row r="1264" spans="1:20" x14ac:dyDescent="0.3">
      <c r="A1264" s="112">
        <f ca="1">IFERROR(__xludf.DUMMYFUNCTION("""COMPUTED_VALUE"""),42123.7055555555)</f>
        <v>42123.705555555498</v>
      </c>
      <c r="B1264" s="111">
        <f ca="1">IFERROR(__xludf.DUMMYFUNCTION("""COMPUTED_VALUE"""),7.63)</f>
        <v>7.63</v>
      </c>
      <c r="C1264" s="112">
        <f ca="1">IFERROR(__xludf.DUMMYFUNCTION("""COMPUTED_VALUE"""),42131.7055555555)</f>
        <v>42131.705555555498</v>
      </c>
      <c r="D1264" s="111">
        <f ca="1">IFERROR(__xludf.DUMMYFUNCTION("""COMPUTED_VALUE"""),22.88)</f>
        <v>22.88</v>
      </c>
      <c r="E1264" s="112">
        <f ca="1">IFERROR(__xludf.DUMMYFUNCTION("""COMPUTED_VALUE"""),42132.7055555555)</f>
        <v>42132.705555555498</v>
      </c>
      <c r="F1264" s="111">
        <f ca="1">IFERROR(__xludf.DUMMYFUNCTION("""COMPUTED_VALUE"""),7.63)</f>
        <v>7.63</v>
      </c>
      <c r="G1264" s="112">
        <f ca="1">IFERROR(__xludf.DUMMYFUNCTION("""COMPUTED_VALUE"""),42124.7055555555)</f>
        <v>42124.705555555498</v>
      </c>
      <c r="H1264" s="111">
        <f ca="1">IFERROR(__xludf.DUMMYFUNCTION("""COMPUTED_VALUE"""),13.06)</f>
        <v>13.06</v>
      </c>
      <c r="K1264" s="112">
        <f ca="1">IFERROR(__xludf.DUMMYFUNCTION("""COMPUTED_VALUE"""),42577.7055555555)</f>
        <v>42577.705555555498</v>
      </c>
      <c r="L1264" s="111">
        <f ca="1">IFERROR(__xludf.DUMMYFUNCTION("""COMPUTED_VALUE"""),0.18)</f>
        <v>0.18</v>
      </c>
      <c r="M1264" s="112">
        <f ca="1">IFERROR(__xludf.DUMMYFUNCTION("""COMPUTED_VALUE"""),42038.7055555555)</f>
        <v>42038.705555555498</v>
      </c>
      <c r="N1264" s="111">
        <f ca="1">IFERROR(__xludf.DUMMYFUNCTION("""COMPUTED_VALUE"""),15.23)</f>
        <v>15.23</v>
      </c>
      <c r="O1264" s="112">
        <f ca="1">IFERROR(__xludf.DUMMYFUNCTION("""COMPUTED_VALUE"""),42117.7055555555)</f>
        <v>42117.705555555498</v>
      </c>
      <c r="P1264" s="111">
        <f ca="1">IFERROR(__xludf.DUMMYFUNCTION("""COMPUTED_VALUE"""),21.18)</f>
        <v>21.18</v>
      </c>
      <c r="Q1264" s="112">
        <f ca="1">IFERROR(__xludf.DUMMYFUNCTION("""COMPUTED_VALUE"""),42114.7055555555)</f>
        <v>42114.705555555498</v>
      </c>
      <c r="R1264" s="111">
        <f ca="1">IFERROR(__xludf.DUMMYFUNCTION("""COMPUTED_VALUE"""),24.35)</f>
        <v>24.35</v>
      </c>
      <c r="S1264" s="112">
        <f ca="1">IFERROR(__xludf.DUMMYFUNCTION("""COMPUTED_VALUE"""),42129.7055555555)</f>
        <v>42129.705555555498</v>
      </c>
      <c r="T1264" s="111">
        <f ca="1">IFERROR(__xludf.DUMMYFUNCTION("""COMPUTED_VALUE"""),15.53)</f>
        <v>15.53</v>
      </c>
    </row>
    <row r="1265" spans="1:20" x14ac:dyDescent="0.3">
      <c r="A1265" s="112">
        <f ca="1">IFERROR(__xludf.DUMMYFUNCTION("""COMPUTED_VALUE"""),42124.7055555555)</f>
        <v>42124.705555555498</v>
      </c>
      <c r="B1265" s="111">
        <f ca="1">IFERROR(__xludf.DUMMYFUNCTION("""COMPUTED_VALUE"""),7.25)</f>
        <v>7.25</v>
      </c>
      <c r="C1265" s="112">
        <f ca="1">IFERROR(__xludf.DUMMYFUNCTION("""COMPUTED_VALUE"""),42132.7055555555)</f>
        <v>42132.705555555498</v>
      </c>
      <c r="D1265" s="111">
        <f ca="1">IFERROR(__xludf.DUMMYFUNCTION("""COMPUTED_VALUE"""),23.13)</f>
        <v>23.13</v>
      </c>
      <c r="E1265" s="112">
        <f ca="1">IFERROR(__xludf.DUMMYFUNCTION("""COMPUTED_VALUE"""),42135.7055555555)</f>
        <v>42135.705555555498</v>
      </c>
      <c r="F1265" s="111">
        <f ca="1">IFERROR(__xludf.DUMMYFUNCTION("""COMPUTED_VALUE"""),7.67)</f>
        <v>7.67</v>
      </c>
      <c r="G1265" s="112">
        <f ca="1">IFERROR(__xludf.DUMMYFUNCTION("""COMPUTED_VALUE"""),42128.7055555555)</f>
        <v>42128.705555555498</v>
      </c>
      <c r="H1265" s="111">
        <f ca="1">IFERROR(__xludf.DUMMYFUNCTION("""COMPUTED_VALUE"""),13.79)</f>
        <v>13.79</v>
      </c>
      <c r="K1265" s="112">
        <f ca="1">IFERROR(__xludf.DUMMYFUNCTION("""COMPUTED_VALUE"""),42578.7055555555)</f>
        <v>42578.705555555498</v>
      </c>
      <c r="L1265" s="111">
        <f ca="1">IFERROR(__xludf.DUMMYFUNCTION("""COMPUTED_VALUE"""),0.18)</f>
        <v>0.18</v>
      </c>
      <c r="M1265" s="112">
        <f ca="1">IFERROR(__xludf.DUMMYFUNCTION("""COMPUTED_VALUE"""),42039.7055555555)</f>
        <v>42039.705555555498</v>
      </c>
      <c r="N1265" s="111">
        <f ca="1">IFERROR(__xludf.DUMMYFUNCTION("""COMPUTED_VALUE"""),15.61)</f>
        <v>15.61</v>
      </c>
      <c r="O1265" s="112">
        <f ca="1">IFERROR(__xludf.DUMMYFUNCTION("""COMPUTED_VALUE"""),42118.7055555555)</f>
        <v>42118.705555555498</v>
      </c>
      <c r="P1265" s="111">
        <f ca="1">IFERROR(__xludf.DUMMYFUNCTION("""COMPUTED_VALUE"""),23.35)</f>
        <v>23.35</v>
      </c>
      <c r="Q1265" s="112">
        <f ca="1">IFERROR(__xludf.DUMMYFUNCTION("""COMPUTED_VALUE"""),42116.7055555555)</f>
        <v>42116.705555555498</v>
      </c>
      <c r="R1265" s="111">
        <f ca="1">IFERROR(__xludf.DUMMYFUNCTION("""COMPUTED_VALUE"""),25.29)</f>
        <v>25.29</v>
      </c>
      <c r="S1265" s="112">
        <f ca="1">IFERROR(__xludf.DUMMYFUNCTION("""COMPUTED_VALUE"""),42130.7055555555)</f>
        <v>42130.705555555498</v>
      </c>
      <c r="T1265" s="111">
        <f ca="1">IFERROR(__xludf.DUMMYFUNCTION("""COMPUTED_VALUE"""),15.84)</f>
        <v>15.84</v>
      </c>
    </row>
    <row r="1266" spans="1:20" x14ac:dyDescent="0.3">
      <c r="A1266" s="112">
        <f ca="1">IFERROR(__xludf.DUMMYFUNCTION("""COMPUTED_VALUE"""),42128.7055555555)</f>
        <v>42128.705555555498</v>
      </c>
      <c r="B1266" s="111">
        <f ca="1">IFERROR(__xludf.DUMMYFUNCTION("""COMPUTED_VALUE"""),7.4)</f>
        <v>7.4</v>
      </c>
      <c r="C1266" s="112">
        <f ca="1">IFERROR(__xludf.DUMMYFUNCTION("""COMPUTED_VALUE"""),42135.7055555555)</f>
        <v>42135.705555555498</v>
      </c>
      <c r="D1266" s="111">
        <f ca="1">IFERROR(__xludf.DUMMYFUNCTION("""COMPUTED_VALUE"""),23)</f>
        <v>23</v>
      </c>
      <c r="E1266" s="112">
        <f ca="1">IFERROR(__xludf.DUMMYFUNCTION("""COMPUTED_VALUE"""),42136.7055555555)</f>
        <v>42136.705555555498</v>
      </c>
      <c r="F1266" s="111">
        <f ca="1">IFERROR(__xludf.DUMMYFUNCTION("""COMPUTED_VALUE"""),7.57)</f>
        <v>7.57</v>
      </c>
      <c r="G1266" s="112">
        <f ca="1">IFERROR(__xludf.DUMMYFUNCTION("""COMPUTED_VALUE"""),42129.7055555555)</f>
        <v>42129.705555555498</v>
      </c>
      <c r="H1266" s="111">
        <f ca="1">IFERROR(__xludf.DUMMYFUNCTION("""COMPUTED_VALUE"""),14.43)</f>
        <v>14.43</v>
      </c>
      <c r="K1266" s="112">
        <f ca="1">IFERROR(__xludf.DUMMYFUNCTION("""COMPUTED_VALUE"""),42579.7055555555)</f>
        <v>42579.705555555498</v>
      </c>
      <c r="L1266" s="111">
        <f ca="1">IFERROR(__xludf.DUMMYFUNCTION("""COMPUTED_VALUE"""),0.17)</f>
        <v>0.17</v>
      </c>
      <c r="M1266" s="112">
        <f ca="1">IFERROR(__xludf.DUMMYFUNCTION("""COMPUTED_VALUE"""),42040.7055555555)</f>
        <v>42040.705555555498</v>
      </c>
      <c r="N1266" s="111">
        <f ca="1">IFERROR(__xludf.DUMMYFUNCTION("""COMPUTED_VALUE"""),15.36)</f>
        <v>15.36</v>
      </c>
      <c r="O1266" s="112">
        <f ca="1">IFERROR(__xludf.DUMMYFUNCTION("""COMPUTED_VALUE"""),42121.7055555555)</f>
        <v>42121.705555555498</v>
      </c>
      <c r="P1266" s="111">
        <f ca="1">IFERROR(__xludf.DUMMYFUNCTION("""COMPUTED_VALUE"""),23.45)</f>
        <v>23.45</v>
      </c>
      <c r="Q1266" s="112">
        <f ca="1">IFERROR(__xludf.DUMMYFUNCTION("""COMPUTED_VALUE"""),42117.7055555555)</f>
        <v>42117.705555555498</v>
      </c>
      <c r="R1266" s="111">
        <f ca="1">IFERROR(__xludf.DUMMYFUNCTION("""COMPUTED_VALUE"""),26.3)</f>
        <v>26.3</v>
      </c>
      <c r="S1266" s="112">
        <f ca="1">IFERROR(__xludf.DUMMYFUNCTION("""COMPUTED_VALUE"""),42131.7055555555)</f>
        <v>42131.705555555498</v>
      </c>
      <c r="T1266" s="111">
        <f ca="1">IFERROR(__xludf.DUMMYFUNCTION("""COMPUTED_VALUE"""),16.59)</f>
        <v>16.59</v>
      </c>
    </row>
    <row r="1267" spans="1:20" x14ac:dyDescent="0.3">
      <c r="A1267" s="112">
        <f ca="1">IFERROR(__xludf.DUMMYFUNCTION("""COMPUTED_VALUE"""),42129.7055555555)</f>
        <v>42129.705555555498</v>
      </c>
      <c r="B1267" s="111">
        <f ca="1">IFERROR(__xludf.DUMMYFUNCTION("""COMPUTED_VALUE"""),8.21)</f>
        <v>8.2100000000000009</v>
      </c>
      <c r="C1267" s="112">
        <f ca="1">IFERROR(__xludf.DUMMYFUNCTION("""COMPUTED_VALUE"""),42136.7055555555)</f>
        <v>42136.705555555498</v>
      </c>
      <c r="D1267" s="111">
        <f ca="1">IFERROR(__xludf.DUMMYFUNCTION("""COMPUTED_VALUE"""),22.92)</f>
        <v>22.92</v>
      </c>
      <c r="E1267" s="112">
        <f ca="1">IFERROR(__xludf.DUMMYFUNCTION("""COMPUTED_VALUE"""),42137.7055555555)</f>
        <v>42137.705555555498</v>
      </c>
      <c r="F1267" s="111">
        <f ca="1">IFERROR(__xludf.DUMMYFUNCTION("""COMPUTED_VALUE"""),7.49)</f>
        <v>7.49</v>
      </c>
      <c r="G1267" s="112">
        <f ca="1">IFERROR(__xludf.DUMMYFUNCTION("""COMPUTED_VALUE"""),42130.7055555555)</f>
        <v>42130.705555555498</v>
      </c>
      <c r="H1267" s="111">
        <f ca="1">IFERROR(__xludf.DUMMYFUNCTION("""COMPUTED_VALUE"""),13.79)</f>
        <v>13.79</v>
      </c>
      <c r="K1267" s="112">
        <f ca="1">IFERROR(__xludf.DUMMYFUNCTION("""COMPUTED_VALUE"""),42580.7055555555)</f>
        <v>42580.705555555498</v>
      </c>
      <c r="L1267" s="111">
        <f ca="1">IFERROR(__xludf.DUMMYFUNCTION("""COMPUTED_VALUE"""),0.18)</f>
        <v>0.18</v>
      </c>
      <c r="M1267" s="112">
        <f ca="1">IFERROR(__xludf.DUMMYFUNCTION("""COMPUTED_VALUE"""),42041.7055555555)</f>
        <v>42041.705555555498</v>
      </c>
      <c r="N1267" s="111">
        <f ca="1">IFERROR(__xludf.DUMMYFUNCTION("""COMPUTED_VALUE"""),15.43)</f>
        <v>15.43</v>
      </c>
      <c r="O1267" s="112">
        <f ca="1">IFERROR(__xludf.DUMMYFUNCTION("""COMPUTED_VALUE"""),42122.7055555555)</f>
        <v>42122.705555555498</v>
      </c>
      <c r="P1267" s="111">
        <f ca="1">IFERROR(__xludf.DUMMYFUNCTION("""COMPUTED_VALUE"""),22.6)</f>
        <v>22.6</v>
      </c>
      <c r="Q1267" s="112">
        <f ca="1">IFERROR(__xludf.DUMMYFUNCTION("""COMPUTED_VALUE"""),42118.7055555555)</f>
        <v>42118.705555555498</v>
      </c>
      <c r="R1267" s="111">
        <f ca="1">IFERROR(__xludf.DUMMYFUNCTION("""COMPUTED_VALUE"""),27.16)</f>
        <v>27.16</v>
      </c>
      <c r="S1267" s="112">
        <f ca="1">IFERROR(__xludf.DUMMYFUNCTION("""COMPUTED_VALUE"""),42132.7055555555)</f>
        <v>42132.705555555498</v>
      </c>
      <c r="T1267" s="111">
        <f ca="1">IFERROR(__xludf.DUMMYFUNCTION("""COMPUTED_VALUE"""),17.13)</f>
        <v>17.13</v>
      </c>
    </row>
    <row r="1268" spans="1:20" x14ac:dyDescent="0.3">
      <c r="A1268" s="112">
        <f ca="1">IFERROR(__xludf.DUMMYFUNCTION("""COMPUTED_VALUE"""),42130.7055555555)</f>
        <v>42130.705555555498</v>
      </c>
      <c r="B1268" s="111">
        <f ca="1">IFERROR(__xludf.DUMMYFUNCTION("""COMPUTED_VALUE"""),8.55)</f>
        <v>8.5500000000000007</v>
      </c>
      <c r="C1268" s="112">
        <f ca="1">IFERROR(__xludf.DUMMYFUNCTION("""COMPUTED_VALUE"""),42137.7055555555)</f>
        <v>42137.705555555498</v>
      </c>
      <c r="D1268" s="111">
        <f ca="1">IFERROR(__xludf.DUMMYFUNCTION("""COMPUTED_VALUE"""),22.87)</f>
        <v>22.87</v>
      </c>
      <c r="E1268" s="112">
        <f ca="1">IFERROR(__xludf.DUMMYFUNCTION("""COMPUTED_VALUE"""),42138.7055555555)</f>
        <v>42138.705555555498</v>
      </c>
      <c r="F1268" s="111">
        <f ca="1">IFERROR(__xludf.DUMMYFUNCTION("""COMPUTED_VALUE"""),7.52)</f>
        <v>7.52</v>
      </c>
      <c r="G1268" s="112">
        <f ca="1">IFERROR(__xludf.DUMMYFUNCTION("""COMPUTED_VALUE"""),42131.7055555555)</f>
        <v>42131.705555555498</v>
      </c>
      <c r="H1268" s="111">
        <f ca="1">IFERROR(__xludf.DUMMYFUNCTION("""COMPUTED_VALUE"""),13.66)</f>
        <v>13.66</v>
      </c>
      <c r="K1268" s="112">
        <f ca="1">IFERROR(__xludf.DUMMYFUNCTION("""COMPUTED_VALUE"""),42583.7055555555)</f>
        <v>42583.705555555498</v>
      </c>
      <c r="L1268" s="111">
        <f ca="1">IFERROR(__xludf.DUMMYFUNCTION("""COMPUTED_VALUE"""),0.18)</f>
        <v>0.18</v>
      </c>
      <c r="M1268" s="112">
        <f ca="1">IFERROR(__xludf.DUMMYFUNCTION("""COMPUTED_VALUE"""),42044.7055555555)</f>
        <v>42044.705555555498</v>
      </c>
      <c r="N1268" s="111">
        <f ca="1">IFERROR(__xludf.DUMMYFUNCTION("""COMPUTED_VALUE"""),15.59)</f>
        <v>15.59</v>
      </c>
      <c r="O1268" s="112">
        <f ca="1">IFERROR(__xludf.DUMMYFUNCTION("""COMPUTED_VALUE"""),42123.7055555555)</f>
        <v>42123.705555555498</v>
      </c>
      <c r="P1268" s="111">
        <f ca="1">IFERROR(__xludf.DUMMYFUNCTION("""COMPUTED_VALUE"""),21.2)</f>
        <v>21.2</v>
      </c>
      <c r="Q1268" s="112">
        <f ca="1">IFERROR(__xludf.DUMMYFUNCTION("""COMPUTED_VALUE"""),42121.7055555555)</f>
        <v>42121.705555555498</v>
      </c>
      <c r="R1268" s="111">
        <f ca="1">IFERROR(__xludf.DUMMYFUNCTION("""COMPUTED_VALUE"""),26.39)</f>
        <v>26.39</v>
      </c>
      <c r="S1268" s="112">
        <f ca="1">IFERROR(__xludf.DUMMYFUNCTION("""COMPUTED_VALUE"""),42135.7055555555)</f>
        <v>42135.705555555498</v>
      </c>
      <c r="T1268" s="111">
        <f ca="1">IFERROR(__xludf.DUMMYFUNCTION("""COMPUTED_VALUE"""),16.72)</f>
        <v>16.72</v>
      </c>
    </row>
    <row r="1269" spans="1:20" x14ac:dyDescent="0.3">
      <c r="A1269" s="112">
        <f ca="1">IFERROR(__xludf.DUMMYFUNCTION("""COMPUTED_VALUE"""),42131.7055555555)</f>
        <v>42131.705555555498</v>
      </c>
      <c r="B1269" s="111">
        <f ca="1">IFERROR(__xludf.DUMMYFUNCTION("""COMPUTED_VALUE"""),8.14)</f>
        <v>8.14</v>
      </c>
      <c r="C1269" s="112">
        <f ca="1">IFERROR(__xludf.DUMMYFUNCTION("""COMPUTED_VALUE"""),42138.7055555555)</f>
        <v>42138.705555555498</v>
      </c>
      <c r="D1269" s="111">
        <f ca="1">IFERROR(__xludf.DUMMYFUNCTION("""COMPUTED_VALUE"""),23.04)</f>
        <v>23.04</v>
      </c>
      <c r="E1269" s="112">
        <f ca="1">IFERROR(__xludf.DUMMYFUNCTION("""COMPUTED_VALUE"""),42139.7055555555)</f>
        <v>42139.705555555498</v>
      </c>
      <c r="F1269" s="111">
        <f ca="1">IFERROR(__xludf.DUMMYFUNCTION("""COMPUTED_VALUE"""),7.6)</f>
        <v>7.6</v>
      </c>
      <c r="G1269" s="112">
        <f ca="1">IFERROR(__xludf.DUMMYFUNCTION("""COMPUTED_VALUE"""),42132.7055555555)</f>
        <v>42132.705555555498</v>
      </c>
      <c r="H1269" s="111">
        <f ca="1">IFERROR(__xludf.DUMMYFUNCTION("""COMPUTED_VALUE"""),13.51)</f>
        <v>13.51</v>
      </c>
      <c r="K1269" s="112">
        <f ca="1">IFERROR(__xludf.DUMMYFUNCTION("""COMPUTED_VALUE"""),42584.7055555555)</f>
        <v>42584.705555555498</v>
      </c>
      <c r="L1269" s="111">
        <f ca="1">IFERROR(__xludf.DUMMYFUNCTION("""COMPUTED_VALUE"""),0.17)</f>
        <v>0.17</v>
      </c>
      <c r="M1269" s="112">
        <f ca="1">IFERROR(__xludf.DUMMYFUNCTION("""COMPUTED_VALUE"""),42045.7055555555)</f>
        <v>42045.705555555498</v>
      </c>
      <c r="N1269" s="111">
        <f ca="1">IFERROR(__xludf.DUMMYFUNCTION("""COMPUTED_VALUE"""),15.19)</f>
        <v>15.19</v>
      </c>
      <c r="O1269" s="112">
        <f ca="1">IFERROR(__xludf.DUMMYFUNCTION("""COMPUTED_VALUE"""),42124.7055555555)</f>
        <v>42124.705555555498</v>
      </c>
      <c r="P1269" s="111">
        <f ca="1">IFERROR(__xludf.DUMMYFUNCTION("""COMPUTED_VALUE"""),22.59)</f>
        <v>22.59</v>
      </c>
      <c r="Q1269" s="112">
        <f ca="1">IFERROR(__xludf.DUMMYFUNCTION("""COMPUTED_VALUE"""),42122.7055555555)</f>
        <v>42122.705555555498</v>
      </c>
      <c r="R1269" s="111">
        <f ca="1">IFERROR(__xludf.DUMMYFUNCTION("""COMPUTED_VALUE"""),26.55)</f>
        <v>26.55</v>
      </c>
      <c r="S1269" s="112">
        <f ca="1">IFERROR(__xludf.DUMMYFUNCTION("""COMPUTED_VALUE"""),42136.7055555555)</f>
        <v>42136.705555555498</v>
      </c>
      <c r="T1269" s="111">
        <f ca="1">IFERROR(__xludf.DUMMYFUNCTION("""COMPUTED_VALUE"""),17.13)</f>
        <v>17.13</v>
      </c>
    </row>
    <row r="1270" spans="1:20" x14ac:dyDescent="0.3">
      <c r="A1270" s="112">
        <f ca="1">IFERROR(__xludf.DUMMYFUNCTION("""COMPUTED_VALUE"""),42132.7055555555)</f>
        <v>42132.705555555498</v>
      </c>
      <c r="B1270" s="111">
        <f ca="1">IFERROR(__xludf.DUMMYFUNCTION("""COMPUTED_VALUE"""),7.99)</f>
        <v>7.99</v>
      </c>
      <c r="C1270" s="112">
        <f ca="1">IFERROR(__xludf.DUMMYFUNCTION("""COMPUTED_VALUE"""),42139.7055555555)</f>
        <v>42139.705555555498</v>
      </c>
      <c r="D1270" s="111">
        <f ca="1">IFERROR(__xludf.DUMMYFUNCTION("""COMPUTED_VALUE"""),23.42)</f>
        <v>23.42</v>
      </c>
      <c r="E1270" s="112">
        <f ca="1">IFERROR(__xludf.DUMMYFUNCTION("""COMPUTED_VALUE"""),42142.7055555555)</f>
        <v>42142.705555555498</v>
      </c>
      <c r="F1270" s="111">
        <f ca="1">IFERROR(__xludf.DUMMYFUNCTION("""COMPUTED_VALUE"""),7.48)</f>
        <v>7.48</v>
      </c>
      <c r="G1270" s="112">
        <f ca="1">IFERROR(__xludf.DUMMYFUNCTION("""COMPUTED_VALUE"""),42135.7055555555)</f>
        <v>42135.705555555498</v>
      </c>
      <c r="H1270" s="111">
        <f ca="1">IFERROR(__xludf.DUMMYFUNCTION("""COMPUTED_VALUE"""),13.77)</f>
        <v>13.77</v>
      </c>
      <c r="K1270" s="112">
        <f ca="1">IFERROR(__xludf.DUMMYFUNCTION("""COMPUTED_VALUE"""),42585.7055555555)</f>
        <v>42585.705555555498</v>
      </c>
      <c r="L1270" s="111">
        <f ca="1">IFERROR(__xludf.DUMMYFUNCTION("""COMPUTED_VALUE"""),0.17)</f>
        <v>0.17</v>
      </c>
      <c r="M1270" s="112">
        <f ca="1">IFERROR(__xludf.DUMMYFUNCTION("""COMPUTED_VALUE"""),42046.7055555555)</f>
        <v>42046.705555555498</v>
      </c>
      <c r="N1270" s="111">
        <f ca="1">IFERROR(__xludf.DUMMYFUNCTION("""COMPUTED_VALUE"""),14.78)</f>
        <v>14.78</v>
      </c>
      <c r="O1270" s="112">
        <f ca="1">IFERROR(__xludf.DUMMYFUNCTION("""COMPUTED_VALUE"""),42128.7055555555)</f>
        <v>42128.705555555498</v>
      </c>
      <c r="P1270" s="111">
        <f ca="1">IFERROR(__xludf.DUMMYFUNCTION("""COMPUTED_VALUE"""),24.9)</f>
        <v>24.9</v>
      </c>
      <c r="Q1270" s="112">
        <f ca="1">IFERROR(__xludf.DUMMYFUNCTION("""COMPUTED_VALUE"""),42123.7055555555)</f>
        <v>42123.705555555498</v>
      </c>
      <c r="R1270" s="111">
        <f ca="1">IFERROR(__xludf.DUMMYFUNCTION("""COMPUTED_VALUE"""),26.13)</f>
        <v>26.13</v>
      </c>
      <c r="S1270" s="112">
        <f ca="1">IFERROR(__xludf.DUMMYFUNCTION("""COMPUTED_VALUE"""),42137.7055555555)</f>
        <v>42137.705555555498</v>
      </c>
      <c r="T1270" s="111">
        <f ca="1">IFERROR(__xludf.DUMMYFUNCTION("""COMPUTED_VALUE"""),17.25)</f>
        <v>17.25</v>
      </c>
    </row>
    <row r="1271" spans="1:20" x14ac:dyDescent="0.3">
      <c r="A1271" s="112">
        <f ca="1">IFERROR(__xludf.DUMMYFUNCTION("""COMPUTED_VALUE"""),42135.7055555555)</f>
        <v>42135.705555555498</v>
      </c>
      <c r="B1271" s="111">
        <f ca="1">IFERROR(__xludf.DUMMYFUNCTION("""COMPUTED_VALUE"""),7.96)</f>
        <v>7.96</v>
      </c>
      <c r="C1271" s="112">
        <f ca="1">IFERROR(__xludf.DUMMYFUNCTION("""COMPUTED_VALUE"""),42142.7055555555)</f>
        <v>42142.705555555498</v>
      </c>
      <c r="D1271" s="111">
        <f ca="1">IFERROR(__xludf.DUMMYFUNCTION("""COMPUTED_VALUE"""),22.73)</f>
        <v>22.73</v>
      </c>
      <c r="E1271" s="112">
        <f ca="1">IFERROR(__xludf.DUMMYFUNCTION("""COMPUTED_VALUE"""),42143.7055555555)</f>
        <v>42143.705555555498</v>
      </c>
      <c r="F1271" s="111">
        <f ca="1">IFERROR(__xludf.DUMMYFUNCTION("""COMPUTED_VALUE"""),7.41)</f>
        <v>7.41</v>
      </c>
      <c r="G1271" s="112">
        <f ca="1">IFERROR(__xludf.DUMMYFUNCTION("""COMPUTED_VALUE"""),42136.7055555555)</f>
        <v>42136.705555555498</v>
      </c>
      <c r="H1271" s="111">
        <f ca="1">IFERROR(__xludf.DUMMYFUNCTION("""COMPUTED_VALUE"""),13.73)</f>
        <v>13.73</v>
      </c>
      <c r="K1271" s="112">
        <f ca="1">IFERROR(__xludf.DUMMYFUNCTION("""COMPUTED_VALUE"""),42586.7055555555)</f>
        <v>42586.705555555498</v>
      </c>
      <c r="L1271" s="111">
        <f ca="1">IFERROR(__xludf.DUMMYFUNCTION("""COMPUTED_VALUE"""),0.2)</f>
        <v>0.2</v>
      </c>
      <c r="M1271" s="112">
        <f ca="1">IFERROR(__xludf.DUMMYFUNCTION("""COMPUTED_VALUE"""),42047.7055555555)</f>
        <v>42047.705555555498</v>
      </c>
      <c r="N1271" s="111">
        <f ca="1">IFERROR(__xludf.DUMMYFUNCTION("""COMPUTED_VALUE"""),15.37)</f>
        <v>15.37</v>
      </c>
      <c r="O1271" s="112">
        <f ca="1">IFERROR(__xludf.DUMMYFUNCTION("""COMPUTED_VALUE"""),42129.7055555555)</f>
        <v>42129.705555555498</v>
      </c>
      <c r="P1271" s="111">
        <f ca="1">IFERROR(__xludf.DUMMYFUNCTION("""COMPUTED_VALUE"""),27.19)</f>
        <v>27.19</v>
      </c>
      <c r="Q1271" s="112">
        <f ca="1">IFERROR(__xludf.DUMMYFUNCTION("""COMPUTED_VALUE"""),42124.7055555555)</f>
        <v>42124.705555555498</v>
      </c>
      <c r="R1271" s="111">
        <f ca="1">IFERROR(__xludf.DUMMYFUNCTION("""COMPUTED_VALUE"""),26.61)</f>
        <v>26.61</v>
      </c>
      <c r="S1271" s="112">
        <f ca="1">IFERROR(__xludf.DUMMYFUNCTION("""COMPUTED_VALUE"""),42138.7055555555)</f>
        <v>42138.705555555498</v>
      </c>
      <c r="T1271" s="111">
        <f ca="1">IFERROR(__xludf.DUMMYFUNCTION("""COMPUTED_VALUE"""),16.78)</f>
        <v>16.78</v>
      </c>
    </row>
    <row r="1272" spans="1:20" x14ac:dyDescent="0.3">
      <c r="A1272" s="112">
        <f ca="1">IFERROR(__xludf.DUMMYFUNCTION("""COMPUTED_VALUE"""),42136.7055555555)</f>
        <v>42136.705555555498</v>
      </c>
      <c r="B1272" s="111">
        <f ca="1">IFERROR(__xludf.DUMMYFUNCTION("""COMPUTED_VALUE"""),7.99)</f>
        <v>7.99</v>
      </c>
      <c r="C1272" s="112">
        <f ca="1">IFERROR(__xludf.DUMMYFUNCTION("""COMPUTED_VALUE"""),42143.7055555555)</f>
        <v>42143.705555555498</v>
      </c>
      <c r="D1272" s="111">
        <f ca="1">IFERROR(__xludf.DUMMYFUNCTION("""COMPUTED_VALUE"""),22.5)</f>
        <v>22.5</v>
      </c>
      <c r="E1272" s="112">
        <f ca="1">IFERROR(__xludf.DUMMYFUNCTION("""COMPUTED_VALUE"""),42144.7055555555)</f>
        <v>42144.705555555498</v>
      </c>
      <c r="F1272" s="111">
        <f ca="1">IFERROR(__xludf.DUMMYFUNCTION("""COMPUTED_VALUE"""),7.27)</f>
        <v>7.27</v>
      </c>
      <c r="G1272" s="112">
        <f ca="1">IFERROR(__xludf.DUMMYFUNCTION("""COMPUTED_VALUE"""),42137.7055555555)</f>
        <v>42137.705555555498</v>
      </c>
      <c r="H1272" s="111">
        <f ca="1">IFERROR(__xludf.DUMMYFUNCTION("""COMPUTED_VALUE"""),13.98)</f>
        <v>13.98</v>
      </c>
      <c r="K1272" s="112">
        <f ca="1">IFERROR(__xludf.DUMMYFUNCTION("""COMPUTED_VALUE"""),42587.7055555555)</f>
        <v>42587.705555555498</v>
      </c>
      <c r="L1272" s="111">
        <f ca="1">IFERROR(__xludf.DUMMYFUNCTION("""COMPUTED_VALUE"""),0.21)</f>
        <v>0.21</v>
      </c>
      <c r="M1272" s="112">
        <f ca="1">IFERROR(__xludf.DUMMYFUNCTION("""COMPUTED_VALUE"""),42048.7055555555)</f>
        <v>42048.705555555498</v>
      </c>
      <c r="N1272" s="111">
        <f ca="1">IFERROR(__xludf.DUMMYFUNCTION("""COMPUTED_VALUE"""),15.78)</f>
        <v>15.78</v>
      </c>
      <c r="O1272" s="112">
        <f ca="1">IFERROR(__xludf.DUMMYFUNCTION("""COMPUTED_VALUE"""),42130.7055555555)</f>
        <v>42130.705555555498</v>
      </c>
      <c r="P1272" s="111">
        <f ca="1">IFERROR(__xludf.DUMMYFUNCTION("""COMPUTED_VALUE"""),25.12)</f>
        <v>25.12</v>
      </c>
      <c r="Q1272" s="112">
        <f ca="1">IFERROR(__xludf.DUMMYFUNCTION("""COMPUTED_VALUE"""),42128.7055555555)</f>
        <v>42128.705555555498</v>
      </c>
      <c r="R1272" s="111">
        <f ca="1">IFERROR(__xludf.DUMMYFUNCTION("""COMPUTED_VALUE"""),26.44)</f>
        <v>26.44</v>
      </c>
      <c r="S1272" s="112">
        <f ca="1">IFERROR(__xludf.DUMMYFUNCTION("""COMPUTED_VALUE"""),42139.7055555555)</f>
        <v>42139.705555555498</v>
      </c>
      <c r="T1272" s="111">
        <f ca="1">IFERROR(__xludf.DUMMYFUNCTION("""COMPUTED_VALUE"""),17.19)</f>
        <v>17.190000000000001</v>
      </c>
    </row>
    <row r="1273" spans="1:20" x14ac:dyDescent="0.3">
      <c r="A1273" s="112">
        <f ca="1">IFERROR(__xludf.DUMMYFUNCTION("""COMPUTED_VALUE"""),42137.7055555555)</f>
        <v>42137.705555555498</v>
      </c>
      <c r="B1273" s="111">
        <f ca="1">IFERROR(__xludf.DUMMYFUNCTION("""COMPUTED_VALUE"""),7.28)</f>
        <v>7.28</v>
      </c>
      <c r="C1273" s="112">
        <f ca="1">IFERROR(__xludf.DUMMYFUNCTION("""COMPUTED_VALUE"""),42144.7055555555)</f>
        <v>42144.705555555498</v>
      </c>
      <c r="D1273" s="111">
        <f ca="1">IFERROR(__xludf.DUMMYFUNCTION("""COMPUTED_VALUE"""),21.97)</f>
        <v>21.97</v>
      </c>
      <c r="E1273" s="112">
        <f ca="1">IFERROR(__xludf.DUMMYFUNCTION("""COMPUTED_VALUE"""),42145.7055555555)</f>
        <v>42145.705555555498</v>
      </c>
      <c r="F1273" s="111">
        <f ca="1">IFERROR(__xludf.DUMMYFUNCTION("""COMPUTED_VALUE"""),7.31)</f>
        <v>7.31</v>
      </c>
      <c r="G1273" s="112">
        <f ca="1">IFERROR(__xludf.DUMMYFUNCTION("""COMPUTED_VALUE"""),42138.7055555555)</f>
        <v>42138.705555555498</v>
      </c>
      <c r="H1273" s="111">
        <f ca="1">IFERROR(__xludf.DUMMYFUNCTION("""COMPUTED_VALUE"""),13.9)</f>
        <v>13.9</v>
      </c>
      <c r="K1273" s="112">
        <f ca="1">IFERROR(__xludf.DUMMYFUNCTION("""COMPUTED_VALUE"""),42590.7055555555)</f>
        <v>42590.705555555498</v>
      </c>
      <c r="L1273" s="111">
        <f ca="1">IFERROR(__xludf.DUMMYFUNCTION("""COMPUTED_VALUE"""),0.21)</f>
        <v>0.21</v>
      </c>
      <c r="M1273" s="112">
        <f ca="1">IFERROR(__xludf.DUMMYFUNCTION("""COMPUTED_VALUE"""),42053.7055555555)</f>
        <v>42053.705555555498</v>
      </c>
      <c r="N1273" s="111">
        <f ca="1">IFERROR(__xludf.DUMMYFUNCTION("""COMPUTED_VALUE"""),15.95)</f>
        <v>15.95</v>
      </c>
      <c r="O1273" s="112">
        <f ca="1">IFERROR(__xludf.DUMMYFUNCTION("""COMPUTED_VALUE"""),42131.7055555555)</f>
        <v>42131.705555555498</v>
      </c>
      <c r="P1273" s="111">
        <f ca="1">IFERROR(__xludf.DUMMYFUNCTION("""COMPUTED_VALUE"""),23.88)</f>
        <v>23.88</v>
      </c>
      <c r="Q1273" s="112">
        <f ca="1">IFERROR(__xludf.DUMMYFUNCTION("""COMPUTED_VALUE"""),42129.7055555555)</f>
        <v>42129.705555555498</v>
      </c>
      <c r="R1273" s="111">
        <f ca="1">IFERROR(__xludf.DUMMYFUNCTION("""COMPUTED_VALUE"""),27.25)</f>
        <v>27.25</v>
      </c>
      <c r="S1273" s="112">
        <f ca="1">IFERROR(__xludf.DUMMYFUNCTION("""COMPUTED_VALUE"""),42142.7055555555)</f>
        <v>42142.705555555498</v>
      </c>
      <c r="T1273" s="111">
        <f ca="1">IFERROR(__xludf.DUMMYFUNCTION("""COMPUTED_VALUE"""),17.04)</f>
        <v>17.04</v>
      </c>
    </row>
    <row r="1274" spans="1:20" x14ac:dyDescent="0.3">
      <c r="A1274" s="112">
        <f ca="1">IFERROR(__xludf.DUMMYFUNCTION("""COMPUTED_VALUE"""),42138.7055555555)</f>
        <v>42138.705555555498</v>
      </c>
      <c r="B1274" s="111">
        <f ca="1">IFERROR(__xludf.DUMMYFUNCTION("""COMPUTED_VALUE"""),7.01)</f>
        <v>7.01</v>
      </c>
      <c r="C1274" s="112">
        <f ca="1">IFERROR(__xludf.DUMMYFUNCTION("""COMPUTED_VALUE"""),42145.7055555555)</f>
        <v>42145.705555555498</v>
      </c>
      <c r="D1274" s="111">
        <f ca="1">IFERROR(__xludf.DUMMYFUNCTION("""COMPUTED_VALUE"""),21.92)</f>
        <v>21.92</v>
      </c>
      <c r="E1274" s="112">
        <f ca="1">IFERROR(__xludf.DUMMYFUNCTION("""COMPUTED_VALUE"""),42146.7055555555)</f>
        <v>42146.705555555498</v>
      </c>
      <c r="F1274" s="111">
        <f ca="1">IFERROR(__xludf.DUMMYFUNCTION("""COMPUTED_VALUE"""),7.08)</f>
        <v>7.08</v>
      </c>
      <c r="G1274" s="112">
        <f ca="1">IFERROR(__xludf.DUMMYFUNCTION("""COMPUTED_VALUE"""),42139.7055555555)</f>
        <v>42139.705555555498</v>
      </c>
      <c r="H1274" s="111">
        <f ca="1">IFERROR(__xludf.DUMMYFUNCTION("""COMPUTED_VALUE"""),14.04)</f>
        <v>14.04</v>
      </c>
      <c r="K1274" s="112">
        <f ca="1">IFERROR(__xludf.DUMMYFUNCTION("""COMPUTED_VALUE"""),42591.7055555555)</f>
        <v>42591.705555555498</v>
      </c>
      <c r="L1274" s="111">
        <f ca="1">IFERROR(__xludf.DUMMYFUNCTION("""COMPUTED_VALUE"""),0.22)</f>
        <v>0.22</v>
      </c>
      <c r="M1274" s="112">
        <f ca="1">IFERROR(__xludf.DUMMYFUNCTION("""COMPUTED_VALUE"""),42054.7055555555)</f>
        <v>42054.705555555498</v>
      </c>
      <c r="N1274" s="111">
        <f ca="1">IFERROR(__xludf.DUMMYFUNCTION("""COMPUTED_VALUE"""),15.92)</f>
        <v>15.92</v>
      </c>
      <c r="O1274" s="112">
        <f ca="1">IFERROR(__xludf.DUMMYFUNCTION("""COMPUTED_VALUE"""),42132.7055555555)</f>
        <v>42132.705555555498</v>
      </c>
      <c r="P1274" s="111">
        <f ca="1">IFERROR(__xludf.DUMMYFUNCTION("""COMPUTED_VALUE"""),22.71)</f>
        <v>22.71</v>
      </c>
      <c r="Q1274" s="112">
        <f ca="1">IFERROR(__xludf.DUMMYFUNCTION("""COMPUTED_VALUE"""),42130.7055555555)</f>
        <v>42130.705555555498</v>
      </c>
      <c r="R1274" s="111">
        <f ca="1">IFERROR(__xludf.DUMMYFUNCTION("""COMPUTED_VALUE"""),27.14)</f>
        <v>27.14</v>
      </c>
      <c r="S1274" s="112">
        <f ca="1">IFERROR(__xludf.DUMMYFUNCTION("""COMPUTED_VALUE"""),42143.7055555555)</f>
        <v>42143.705555555498</v>
      </c>
      <c r="T1274" s="111">
        <f ca="1">IFERROR(__xludf.DUMMYFUNCTION("""COMPUTED_VALUE"""),16.57)</f>
        <v>16.57</v>
      </c>
    </row>
    <row r="1275" spans="1:20" x14ac:dyDescent="0.3">
      <c r="A1275" s="112">
        <f ca="1">IFERROR(__xludf.DUMMYFUNCTION("""COMPUTED_VALUE"""),42139.7055555555)</f>
        <v>42139.705555555498</v>
      </c>
      <c r="B1275" s="111">
        <f ca="1">IFERROR(__xludf.DUMMYFUNCTION("""COMPUTED_VALUE"""),7.13)</f>
        <v>7.13</v>
      </c>
      <c r="C1275" s="112">
        <f ca="1">IFERROR(__xludf.DUMMYFUNCTION("""COMPUTED_VALUE"""),42146.7055555555)</f>
        <v>42146.705555555498</v>
      </c>
      <c r="D1275" s="111">
        <f ca="1">IFERROR(__xludf.DUMMYFUNCTION("""COMPUTED_VALUE"""),21.35)</f>
        <v>21.35</v>
      </c>
      <c r="E1275" s="112">
        <f ca="1">IFERROR(__xludf.DUMMYFUNCTION("""COMPUTED_VALUE"""),42149.7055555555)</f>
        <v>42149.705555555498</v>
      </c>
      <c r="F1275" s="111">
        <f ca="1">IFERROR(__xludf.DUMMYFUNCTION("""COMPUTED_VALUE"""),7.16)</f>
        <v>7.16</v>
      </c>
      <c r="G1275" s="112">
        <f ca="1">IFERROR(__xludf.DUMMYFUNCTION("""COMPUTED_VALUE"""),42142.7055555555)</f>
        <v>42142.705555555498</v>
      </c>
      <c r="H1275" s="111">
        <f ca="1">IFERROR(__xludf.DUMMYFUNCTION("""COMPUTED_VALUE"""),13.7)</f>
        <v>13.7</v>
      </c>
      <c r="K1275" s="112">
        <f ca="1">IFERROR(__xludf.DUMMYFUNCTION("""COMPUTED_VALUE"""),42592.7055555555)</f>
        <v>42592.705555555498</v>
      </c>
      <c r="L1275" s="111">
        <f ca="1">IFERROR(__xludf.DUMMYFUNCTION("""COMPUTED_VALUE"""),0.23)</f>
        <v>0.23</v>
      </c>
      <c r="M1275" s="112">
        <f ca="1">IFERROR(__xludf.DUMMYFUNCTION("""COMPUTED_VALUE"""),42055.7055555555)</f>
        <v>42055.705555555498</v>
      </c>
      <c r="N1275" s="111">
        <f ca="1">IFERROR(__xludf.DUMMYFUNCTION("""COMPUTED_VALUE"""),15.95)</f>
        <v>15.95</v>
      </c>
      <c r="O1275" s="112">
        <f ca="1">IFERROR(__xludf.DUMMYFUNCTION("""COMPUTED_VALUE"""),42135.7055555555)</f>
        <v>42135.705555555498</v>
      </c>
      <c r="P1275" s="111">
        <f ca="1">IFERROR(__xludf.DUMMYFUNCTION("""COMPUTED_VALUE"""),23.38)</f>
        <v>23.38</v>
      </c>
      <c r="Q1275" s="112">
        <f ca="1">IFERROR(__xludf.DUMMYFUNCTION("""COMPUTED_VALUE"""),42131.7055555555)</f>
        <v>42131.705555555498</v>
      </c>
      <c r="R1275" s="111">
        <f ca="1">IFERROR(__xludf.DUMMYFUNCTION("""COMPUTED_VALUE"""),27.76)</f>
        <v>27.76</v>
      </c>
      <c r="S1275" s="112">
        <f ca="1">IFERROR(__xludf.DUMMYFUNCTION("""COMPUTED_VALUE"""),42144.7055555555)</f>
        <v>42144.705555555498</v>
      </c>
      <c r="T1275" s="111">
        <f ca="1">IFERROR(__xludf.DUMMYFUNCTION("""COMPUTED_VALUE"""),16.53)</f>
        <v>16.53</v>
      </c>
    </row>
    <row r="1276" spans="1:20" x14ac:dyDescent="0.3">
      <c r="A1276" s="112">
        <f ca="1">IFERROR(__xludf.DUMMYFUNCTION("""COMPUTED_VALUE"""),42142.7055555555)</f>
        <v>42142.705555555498</v>
      </c>
      <c r="B1276" s="111">
        <f ca="1">IFERROR(__xludf.DUMMYFUNCTION("""COMPUTED_VALUE"""),7.12)</f>
        <v>7.12</v>
      </c>
      <c r="C1276" s="112">
        <f ca="1">IFERROR(__xludf.DUMMYFUNCTION("""COMPUTED_VALUE"""),42149.7055555555)</f>
        <v>42149.705555555498</v>
      </c>
      <c r="D1276" s="111">
        <f ca="1">IFERROR(__xludf.DUMMYFUNCTION("""COMPUTED_VALUE"""),21.46)</f>
        <v>21.46</v>
      </c>
      <c r="E1276" s="112">
        <f ca="1">IFERROR(__xludf.DUMMYFUNCTION("""COMPUTED_VALUE"""),42150.7055555555)</f>
        <v>42150.705555555498</v>
      </c>
      <c r="F1276" s="111">
        <f ca="1">IFERROR(__xludf.DUMMYFUNCTION("""COMPUTED_VALUE"""),7.04)</f>
        <v>7.04</v>
      </c>
      <c r="G1276" s="112">
        <f ca="1">IFERROR(__xludf.DUMMYFUNCTION("""COMPUTED_VALUE"""),42143.7055555555)</f>
        <v>42143.705555555498</v>
      </c>
      <c r="H1276" s="111">
        <f ca="1">IFERROR(__xludf.DUMMYFUNCTION("""COMPUTED_VALUE"""),12.89)</f>
        <v>12.89</v>
      </c>
      <c r="K1276" s="112">
        <f ca="1">IFERROR(__xludf.DUMMYFUNCTION("""COMPUTED_VALUE"""),42593.7055555555)</f>
        <v>42593.705555555498</v>
      </c>
      <c r="L1276" s="111">
        <f ca="1">IFERROR(__xludf.DUMMYFUNCTION("""COMPUTED_VALUE"""),0.23)</f>
        <v>0.23</v>
      </c>
      <c r="M1276" s="112">
        <f ca="1">IFERROR(__xludf.DUMMYFUNCTION("""COMPUTED_VALUE"""),42058.7055555555)</f>
        <v>42058.705555555498</v>
      </c>
      <c r="N1276" s="111">
        <f ca="1">IFERROR(__xludf.DUMMYFUNCTION("""COMPUTED_VALUE"""),16.12)</f>
        <v>16.12</v>
      </c>
      <c r="O1276" s="112">
        <f ca="1">IFERROR(__xludf.DUMMYFUNCTION("""COMPUTED_VALUE"""),42136.7055555555)</f>
        <v>42136.705555555498</v>
      </c>
      <c r="P1276" s="111">
        <f ca="1">IFERROR(__xludf.DUMMYFUNCTION("""COMPUTED_VALUE"""),22.26)</f>
        <v>22.26</v>
      </c>
      <c r="Q1276" s="112">
        <f ca="1">IFERROR(__xludf.DUMMYFUNCTION("""COMPUTED_VALUE"""),42132.7055555555)</f>
        <v>42132.705555555498</v>
      </c>
      <c r="R1276" s="111">
        <f ca="1">IFERROR(__xludf.DUMMYFUNCTION("""COMPUTED_VALUE"""),28.07)</f>
        <v>28.07</v>
      </c>
      <c r="S1276" s="112">
        <f ca="1">IFERROR(__xludf.DUMMYFUNCTION("""COMPUTED_VALUE"""),42145.7055555555)</f>
        <v>42145.705555555498</v>
      </c>
      <c r="T1276" s="111">
        <f ca="1">IFERROR(__xludf.DUMMYFUNCTION("""COMPUTED_VALUE"""),16.51)</f>
        <v>16.510000000000002</v>
      </c>
    </row>
    <row r="1277" spans="1:20" x14ac:dyDescent="0.3">
      <c r="A1277" s="112">
        <f ca="1">IFERROR(__xludf.DUMMYFUNCTION("""COMPUTED_VALUE"""),42143.7055555555)</f>
        <v>42143.705555555498</v>
      </c>
      <c r="B1277" s="111">
        <f ca="1">IFERROR(__xludf.DUMMYFUNCTION("""COMPUTED_VALUE"""),6.74)</f>
        <v>6.74</v>
      </c>
      <c r="C1277" s="112">
        <f ca="1">IFERROR(__xludf.DUMMYFUNCTION("""COMPUTED_VALUE"""),42150.7055555555)</f>
        <v>42150.705555555498</v>
      </c>
      <c r="D1277" s="111">
        <f ca="1">IFERROR(__xludf.DUMMYFUNCTION("""COMPUTED_VALUE"""),21.09)</f>
        <v>21.09</v>
      </c>
      <c r="E1277" s="112">
        <f ca="1">IFERROR(__xludf.DUMMYFUNCTION("""COMPUTED_VALUE"""),42151.7055555555)</f>
        <v>42151.705555555498</v>
      </c>
      <c r="F1277" s="111">
        <f ca="1">IFERROR(__xludf.DUMMYFUNCTION("""COMPUTED_VALUE"""),7.26)</f>
        <v>7.26</v>
      </c>
      <c r="G1277" s="112">
        <f ca="1">IFERROR(__xludf.DUMMYFUNCTION("""COMPUTED_VALUE"""),42144.7055555555)</f>
        <v>42144.705555555498</v>
      </c>
      <c r="H1277" s="111">
        <f ca="1">IFERROR(__xludf.DUMMYFUNCTION("""COMPUTED_VALUE"""),12.84)</f>
        <v>12.84</v>
      </c>
      <c r="K1277" s="112">
        <f ca="1">IFERROR(__xludf.DUMMYFUNCTION("""COMPUTED_VALUE"""),42594.7055555555)</f>
        <v>42594.705555555498</v>
      </c>
      <c r="L1277" s="111">
        <f ca="1">IFERROR(__xludf.DUMMYFUNCTION("""COMPUTED_VALUE"""),0.23)</f>
        <v>0.23</v>
      </c>
      <c r="M1277" s="112">
        <f ca="1">IFERROR(__xludf.DUMMYFUNCTION("""COMPUTED_VALUE"""),42059.7055555555)</f>
        <v>42059.705555555498</v>
      </c>
      <c r="N1277" s="111">
        <f ca="1">IFERROR(__xludf.DUMMYFUNCTION("""COMPUTED_VALUE"""),16.29)</f>
        <v>16.29</v>
      </c>
      <c r="O1277" s="112">
        <f ca="1">IFERROR(__xludf.DUMMYFUNCTION("""COMPUTED_VALUE"""),42137.7055555555)</f>
        <v>42137.705555555498</v>
      </c>
      <c r="P1277" s="111">
        <f ca="1">IFERROR(__xludf.DUMMYFUNCTION("""COMPUTED_VALUE"""),21.7)</f>
        <v>21.7</v>
      </c>
      <c r="Q1277" s="112">
        <f ca="1">IFERROR(__xludf.DUMMYFUNCTION("""COMPUTED_VALUE"""),42135.7055555555)</f>
        <v>42135.705555555498</v>
      </c>
      <c r="R1277" s="111">
        <f ca="1">IFERROR(__xludf.DUMMYFUNCTION("""COMPUTED_VALUE"""),27.96)</f>
        <v>27.96</v>
      </c>
      <c r="S1277" s="112">
        <f ca="1">IFERROR(__xludf.DUMMYFUNCTION("""COMPUTED_VALUE"""),42146.7055555555)</f>
        <v>42146.705555555498</v>
      </c>
      <c r="T1277" s="111">
        <f ca="1">IFERROR(__xludf.DUMMYFUNCTION("""COMPUTED_VALUE"""),16.42)</f>
        <v>16.420000000000002</v>
      </c>
    </row>
    <row r="1278" spans="1:20" x14ac:dyDescent="0.3">
      <c r="A1278" s="112">
        <f ca="1">IFERROR(__xludf.DUMMYFUNCTION("""COMPUTED_VALUE"""),42144.7055555555)</f>
        <v>42144.705555555498</v>
      </c>
      <c r="B1278" s="111">
        <f ca="1">IFERROR(__xludf.DUMMYFUNCTION("""COMPUTED_VALUE"""),6.65)</f>
        <v>6.65</v>
      </c>
      <c r="C1278" s="112">
        <f ca="1">IFERROR(__xludf.DUMMYFUNCTION("""COMPUTED_VALUE"""),42151.7055555555)</f>
        <v>42151.705555555498</v>
      </c>
      <c r="D1278" s="111">
        <f ca="1">IFERROR(__xludf.DUMMYFUNCTION("""COMPUTED_VALUE"""),21.56)</f>
        <v>21.56</v>
      </c>
      <c r="E1278" s="112">
        <f ca="1">IFERROR(__xludf.DUMMYFUNCTION("""COMPUTED_VALUE"""),42152.7055555555)</f>
        <v>42152.705555555498</v>
      </c>
      <c r="F1278" s="111">
        <f ca="1">IFERROR(__xludf.DUMMYFUNCTION("""COMPUTED_VALUE"""),7.17)</f>
        <v>7.17</v>
      </c>
      <c r="G1278" s="112">
        <f ca="1">IFERROR(__xludf.DUMMYFUNCTION("""COMPUTED_VALUE"""),42145.7055555555)</f>
        <v>42145.705555555498</v>
      </c>
      <c r="H1278" s="111">
        <f ca="1">IFERROR(__xludf.DUMMYFUNCTION("""COMPUTED_VALUE"""),13.48)</f>
        <v>13.48</v>
      </c>
      <c r="K1278" s="112">
        <f ca="1">IFERROR(__xludf.DUMMYFUNCTION("""COMPUTED_VALUE"""),42597.7055555555)</f>
        <v>42597.705555555498</v>
      </c>
      <c r="L1278" s="111">
        <f ca="1">IFERROR(__xludf.DUMMYFUNCTION("""COMPUTED_VALUE"""),0.23)</f>
        <v>0.23</v>
      </c>
      <c r="M1278" s="112">
        <f ca="1">IFERROR(__xludf.DUMMYFUNCTION("""COMPUTED_VALUE"""),42060.7055555555)</f>
        <v>42060.705555555498</v>
      </c>
      <c r="N1278" s="111">
        <f ca="1">IFERROR(__xludf.DUMMYFUNCTION("""COMPUTED_VALUE"""),16.38)</f>
        <v>16.38</v>
      </c>
      <c r="O1278" s="112">
        <f ca="1">IFERROR(__xludf.DUMMYFUNCTION("""COMPUTED_VALUE"""),42138.7055555555)</f>
        <v>42138.705555555498</v>
      </c>
      <c r="P1278" s="111">
        <f ca="1">IFERROR(__xludf.DUMMYFUNCTION("""COMPUTED_VALUE"""),21.38)</f>
        <v>21.38</v>
      </c>
      <c r="Q1278" s="112">
        <f ca="1">IFERROR(__xludf.DUMMYFUNCTION("""COMPUTED_VALUE"""),42136.7055555555)</f>
        <v>42136.705555555498</v>
      </c>
      <c r="R1278" s="111">
        <f ca="1">IFERROR(__xludf.DUMMYFUNCTION("""COMPUTED_VALUE"""),27.37)</f>
        <v>27.37</v>
      </c>
      <c r="S1278" s="112">
        <f ca="1">IFERROR(__xludf.DUMMYFUNCTION("""COMPUTED_VALUE"""),42149.7055555555)</f>
        <v>42149.705555555498</v>
      </c>
      <c r="T1278" s="111">
        <f ca="1">IFERROR(__xludf.DUMMYFUNCTION("""COMPUTED_VALUE"""),16.44)</f>
        <v>16.440000000000001</v>
      </c>
    </row>
    <row r="1279" spans="1:20" x14ac:dyDescent="0.3">
      <c r="A1279" s="112">
        <f ca="1">IFERROR(__xludf.DUMMYFUNCTION("""COMPUTED_VALUE"""),42145.7055555555)</f>
        <v>42145.705555555498</v>
      </c>
      <c r="B1279" s="111">
        <f ca="1">IFERROR(__xludf.DUMMYFUNCTION("""COMPUTED_VALUE"""),6.47)</f>
        <v>6.47</v>
      </c>
      <c r="C1279" s="112">
        <f ca="1">IFERROR(__xludf.DUMMYFUNCTION("""COMPUTED_VALUE"""),42152.7055555555)</f>
        <v>42152.705555555498</v>
      </c>
      <c r="D1279" s="111">
        <f ca="1">IFERROR(__xludf.DUMMYFUNCTION("""COMPUTED_VALUE"""),21.3)</f>
        <v>21.3</v>
      </c>
      <c r="E1279" s="112">
        <f ca="1">IFERROR(__xludf.DUMMYFUNCTION("""COMPUTED_VALUE"""),42153.7055555555)</f>
        <v>42153.705555555498</v>
      </c>
      <c r="F1279" s="111">
        <f ca="1">IFERROR(__xludf.DUMMYFUNCTION("""COMPUTED_VALUE"""),6.94)</f>
        <v>6.94</v>
      </c>
      <c r="G1279" s="112">
        <f ca="1">IFERROR(__xludf.DUMMYFUNCTION("""COMPUTED_VALUE"""),42146.7055555555)</f>
        <v>42146.705555555498</v>
      </c>
      <c r="H1279" s="111">
        <f ca="1">IFERROR(__xludf.DUMMYFUNCTION("""COMPUTED_VALUE"""),13.07)</f>
        <v>13.07</v>
      </c>
      <c r="K1279" s="112">
        <f ca="1">IFERROR(__xludf.DUMMYFUNCTION("""COMPUTED_VALUE"""),42598.7055555555)</f>
        <v>42598.705555555498</v>
      </c>
      <c r="L1279" s="111">
        <f ca="1">IFERROR(__xludf.DUMMYFUNCTION("""COMPUTED_VALUE"""),0.24)</f>
        <v>0.24</v>
      </c>
      <c r="M1279" s="112">
        <f ca="1">IFERROR(__xludf.DUMMYFUNCTION("""COMPUTED_VALUE"""),42061.7055555555)</f>
        <v>42061.705555555498</v>
      </c>
      <c r="N1279" s="111">
        <f ca="1">IFERROR(__xludf.DUMMYFUNCTION("""COMPUTED_VALUE"""),16.42)</f>
        <v>16.420000000000002</v>
      </c>
      <c r="O1279" s="112">
        <f ca="1">IFERROR(__xludf.DUMMYFUNCTION("""COMPUTED_VALUE"""),42139.7055555555)</f>
        <v>42139.705555555498</v>
      </c>
      <c r="P1279" s="111">
        <f ca="1">IFERROR(__xludf.DUMMYFUNCTION("""COMPUTED_VALUE"""),21.25)</f>
        <v>21.25</v>
      </c>
      <c r="Q1279" s="112">
        <f ca="1">IFERROR(__xludf.DUMMYFUNCTION("""COMPUTED_VALUE"""),42137.7055555555)</f>
        <v>42137.705555555498</v>
      </c>
      <c r="R1279" s="111">
        <f ca="1">IFERROR(__xludf.DUMMYFUNCTION("""COMPUTED_VALUE"""),27.09)</f>
        <v>27.09</v>
      </c>
      <c r="S1279" s="112">
        <f ca="1">IFERROR(__xludf.DUMMYFUNCTION("""COMPUTED_VALUE"""),42150.7055555555)</f>
        <v>42150.705555555498</v>
      </c>
      <c r="T1279" s="111">
        <f ca="1">IFERROR(__xludf.DUMMYFUNCTION("""COMPUTED_VALUE"""),16.09)</f>
        <v>16.09</v>
      </c>
    </row>
    <row r="1280" spans="1:20" x14ac:dyDescent="0.3">
      <c r="A1280" s="112">
        <f ca="1">IFERROR(__xludf.DUMMYFUNCTION("""COMPUTED_VALUE"""),42146.7055555555)</f>
        <v>42146.705555555498</v>
      </c>
      <c r="B1280" s="111">
        <f ca="1">IFERROR(__xludf.DUMMYFUNCTION("""COMPUTED_VALUE"""),6.65)</f>
        <v>6.65</v>
      </c>
      <c r="C1280" s="112">
        <f ca="1">IFERROR(__xludf.DUMMYFUNCTION("""COMPUTED_VALUE"""),42153.7055555555)</f>
        <v>42153.705555555498</v>
      </c>
      <c r="D1280" s="111">
        <f ca="1">IFERROR(__xludf.DUMMYFUNCTION("""COMPUTED_VALUE"""),20.75)</f>
        <v>20.75</v>
      </c>
      <c r="E1280" s="112">
        <f ca="1">IFERROR(__xludf.DUMMYFUNCTION("""COMPUTED_VALUE"""),42156.7055555555)</f>
        <v>42156.705555555498</v>
      </c>
      <c r="F1280" s="111">
        <f ca="1">IFERROR(__xludf.DUMMYFUNCTION("""COMPUTED_VALUE"""),6.94)</f>
        <v>6.94</v>
      </c>
      <c r="G1280" s="112">
        <f ca="1">IFERROR(__xludf.DUMMYFUNCTION("""COMPUTED_VALUE"""),42149.7055555555)</f>
        <v>42149.705555555498</v>
      </c>
      <c r="H1280" s="111">
        <f ca="1">IFERROR(__xludf.DUMMYFUNCTION("""COMPUTED_VALUE"""),12.83)</f>
        <v>12.83</v>
      </c>
      <c r="K1280" s="112">
        <f ca="1">IFERROR(__xludf.DUMMYFUNCTION("""COMPUTED_VALUE"""),42599.7055555555)</f>
        <v>42599.705555555498</v>
      </c>
      <c r="L1280" s="111">
        <f ca="1">IFERROR(__xludf.DUMMYFUNCTION("""COMPUTED_VALUE"""),0.25)</f>
        <v>0.25</v>
      </c>
      <c r="M1280" s="112">
        <f ca="1">IFERROR(__xludf.DUMMYFUNCTION("""COMPUTED_VALUE"""),42062.7055555555)</f>
        <v>42062.705555555498</v>
      </c>
      <c r="N1280" s="111">
        <f ca="1">IFERROR(__xludf.DUMMYFUNCTION("""COMPUTED_VALUE"""),16.21)</f>
        <v>16.21</v>
      </c>
      <c r="O1280" s="112">
        <f ca="1">IFERROR(__xludf.DUMMYFUNCTION("""COMPUTED_VALUE"""),42142.7055555555)</f>
        <v>42142.705555555498</v>
      </c>
      <c r="P1280" s="111">
        <f ca="1">IFERROR(__xludf.DUMMYFUNCTION("""COMPUTED_VALUE"""),20.18)</f>
        <v>20.18</v>
      </c>
      <c r="Q1280" s="112">
        <f ca="1">IFERROR(__xludf.DUMMYFUNCTION("""COMPUTED_VALUE"""),42138.7055555555)</f>
        <v>42138.705555555498</v>
      </c>
      <c r="R1280" s="111">
        <f ca="1">IFERROR(__xludf.DUMMYFUNCTION("""COMPUTED_VALUE"""),25.89)</f>
        <v>25.89</v>
      </c>
      <c r="S1280" s="112">
        <f ca="1">IFERROR(__xludf.DUMMYFUNCTION("""COMPUTED_VALUE"""),42151.7055555555)</f>
        <v>42151.705555555498</v>
      </c>
      <c r="T1280" s="111">
        <f ca="1">IFERROR(__xludf.DUMMYFUNCTION("""COMPUTED_VALUE"""),16.09)</f>
        <v>16.09</v>
      </c>
    </row>
    <row r="1281" spans="1:20" x14ac:dyDescent="0.3">
      <c r="A1281" s="112">
        <f ca="1">IFERROR(__xludf.DUMMYFUNCTION("""COMPUTED_VALUE"""),42149.7055555555)</f>
        <v>42149.705555555498</v>
      </c>
      <c r="B1281" s="111">
        <f ca="1">IFERROR(__xludf.DUMMYFUNCTION("""COMPUTED_VALUE"""),6.94)</f>
        <v>6.94</v>
      </c>
      <c r="C1281" s="112">
        <f ca="1">IFERROR(__xludf.DUMMYFUNCTION("""COMPUTED_VALUE"""),42156.7055555555)</f>
        <v>42156.705555555498</v>
      </c>
      <c r="D1281" s="111">
        <f ca="1">IFERROR(__xludf.DUMMYFUNCTION("""COMPUTED_VALUE"""),20.64)</f>
        <v>20.64</v>
      </c>
      <c r="E1281" s="112">
        <f ca="1">IFERROR(__xludf.DUMMYFUNCTION("""COMPUTED_VALUE"""),42157.7055555555)</f>
        <v>42157.705555555498</v>
      </c>
      <c r="F1281" s="111">
        <f ca="1">IFERROR(__xludf.DUMMYFUNCTION("""COMPUTED_VALUE"""),7.15)</f>
        <v>7.15</v>
      </c>
      <c r="G1281" s="112">
        <f ca="1">IFERROR(__xludf.DUMMYFUNCTION("""COMPUTED_VALUE"""),42150.7055555555)</f>
        <v>42150.705555555498</v>
      </c>
      <c r="H1281" s="111">
        <f ca="1">IFERROR(__xludf.DUMMYFUNCTION("""COMPUTED_VALUE"""),12.39)</f>
        <v>12.39</v>
      </c>
      <c r="K1281" s="112">
        <f ca="1">IFERROR(__xludf.DUMMYFUNCTION("""COMPUTED_VALUE"""),42600.7055555555)</f>
        <v>42600.705555555498</v>
      </c>
      <c r="L1281" s="111">
        <f ca="1">IFERROR(__xludf.DUMMYFUNCTION("""COMPUTED_VALUE"""),0.24)</f>
        <v>0.24</v>
      </c>
      <c r="M1281" s="112">
        <f ca="1">IFERROR(__xludf.DUMMYFUNCTION("""COMPUTED_VALUE"""),42065.7055555555)</f>
        <v>42065.705555555498</v>
      </c>
      <c r="N1281" s="111">
        <f ca="1">IFERROR(__xludf.DUMMYFUNCTION("""COMPUTED_VALUE"""),15.99)</f>
        <v>15.99</v>
      </c>
      <c r="O1281" s="112">
        <f ca="1">IFERROR(__xludf.DUMMYFUNCTION("""COMPUTED_VALUE"""),42143.7055555555)</f>
        <v>42143.705555555498</v>
      </c>
      <c r="P1281" s="111">
        <f ca="1">IFERROR(__xludf.DUMMYFUNCTION("""COMPUTED_VALUE"""),20.04)</f>
        <v>20.04</v>
      </c>
      <c r="Q1281" s="112">
        <f ca="1">IFERROR(__xludf.DUMMYFUNCTION("""COMPUTED_VALUE"""),42139.7055555555)</f>
        <v>42139.705555555498</v>
      </c>
      <c r="R1281" s="111">
        <f ca="1">IFERROR(__xludf.DUMMYFUNCTION("""COMPUTED_VALUE"""),26.1)</f>
        <v>26.1</v>
      </c>
      <c r="S1281" s="112">
        <f ca="1">IFERROR(__xludf.DUMMYFUNCTION("""COMPUTED_VALUE"""),42152.7055555555)</f>
        <v>42152.705555555498</v>
      </c>
      <c r="T1281" s="111">
        <f ca="1">IFERROR(__xludf.DUMMYFUNCTION("""COMPUTED_VALUE"""),16.1)</f>
        <v>16.100000000000001</v>
      </c>
    </row>
    <row r="1282" spans="1:20" x14ac:dyDescent="0.3">
      <c r="A1282" s="112">
        <f ca="1">IFERROR(__xludf.DUMMYFUNCTION("""COMPUTED_VALUE"""),42150.7055555555)</f>
        <v>42150.705555555498</v>
      </c>
      <c r="B1282" s="111">
        <f ca="1">IFERROR(__xludf.DUMMYFUNCTION("""COMPUTED_VALUE"""),6.48)</f>
        <v>6.48</v>
      </c>
      <c r="C1282" s="112">
        <f ca="1">IFERROR(__xludf.DUMMYFUNCTION("""COMPUTED_VALUE"""),42157.7055555555)</f>
        <v>42157.705555555498</v>
      </c>
      <c r="D1282" s="111">
        <f ca="1">IFERROR(__xludf.DUMMYFUNCTION("""COMPUTED_VALUE"""),21.19)</f>
        <v>21.19</v>
      </c>
      <c r="E1282" s="112">
        <f ca="1">IFERROR(__xludf.DUMMYFUNCTION("""COMPUTED_VALUE"""),42158.7055555555)</f>
        <v>42158.705555555498</v>
      </c>
      <c r="F1282" s="111">
        <f ca="1">IFERROR(__xludf.DUMMYFUNCTION("""COMPUTED_VALUE"""),6.99)</f>
        <v>6.99</v>
      </c>
      <c r="G1282" s="112">
        <f ca="1">IFERROR(__xludf.DUMMYFUNCTION("""COMPUTED_VALUE"""),42151.7055555555)</f>
        <v>42151.705555555498</v>
      </c>
      <c r="H1282" s="111">
        <f ca="1">IFERROR(__xludf.DUMMYFUNCTION("""COMPUTED_VALUE"""),12.54)</f>
        <v>12.54</v>
      </c>
      <c r="K1282" s="112">
        <f ca="1">IFERROR(__xludf.DUMMYFUNCTION("""COMPUTED_VALUE"""),42601.7055555555)</f>
        <v>42601.705555555498</v>
      </c>
      <c r="L1282" s="111">
        <f ca="1">IFERROR(__xludf.DUMMYFUNCTION("""COMPUTED_VALUE"""),0.24)</f>
        <v>0.24</v>
      </c>
      <c r="M1282" s="112">
        <f ca="1">IFERROR(__xludf.DUMMYFUNCTION("""COMPUTED_VALUE"""),42066.7055555555)</f>
        <v>42066.705555555498</v>
      </c>
      <c r="N1282" s="111">
        <f ca="1">IFERROR(__xludf.DUMMYFUNCTION("""COMPUTED_VALUE"""),16.02)</f>
        <v>16.02</v>
      </c>
      <c r="O1282" s="112">
        <f ca="1">IFERROR(__xludf.DUMMYFUNCTION("""COMPUTED_VALUE"""),42144.7055555555)</f>
        <v>42144.705555555498</v>
      </c>
      <c r="P1282" s="111">
        <f ca="1">IFERROR(__xludf.DUMMYFUNCTION("""COMPUTED_VALUE"""),19.85)</f>
        <v>19.850000000000001</v>
      </c>
      <c r="Q1282" s="112">
        <f ca="1">IFERROR(__xludf.DUMMYFUNCTION("""COMPUTED_VALUE"""),42142.7055555555)</f>
        <v>42142.705555555498</v>
      </c>
      <c r="R1282" s="111">
        <f ca="1">IFERROR(__xludf.DUMMYFUNCTION("""COMPUTED_VALUE"""),26.03)</f>
        <v>26.03</v>
      </c>
      <c r="S1282" s="112">
        <f ca="1">IFERROR(__xludf.DUMMYFUNCTION("""COMPUTED_VALUE"""),42153.7055555555)</f>
        <v>42153.705555555498</v>
      </c>
      <c r="T1282" s="111">
        <f ca="1">IFERROR(__xludf.DUMMYFUNCTION("""COMPUTED_VALUE"""),16.06)</f>
        <v>16.059999999999999</v>
      </c>
    </row>
    <row r="1283" spans="1:20" x14ac:dyDescent="0.3">
      <c r="A1283" s="112">
        <f ca="1">IFERROR(__xludf.DUMMYFUNCTION("""COMPUTED_VALUE"""),42151.7055555555)</f>
        <v>42151.705555555498</v>
      </c>
      <c r="B1283" s="111">
        <f ca="1">IFERROR(__xludf.DUMMYFUNCTION("""COMPUTED_VALUE"""),6.95)</f>
        <v>6.95</v>
      </c>
      <c r="C1283" s="112">
        <f ca="1">IFERROR(__xludf.DUMMYFUNCTION("""COMPUTED_VALUE"""),42158.7055555555)</f>
        <v>42158.705555555498</v>
      </c>
      <c r="D1283" s="111">
        <f ca="1">IFERROR(__xludf.DUMMYFUNCTION("""COMPUTED_VALUE"""),20.62)</f>
        <v>20.62</v>
      </c>
      <c r="E1283" s="112">
        <f ca="1">IFERROR(__xludf.DUMMYFUNCTION("""COMPUTED_VALUE"""),42160.7055555555)</f>
        <v>42160.705555555498</v>
      </c>
      <c r="F1283" s="111">
        <f ca="1">IFERROR(__xludf.DUMMYFUNCTION("""COMPUTED_VALUE"""),6.79)</f>
        <v>6.79</v>
      </c>
      <c r="G1283" s="112">
        <f ca="1">IFERROR(__xludf.DUMMYFUNCTION("""COMPUTED_VALUE"""),42152.7055555555)</f>
        <v>42152.705555555498</v>
      </c>
      <c r="H1283" s="111">
        <f ca="1">IFERROR(__xludf.DUMMYFUNCTION("""COMPUTED_VALUE"""),12.65)</f>
        <v>12.65</v>
      </c>
      <c r="K1283" s="112">
        <f ca="1">IFERROR(__xludf.DUMMYFUNCTION("""COMPUTED_VALUE"""),42604.7055555555)</f>
        <v>42604.705555555498</v>
      </c>
      <c r="L1283" s="111">
        <f ca="1">IFERROR(__xludf.DUMMYFUNCTION("""COMPUTED_VALUE"""),0.24)</f>
        <v>0.24</v>
      </c>
      <c r="M1283" s="112">
        <f ca="1">IFERROR(__xludf.DUMMYFUNCTION("""COMPUTED_VALUE"""),42067.7055555555)</f>
        <v>42067.705555555498</v>
      </c>
      <c r="N1283" s="111">
        <f ca="1">IFERROR(__xludf.DUMMYFUNCTION("""COMPUTED_VALUE"""),15.69)</f>
        <v>15.69</v>
      </c>
      <c r="O1283" s="112">
        <f ca="1">IFERROR(__xludf.DUMMYFUNCTION("""COMPUTED_VALUE"""),42145.7055555555)</f>
        <v>42145.705555555498</v>
      </c>
      <c r="P1283" s="111">
        <f ca="1">IFERROR(__xludf.DUMMYFUNCTION("""COMPUTED_VALUE"""),20.2)</f>
        <v>20.2</v>
      </c>
      <c r="Q1283" s="112">
        <f ca="1">IFERROR(__xludf.DUMMYFUNCTION("""COMPUTED_VALUE"""),42143.7055555555)</f>
        <v>42143.705555555498</v>
      </c>
      <c r="R1283" s="111">
        <f ca="1">IFERROR(__xludf.DUMMYFUNCTION("""COMPUTED_VALUE"""),25.27)</f>
        <v>25.27</v>
      </c>
      <c r="S1283" s="112">
        <f ca="1">IFERROR(__xludf.DUMMYFUNCTION("""COMPUTED_VALUE"""),42156.7055555555)</f>
        <v>42156.705555555498</v>
      </c>
      <c r="T1283" s="111">
        <f ca="1">IFERROR(__xludf.DUMMYFUNCTION("""COMPUTED_VALUE"""),15.84)</f>
        <v>15.84</v>
      </c>
    </row>
    <row r="1284" spans="1:20" x14ac:dyDescent="0.3">
      <c r="A1284" s="112">
        <f ca="1">IFERROR(__xludf.DUMMYFUNCTION("""COMPUTED_VALUE"""),42152.7055555555)</f>
        <v>42152.705555555498</v>
      </c>
      <c r="B1284" s="111">
        <f ca="1">IFERROR(__xludf.DUMMYFUNCTION("""COMPUTED_VALUE"""),6.64)</f>
        <v>6.64</v>
      </c>
      <c r="C1284" s="112">
        <f ca="1">IFERROR(__xludf.DUMMYFUNCTION("""COMPUTED_VALUE"""),42160.7055555555)</f>
        <v>42160.705555555498</v>
      </c>
      <c r="D1284" s="111">
        <f ca="1">IFERROR(__xludf.DUMMYFUNCTION("""COMPUTED_VALUE"""),20.1)</f>
        <v>20.100000000000001</v>
      </c>
      <c r="E1284" s="112">
        <f ca="1">IFERROR(__xludf.DUMMYFUNCTION("""COMPUTED_VALUE"""),42163.7055555555)</f>
        <v>42163.705555555498</v>
      </c>
      <c r="F1284" s="111">
        <f ca="1">IFERROR(__xludf.DUMMYFUNCTION("""COMPUTED_VALUE"""),6.78)</f>
        <v>6.78</v>
      </c>
      <c r="G1284" s="112">
        <f ca="1">IFERROR(__xludf.DUMMYFUNCTION("""COMPUTED_VALUE"""),42153.7055555555)</f>
        <v>42153.705555555498</v>
      </c>
      <c r="H1284" s="111">
        <f ca="1">IFERROR(__xludf.DUMMYFUNCTION("""COMPUTED_VALUE"""),12.33)</f>
        <v>12.33</v>
      </c>
      <c r="K1284" s="112">
        <f ca="1">IFERROR(__xludf.DUMMYFUNCTION("""COMPUTED_VALUE"""),42605.7055555555)</f>
        <v>42605.705555555498</v>
      </c>
      <c r="L1284" s="111">
        <f ca="1">IFERROR(__xludf.DUMMYFUNCTION("""COMPUTED_VALUE"""),0.25)</f>
        <v>0.25</v>
      </c>
      <c r="M1284" s="112">
        <f ca="1">IFERROR(__xludf.DUMMYFUNCTION("""COMPUTED_VALUE"""),42068.7055555555)</f>
        <v>42068.705555555498</v>
      </c>
      <c r="N1284" s="111">
        <f ca="1">IFERROR(__xludf.DUMMYFUNCTION("""COMPUTED_VALUE"""),15.66)</f>
        <v>15.66</v>
      </c>
      <c r="O1284" s="112">
        <f ca="1">IFERROR(__xludf.DUMMYFUNCTION("""COMPUTED_VALUE"""),42146.7055555555)</f>
        <v>42146.705555555498</v>
      </c>
      <c r="P1284" s="111">
        <f ca="1">IFERROR(__xludf.DUMMYFUNCTION("""COMPUTED_VALUE"""),20.28)</f>
        <v>20.28</v>
      </c>
      <c r="Q1284" s="112">
        <f ca="1">IFERROR(__xludf.DUMMYFUNCTION("""COMPUTED_VALUE"""),42144.7055555555)</f>
        <v>42144.705555555498</v>
      </c>
      <c r="R1284" s="111">
        <f ca="1">IFERROR(__xludf.DUMMYFUNCTION("""COMPUTED_VALUE"""),25)</f>
        <v>25</v>
      </c>
      <c r="S1284" s="112">
        <f ca="1">IFERROR(__xludf.DUMMYFUNCTION("""COMPUTED_VALUE"""),42157.7055555555)</f>
        <v>42157.705555555498</v>
      </c>
      <c r="T1284" s="111">
        <f ca="1">IFERROR(__xludf.DUMMYFUNCTION("""COMPUTED_VALUE"""),16.53)</f>
        <v>16.53</v>
      </c>
    </row>
    <row r="1285" spans="1:20" x14ac:dyDescent="0.3">
      <c r="A1285" s="112">
        <f ca="1">IFERROR(__xludf.DUMMYFUNCTION("""COMPUTED_VALUE"""),42153.7055555555)</f>
        <v>42153.705555555498</v>
      </c>
      <c r="B1285" s="111">
        <f ca="1">IFERROR(__xludf.DUMMYFUNCTION("""COMPUTED_VALUE"""),6.37)</f>
        <v>6.37</v>
      </c>
      <c r="C1285" s="112">
        <f ca="1">IFERROR(__xludf.DUMMYFUNCTION("""COMPUTED_VALUE"""),42163.7055555555)</f>
        <v>42163.705555555498</v>
      </c>
      <c r="D1285" s="111">
        <f ca="1">IFERROR(__xludf.DUMMYFUNCTION("""COMPUTED_VALUE"""),20.05)</f>
        <v>20.05</v>
      </c>
      <c r="E1285" s="112">
        <f ca="1">IFERROR(__xludf.DUMMYFUNCTION("""COMPUTED_VALUE"""),42164.7055555555)</f>
        <v>42164.705555555498</v>
      </c>
      <c r="F1285" s="111">
        <f ca="1">IFERROR(__xludf.DUMMYFUNCTION("""COMPUTED_VALUE"""),6.86)</f>
        <v>6.86</v>
      </c>
      <c r="G1285" s="112">
        <f ca="1">IFERROR(__xludf.DUMMYFUNCTION("""COMPUTED_VALUE"""),42156.7055555555)</f>
        <v>42156.705555555498</v>
      </c>
      <c r="H1285" s="111">
        <f ca="1">IFERROR(__xludf.DUMMYFUNCTION("""COMPUTED_VALUE"""),12.36)</f>
        <v>12.36</v>
      </c>
      <c r="K1285" s="112">
        <f ca="1">IFERROR(__xludf.DUMMYFUNCTION("""COMPUTED_VALUE"""),42606.7055555555)</f>
        <v>42606.705555555498</v>
      </c>
      <c r="L1285" s="111">
        <f ca="1">IFERROR(__xludf.DUMMYFUNCTION("""COMPUTED_VALUE"""),0.25)</f>
        <v>0.25</v>
      </c>
      <c r="M1285" s="112">
        <f ca="1">IFERROR(__xludf.DUMMYFUNCTION("""COMPUTED_VALUE"""),42069.7055555555)</f>
        <v>42069.705555555498</v>
      </c>
      <c r="N1285" s="111">
        <f ca="1">IFERROR(__xludf.DUMMYFUNCTION("""COMPUTED_VALUE"""),15.47)</f>
        <v>15.47</v>
      </c>
      <c r="O1285" s="112">
        <f ca="1">IFERROR(__xludf.DUMMYFUNCTION("""COMPUTED_VALUE"""),42149.7055555555)</f>
        <v>42149.705555555498</v>
      </c>
      <c r="P1285" s="111">
        <f ca="1">IFERROR(__xludf.DUMMYFUNCTION("""COMPUTED_VALUE"""),20.73)</f>
        <v>20.73</v>
      </c>
      <c r="Q1285" s="112">
        <f ca="1">IFERROR(__xludf.DUMMYFUNCTION("""COMPUTED_VALUE"""),42145.7055555555)</f>
        <v>42145.705555555498</v>
      </c>
      <c r="R1285" s="111">
        <f ca="1">IFERROR(__xludf.DUMMYFUNCTION("""COMPUTED_VALUE"""),24.7)</f>
        <v>24.7</v>
      </c>
      <c r="S1285" s="112">
        <f ca="1">IFERROR(__xludf.DUMMYFUNCTION("""COMPUTED_VALUE"""),42158.7055555555)</f>
        <v>42158.705555555498</v>
      </c>
      <c r="T1285" s="111">
        <f ca="1">IFERROR(__xludf.DUMMYFUNCTION("""COMPUTED_VALUE"""),16.24)</f>
        <v>16.239999999999998</v>
      </c>
    </row>
    <row r="1286" spans="1:20" x14ac:dyDescent="0.3">
      <c r="A1286" s="112">
        <f ca="1">IFERROR(__xludf.DUMMYFUNCTION("""COMPUTED_VALUE"""),42156.7055555555)</f>
        <v>42156.705555555498</v>
      </c>
      <c r="B1286" s="111">
        <f ca="1">IFERROR(__xludf.DUMMYFUNCTION("""COMPUTED_VALUE"""),6.74)</f>
        <v>6.74</v>
      </c>
      <c r="C1286" s="112">
        <f ca="1">IFERROR(__xludf.DUMMYFUNCTION("""COMPUTED_VALUE"""),42164.7055555555)</f>
        <v>42164.705555555498</v>
      </c>
      <c r="D1286" s="111">
        <f ca="1">IFERROR(__xludf.DUMMYFUNCTION("""COMPUTED_VALUE"""),19.92)</f>
        <v>19.920000000000002</v>
      </c>
      <c r="E1286" s="112">
        <f ca="1">IFERROR(__xludf.DUMMYFUNCTION("""COMPUTED_VALUE"""),42165.7055555555)</f>
        <v>42165.705555555498</v>
      </c>
      <c r="F1286" s="111">
        <f ca="1">IFERROR(__xludf.DUMMYFUNCTION("""COMPUTED_VALUE"""),6.88)</f>
        <v>6.88</v>
      </c>
      <c r="G1286" s="112">
        <f ca="1">IFERROR(__xludf.DUMMYFUNCTION("""COMPUTED_VALUE"""),42157.7055555555)</f>
        <v>42157.705555555498</v>
      </c>
      <c r="H1286" s="111">
        <f ca="1">IFERROR(__xludf.DUMMYFUNCTION("""COMPUTED_VALUE"""),12.88)</f>
        <v>12.88</v>
      </c>
      <c r="K1286" s="112">
        <f ca="1">IFERROR(__xludf.DUMMYFUNCTION("""COMPUTED_VALUE"""),42607.7055555555)</f>
        <v>42607.705555555498</v>
      </c>
      <c r="L1286" s="111">
        <f ca="1">IFERROR(__xludf.DUMMYFUNCTION("""COMPUTED_VALUE"""),0.24)</f>
        <v>0.24</v>
      </c>
      <c r="M1286" s="112">
        <f ca="1">IFERROR(__xludf.DUMMYFUNCTION("""COMPUTED_VALUE"""),42072.7055555555)</f>
        <v>42072.705555555498</v>
      </c>
      <c r="N1286" s="111">
        <f ca="1">IFERROR(__xludf.DUMMYFUNCTION("""COMPUTED_VALUE"""),15.03)</f>
        <v>15.03</v>
      </c>
      <c r="O1286" s="112">
        <f ca="1">IFERROR(__xludf.DUMMYFUNCTION("""COMPUTED_VALUE"""),42150.7055555555)</f>
        <v>42150.705555555498</v>
      </c>
      <c r="P1286" s="111">
        <f ca="1">IFERROR(__xludf.DUMMYFUNCTION("""COMPUTED_VALUE"""),20.7)</f>
        <v>20.7</v>
      </c>
      <c r="Q1286" s="112">
        <f ca="1">IFERROR(__xludf.DUMMYFUNCTION("""COMPUTED_VALUE"""),42146.7055555555)</f>
        <v>42146.705555555498</v>
      </c>
      <c r="R1286" s="111">
        <f ca="1">IFERROR(__xludf.DUMMYFUNCTION("""COMPUTED_VALUE"""),23.36)</f>
        <v>23.36</v>
      </c>
      <c r="S1286" s="112">
        <f ca="1">IFERROR(__xludf.DUMMYFUNCTION("""COMPUTED_VALUE"""),42160.7055555555)</f>
        <v>42160.705555555498</v>
      </c>
      <c r="T1286" s="111">
        <f ca="1">IFERROR(__xludf.DUMMYFUNCTION("""COMPUTED_VALUE"""),16.12)</f>
        <v>16.12</v>
      </c>
    </row>
    <row r="1287" spans="1:20" x14ac:dyDescent="0.3">
      <c r="A1287" s="112">
        <f ca="1">IFERROR(__xludf.DUMMYFUNCTION("""COMPUTED_VALUE"""),42157.7055555555)</f>
        <v>42157.705555555498</v>
      </c>
      <c r="B1287" s="111">
        <f ca="1">IFERROR(__xludf.DUMMYFUNCTION("""COMPUTED_VALUE"""),6.94)</f>
        <v>6.94</v>
      </c>
      <c r="C1287" s="112">
        <f ca="1">IFERROR(__xludf.DUMMYFUNCTION("""COMPUTED_VALUE"""),42165.7055555555)</f>
        <v>42165.705555555498</v>
      </c>
      <c r="D1287" s="111">
        <f ca="1">IFERROR(__xludf.DUMMYFUNCTION("""COMPUTED_VALUE"""),20.55)</f>
        <v>20.55</v>
      </c>
      <c r="E1287" s="112">
        <f ca="1">IFERROR(__xludf.DUMMYFUNCTION("""COMPUTED_VALUE"""),42166.7055555555)</f>
        <v>42166.705555555498</v>
      </c>
      <c r="F1287" s="111">
        <f ca="1">IFERROR(__xludf.DUMMYFUNCTION("""COMPUTED_VALUE"""),6.75)</f>
        <v>6.75</v>
      </c>
      <c r="G1287" s="112">
        <f ca="1">IFERROR(__xludf.DUMMYFUNCTION("""COMPUTED_VALUE"""),42158.7055555555)</f>
        <v>42158.705555555498</v>
      </c>
      <c r="H1287" s="111">
        <f ca="1">IFERROR(__xludf.DUMMYFUNCTION("""COMPUTED_VALUE"""),12.79)</f>
        <v>12.79</v>
      </c>
      <c r="K1287" s="112">
        <f ca="1">IFERROR(__xludf.DUMMYFUNCTION("""COMPUTED_VALUE"""),42608.7055555555)</f>
        <v>42608.705555555498</v>
      </c>
      <c r="L1287" s="111">
        <f ca="1">IFERROR(__xludf.DUMMYFUNCTION("""COMPUTED_VALUE"""),0.24)</f>
        <v>0.24</v>
      </c>
      <c r="M1287" s="112">
        <f ca="1">IFERROR(__xludf.DUMMYFUNCTION("""COMPUTED_VALUE"""),42073.7055555555)</f>
        <v>42073.705555555498</v>
      </c>
      <c r="N1287" s="111">
        <f ca="1">IFERROR(__xludf.DUMMYFUNCTION("""COMPUTED_VALUE"""),14.53)</f>
        <v>14.53</v>
      </c>
      <c r="O1287" s="112">
        <f ca="1">IFERROR(__xludf.DUMMYFUNCTION("""COMPUTED_VALUE"""),42151.7055555555)</f>
        <v>42151.705555555498</v>
      </c>
      <c r="P1287" s="111">
        <f ca="1">IFERROR(__xludf.DUMMYFUNCTION("""COMPUTED_VALUE"""),21)</f>
        <v>21</v>
      </c>
      <c r="Q1287" s="112">
        <f ca="1">IFERROR(__xludf.DUMMYFUNCTION("""COMPUTED_VALUE"""),42149.7055555555)</f>
        <v>42149.705555555498</v>
      </c>
      <c r="R1287" s="111">
        <f ca="1">IFERROR(__xludf.DUMMYFUNCTION("""COMPUTED_VALUE"""),24.26)</f>
        <v>24.26</v>
      </c>
      <c r="S1287" s="112">
        <f ca="1">IFERROR(__xludf.DUMMYFUNCTION("""COMPUTED_VALUE"""),42163.7055555555)</f>
        <v>42163.705555555498</v>
      </c>
      <c r="T1287" s="111">
        <f ca="1">IFERROR(__xludf.DUMMYFUNCTION("""COMPUTED_VALUE"""),16.4)</f>
        <v>16.399999999999999</v>
      </c>
    </row>
    <row r="1288" spans="1:20" x14ac:dyDescent="0.3">
      <c r="A1288" s="112">
        <f ca="1">IFERROR(__xludf.DUMMYFUNCTION("""COMPUTED_VALUE"""),42158.7055555555)</f>
        <v>42158.705555555498</v>
      </c>
      <c r="B1288" s="111">
        <f ca="1">IFERROR(__xludf.DUMMYFUNCTION("""COMPUTED_VALUE"""),6.75)</f>
        <v>6.75</v>
      </c>
      <c r="C1288" s="112">
        <f ca="1">IFERROR(__xludf.DUMMYFUNCTION("""COMPUTED_VALUE"""),42166.7055555555)</f>
        <v>42166.705555555498</v>
      </c>
      <c r="D1288" s="111">
        <f ca="1">IFERROR(__xludf.DUMMYFUNCTION("""COMPUTED_VALUE"""),20.33)</f>
        <v>20.329999999999998</v>
      </c>
      <c r="E1288" s="112">
        <f ca="1">IFERROR(__xludf.DUMMYFUNCTION("""COMPUTED_VALUE"""),42167.7055555555)</f>
        <v>42167.705555555498</v>
      </c>
      <c r="F1288" s="111">
        <f ca="1">IFERROR(__xludf.DUMMYFUNCTION("""COMPUTED_VALUE"""),6.72)</f>
        <v>6.72</v>
      </c>
      <c r="G1288" s="112">
        <f ca="1">IFERROR(__xludf.DUMMYFUNCTION("""COMPUTED_VALUE"""),42160.7055555555)</f>
        <v>42160.705555555498</v>
      </c>
      <c r="H1288" s="111">
        <f ca="1">IFERROR(__xludf.DUMMYFUNCTION("""COMPUTED_VALUE"""),12.57)</f>
        <v>12.57</v>
      </c>
      <c r="K1288" s="112">
        <f ca="1">IFERROR(__xludf.DUMMYFUNCTION("""COMPUTED_VALUE"""),42611.7055555555)</f>
        <v>42611.705555555498</v>
      </c>
      <c r="L1288" s="111">
        <f ca="1">IFERROR(__xludf.DUMMYFUNCTION("""COMPUTED_VALUE"""),0.25)</f>
        <v>0.25</v>
      </c>
      <c r="M1288" s="112">
        <f ca="1">IFERROR(__xludf.DUMMYFUNCTION("""COMPUTED_VALUE"""),42074.7055555555)</f>
        <v>42074.705555555498</v>
      </c>
      <c r="N1288" s="111">
        <f ca="1">IFERROR(__xludf.DUMMYFUNCTION("""COMPUTED_VALUE"""),14.96)</f>
        <v>14.96</v>
      </c>
      <c r="O1288" s="112">
        <f ca="1">IFERROR(__xludf.DUMMYFUNCTION("""COMPUTED_VALUE"""),42152.7055555555)</f>
        <v>42152.705555555498</v>
      </c>
      <c r="P1288" s="111">
        <f ca="1">IFERROR(__xludf.DUMMYFUNCTION("""COMPUTED_VALUE"""),20.5)</f>
        <v>20.5</v>
      </c>
      <c r="Q1288" s="112">
        <f ca="1">IFERROR(__xludf.DUMMYFUNCTION("""COMPUTED_VALUE"""),42150.7055555555)</f>
        <v>42150.705555555498</v>
      </c>
      <c r="R1288" s="111">
        <f ca="1">IFERROR(__xludf.DUMMYFUNCTION("""COMPUTED_VALUE"""),23.54)</f>
        <v>23.54</v>
      </c>
      <c r="S1288" s="112">
        <f ca="1">IFERROR(__xludf.DUMMYFUNCTION("""COMPUTED_VALUE"""),42164.7055555555)</f>
        <v>42164.705555555498</v>
      </c>
      <c r="T1288" s="111">
        <f ca="1">IFERROR(__xludf.DUMMYFUNCTION("""COMPUTED_VALUE"""),16.46)</f>
        <v>16.46</v>
      </c>
    </row>
    <row r="1289" spans="1:20" x14ac:dyDescent="0.3">
      <c r="A1289" s="112">
        <f ca="1">IFERROR(__xludf.DUMMYFUNCTION("""COMPUTED_VALUE"""),42160.7055555555)</f>
        <v>42160.705555555498</v>
      </c>
      <c r="B1289" s="111">
        <f ca="1">IFERROR(__xludf.DUMMYFUNCTION("""COMPUTED_VALUE"""),6.63)</f>
        <v>6.63</v>
      </c>
      <c r="C1289" s="112">
        <f ca="1">IFERROR(__xludf.DUMMYFUNCTION("""COMPUTED_VALUE"""),42167.7055555555)</f>
        <v>42167.705555555498</v>
      </c>
      <c r="D1289" s="111">
        <f ca="1">IFERROR(__xludf.DUMMYFUNCTION("""COMPUTED_VALUE"""),20.18)</f>
        <v>20.18</v>
      </c>
      <c r="E1289" s="112">
        <f ca="1">IFERROR(__xludf.DUMMYFUNCTION("""COMPUTED_VALUE"""),42170.7055555555)</f>
        <v>42170.705555555498</v>
      </c>
      <c r="F1289" s="111">
        <f ca="1">IFERROR(__xludf.DUMMYFUNCTION("""COMPUTED_VALUE"""),6.82)</f>
        <v>6.82</v>
      </c>
      <c r="G1289" s="112">
        <f ca="1">IFERROR(__xludf.DUMMYFUNCTION("""COMPUTED_VALUE"""),42163.7055555555)</f>
        <v>42163.705555555498</v>
      </c>
      <c r="H1289" s="111">
        <f ca="1">IFERROR(__xludf.DUMMYFUNCTION("""COMPUTED_VALUE"""),12.57)</f>
        <v>12.57</v>
      </c>
      <c r="K1289" s="112">
        <f ca="1">IFERROR(__xludf.DUMMYFUNCTION("""COMPUTED_VALUE"""),42612.7055555555)</f>
        <v>42612.705555555498</v>
      </c>
      <c r="L1289" s="111">
        <f ca="1">IFERROR(__xludf.DUMMYFUNCTION("""COMPUTED_VALUE"""),0.24)</f>
        <v>0.24</v>
      </c>
      <c r="M1289" s="112">
        <f ca="1">IFERROR(__xludf.DUMMYFUNCTION("""COMPUTED_VALUE"""),42075.7055555555)</f>
        <v>42075.705555555498</v>
      </c>
      <c r="N1289" s="111">
        <f ca="1">IFERROR(__xludf.DUMMYFUNCTION("""COMPUTED_VALUE"""),14.69)</f>
        <v>14.69</v>
      </c>
      <c r="O1289" s="112">
        <f ca="1">IFERROR(__xludf.DUMMYFUNCTION("""COMPUTED_VALUE"""),42153.7055555555)</f>
        <v>42153.705555555498</v>
      </c>
      <c r="P1289" s="111">
        <f ca="1">IFERROR(__xludf.DUMMYFUNCTION("""COMPUTED_VALUE"""),20.03)</f>
        <v>20.03</v>
      </c>
      <c r="Q1289" s="112">
        <f ca="1">IFERROR(__xludf.DUMMYFUNCTION("""COMPUTED_VALUE"""),42151.7055555555)</f>
        <v>42151.705555555498</v>
      </c>
      <c r="R1289" s="111">
        <f ca="1">IFERROR(__xludf.DUMMYFUNCTION("""COMPUTED_VALUE"""),23.91)</f>
        <v>23.91</v>
      </c>
      <c r="S1289" s="112">
        <f ca="1">IFERROR(__xludf.DUMMYFUNCTION("""COMPUTED_VALUE"""),42165.7055555555)</f>
        <v>42165.705555555498</v>
      </c>
      <c r="T1289" s="111">
        <f ca="1">IFERROR(__xludf.DUMMYFUNCTION("""COMPUTED_VALUE"""),16.46)</f>
        <v>16.46</v>
      </c>
    </row>
    <row r="1290" spans="1:20" x14ac:dyDescent="0.3">
      <c r="A1290" s="112">
        <f ca="1">IFERROR(__xludf.DUMMYFUNCTION("""COMPUTED_VALUE"""),42163.7055555555)</f>
        <v>42163.705555555498</v>
      </c>
      <c r="B1290" s="111">
        <f ca="1">IFERROR(__xludf.DUMMYFUNCTION("""COMPUTED_VALUE"""),6.59)</f>
        <v>6.59</v>
      </c>
      <c r="C1290" s="112">
        <f ca="1">IFERROR(__xludf.DUMMYFUNCTION("""COMPUTED_VALUE"""),42170.7055555555)</f>
        <v>42170.705555555498</v>
      </c>
      <c r="D1290" s="111">
        <f ca="1">IFERROR(__xludf.DUMMYFUNCTION("""COMPUTED_VALUE"""),20.25)</f>
        <v>20.25</v>
      </c>
      <c r="E1290" s="112">
        <f ca="1">IFERROR(__xludf.DUMMYFUNCTION("""COMPUTED_VALUE"""),42171.7055555555)</f>
        <v>42171.705555555498</v>
      </c>
      <c r="F1290" s="111">
        <f ca="1">IFERROR(__xludf.DUMMYFUNCTION("""COMPUTED_VALUE"""),7.03)</f>
        <v>7.03</v>
      </c>
      <c r="G1290" s="112">
        <f ca="1">IFERROR(__xludf.DUMMYFUNCTION("""COMPUTED_VALUE"""),42164.7055555555)</f>
        <v>42164.705555555498</v>
      </c>
      <c r="H1290" s="111">
        <f ca="1">IFERROR(__xludf.DUMMYFUNCTION("""COMPUTED_VALUE"""),13)</f>
        <v>13</v>
      </c>
      <c r="K1290" s="112">
        <f ca="1">IFERROR(__xludf.DUMMYFUNCTION("""COMPUTED_VALUE"""),42613.7055555555)</f>
        <v>42613.705555555498</v>
      </c>
      <c r="L1290" s="111">
        <f ca="1">IFERROR(__xludf.DUMMYFUNCTION("""COMPUTED_VALUE"""),0.24)</f>
        <v>0.24</v>
      </c>
      <c r="M1290" s="112">
        <f ca="1">IFERROR(__xludf.DUMMYFUNCTION("""COMPUTED_VALUE"""),42076.7055555555)</f>
        <v>42076.705555555498</v>
      </c>
      <c r="N1290" s="111">
        <f ca="1">IFERROR(__xludf.DUMMYFUNCTION("""COMPUTED_VALUE"""),14.52)</f>
        <v>14.52</v>
      </c>
      <c r="O1290" s="112">
        <f ca="1">IFERROR(__xludf.DUMMYFUNCTION("""COMPUTED_VALUE"""),42156.7055555555)</f>
        <v>42156.705555555498</v>
      </c>
      <c r="P1290" s="111">
        <f ca="1">IFERROR(__xludf.DUMMYFUNCTION("""COMPUTED_VALUE"""),20.1)</f>
        <v>20.100000000000001</v>
      </c>
      <c r="Q1290" s="112">
        <f ca="1">IFERROR(__xludf.DUMMYFUNCTION("""COMPUTED_VALUE"""),42152.7055555555)</f>
        <v>42152.705555555498</v>
      </c>
      <c r="R1290" s="111">
        <f ca="1">IFERROR(__xludf.DUMMYFUNCTION("""COMPUTED_VALUE"""),23.43)</f>
        <v>23.43</v>
      </c>
      <c r="S1290" s="112">
        <f ca="1">IFERROR(__xludf.DUMMYFUNCTION("""COMPUTED_VALUE"""),42166.7055555555)</f>
        <v>42166.705555555498</v>
      </c>
      <c r="T1290" s="111">
        <f ca="1">IFERROR(__xludf.DUMMYFUNCTION("""COMPUTED_VALUE"""),16.45)</f>
        <v>16.45</v>
      </c>
    </row>
    <row r="1291" spans="1:20" x14ac:dyDescent="0.3">
      <c r="A1291" s="112">
        <f ca="1">IFERROR(__xludf.DUMMYFUNCTION("""COMPUTED_VALUE"""),42164.7055555555)</f>
        <v>42164.705555555498</v>
      </c>
      <c r="B1291" s="111">
        <f ca="1">IFERROR(__xludf.DUMMYFUNCTION("""COMPUTED_VALUE"""),6.5)</f>
        <v>6.5</v>
      </c>
      <c r="C1291" s="112">
        <f ca="1">IFERROR(__xludf.DUMMYFUNCTION("""COMPUTED_VALUE"""),42171.7055555555)</f>
        <v>42171.705555555498</v>
      </c>
      <c r="D1291" s="111">
        <f ca="1">IFERROR(__xludf.DUMMYFUNCTION("""COMPUTED_VALUE"""),20.91)</f>
        <v>20.91</v>
      </c>
      <c r="E1291" s="112">
        <f ca="1">IFERROR(__xludf.DUMMYFUNCTION("""COMPUTED_VALUE"""),42172.7055555555)</f>
        <v>42172.705555555498</v>
      </c>
      <c r="F1291" s="111">
        <f ca="1">IFERROR(__xludf.DUMMYFUNCTION("""COMPUTED_VALUE"""),6.93)</f>
        <v>6.93</v>
      </c>
      <c r="G1291" s="112">
        <f ca="1">IFERROR(__xludf.DUMMYFUNCTION("""COMPUTED_VALUE"""),42165.7055555555)</f>
        <v>42165.705555555498</v>
      </c>
      <c r="H1291" s="111">
        <f ca="1">IFERROR(__xludf.DUMMYFUNCTION("""COMPUTED_VALUE"""),13.08)</f>
        <v>13.08</v>
      </c>
      <c r="K1291" s="112">
        <f ca="1">IFERROR(__xludf.DUMMYFUNCTION("""COMPUTED_VALUE"""),42614.7055555555)</f>
        <v>42614.705555555498</v>
      </c>
      <c r="L1291" s="111">
        <f ca="1">IFERROR(__xludf.DUMMYFUNCTION("""COMPUTED_VALUE"""),0.25)</f>
        <v>0.25</v>
      </c>
      <c r="M1291" s="112">
        <f ca="1">IFERROR(__xludf.DUMMYFUNCTION("""COMPUTED_VALUE"""),42079.7055555555)</f>
        <v>42079.705555555498</v>
      </c>
      <c r="N1291" s="111">
        <f ca="1">IFERROR(__xludf.DUMMYFUNCTION("""COMPUTED_VALUE"""),14.73)</f>
        <v>14.73</v>
      </c>
      <c r="O1291" s="112">
        <f ca="1">IFERROR(__xludf.DUMMYFUNCTION("""COMPUTED_VALUE"""),42157.7055555555)</f>
        <v>42157.705555555498</v>
      </c>
      <c r="P1291" s="111">
        <f ca="1">IFERROR(__xludf.DUMMYFUNCTION("""COMPUTED_VALUE"""),21.35)</f>
        <v>21.35</v>
      </c>
      <c r="Q1291" s="112">
        <f ca="1">IFERROR(__xludf.DUMMYFUNCTION("""COMPUTED_VALUE"""),42153.7055555555)</f>
        <v>42153.705555555498</v>
      </c>
      <c r="R1291" s="111">
        <f ca="1">IFERROR(__xludf.DUMMYFUNCTION("""COMPUTED_VALUE"""),22.75)</f>
        <v>22.75</v>
      </c>
      <c r="S1291" s="112">
        <f ca="1">IFERROR(__xludf.DUMMYFUNCTION("""COMPUTED_VALUE"""),42167.7055555555)</f>
        <v>42167.705555555498</v>
      </c>
      <c r="T1291" s="111">
        <f ca="1">IFERROR(__xludf.DUMMYFUNCTION("""COMPUTED_VALUE"""),16.5)</f>
        <v>16.5</v>
      </c>
    </row>
    <row r="1292" spans="1:20" x14ac:dyDescent="0.3">
      <c r="A1292" s="112">
        <f ca="1">IFERROR(__xludf.DUMMYFUNCTION("""COMPUTED_VALUE"""),42165.7055555555)</f>
        <v>42165.705555555498</v>
      </c>
      <c r="B1292" s="111">
        <f ca="1">IFERROR(__xludf.DUMMYFUNCTION("""COMPUTED_VALUE"""),6.42)</f>
        <v>6.42</v>
      </c>
      <c r="C1292" s="112">
        <f ca="1">IFERROR(__xludf.DUMMYFUNCTION("""COMPUTED_VALUE"""),42172.7055555555)</f>
        <v>42172.705555555498</v>
      </c>
      <c r="D1292" s="111">
        <f ca="1">IFERROR(__xludf.DUMMYFUNCTION("""COMPUTED_VALUE"""),20.54)</f>
        <v>20.54</v>
      </c>
      <c r="E1292" s="112">
        <f ca="1">IFERROR(__xludf.DUMMYFUNCTION("""COMPUTED_VALUE"""),42173.7055555555)</f>
        <v>42173.705555555498</v>
      </c>
      <c r="F1292" s="111">
        <f ca="1">IFERROR(__xludf.DUMMYFUNCTION("""COMPUTED_VALUE"""),7.14)</f>
        <v>7.14</v>
      </c>
      <c r="G1292" s="112">
        <f ca="1">IFERROR(__xludf.DUMMYFUNCTION("""COMPUTED_VALUE"""),42166.7055555555)</f>
        <v>42166.705555555498</v>
      </c>
      <c r="H1292" s="111">
        <f ca="1">IFERROR(__xludf.DUMMYFUNCTION("""COMPUTED_VALUE"""),13.1)</f>
        <v>13.1</v>
      </c>
      <c r="K1292" s="112">
        <f ca="1">IFERROR(__xludf.DUMMYFUNCTION("""COMPUTED_VALUE"""),42615.7055555555)</f>
        <v>42615.705555555498</v>
      </c>
      <c r="L1292" s="111">
        <f ca="1">IFERROR(__xludf.DUMMYFUNCTION("""COMPUTED_VALUE"""),0.26)</f>
        <v>0.26</v>
      </c>
      <c r="M1292" s="112">
        <f ca="1">IFERROR(__xludf.DUMMYFUNCTION("""COMPUTED_VALUE"""),42080.7055555555)</f>
        <v>42080.705555555498</v>
      </c>
      <c r="N1292" s="111">
        <f ca="1">IFERROR(__xludf.DUMMYFUNCTION("""COMPUTED_VALUE"""),15.31)</f>
        <v>15.31</v>
      </c>
      <c r="O1292" s="112">
        <f ca="1">IFERROR(__xludf.DUMMYFUNCTION("""COMPUTED_VALUE"""),42158.7055555555)</f>
        <v>42158.705555555498</v>
      </c>
      <c r="P1292" s="111">
        <f ca="1">IFERROR(__xludf.DUMMYFUNCTION("""COMPUTED_VALUE"""),20.93)</f>
        <v>20.93</v>
      </c>
      <c r="Q1292" s="112">
        <f ca="1">IFERROR(__xludf.DUMMYFUNCTION("""COMPUTED_VALUE"""),42156.7055555555)</f>
        <v>42156.705555555498</v>
      </c>
      <c r="R1292" s="111">
        <f ca="1">IFERROR(__xludf.DUMMYFUNCTION("""COMPUTED_VALUE"""),22.8)</f>
        <v>22.8</v>
      </c>
      <c r="S1292" s="112">
        <f ca="1">IFERROR(__xludf.DUMMYFUNCTION("""COMPUTED_VALUE"""),42170.7055555555)</f>
        <v>42170.705555555498</v>
      </c>
      <c r="T1292" s="111">
        <f ca="1">IFERROR(__xludf.DUMMYFUNCTION("""COMPUTED_VALUE"""),16.83)</f>
        <v>16.829999999999998</v>
      </c>
    </row>
    <row r="1293" spans="1:20" x14ac:dyDescent="0.3">
      <c r="A1293" s="112">
        <f ca="1">IFERROR(__xludf.DUMMYFUNCTION("""COMPUTED_VALUE"""),42166.7055555555)</f>
        <v>42166.705555555498</v>
      </c>
      <c r="B1293" s="111">
        <f ca="1">IFERROR(__xludf.DUMMYFUNCTION("""COMPUTED_VALUE"""),6.48)</f>
        <v>6.48</v>
      </c>
      <c r="C1293" s="112">
        <f ca="1">IFERROR(__xludf.DUMMYFUNCTION("""COMPUTED_VALUE"""),42173.7055555555)</f>
        <v>42173.705555555498</v>
      </c>
      <c r="D1293" s="111">
        <f ca="1">IFERROR(__xludf.DUMMYFUNCTION("""COMPUTED_VALUE"""),21.08)</f>
        <v>21.08</v>
      </c>
      <c r="E1293" s="112">
        <f ca="1">IFERROR(__xludf.DUMMYFUNCTION("""COMPUTED_VALUE"""),42174.7055555555)</f>
        <v>42174.705555555498</v>
      </c>
      <c r="F1293" s="111">
        <f ca="1">IFERROR(__xludf.DUMMYFUNCTION("""COMPUTED_VALUE"""),7.02)</f>
        <v>7.02</v>
      </c>
      <c r="G1293" s="112">
        <f ca="1">IFERROR(__xludf.DUMMYFUNCTION("""COMPUTED_VALUE"""),42167.7055555555)</f>
        <v>42167.705555555498</v>
      </c>
      <c r="H1293" s="111">
        <f ca="1">IFERROR(__xludf.DUMMYFUNCTION("""COMPUTED_VALUE"""),13.02)</f>
        <v>13.02</v>
      </c>
      <c r="K1293" s="112">
        <f ca="1">IFERROR(__xludf.DUMMYFUNCTION("""COMPUTED_VALUE"""),42618.7055555555)</f>
        <v>42618.705555555498</v>
      </c>
      <c r="L1293" s="111">
        <f ca="1">IFERROR(__xludf.DUMMYFUNCTION("""COMPUTED_VALUE"""),0.26)</f>
        <v>0.26</v>
      </c>
      <c r="M1293" s="112">
        <f ca="1">IFERROR(__xludf.DUMMYFUNCTION("""COMPUTED_VALUE"""),42081.7055555555)</f>
        <v>42081.705555555498</v>
      </c>
      <c r="N1293" s="111">
        <f ca="1">IFERROR(__xludf.DUMMYFUNCTION("""COMPUTED_VALUE"""),15.91)</f>
        <v>15.91</v>
      </c>
      <c r="O1293" s="112">
        <f ca="1">IFERROR(__xludf.DUMMYFUNCTION("""COMPUTED_VALUE"""),42160.7055555555)</f>
        <v>42160.705555555498</v>
      </c>
      <c r="P1293" s="111">
        <f ca="1">IFERROR(__xludf.DUMMYFUNCTION("""COMPUTED_VALUE"""),20.6)</f>
        <v>20.6</v>
      </c>
      <c r="Q1293" s="112">
        <f ca="1">IFERROR(__xludf.DUMMYFUNCTION("""COMPUTED_VALUE"""),42157.7055555555)</f>
        <v>42157.705555555498</v>
      </c>
      <c r="R1293" s="111">
        <f ca="1">IFERROR(__xludf.DUMMYFUNCTION("""COMPUTED_VALUE"""),23.45)</f>
        <v>23.45</v>
      </c>
      <c r="S1293" s="112">
        <f ca="1">IFERROR(__xludf.DUMMYFUNCTION("""COMPUTED_VALUE"""),42171.7055555555)</f>
        <v>42171.705555555498</v>
      </c>
      <c r="T1293" s="111">
        <f ca="1">IFERROR(__xludf.DUMMYFUNCTION("""COMPUTED_VALUE"""),16.56)</f>
        <v>16.559999999999999</v>
      </c>
    </row>
    <row r="1294" spans="1:20" x14ac:dyDescent="0.3">
      <c r="A1294" s="112">
        <f ca="1">IFERROR(__xludf.DUMMYFUNCTION("""COMPUTED_VALUE"""),42167.7055555555)</f>
        <v>42167.705555555498</v>
      </c>
      <c r="B1294" s="111">
        <f ca="1">IFERROR(__xludf.DUMMYFUNCTION("""COMPUTED_VALUE"""),6.43)</f>
        <v>6.43</v>
      </c>
      <c r="C1294" s="112">
        <f ca="1">IFERROR(__xludf.DUMMYFUNCTION("""COMPUTED_VALUE"""),42174.7055555555)</f>
        <v>42174.705555555498</v>
      </c>
      <c r="D1294" s="111">
        <f ca="1">IFERROR(__xludf.DUMMYFUNCTION("""COMPUTED_VALUE"""),20.81)</f>
        <v>20.81</v>
      </c>
      <c r="E1294" s="112">
        <f ca="1">IFERROR(__xludf.DUMMYFUNCTION("""COMPUTED_VALUE"""),42177.7055555555)</f>
        <v>42177.705555555498</v>
      </c>
      <c r="F1294" s="111">
        <f ca="1">IFERROR(__xludf.DUMMYFUNCTION("""COMPUTED_VALUE"""),7.05)</f>
        <v>7.05</v>
      </c>
      <c r="G1294" s="112">
        <f ca="1">IFERROR(__xludf.DUMMYFUNCTION("""COMPUTED_VALUE"""),42170.7055555555)</f>
        <v>42170.705555555498</v>
      </c>
      <c r="H1294" s="111">
        <f ca="1">IFERROR(__xludf.DUMMYFUNCTION("""COMPUTED_VALUE"""),13.01)</f>
        <v>13.01</v>
      </c>
      <c r="K1294" s="112">
        <f ca="1">IFERROR(__xludf.DUMMYFUNCTION("""COMPUTED_VALUE"""),42619.7055555555)</f>
        <v>42619.705555555498</v>
      </c>
      <c r="L1294" s="111">
        <f ca="1">IFERROR(__xludf.DUMMYFUNCTION("""COMPUTED_VALUE"""),0.26)</f>
        <v>0.26</v>
      </c>
      <c r="M1294" s="112">
        <f ca="1">IFERROR(__xludf.DUMMYFUNCTION("""COMPUTED_VALUE"""),42082.7055555555)</f>
        <v>42082.705555555498</v>
      </c>
      <c r="N1294" s="111">
        <f ca="1">IFERROR(__xludf.DUMMYFUNCTION("""COMPUTED_VALUE"""),15.65)</f>
        <v>15.65</v>
      </c>
      <c r="O1294" s="112">
        <f ca="1">IFERROR(__xludf.DUMMYFUNCTION("""COMPUTED_VALUE"""),42163.7055555555)</f>
        <v>42163.705555555498</v>
      </c>
      <c r="P1294" s="111">
        <f ca="1">IFERROR(__xludf.DUMMYFUNCTION("""COMPUTED_VALUE"""),20.04)</f>
        <v>20.04</v>
      </c>
      <c r="Q1294" s="112">
        <f ca="1">IFERROR(__xludf.DUMMYFUNCTION("""COMPUTED_VALUE"""),42158.7055555555)</f>
        <v>42158.705555555498</v>
      </c>
      <c r="R1294" s="111">
        <f ca="1">IFERROR(__xludf.DUMMYFUNCTION("""COMPUTED_VALUE"""),22.68)</f>
        <v>22.68</v>
      </c>
      <c r="S1294" s="112">
        <f ca="1">IFERROR(__xludf.DUMMYFUNCTION("""COMPUTED_VALUE"""),42172.7055555555)</f>
        <v>42172.705555555498</v>
      </c>
      <c r="T1294" s="111">
        <f ca="1">IFERROR(__xludf.DUMMYFUNCTION("""COMPUTED_VALUE"""),16.61)</f>
        <v>16.61</v>
      </c>
    </row>
    <row r="1295" spans="1:20" x14ac:dyDescent="0.3">
      <c r="A1295" s="112">
        <f ca="1">IFERROR(__xludf.DUMMYFUNCTION("""COMPUTED_VALUE"""),42170.7055555555)</f>
        <v>42170.705555555498</v>
      </c>
      <c r="B1295" s="111">
        <f ca="1">IFERROR(__xludf.DUMMYFUNCTION("""COMPUTED_VALUE"""),6.38)</f>
        <v>6.38</v>
      </c>
      <c r="C1295" s="112">
        <f ca="1">IFERROR(__xludf.DUMMYFUNCTION("""COMPUTED_VALUE"""),42177.7055555555)</f>
        <v>42177.705555555498</v>
      </c>
      <c r="D1295" s="111">
        <f ca="1">IFERROR(__xludf.DUMMYFUNCTION("""COMPUTED_VALUE"""),20.82)</f>
        <v>20.82</v>
      </c>
      <c r="E1295" s="112">
        <f ca="1">IFERROR(__xludf.DUMMYFUNCTION("""COMPUTED_VALUE"""),42178.7055555555)</f>
        <v>42178.705555555498</v>
      </c>
      <c r="F1295" s="111">
        <f ca="1">IFERROR(__xludf.DUMMYFUNCTION("""COMPUTED_VALUE"""),7.04)</f>
        <v>7.04</v>
      </c>
      <c r="G1295" s="112">
        <f ca="1">IFERROR(__xludf.DUMMYFUNCTION("""COMPUTED_VALUE"""),42171.7055555555)</f>
        <v>42171.705555555498</v>
      </c>
      <c r="H1295" s="111">
        <f ca="1">IFERROR(__xludf.DUMMYFUNCTION("""COMPUTED_VALUE"""),13.38)</f>
        <v>13.38</v>
      </c>
      <c r="K1295" s="112">
        <f ca="1">IFERROR(__xludf.DUMMYFUNCTION("""COMPUTED_VALUE"""),42621.7055555555)</f>
        <v>42621.705555555498</v>
      </c>
      <c r="L1295" s="111">
        <f ca="1">IFERROR(__xludf.DUMMYFUNCTION("""COMPUTED_VALUE"""),0.26)</f>
        <v>0.26</v>
      </c>
      <c r="M1295" s="112">
        <f ca="1">IFERROR(__xludf.DUMMYFUNCTION("""COMPUTED_VALUE"""),42083.7055555555)</f>
        <v>42083.705555555498</v>
      </c>
      <c r="N1295" s="111">
        <f ca="1">IFERROR(__xludf.DUMMYFUNCTION("""COMPUTED_VALUE"""),15.88)</f>
        <v>15.88</v>
      </c>
      <c r="O1295" s="112">
        <f ca="1">IFERROR(__xludf.DUMMYFUNCTION("""COMPUTED_VALUE"""),42164.7055555555)</f>
        <v>42164.705555555498</v>
      </c>
      <c r="P1295" s="111">
        <f ca="1">IFERROR(__xludf.DUMMYFUNCTION("""COMPUTED_VALUE"""),20.17)</f>
        <v>20.170000000000002</v>
      </c>
      <c r="Q1295" s="112">
        <f ca="1">IFERROR(__xludf.DUMMYFUNCTION("""COMPUTED_VALUE"""),42160.7055555555)</f>
        <v>42160.705555555498</v>
      </c>
      <c r="R1295" s="111">
        <f ca="1">IFERROR(__xludf.DUMMYFUNCTION("""COMPUTED_VALUE"""),22.36)</f>
        <v>22.36</v>
      </c>
      <c r="S1295" s="112">
        <f ca="1">IFERROR(__xludf.DUMMYFUNCTION("""COMPUTED_VALUE"""),42173.7055555555)</f>
        <v>42173.705555555498</v>
      </c>
      <c r="T1295" s="111">
        <f ca="1">IFERROR(__xludf.DUMMYFUNCTION("""COMPUTED_VALUE"""),16.92)</f>
        <v>16.920000000000002</v>
      </c>
    </row>
    <row r="1296" spans="1:20" x14ac:dyDescent="0.3">
      <c r="A1296" s="112">
        <f ca="1">IFERROR(__xludf.DUMMYFUNCTION("""COMPUTED_VALUE"""),42171.7055555555)</f>
        <v>42171.705555555498</v>
      </c>
      <c r="B1296" s="111">
        <f ca="1">IFERROR(__xludf.DUMMYFUNCTION("""COMPUTED_VALUE"""),6.37)</f>
        <v>6.37</v>
      </c>
      <c r="C1296" s="112">
        <f ca="1">IFERROR(__xludf.DUMMYFUNCTION("""COMPUTED_VALUE"""),42178.7055555555)</f>
        <v>42178.705555555498</v>
      </c>
      <c r="D1296" s="111">
        <f ca="1">IFERROR(__xludf.DUMMYFUNCTION("""COMPUTED_VALUE"""),21.11)</f>
        <v>21.11</v>
      </c>
      <c r="E1296" s="112">
        <f ca="1">IFERROR(__xludf.DUMMYFUNCTION("""COMPUTED_VALUE"""),42179.7055555555)</f>
        <v>42179.705555555498</v>
      </c>
      <c r="F1296" s="111">
        <f ca="1">IFERROR(__xludf.DUMMYFUNCTION("""COMPUTED_VALUE"""),7.04)</f>
        <v>7.04</v>
      </c>
      <c r="G1296" s="112">
        <f ca="1">IFERROR(__xludf.DUMMYFUNCTION("""COMPUTED_VALUE"""),42172.7055555555)</f>
        <v>42172.705555555498</v>
      </c>
      <c r="H1296" s="111">
        <f ca="1">IFERROR(__xludf.DUMMYFUNCTION("""COMPUTED_VALUE"""),13.14)</f>
        <v>13.14</v>
      </c>
      <c r="K1296" s="112">
        <f ca="1">IFERROR(__xludf.DUMMYFUNCTION("""COMPUTED_VALUE"""),42622.7055555555)</f>
        <v>42622.705555555498</v>
      </c>
      <c r="L1296" s="111">
        <f ca="1">IFERROR(__xludf.DUMMYFUNCTION("""COMPUTED_VALUE"""),0.26)</f>
        <v>0.26</v>
      </c>
      <c r="M1296" s="112">
        <f ca="1">IFERROR(__xludf.DUMMYFUNCTION("""COMPUTED_VALUE"""),42086.7055555555)</f>
        <v>42086.705555555498</v>
      </c>
      <c r="N1296" s="111">
        <f ca="1">IFERROR(__xludf.DUMMYFUNCTION("""COMPUTED_VALUE"""),15.85)</f>
        <v>15.85</v>
      </c>
      <c r="O1296" s="112">
        <f ca="1">IFERROR(__xludf.DUMMYFUNCTION("""COMPUTED_VALUE"""),42165.7055555555)</f>
        <v>42165.705555555498</v>
      </c>
      <c r="P1296" s="111">
        <f ca="1">IFERROR(__xludf.DUMMYFUNCTION("""COMPUTED_VALUE"""),21.23)</f>
        <v>21.23</v>
      </c>
      <c r="Q1296" s="112">
        <f ca="1">IFERROR(__xludf.DUMMYFUNCTION("""COMPUTED_VALUE"""),42163.7055555555)</f>
        <v>42163.705555555498</v>
      </c>
      <c r="R1296" s="111">
        <f ca="1">IFERROR(__xludf.DUMMYFUNCTION("""COMPUTED_VALUE"""),22.22)</f>
        <v>22.22</v>
      </c>
      <c r="S1296" s="112">
        <f ca="1">IFERROR(__xludf.DUMMYFUNCTION("""COMPUTED_VALUE"""),42174.7055555555)</f>
        <v>42174.705555555498</v>
      </c>
      <c r="T1296" s="111">
        <f ca="1">IFERROR(__xludf.DUMMYFUNCTION("""COMPUTED_VALUE"""),16.69)</f>
        <v>16.690000000000001</v>
      </c>
    </row>
    <row r="1297" spans="1:20" x14ac:dyDescent="0.3">
      <c r="A1297" s="112">
        <f ca="1">IFERROR(__xludf.DUMMYFUNCTION("""COMPUTED_VALUE"""),42172.7055555555)</f>
        <v>42172.705555555498</v>
      </c>
      <c r="B1297" s="111">
        <f ca="1">IFERROR(__xludf.DUMMYFUNCTION("""COMPUTED_VALUE"""),6.28)</f>
        <v>6.28</v>
      </c>
      <c r="C1297" s="112">
        <f ca="1">IFERROR(__xludf.DUMMYFUNCTION("""COMPUTED_VALUE"""),42179.7055555555)</f>
        <v>42179.705555555498</v>
      </c>
      <c r="D1297" s="111">
        <f ca="1">IFERROR(__xludf.DUMMYFUNCTION("""COMPUTED_VALUE"""),21.15)</f>
        <v>21.15</v>
      </c>
      <c r="E1297" s="112">
        <f ca="1">IFERROR(__xludf.DUMMYFUNCTION("""COMPUTED_VALUE"""),42180.7055555555)</f>
        <v>42180.705555555498</v>
      </c>
      <c r="F1297" s="111">
        <f ca="1">IFERROR(__xludf.DUMMYFUNCTION("""COMPUTED_VALUE"""),6.97)</f>
        <v>6.97</v>
      </c>
      <c r="G1297" s="112">
        <f ca="1">IFERROR(__xludf.DUMMYFUNCTION("""COMPUTED_VALUE"""),42173.7055555555)</f>
        <v>42173.705555555498</v>
      </c>
      <c r="H1297" s="111">
        <f ca="1">IFERROR(__xludf.DUMMYFUNCTION("""COMPUTED_VALUE"""),13.45)</f>
        <v>13.45</v>
      </c>
      <c r="K1297" s="112">
        <f ca="1">IFERROR(__xludf.DUMMYFUNCTION("""COMPUTED_VALUE"""),42625.7055555555)</f>
        <v>42625.705555555498</v>
      </c>
      <c r="L1297" s="111">
        <f ca="1">IFERROR(__xludf.DUMMYFUNCTION("""COMPUTED_VALUE"""),0.26)</f>
        <v>0.26</v>
      </c>
      <c r="M1297" s="112">
        <f ca="1">IFERROR(__xludf.DUMMYFUNCTION("""COMPUTED_VALUE"""),42087.7055555555)</f>
        <v>42087.705555555498</v>
      </c>
      <c r="N1297" s="111">
        <f ca="1">IFERROR(__xludf.DUMMYFUNCTION("""COMPUTED_VALUE"""),15.7)</f>
        <v>15.7</v>
      </c>
      <c r="O1297" s="112">
        <f ca="1">IFERROR(__xludf.DUMMYFUNCTION("""COMPUTED_VALUE"""),42166.7055555555)</f>
        <v>42166.705555555498</v>
      </c>
      <c r="P1297" s="111">
        <f ca="1">IFERROR(__xludf.DUMMYFUNCTION("""COMPUTED_VALUE"""),21.3)</f>
        <v>21.3</v>
      </c>
      <c r="Q1297" s="112">
        <f ca="1">IFERROR(__xludf.DUMMYFUNCTION("""COMPUTED_VALUE"""),42164.7055555555)</f>
        <v>42164.705555555498</v>
      </c>
      <c r="R1297" s="111">
        <f ca="1">IFERROR(__xludf.DUMMYFUNCTION("""COMPUTED_VALUE"""),22.62)</f>
        <v>22.62</v>
      </c>
      <c r="S1297" s="112">
        <f ca="1">IFERROR(__xludf.DUMMYFUNCTION("""COMPUTED_VALUE"""),42177.7055555555)</f>
        <v>42177.705555555498</v>
      </c>
      <c r="T1297" s="111">
        <f ca="1">IFERROR(__xludf.DUMMYFUNCTION("""COMPUTED_VALUE"""),16.74)</f>
        <v>16.739999999999998</v>
      </c>
    </row>
    <row r="1298" spans="1:20" x14ac:dyDescent="0.3">
      <c r="A1298" s="112">
        <f ca="1">IFERROR(__xludf.DUMMYFUNCTION("""COMPUTED_VALUE"""),42173.7055555555)</f>
        <v>42173.705555555498</v>
      </c>
      <c r="B1298" s="111">
        <f ca="1">IFERROR(__xludf.DUMMYFUNCTION("""COMPUTED_VALUE"""),6.47)</f>
        <v>6.47</v>
      </c>
      <c r="C1298" s="112">
        <f ca="1">IFERROR(__xludf.DUMMYFUNCTION("""COMPUTED_VALUE"""),42180.7055555555)</f>
        <v>42180.705555555498</v>
      </c>
      <c r="D1298" s="111">
        <f ca="1">IFERROR(__xludf.DUMMYFUNCTION("""COMPUTED_VALUE"""),20.76)</f>
        <v>20.76</v>
      </c>
      <c r="E1298" s="112">
        <f ca="1">IFERROR(__xludf.DUMMYFUNCTION("""COMPUTED_VALUE"""),42181.7055555555)</f>
        <v>42181.705555555498</v>
      </c>
      <c r="F1298" s="111">
        <f ca="1">IFERROR(__xludf.DUMMYFUNCTION("""COMPUTED_VALUE"""),7.08)</f>
        <v>7.08</v>
      </c>
      <c r="G1298" s="112">
        <f ca="1">IFERROR(__xludf.DUMMYFUNCTION("""COMPUTED_VALUE"""),42174.7055555555)</f>
        <v>42174.705555555498</v>
      </c>
      <c r="H1298" s="111">
        <f ca="1">IFERROR(__xludf.DUMMYFUNCTION("""COMPUTED_VALUE"""),13.15)</f>
        <v>13.15</v>
      </c>
      <c r="K1298" s="112">
        <f ca="1">IFERROR(__xludf.DUMMYFUNCTION("""COMPUTED_VALUE"""),42626.7055555555)</f>
        <v>42626.705555555498</v>
      </c>
      <c r="L1298" s="111">
        <f ca="1">IFERROR(__xludf.DUMMYFUNCTION("""COMPUTED_VALUE"""),0.24)</f>
        <v>0.24</v>
      </c>
      <c r="M1298" s="112">
        <f ca="1">IFERROR(__xludf.DUMMYFUNCTION("""COMPUTED_VALUE"""),42088.7055555555)</f>
        <v>42088.705555555498</v>
      </c>
      <c r="N1298" s="111">
        <f ca="1">IFERROR(__xludf.DUMMYFUNCTION("""COMPUTED_VALUE"""),15.7)</f>
        <v>15.7</v>
      </c>
      <c r="O1298" s="112">
        <f ca="1">IFERROR(__xludf.DUMMYFUNCTION("""COMPUTED_VALUE"""),42167.7055555555)</f>
        <v>42167.705555555498</v>
      </c>
      <c r="P1298" s="111">
        <f ca="1">IFERROR(__xludf.DUMMYFUNCTION("""COMPUTED_VALUE"""),21.16)</f>
        <v>21.16</v>
      </c>
      <c r="Q1298" s="112">
        <f ca="1">IFERROR(__xludf.DUMMYFUNCTION("""COMPUTED_VALUE"""),42165.7055555555)</f>
        <v>42165.705555555498</v>
      </c>
      <c r="R1298" s="111">
        <f ca="1">IFERROR(__xludf.DUMMYFUNCTION("""COMPUTED_VALUE"""),23.33)</f>
        <v>23.33</v>
      </c>
      <c r="S1298" s="112">
        <f ca="1">IFERROR(__xludf.DUMMYFUNCTION("""COMPUTED_VALUE"""),42178.7055555555)</f>
        <v>42178.705555555498</v>
      </c>
      <c r="T1298" s="111">
        <f ca="1">IFERROR(__xludf.DUMMYFUNCTION("""COMPUTED_VALUE"""),16.6)</f>
        <v>16.600000000000001</v>
      </c>
    </row>
    <row r="1299" spans="1:20" x14ac:dyDescent="0.3">
      <c r="A1299" s="112">
        <f ca="1">IFERROR(__xludf.DUMMYFUNCTION("""COMPUTED_VALUE"""),42174.7055555555)</f>
        <v>42174.705555555498</v>
      </c>
      <c r="B1299" s="111">
        <f ca="1">IFERROR(__xludf.DUMMYFUNCTION("""COMPUTED_VALUE"""),6.38)</f>
        <v>6.38</v>
      </c>
      <c r="C1299" s="112">
        <f ca="1">IFERROR(__xludf.DUMMYFUNCTION("""COMPUTED_VALUE"""),42181.7055555555)</f>
        <v>42181.705555555498</v>
      </c>
      <c r="D1299" s="111">
        <f ca="1">IFERROR(__xludf.DUMMYFUNCTION("""COMPUTED_VALUE"""),21.02)</f>
        <v>21.02</v>
      </c>
      <c r="E1299" s="112">
        <f ca="1">IFERROR(__xludf.DUMMYFUNCTION("""COMPUTED_VALUE"""),42184.7055555555)</f>
        <v>42184.705555555498</v>
      </c>
      <c r="F1299" s="111">
        <f ca="1">IFERROR(__xludf.DUMMYFUNCTION("""COMPUTED_VALUE"""),6.96)</f>
        <v>6.96</v>
      </c>
      <c r="G1299" s="112">
        <f ca="1">IFERROR(__xludf.DUMMYFUNCTION("""COMPUTED_VALUE"""),42177.7055555555)</f>
        <v>42177.705555555498</v>
      </c>
      <c r="H1299" s="111">
        <f ca="1">IFERROR(__xludf.DUMMYFUNCTION("""COMPUTED_VALUE"""),13.17)</f>
        <v>13.17</v>
      </c>
      <c r="K1299" s="112">
        <f ca="1">IFERROR(__xludf.DUMMYFUNCTION("""COMPUTED_VALUE"""),42627.7055555555)</f>
        <v>42627.705555555498</v>
      </c>
      <c r="L1299" s="111">
        <f ca="1">IFERROR(__xludf.DUMMYFUNCTION("""COMPUTED_VALUE"""),0.24)</f>
        <v>0.24</v>
      </c>
      <c r="M1299" s="112">
        <f ca="1">IFERROR(__xludf.DUMMYFUNCTION("""COMPUTED_VALUE"""),42089.7055555555)</f>
        <v>42089.705555555498</v>
      </c>
      <c r="N1299" s="111">
        <f ca="1">IFERROR(__xludf.DUMMYFUNCTION("""COMPUTED_VALUE"""),15.22)</f>
        <v>15.22</v>
      </c>
      <c r="O1299" s="112">
        <f ca="1">IFERROR(__xludf.DUMMYFUNCTION("""COMPUTED_VALUE"""),42170.7055555555)</f>
        <v>42170.705555555498</v>
      </c>
      <c r="P1299" s="111">
        <f ca="1">IFERROR(__xludf.DUMMYFUNCTION("""COMPUTED_VALUE"""),20.32)</f>
        <v>20.32</v>
      </c>
      <c r="Q1299" s="112">
        <f ca="1">IFERROR(__xludf.DUMMYFUNCTION("""COMPUTED_VALUE"""),42166.7055555555)</f>
        <v>42166.705555555498</v>
      </c>
      <c r="R1299" s="111">
        <f ca="1">IFERROR(__xludf.DUMMYFUNCTION("""COMPUTED_VALUE"""),23.1)</f>
        <v>23.1</v>
      </c>
      <c r="S1299" s="112">
        <f ca="1">IFERROR(__xludf.DUMMYFUNCTION("""COMPUTED_VALUE"""),42179.7055555555)</f>
        <v>42179.705555555498</v>
      </c>
      <c r="T1299" s="111">
        <f ca="1">IFERROR(__xludf.DUMMYFUNCTION("""COMPUTED_VALUE"""),16.78)</f>
        <v>16.78</v>
      </c>
    </row>
    <row r="1300" spans="1:20" x14ac:dyDescent="0.3">
      <c r="A1300" s="112">
        <f ca="1">IFERROR(__xludf.DUMMYFUNCTION("""COMPUTED_VALUE"""),42177.7055555555)</f>
        <v>42177.705555555498</v>
      </c>
      <c r="B1300" s="111">
        <f ca="1">IFERROR(__xludf.DUMMYFUNCTION("""COMPUTED_VALUE"""),6.45)</f>
        <v>6.45</v>
      </c>
      <c r="C1300" s="112">
        <f ca="1">IFERROR(__xludf.DUMMYFUNCTION("""COMPUTED_VALUE"""),42184.7055555555)</f>
        <v>42184.705555555498</v>
      </c>
      <c r="D1300" s="111">
        <f ca="1">IFERROR(__xludf.DUMMYFUNCTION("""COMPUTED_VALUE"""),20.67)</f>
        <v>20.67</v>
      </c>
      <c r="E1300" s="112">
        <f ca="1">IFERROR(__xludf.DUMMYFUNCTION("""COMPUTED_VALUE"""),42185.7055555555)</f>
        <v>42185.705555555498</v>
      </c>
      <c r="F1300" s="111">
        <f ca="1">IFERROR(__xludf.DUMMYFUNCTION("""COMPUTED_VALUE"""),7.01)</f>
        <v>7.01</v>
      </c>
      <c r="G1300" s="112">
        <f ca="1">IFERROR(__xludf.DUMMYFUNCTION("""COMPUTED_VALUE"""),42178.7055555555)</f>
        <v>42178.705555555498</v>
      </c>
      <c r="H1300" s="111">
        <f ca="1">IFERROR(__xludf.DUMMYFUNCTION("""COMPUTED_VALUE"""),12.97)</f>
        <v>12.97</v>
      </c>
      <c r="K1300" s="112">
        <f ca="1">IFERROR(__xludf.DUMMYFUNCTION("""COMPUTED_VALUE"""),42628.7055555555)</f>
        <v>42628.705555555498</v>
      </c>
      <c r="L1300" s="111">
        <f ca="1">IFERROR(__xludf.DUMMYFUNCTION("""COMPUTED_VALUE"""),0.24)</f>
        <v>0.24</v>
      </c>
      <c r="M1300" s="112">
        <f ca="1">IFERROR(__xludf.DUMMYFUNCTION("""COMPUTED_VALUE"""),42090.7055555555)</f>
        <v>42090.705555555498</v>
      </c>
      <c r="N1300" s="111">
        <f ca="1">IFERROR(__xludf.DUMMYFUNCTION("""COMPUTED_VALUE"""),17.85)</f>
        <v>17.850000000000001</v>
      </c>
      <c r="O1300" s="112">
        <f ca="1">IFERROR(__xludf.DUMMYFUNCTION("""COMPUTED_VALUE"""),42171.7055555555)</f>
        <v>42171.705555555498</v>
      </c>
      <c r="P1300" s="111">
        <f ca="1">IFERROR(__xludf.DUMMYFUNCTION("""COMPUTED_VALUE"""),19.74)</f>
        <v>19.739999999999998</v>
      </c>
      <c r="Q1300" s="112">
        <f ca="1">IFERROR(__xludf.DUMMYFUNCTION("""COMPUTED_VALUE"""),42167.7055555555)</f>
        <v>42167.705555555498</v>
      </c>
      <c r="R1300" s="111">
        <f ca="1">IFERROR(__xludf.DUMMYFUNCTION("""COMPUTED_VALUE"""),22.51)</f>
        <v>22.51</v>
      </c>
      <c r="S1300" s="112">
        <f ca="1">IFERROR(__xludf.DUMMYFUNCTION("""COMPUTED_VALUE"""),42180.7055555555)</f>
        <v>42180.705555555498</v>
      </c>
      <c r="T1300" s="111">
        <f ca="1">IFERROR(__xludf.DUMMYFUNCTION("""COMPUTED_VALUE"""),17.21)</f>
        <v>17.21</v>
      </c>
    </row>
    <row r="1301" spans="1:20" x14ac:dyDescent="0.3">
      <c r="A1301" s="112">
        <f ca="1">IFERROR(__xludf.DUMMYFUNCTION("""COMPUTED_VALUE"""),42178.7055555555)</f>
        <v>42178.705555555498</v>
      </c>
      <c r="B1301" s="111">
        <f ca="1">IFERROR(__xludf.DUMMYFUNCTION("""COMPUTED_VALUE"""),6.26)</f>
        <v>6.26</v>
      </c>
      <c r="C1301" s="112">
        <f ca="1">IFERROR(__xludf.DUMMYFUNCTION("""COMPUTED_VALUE"""),42185.7055555555)</f>
        <v>42185.705555555498</v>
      </c>
      <c r="D1301" s="111">
        <f ca="1">IFERROR(__xludf.DUMMYFUNCTION("""COMPUTED_VALUE"""),20.73)</f>
        <v>20.73</v>
      </c>
      <c r="E1301" s="112">
        <f ca="1">IFERROR(__xludf.DUMMYFUNCTION("""COMPUTED_VALUE"""),42186.7055555555)</f>
        <v>42186.705555555498</v>
      </c>
      <c r="F1301" s="111">
        <f ca="1">IFERROR(__xludf.DUMMYFUNCTION("""COMPUTED_VALUE"""),7.02)</f>
        <v>7.02</v>
      </c>
      <c r="G1301" s="112">
        <f ca="1">IFERROR(__xludf.DUMMYFUNCTION("""COMPUTED_VALUE"""),42179.7055555555)</f>
        <v>42179.705555555498</v>
      </c>
      <c r="H1301" s="111">
        <f ca="1">IFERROR(__xludf.DUMMYFUNCTION("""COMPUTED_VALUE"""),13.22)</f>
        <v>13.22</v>
      </c>
      <c r="K1301" s="112">
        <f ca="1">IFERROR(__xludf.DUMMYFUNCTION("""COMPUTED_VALUE"""),42629.7055555555)</f>
        <v>42629.705555555498</v>
      </c>
      <c r="L1301" s="111">
        <f ca="1">IFERROR(__xludf.DUMMYFUNCTION("""COMPUTED_VALUE"""),0.24)</f>
        <v>0.24</v>
      </c>
      <c r="M1301" s="112">
        <f ca="1">IFERROR(__xludf.DUMMYFUNCTION("""COMPUTED_VALUE"""),42093.7055555555)</f>
        <v>42093.705555555498</v>
      </c>
      <c r="N1301" s="111">
        <f ca="1">IFERROR(__xludf.DUMMYFUNCTION("""COMPUTED_VALUE"""),15.11)</f>
        <v>15.11</v>
      </c>
      <c r="O1301" s="112">
        <f ca="1">IFERROR(__xludf.DUMMYFUNCTION("""COMPUTED_VALUE"""),42172.7055555555)</f>
        <v>42172.705555555498</v>
      </c>
      <c r="P1301" s="111">
        <f ca="1">IFERROR(__xludf.DUMMYFUNCTION("""COMPUTED_VALUE"""),19.45)</f>
        <v>19.45</v>
      </c>
      <c r="Q1301" s="112">
        <f ca="1">IFERROR(__xludf.DUMMYFUNCTION("""COMPUTED_VALUE"""),42170.7055555555)</f>
        <v>42170.705555555498</v>
      </c>
      <c r="R1301" s="111">
        <f ca="1">IFERROR(__xludf.DUMMYFUNCTION("""COMPUTED_VALUE"""),22.5)</f>
        <v>22.5</v>
      </c>
      <c r="S1301" s="112">
        <f ca="1">IFERROR(__xludf.DUMMYFUNCTION("""COMPUTED_VALUE"""),42181.7055555555)</f>
        <v>42181.705555555498</v>
      </c>
      <c r="T1301" s="111">
        <f ca="1">IFERROR(__xludf.DUMMYFUNCTION("""COMPUTED_VALUE"""),17.24)</f>
        <v>17.239999999999998</v>
      </c>
    </row>
    <row r="1302" spans="1:20" x14ac:dyDescent="0.3">
      <c r="A1302" s="112">
        <f ca="1">IFERROR(__xludf.DUMMYFUNCTION("""COMPUTED_VALUE"""),42179.7055555555)</f>
        <v>42179.705555555498</v>
      </c>
      <c r="B1302" s="111">
        <f ca="1">IFERROR(__xludf.DUMMYFUNCTION("""COMPUTED_VALUE"""),6.21)</f>
        <v>6.21</v>
      </c>
      <c r="C1302" s="112">
        <f ca="1">IFERROR(__xludf.DUMMYFUNCTION("""COMPUTED_VALUE"""),42186.7055555555)</f>
        <v>42186.705555555498</v>
      </c>
      <c r="D1302" s="111">
        <f ca="1">IFERROR(__xludf.DUMMYFUNCTION("""COMPUTED_VALUE"""),20.82)</f>
        <v>20.82</v>
      </c>
      <c r="E1302" s="112">
        <f ca="1">IFERROR(__xludf.DUMMYFUNCTION("""COMPUTED_VALUE"""),42187.7055555555)</f>
        <v>42187.705555555498</v>
      </c>
      <c r="F1302" s="111">
        <f ca="1">IFERROR(__xludf.DUMMYFUNCTION("""COMPUTED_VALUE"""),7.12)</f>
        <v>7.12</v>
      </c>
      <c r="G1302" s="112">
        <f ca="1">IFERROR(__xludf.DUMMYFUNCTION("""COMPUTED_VALUE"""),42180.7055555555)</f>
        <v>42180.705555555498</v>
      </c>
      <c r="H1302" s="111">
        <f ca="1">IFERROR(__xludf.DUMMYFUNCTION("""COMPUTED_VALUE"""),12.6)</f>
        <v>12.6</v>
      </c>
      <c r="K1302" s="112">
        <f ca="1">IFERROR(__xludf.DUMMYFUNCTION("""COMPUTED_VALUE"""),42632.7055555555)</f>
        <v>42632.705555555498</v>
      </c>
      <c r="L1302" s="111">
        <f ca="1">IFERROR(__xludf.DUMMYFUNCTION("""COMPUTED_VALUE"""),0.25)</f>
        <v>0.25</v>
      </c>
      <c r="M1302" s="112">
        <f ca="1">IFERROR(__xludf.DUMMYFUNCTION("""COMPUTED_VALUE"""),42094.7055555555)</f>
        <v>42094.705555555498</v>
      </c>
      <c r="N1302" s="111">
        <f ca="1">IFERROR(__xludf.DUMMYFUNCTION("""COMPUTED_VALUE"""),15.29)</f>
        <v>15.29</v>
      </c>
      <c r="O1302" s="112">
        <f ca="1">IFERROR(__xludf.DUMMYFUNCTION("""COMPUTED_VALUE"""),42173.7055555555)</f>
        <v>42173.705555555498</v>
      </c>
      <c r="P1302" s="111">
        <f ca="1">IFERROR(__xludf.DUMMYFUNCTION("""COMPUTED_VALUE"""),20.4)</f>
        <v>20.399999999999999</v>
      </c>
      <c r="Q1302" s="112">
        <f ca="1">IFERROR(__xludf.DUMMYFUNCTION("""COMPUTED_VALUE"""),42171.7055555555)</f>
        <v>42171.705555555498</v>
      </c>
      <c r="R1302" s="111">
        <f ca="1">IFERROR(__xludf.DUMMYFUNCTION("""COMPUTED_VALUE"""),23.25)</f>
        <v>23.25</v>
      </c>
      <c r="S1302" s="112">
        <f ca="1">IFERROR(__xludf.DUMMYFUNCTION("""COMPUTED_VALUE"""),42184.7055555555)</f>
        <v>42184.705555555498</v>
      </c>
      <c r="T1302" s="111">
        <f ca="1">IFERROR(__xludf.DUMMYFUNCTION("""COMPUTED_VALUE"""),17.1)</f>
        <v>17.100000000000001</v>
      </c>
    </row>
    <row r="1303" spans="1:20" x14ac:dyDescent="0.3">
      <c r="A1303" s="112">
        <f ca="1">IFERROR(__xludf.DUMMYFUNCTION("""COMPUTED_VALUE"""),42180.7055555555)</f>
        <v>42180.705555555498</v>
      </c>
      <c r="B1303" s="111">
        <f ca="1">IFERROR(__xludf.DUMMYFUNCTION("""COMPUTED_VALUE"""),5.94)</f>
        <v>5.94</v>
      </c>
      <c r="C1303" s="112">
        <f ca="1">IFERROR(__xludf.DUMMYFUNCTION("""COMPUTED_VALUE"""),42187.7055555555)</f>
        <v>42187.705555555498</v>
      </c>
      <c r="D1303" s="111">
        <f ca="1">IFERROR(__xludf.DUMMYFUNCTION("""COMPUTED_VALUE"""),21.19)</f>
        <v>21.19</v>
      </c>
      <c r="E1303" s="112">
        <f ca="1">IFERROR(__xludf.DUMMYFUNCTION("""COMPUTED_VALUE"""),42188.7055555555)</f>
        <v>42188.705555555498</v>
      </c>
      <c r="F1303" s="111">
        <f ca="1">IFERROR(__xludf.DUMMYFUNCTION("""COMPUTED_VALUE"""),6.98)</f>
        <v>6.98</v>
      </c>
      <c r="G1303" s="112">
        <f ca="1">IFERROR(__xludf.DUMMYFUNCTION("""COMPUTED_VALUE"""),42181.7055555555)</f>
        <v>42181.705555555498</v>
      </c>
      <c r="H1303" s="111">
        <f ca="1">IFERROR(__xludf.DUMMYFUNCTION("""COMPUTED_VALUE"""),13.21)</f>
        <v>13.21</v>
      </c>
      <c r="K1303" s="112">
        <f ca="1">IFERROR(__xludf.DUMMYFUNCTION("""COMPUTED_VALUE"""),42633.7055555555)</f>
        <v>42633.705555555498</v>
      </c>
      <c r="L1303" s="111">
        <f ca="1">IFERROR(__xludf.DUMMYFUNCTION("""COMPUTED_VALUE"""),0.26)</f>
        <v>0.26</v>
      </c>
      <c r="M1303" s="112">
        <f ca="1">IFERROR(__xludf.DUMMYFUNCTION("""COMPUTED_VALUE"""),42095.7055555555)</f>
        <v>42095.705555555498</v>
      </c>
      <c r="N1303" s="111">
        <f ca="1">IFERROR(__xludf.DUMMYFUNCTION("""COMPUTED_VALUE"""),15.79)</f>
        <v>15.79</v>
      </c>
      <c r="O1303" s="112">
        <f ca="1">IFERROR(__xludf.DUMMYFUNCTION("""COMPUTED_VALUE"""),42174.7055555555)</f>
        <v>42174.705555555498</v>
      </c>
      <c r="P1303" s="111">
        <f ca="1">IFERROR(__xludf.DUMMYFUNCTION("""COMPUTED_VALUE"""),20.35)</f>
        <v>20.350000000000001</v>
      </c>
      <c r="Q1303" s="112">
        <f ca="1">IFERROR(__xludf.DUMMYFUNCTION("""COMPUTED_VALUE"""),42172.7055555555)</f>
        <v>42172.705555555498</v>
      </c>
      <c r="R1303" s="111">
        <f ca="1">IFERROR(__xludf.DUMMYFUNCTION("""COMPUTED_VALUE"""),22.52)</f>
        <v>22.52</v>
      </c>
      <c r="S1303" s="112">
        <f ca="1">IFERROR(__xludf.DUMMYFUNCTION("""COMPUTED_VALUE"""),42185.7055555555)</f>
        <v>42185.705555555498</v>
      </c>
      <c r="T1303" s="111">
        <f ca="1">IFERROR(__xludf.DUMMYFUNCTION("""COMPUTED_VALUE"""),16.98)</f>
        <v>16.98</v>
      </c>
    </row>
    <row r="1304" spans="1:20" x14ac:dyDescent="0.3">
      <c r="A1304" s="112">
        <f ca="1">IFERROR(__xludf.DUMMYFUNCTION("""COMPUTED_VALUE"""),42181.7055555555)</f>
        <v>42181.705555555498</v>
      </c>
      <c r="B1304" s="111">
        <f ca="1">IFERROR(__xludf.DUMMYFUNCTION("""COMPUTED_VALUE"""),5.89)</f>
        <v>5.89</v>
      </c>
      <c r="C1304" s="112">
        <f ca="1">IFERROR(__xludf.DUMMYFUNCTION("""COMPUTED_VALUE"""),42188.7055555555)</f>
        <v>42188.705555555498</v>
      </c>
      <c r="D1304" s="111">
        <f ca="1">IFERROR(__xludf.DUMMYFUNCTION("""COMPUTED_VALUE"""),20.93)</f>
        <v>20.93</v>
      </c>
      <c r="E1304" s="112">
        <f ca="1">IFERROR(__xludf.DUMMYFUNCTION("""COMPUTED_VALUE"""),42191.7055555555)</f>
        <v>42191.705555555498</v>
      </c>
      <c r="F1304" s="111">
        <f ca="1">IFERROR(__xludf.DUMMYFUNCTION("""COMPUTED_VALUE"""),6.93)</f>
        <v>6.93</v>
      </c>
      <c r="G1304" s="112">
        <f ca="1">IFERROR(__xludf.DUMMYFUNCTION("""COMPUTED_VALUE"""),42184.7055555555)</f>
        <v>42184.705555555498</v>
      </c>
      <c r="H1304" s="111">
        <f ca="1">IFERROR(__xludf.DUMMYFUNCTION("""COMPUTED_VALUE"""),12.85)</f>
        <v>12.85</v>
      </c>
      <c r="K1304" s="112">
        <f ca="1">IFERROR(__xludf.DUMMYFUNCTION("""COMPUTED_VALUE"""),42634.7055555555)</f>
        <v>42634.705555555498</v>
      </c>
      <c r="L1304" s="111">
        <f ca="1">IFERROR(__xludf.DUMMYFUNCTION("""COMPUTED_VALUE"""),0.27)</f>
        <v>0.27</v>
      </c>
      <c r="M1304" s="112">
        <f ca="1">IFERROR(__xludf.DUMMYFUNCTION("""COMPUTED_VALUE"""),42096.7055555555)</f>
        <v>42096.705555555498</v>
      </c>
      <c r="N1304" s="111">
        <f ca="1">IFERROR(__xludf.DUMMYFUNCTION("""COMPUTED_VALUE"""),15.94)</f>
        <v>15.94</v>
      </c>
      <c r="O1304" s="112">
        <f ca="1">IFERROR(__xludf.DUMMYFUNCTION("""COMPUTED_VALUE"""),42177.7055555555)</f>
        <v>42177.705555555498</v>
      </c>
      <c r="P1304" s="111">
        <f ca="1">IFERROR(__xludf.DUMMYFUNCTION("""COMPUTED_VALUE"""),19.7)</f>
        <v>19.7</v>
      </c>
      <c r="Q1304" s="112">
        <f ca="1">IFERROR(__xludf.DUMMYFUNCTION("""COMPUTED_VALUE"""),42173.7055555555)</f>
        <v>42173.705555555498</v>
      </c>
      <c r="R1304" s="111">
        <f ca="1">IFERROR(__xludf.DUMMYFUNCTION("""COMPUTED_VALUE"""),23.33)</f>
        <v>23.33</v>
      </c>
      <c r="S1304" s="112">
        <f ca="1">IFERROR(__xludf.DUMMYFUNCTION("""COMPUTED_VALUE"""),42186.7055555555)</f>
        <v>42186.705555555498</v>
      </c>
      <c r="T1304" s="111">
        <f ca="1">IFERROR(__xludf.DUMMYFUNCTION("""COMPUTED_VALUE"""),17.43)</f>
        <v>17.43</v>
      </c>
    </row>
    <row r="1305" spans="1:20" x14ac:dyDescent="0.3">
      <c r="A1305" s="112">
        <f ca="1">IFERROR(__xludf.DUMMYFUNCTION("""COMPUTED_VALUE"""),42184.7055555555)</f>
        <v>42184.705555555498</v>
      </c>
      <c r="B1305" s="111">
        <f ca="1">IFERROR(__xludf.DUMMYFUNCTION("""COMPUTED_VALUE"""),5.9)</f>
        <v>5.9</v>
      </c>
      <c r="C1305" s="112">
        <f ca="1">IFERROR(__xludf.DUMMYFUNCTION("""COMPUTED_VALUE"""),42191.7055555555)</f>
        <v>42191.705555555498</v>
      </c>
      <c r="D1305" s="111">
        <f ca="1">IFERROR(__xludf.DUMMYFUNCTION("""COMPUTED_VALUE"""),20.61)</f>
        <v>20.61</v>
      </c>
      <c r="E1305" s="112">
        <f ca="1">IFERROR(__xludf.DUMMYFUNCTION("""COMPUTED_VALUE"""),42192.7055555555)</f>
        <v>42192.705555555498</v>
      </c>
      <c r="F1305" s="111">
        <f ca="1">IFERROR(__xludf.DUMMYFUNCTION("""COMPUTED_VALUE"""),6.86)</f>
        <v>6.86</v>
      </c>
      <c r="G1305" s="112">
        <f ca="1">IFERROR(__xludf.DUMMYFUNCTION("""COMPUTED_VALUE"""),42185.7055555555)</f>
        <v>42185.705555555498</v>
      </c>
      <c r="H1305" s="111">
        <f ca="1">IFERROR(__xludf.DUMMYFUNCTION("""COMPUTED_VALUE"""),12.69)</f>
        <v>12.69</v>
      </c>
      <c r="K1305" s="112">
        <f ca="1">IFERROR(__xludf.DUMMYFUNCTION("""COMPUTED_VALUE"""),42635.7055555555)</f>
        <v>42635.705555555498</v>
      </c>
      <c r="L1305" s="111">
        <f ca="1">IFERROR(__xludf.DUMMYFUNCTION("""COMPUTED_VALUE"""),0.28)</f>
        <v>0.28000000000000003</v>
      </c>
      <c r="M1305" s="112">
        <f ca="1">IFERROR(__xludf.DUMMYFUNCTION("""COMPUTED_VALUE"""),42100.7055555555)</f>
        <v>42100.705555555498</v>
      </c>
      <c r="N1305" s="111">
        <f ca="1">IFERROR(__xludf.DUMMYFUNCTION("""COMPUTED_VALUE"""),16.1)</f>
        <v>16.100000000000001</v>
      </c>
      <c r="O1305" s="112">
        <f ca="1">IFERROR(__xludf.DUMMYFUNCTION("""COMPUTED_VALUE"""),42178.7055555555)</f>
        <v>42178.705555555498</v>
      </c>
      <c r="P1305" s="111">
        <f ca="1">IFERROR(__xludf.DUMMYFUNCTION("""COMPUTED_VALUE"""),19.85)</f>
        <v>19.850000000000001</v>
      </c>
      <c r="Q1305" s="112">
        <f ca="1">IFERROR(__xludf.DUMMYFUNCTION("""COMPUTED_VALUE"""),42174.7055555555)</f>
        <v>42174.705555555498</v>
      </c>
      <c r="R1305" s="111">
        <f ca="1">IFERROR(__xludf.DUMMYFUNCTION("""COMPUTED_VALUE"""),23.16)</f>
        <v>23.16</v>
      </c>
      <c r="S1305" s="112">
        <f ca="1">IFERROR(__xludf.DUMMYFUNCTION("""COMPUTED_VALUE"""),42187.7055555555)</f>
        <v>42187.705555555498</v>
      </c>
      <c r="T1305" s="111">
        <f ca="1">IFERROR(__xludf.DUMMYFUNCTION("""COMPUTED_VALUE"""),17.71)</f>
        <v>17.71</v>
      </c>
    </row>
    <row r="1306" spans="1:20" x14ac:dyDescent="0.3">
      <c r="A1306" s="112">
        <f ca="1">IFERROR(__xludf.DUMMYFUNCTION("""COMPUTED_VALUE"""),42185.7055555555)</f>
        <v>42185.705555555498</v>
      </c>
      <c r="B1306" s="111">
        <f ca="1">IFERROR(__xludf.DUMMYFUNCTION("""COMPUTED_VALUE"""),5.81)</f>
        <v>5.81</v>
      </c>
      <c r="C1306" s="112">
        <f ca="1">IFERROR(__xludf.DUMMYFUNCTION("""COMPUTED_VALUE"""),42192.7055555555)</f>
        <v>42192.705555555498</v>
      </c>
      <c r="D1306" s="111">
        <f ca="1">IFERROR(__xludf.DUMMYFUNCTION("""COMPUTED_VALUE"""),20.49)</f>
        <v>20.49</v>
      </c>
      <c r="E1306" s="112">
        <f ca="1">IFERROR(__xludf.DUMMYFUNCTION("""COMPUTED_VALUE"""),42193.7055555555)</f>
        <v>42193.705555555498</v>
      </c>
      <c r="F1306" s="111">
        <f ca="1">IFERROR(__xludf.DUMMYFUNCTION("""COMPUTED_VALUE"""),6.91)</f>
        <v>6.91</v>
      </c>
      <c r="G1306" s="112">
        <f ca="1">IFERROR(__xludf.DUMMYFUNCTION("""COMPUTED_VALUE"""),42186.7055555555)</f>
        <v>42186.705555555498</v>
      </c>
      <c r="H1306" s="111">
        <f ca="1">IFERROR(__xludf.DUMMYFUNCTION("""COMPUTED_VALUE"""),12.16)</f>
        <v>12.16</v>
      </c>
      <c r="K1306" s="112">
        <f ca="1">IFERROR(__xludf.DUMMYFUNCTION("""COMPUTED_VALUE"""),42636.7055555555)</f>
        <v>42636.705555555498</v>
      </c>
      <c r="L1306" s="111">
        <f ca="1">IFERROR(__xludf.DUMMYFUNCTION("""COMPUTED_VALUE"""),0.27)</f>
        <v>0.27</v>
      </c>
      <c r="M1306" s="112">
        <f ca="1">IFERROR(__xludf.DUMMYFUNCTION("""COMPUTED_VALUE"""),42101.7055555555)</f>
        <v>42101.705555555498</v>
      </c>
      <c r="N1306" s="111">
        <f ca="1">IFERROR(__xludf.DUMMYFUNCTION("""COMPUTED_VALUE"""),16.19)</f>
        <v>16.190000000000001</v>
      </c>
      <c r="O1306" s="112">
        <f ca="1">IFERROR(__xludf.DUMMYFUNCTION("""COMPUTED_VALUE"""),42179.7055555555)</f>
        <v>42179.705555555498</v>
      </c>
      <c r="P1306" s="111">
        <f ca="1">IFERROR(__xludf.DUMMYFUNCTION("""COMPUTED_VALUE"""),19.74)</f>
        <v>19.739999999999998</v>
      </c>
      <c r="Q1306" s="112">
        <f ca="1">IFERROR(__xludf.DUMMYFUNCTION("""COMPUTED_VALUE"""),42177.7055555555)</f>
        <v>42177.705555555498</v>
      </c>
      <c r="R1306" s="111">
        <f ca="1">IFERROR(__xludf.DUMMYFUNCTION("""COMPUTED_VALUE"""),23.52)</f>
        <v>23.52</v>
      </c>
      <c r="S1306" s="112">
        <f ca="1">IFERROR(__xludf.DUMMYFUNCTION("""COMPUTED_VALUE"""),42188.7055555555)</f>
        <v>42188.705555555498</v>
      </c>
      <c r="T1306" s="111">
        <f ca="1">IFERROR(__xludf.DUMMYFUNCTION("""COMPUTED_VALUE"""),17.73)</f>
        <v>17.73</v>
      </c>
    </row>
    <row r="1307" spans="1:20" x14ac:dyDescent="0.3">
      <c r="A1307" s="112">
        <f ca="1">IFERROR(__xludf.DUMMYFUNCTION("""COMPUTED_VALUE"""),42186.7055555555)</f>
        <v>42186.705555555498</v>
      </c>
      <c r="B1307" s="111">
        <f ca="1">IFERROR(__xludf.DUMMYFUNCTION("""COMPUTED_VALUE"""),5.81)</f>
        <v>5.81</v>
      </c>
      <c r="C1307" s="112">
        <f ca="1">IFERROR(__xludf.DUMMYFUNCTION("""COMPUTED_VALUE"""),42193.7055555555)</f>
        <v>42193.705555555498</v>
      </c>
      <c r="D1307" s="111">
        <f ca="1">IFERROR(__xludf.DUMMYFUNCTION("""COMPUTED_VALUE"""),20.41)</f>
        <v>20.41</v>
      </c>
      <c r="E1307" s="112">
        <f ca="1">IFERROR(__xludf.DUMMYFUNCTION("""COMPUTED_VALUE"""),42195.7055555555)</f>
        <v>42195.705555555498</v>
      </c>
      <c r="F1307" s="111">
        <f ca="1">IFERROR(__xludf.DUMMYFUNCTION("""COMPUTED_VALUE"""),7.05)</f>
        <v>7.05</v>
      </c>
      <c r="G1307" s="112">
        <f ca="1">IFERROR(__xludf.DUMMYFUNCTION("""COMPUTED_VALUE"""),42187.7055555555)</f>
        <v>42187.705555555498</v>
      </c>
      <c r="H1307" s="111">
        <f ca="1">IFERROR(__xludf.DUMMYFUNCTION("""COMPUTED_VALUE"""),12.35)</f>
        <v>12.35</v>
      </c>
      <c r="K1307" s="112">
        <f ca="1">IFERROR(__xludf.DUMMYFUNCTION("""COMPUTED_VALUE"""),42639.7055555555)</f>
        <v>42639.705555555498</v>
      </c>
      <c r="L1307" s="111">
        <f ca="1">IFERROR(__xludf.DUMMYFUNCTION("""COMPUTED_VALUE"""),0.28)</f>
        <v>0.28000000000000003</v>
      </c>
      <c r="M1307" s="112">
        <f ca="1">IFERROR(__xludf.DUMMYFUNCTION("""COMPUTED_VALUE"""),42102.7055555555)</f>
        <v>42102.705555555498</v>
      </c>
      <c r="N1307" s="111">
        <f ca="1">IFERROR(__xludf.DUMMYFUNCTION("""COMPUTED_VALUE"""),16.18)</f>
        <v>16.18</v>
      </c>
      <c r="O1307" s="112">
        <f ca="1">IFERROR(__xludf.DUMMYFUNCTION("""COMPUTED_VALUE"""),42180.7055555555)</f>
        <v>42180.705555555498</v>
      </c>
      <c r="P1307" s="111">
        <f ca="1">IFERROR(__xludf.DUMMYFUNCTION("""COMPUTED_VALUE"""),19.38)</f>
        <v>19.38</v>
      </c>
      <c r="Q1307" s="112">
        <f ca="1">IFERROR(__xludf.DUMMYFUNCTION("""COMPUTED_VALUE"""),42178.7055555555)</f>
        <v>42178.705555555498</v>
      </c>
      <c r="R1307" s="111">
        <f ca="1">IFERROR(__xludf.DUMMYFUNCTION("""COMPUTED_VALUE"""),23.4)</f>
        <v>23.4</v>
      </c>
      <c r="S1307" s="112">
        <f ca="1">IFERROR(__xludf.DUMMYFUNCTION("""COMPUTED_VALUE"""),42191.7055555555)</f>
        <v>42191.705555555498</v>
      </c>
      <c r="T1307" s="111">
        <f ca="1">IFERROR(__xludf.DUMMYFUNCTION("""COMPUTED_VALUE"""),17.58)</f>
        <v>17.579999999999998</v>
      </c>
    </row>
    <row r="1308" spans="1:20" x14ac:dyDescent="0.3">
      <c r="A1308" s="112">
        <f ca="1">IFERROR(__xludf.DUMMYFUNCTION("""COMPUTED_VALUE"""),42187.7055555555)</f>
        <v>42187.705555555498</v>
      </c>
      <c r="B1308" s="111">
        <f ca="1">IFERROR(__xludf.DUMMYFUNCTION("""COMPUTED_VALUE"""),5.88)</f>
        <v>5.88</v>
      </c>
      <c r="C1308" s="112">
        <f ca="1">IFERROR(__xludf.DUMMYFUNCTION("""COMPUTED_VALUE"""),42195.7055555555)</f>
        <v>42195.705555555498</v>
      </c>
      <c r="D1308" s="111">
        <f ca="1">IFERROR(__xludf.DUMMYFUNCTION("""COMPUTED_VALUE"""),20.97)</f>
        <v>20.97</v>
      </c>
      <c r="E1308" s="112">
        <f ca="1">IFERROR(__xludf.DUMMYFUNCTION("""COMPUTED_VALUE"""),42198.7055555555)</f>
        <v>42198.705555555498</v>
      </c>
      <c r="F1308" s="111">
        <f ca="1">IFERROR(__xludf.DUMMYFUNCTION("""COMPUTED_VALUE"""),7.07)</f>
        <v>7.07</v>
      </c>
      <c r="G1308" s="112">
        <f ca="1">IFERROR(__xludf.DUMMYFUNCTION("""COMPUTED_VALUE"""),42188.7055555555)</f>
        <v>42188.705555555498</v>
      </c>
      <c r="H1308" s="111">
        <f ca="1">IFERROR(__xludf.DUMMYFUNCTION("""COMPUTED_VALUE"""),11.76)</f>
        <v>11.76</v>
      </c>
      <c r="K1308" s="112">
        <f ca="1">IFERROR(__xludf.DUMMYFUNCTION("""COMPUTED_VALUE"""),42640.7055555555)</f>
        <v>42640.705555555498</v>
      </c>
      <c r="L1308" s="111">
        <f ca="1">IFERROR(__xludf.DUMMYFUNCTION("""COMPUTED_VALUE"""),0.29)</f>
        <v>0.28999999999999998</v>
      </c>
      <c r="M1308" s="112">
        <f ca="1">IFERROR(__xludf.DUMMYFUNCTION("""COMPUTED_VALUE"""),42103.7055555555)</f>
        <v>42103.705555555498</v>
      </c>
      <c r="N1308" s="111">
        <f ca="1">IFERROR(__xludf.DUMMYFUNCTION("""COMPUTED_VALUE"""),15.89)</f>
        <v>15.89</v>
      </c>
      <c r="O1308" s="112">
        <f ca="1">IFERROR(__xludf.DUMMYFUNCTION("""COMPUTED_VALUE"""),42181.7055555555)</f>
        <v>42181.705555555498</v>
      </c>
      <c r="P1308" s="111">
        <f ca="1">IFERROR(__xludf.DUMMYFUNCTION("""COMPUTED_VALUE"""),19.62)</f>
        <v>19.62</v>
      </c>
      <c r="Q1308" s="112">
        <f ca="1">IFERROR(__xludf.DUMMYFUNCTION("""COMPUTED_VALUE"""),42179.7055555555)</f>
        <v>42179.705555555498</v>
      </c>
      <c r="R1308" s="111">
        <f ca="1">IFERROR(__xludf.DUMMYFUNCTION("""COMPUTED_VALUE"""),23.86)</f>
        <v>23.86</v>
      </c>
      <c r="S1308" s="112">
        <f ca="1">IFERROR(__xludf.DUMMYFUNCTION("""COMPUTED_VALUE"""),42192.7055555555)</f>
        <v>42192.705555555498</v>
      </c>
      <c r="T1308" s="111">
        <f ca="1">IFERROR(__xludf.DUMMYFUNCTION("""COMPUTED_VALUE"""),17.11)</f>
        <v>17.11</v>
      </c>
    </row>
    <row r="1309" spans="1:20" x14ac:dyDescent="0.3">
      <c r="A1309" s="112">
        <f ca="1">IFERROR(__xludf.DUMMYFUNCTION("""COMPUTED_VALUE"""),42188.7055555555)</f>
        <v>42188.705555555498</v>
      </c>
      <c r="B1309" s="111">
        <f ca="1">IFERROR(__xludf.DUMMYFUNCTION("""COMPUTED_VALUE"""),5.81)</f>
        <v>5.81</v>
      </c>
      <c r="C1309" s="112">
        <f ca="1">IFERROR(__xludf.DUMMYFUNCTION("""COMPUTED_VALUE"""),42198.7055555555)</f>
        <v>42198.705555555498</v>
      </c>
      <c r="D1309" s="111">
        <f ca="1">IFERROR(__xludf.DUMMYFUNCTION("""COMPUTED_VALUE"""),21.15)</f>
        <v>21.15</v>
      </c>
      <c r="E1309" s="112">
        <f ca="1">IFERROR(__xludf.DUMMYFUNCTION("""COMPUTED_VALUE"""),42199.7055555555)</f>
        <v>42199.705555555498</v>
      </c>
      <c r="F1309" s="111">
        <f ca="1">IFERROR(__xludf.DUMMYFUNCTION("""COMPUTED_VALUE"""),7.08)</f>
        <v>7.08</v>
      </c>
      <c r="G1309" s="112">
        <f ca="1">IFERROR(__xludf.DUMMYFUNCTION("""COMPUTED_VALUE"""),42191.7055555555)</f>
        <v>42191.705555555498</v>
      </c>
      <c r="H1309" s="111">
        <f ca="1">IFERROR(__xludf.DUMMYFUNCTION("""COMPUTED_VALUE"""),11.51)</f>
        <v>11.51</v>
      </c>
      <c r="K1309" s="112">
        <f ca="1">IFERROR(__xludf.DUMMYFUNCTION("""COMPUTED_VALUE"""),42641.7055555555)</f>
        <v>42641.705555555498</v>
      </c>
      <c r="L1309" s="111">
        <f ca="1">IFERROR(__xludf.DUMMYFUNCTION("""COMPUTED_VALUE"""),0.29)</f>
        <v>0.28999999999999998</v>
      </c>
      <c r="M1309" s="112">
        <f ca="1">IFERROR(__xludf.DUMMYFUNCTION("""COMPUTED_VALUE"""),42104.7055555555)</f>
        <v>42104.705555555498</v>
      </c>
      <c r="N1309" s="111">
        <f ca="1">IFERROR(__xludf.DUMMYFUNCTION("""COMPUTED_VALUE"""),15.95)</f>
        <v>15.95</v>
      </c>
      <c r="O1309" s="112">
        <f ca="1">IFERROR(__xludf.DUMMYFUNCTION("""COMPUTED_VALUE"""),42184.7055555555)</f>
        <v>42184.705555555498</v>
      </c>
      <c r="P1309" s="111">
        <f ca="1">IFERROR(__xludf.DUMMYFUNCTION("""COMPUTED_VALUE"""),19.24)</f>
        <v>19.239999999999998</v>
      </c>
      <c r="Q1309" s="112">
        <f ca="1">IFERROR(__xludf.DUMMYFUNCTION("""COMPUTED_VALUE"""),42180.7055555555)</f>
        <v>42180.705555555498</v>
      </c>
      <c r="R1309" s="111">
        <f ca="1">IFERROR(__xludf.DUMMYFUNCTION("""COMPUTED_VALUE"""),23.68)</f>
        <v>23.68</v>
      </c>
      <c r="S1309" s="112">
        <f ca="1">IFERROR(__xludf.DUMMYFUNCTION("""COMPUTED_VALUE"""),42193.7055555555)</f>
        <v>42193.705555555498</v>
      </c>
      <c r="T1309" s="111">
        <f ca="1">IFERROR(__xludf.DUMMYFUNCTION("""COMPUTED_VALUE"""),16.98)</f>
        <v>16.98</v>
      </c>
    </row>
    <row r="1310" spans="1:20" x14ac:dyDescent="0.3">
      <c r="A1310" s="112">
        <f ca="1">IFERROR(__xludf.DUMMYFUNCTION("""COMPUTED_VALUE"""),42191.7055555555)</f>
        <v>42191.705555555498</v>
      </c>
      <c r="B1310" s="111">
        <f ca="1">IFERROR(__xludf.DUMMYFUNCTION("""COMPUTED_VALUE"""),5.9)</f>
        <v>5.9</v>
      </c>
      <c r="C1310" s="112">
        <f ca="1">IFERROR(__xludf.DUMMYFUNCTION("""COMPUTED_VALUE"""),42199.7055555555)</f>
        <v>42199.705555555498</v>
      </c>
      <c r="D1310" s="111">
        <f ca="1">IFERROR(__xludf.DUMMYFUNCTION("""COMPUTED_VALUE"""),21.22)</f>
        <v>21.22</v>
      </c>
      <c r="E1310" s="112">
        <f ca="1">IFERROR(__xludf.DUMMYFUNCTION("""COMPUTED_VALUE"""),42200.7055555555)</f>
        <v>42200.705555555498</v>
      </c>
      <c r="F1310" s="111">
        <f ca="1">IFERROR(__xludf.DUMMYFUNCTION("""COMPUTED_VALUE"""),7.06)</f>
        <v>7.06</v>
      </c>
      <c r="G1310" s="112">
        <f ca="1">IFERROR(__xludf.DUMMYFUNCTION("""COMPUTED_VALUE"""),42192.7055555555)</f>
        <v>42192.705555555498</v>
      </c>
      <c r="H1310" s="111">
        <f ca="1">IFERROR(__xludf.DUMMYFUNCTION("""COMPUTED_VALUE"""),11.77)</f>
        <v>11.77</v>
      </c>
      <c r="K1310" s="112">
        <f ca="1">IFERROR(__xludf.DUMMYFUNCTION("""COMPUTED_VALUE"""),42642.7055555555)</f>
        <v>42642.705555555498</v>
      </c>
      <c r="L1310" s="111">
        <f ca="1">IFERROR(__xludf.DUMMYFUNCTION("""COMPUTED_VALUE"""),0.29)</f>
        <v>0.28999999999999998</v>
      </c>
      <c r="M1310" s="112">
        <f ca="1">IFERROR(__xludf.DUMMYFUNCTION("""COMPUTED_VALUE"""),42107.7055555555)</f>
        <v>42107.705555555498</v>
      </c>
      <c r="N1310" s="111">
        <f ca="1">IFERROR(__xludf.DUMMYFUNCTION("""COMPUTED_VALUE"""),15.99)</f>
        <v>15.99</v>
      </c>
      <c r="O1310" s="112">
        <f ca="1">IFERROR(__xludf.DUMMYFUNCTION("""COMPUTED_VALUE"""),42185.7055555555)</f>
        <v>42185.705555555498</v>
      </c>
      <c r="P1310" s="111">
        <f ca="1">IFERROR(__xludf.DUMMYFUNCTION("""COMPUTED_VALUE"""),18.29)</f>
        <v>18.29</v>
      </c>
      <c r="Q1310" s="112">
        <f ca="1">IFERROR(__xludf.DUMMYFUNCTION("""COMPUTED_VALUE"""),42181.7055555555)</f>
        <v>42181.705555555498</v>
      </c>
      <c r="R1310" s="111">
        <f ca="1">IFERROR(__xludf.DUMMYFUNCTION("""COMPUTED_VALUE"""),24.44)</f>
        <v>24.44</v>
      </c>
      <c r="S1310" s="112">
        <f ca="1">IFERROR(__xludf.DUMMYFUNCTION("""COMPUTED_VALUE"""),42195.7055555555)</f>
        <v>42195.705555555498</v>
      </c>
      <c r="T1310" s="111">
        <f ca="1">IFERROR(__xludf.DUMMYFUNCTION("""COMPUTED_VALUE"""),17.43)</f>
        <v>17.43</v>
      </c>
    </row>
    <row r="1311" spans="1:20" x14ac:dyDescent="0.3">
      <c r="A1311" s="112">
        <f ca="1">IFERROR(__xludf.DUMMYFUNCTION("""COMPUTED_VALUE"""),42192.7055555555)</f>
        <v>42192.705555555498</v>
      </c>
      <c r="B1311" s="111">
        <f ca="1">IFERROR(__xludf.DUMMYFUNCTION("""COMPUTED_VALUE"""),5.86)</f>
        <v>5.86</v>
      </c>
      <c r="C1311" s="112">
        <f ca="1">IFERROR(__xludf.DUMMYFUNCTION("""COMPUTED_VALUE"""),42200.7055555555)</f>
        <v>42200.705555555498</v>
      </c>
      <c r="D1311" s="111">
        <f ca="1">IFERROR(__xludf.DUMMYFUNCTION("""COMPUTED_VALUE"""),18.96)</f>
        <v>18.96</v>
      </c>
      <c r="E1311" s="112">
        <f ca="1">IFERROR(__xludf.DUMMYFUNCTION("""COMPUTED_VALUE"""),42201.7055555555)</f>
        <v>42201.705555555498</v>
      </c>
      <c r="F1311" s="111">
        <f ca="1">IFERROR(__xludf.DUMMYFUNCTION("""COMPUTED_VALUE"""),7.03)</f>
        <v>7.03</v>
      </c>
      <c r="G1311" s="112">
        <f ca="1">IFERROR(__xludf.DUMMYFUNCTION("""COMPUTED_VALUE"""),42193.7055555555)</f>
        <v>42193.705555555498</v>
      </c>
      <c r="H1311" s="111">
        <f ca="1">IFERROR(__xludf.DUMMYFUNCTION("""COMPUTED_VALUE"""),11.46)</f>
        <v>11.46</v>
      </c>
      <c r="K1311" s="112">
        <f ca="1">IFERROR(__xludf.DUMMYFUNCTION("""COMPUTED_VALUE"""),42643.7055555555)</f>
        <v>42643.705555555498</v>
      </c>
      <c r="L1311" s="111">
        <f ca="1">IFERROR(__xludf.DUMMYFUNCTION("""COMPUTED_VALUE"""),0.3)</f>
        <v>0.3</v>
      </c>
      <c r="M1311" s="112">
        <f ca="1">IFERROR(__xludf.DUMMYFUNCTION("""COMPUTED_VALUE"""),42108.7055555555)</f>
        <v>42108.705555555498</v>
      </c>
      <c r="N1311" s="111">
        <f ca="1">IFERROR(__xludf.DUMMYFUNCTION("""COMPUTED_VALUE"""),16.22)</f>
        <v>16.22</v>
      </c>
      <c r="O1311" s="112">
        <f ca="1">IFERROR(__xludf.DUMMYFUNCTION("""COMPUTED_VALUE"""),42186.7055555555)</f>
        <v>42186.705555555498</v>
      </c>
      <c r="P1311" s="111">
        <f ca="1">IFERROR(__xludf.DUMMYFUNCTION("""COMPUTED_VALUE"""),18.14)</f>
        <v>18.14</v>
      </c>
      <c r="Q1311" s="112">
        <f ca="1">IFERROR(__xludf.DUMMYFUNCTION("""COMPUTED_VALUE"""),42184.7055555555)</f>
        <v>42184.705555555498</v>
      </c>
      <c r="R1311" s="111">
        <f ca="1">IFERROR(__xludf.DUMMYFUNCTION("""COMPUTED_VALUE"""),23.6)</f>
        <v>23.6</v>
      </c>
      <c r="S1311" s="112">
        <f ca="1">IFERROR(__xludf.DUMMYFUNCTION("""COMPUTED_VALUE"""),42198.7055555555)</f>
        <v>42198.705555555498</v>
      </c>
      <c r="T1311" s="111">
        <f ca="1">IFERROR(__xludf.DUMMYFUNCTION("""COMPUTED_VALUE"""),17.36)</f>
        <v>17.36</v>
      </c>
    </row>
    <row r="1312" spans="1:20" x14ac:dyDescent="0.3">
      <c r="A1312" s="112">
        <f ca="1">IFERROR(__xludf.DUMMYFUNCTION("""COMPUTED_VALUE"""),42193.7055555555)</f>
        <v>42193.705555555498</v>
      </c>
      <c r="B1312" s="111">
        <f ca="1">IFERROR(__xludf.DUMMYFUNCTION("""COMPUTED_VALUE"""),5.74)</f>
        <v>5.74</v>
      </c>
      <c r="C1312" s="112">
        <f ca="1">IFERROR(__xludf.DUMMYFUNCTION("""COMPUTED_VALUE"""),42201.7055555555)</f>
        <v>42201.705555555498</v>
      </c>
      <c r="D1312" s="111">
        <f ca="1">IFERROR(__xludf.DUMMYFUNCTION("""COMPUTED_VALUE"""),18.97)</f>
        <v>18.97</v>
      </c>
      <c r="E1312" s="112">
        <f ca="1">IFERROR(__xludf.DUMMYFUNCTION("""COMPUTED_VALUE"""),42202.7055555555)</f>
        <v>42202.705555555498</v>
      </c>
      <c r="F1312" s="111">
        <f ca="1">IFERROR(__xludf.DUMMYFUNCTION("""COMPUTED_VALUE"""),6.94)</f>
        <v>6.94</v>
      </c>
      <c r="G1312" s="112">
        <f ca="1">IFERROR(__xludf.DUMMYFUNCTION("""COMPUTED_VALUE"""),42195.7055555555)</f>
        <v>42195.705555555498</v>
      </c>
      <c r="H1312" s="111">
        <f ca="1">IFERROR(__xludf.DUMMYFUNCTION("""COMPUTED_VALUE"""),11.81)</f>
        <v>11.81</v>
      </c>
      <c r="K1312" s="112">
        <f ca="1">IFERROR(__xludf.DUMMYFUNCTION("""COMPUTED_VALUE"""),42646.7055555555)</f>
        <v>42646.705555555498</v>
      </c>
      <c r="L1312" s="111">
        <f ca="1">IFERROR(__xludf.DUMMYFUNCTION("""COMPUTED_VALUE"""),0.3)</f>
        <v>0.3</v>
      </c>
      <c r="M1312" s="112">
        <f ca="1">IFERROR(__xludf.DUMMYFUNCTION("""COMPUTED_VALUE"""),42109.7055555555)</f>
        <v>42109.705555555498</v>
      </c>
      <c r="N1312" s="111">
        <f ca="1">IFERROR(__xludf.DUMMYFUNCTION("""COMPUTED_VALUE"""),16.39)</f>
        <v>16.39</v>
      </c>
      <c r="O1312" s="112">
        <f ca="1">IFERROR(__xludf.DUMMYFUNCTION("""COMPUTED_VALUE"""),42187.7055555555)</f>
        <v>42187.705555555498</v>
      </c>
      <c r="P1312" s="111">
        <f ca="1">IFERROR(__xludf.DUMMYFUNCTION("""COMPUTED_VALUE"""),18.19)</f>
        <v>18.190000000000001</v>
      </c>
      <c r="Q1312" s="112">
        <f ca="1">IFERROR(__xludf.DUMMYFUNCTION("""COMPUTED_VALUE"""),42185.7055555555)</f>
        <v>42185.705555555498</v>
      </c>
      <c r="R1312" s="111">
        <f ca="1">IFERROR(__xludf.DUMMYFUNCTION("""COMPUTED_VALUE"""),24.24)</f>
        <v>24.24</v>
      </c>
      <c r="S1312" s="112">
        <f ca="1">IFERROR(__xludf.DUMMYFUNCTION("""COMPUTED_VALUE"""),42199.7055555555)</f>
        <v>42199.705555555498</v>
      </c>
      <c r="T1312" s="111">
        <f ca="1">IFERROR(__xludf.DUMMYFUNCTION("""COMPUTED_VALUE"""),17.15)</f>
        <v>17.149999999999999</v>
      </c>
    </row>
    <row r="1313" spans="1:20" x14ac:dyDescent="0.3">
      <c r="A1313" s="112">
        <f ca="1">IFERROR(__xludf.DUMMYFUNCTION("""COMPUTED_VALUE"""),42195.7055555555)</f>
        <v>42195.705555555498</v>
      </c>
      <c r="B1313" s="111">
        <f ca="1">IFERROR(__xludf.DUMMYFUNCTION("""COMPUTED_VALUE"""),5.83)</f>
        <v>5.83</v>
      </c>
      <c r="C1313" s="112">
        <f ca="1">IFERROR(__xludf.DUMMYFUNCTION("""COMPUTED_VALUE"""),42202.7055555555)</f>
        <v>42202.705555555498</v>
      </c>
      <c r="D1313" s="111">
        <f ca="1">IFERROR(__xludf.DUMMYFUNCTION("""COMPUTED_VALUE"""),18.92)</f>
        <v>18.920000000000002</v>
      </c>
      <c r="E1313" s="112">
        <f ca="1">IFERROR(__xludf.DUMMYFUNCTION("""COMPUTED_VALUE"""),42205.7055555555)</f>
        <v>42205.705555555498</v>
      </c>
      <c r="F1313" s="111">
        <f ca="1">IFERROR(__xludf.DUMMYFUNCTION("""COMPUTED_VALUE"""),6.91)</f>
        <v>6.91</v>
      </c>
      <c r="G1313" s="112">
        <f ca="1">IFERROR(__xludf.DUMMYFUNCTION("""COMPUTED_VALUE"""),42198.7055555555)</f>
        <v>42198.705555555498</v>
      </c>
      <c r="H1313" s="111">
        <f ca="1">IFERROR(__xludf.DUMMYFUNCTION("""COMPUTED_VALUE"""),11.79)</f>
        <v>11.79</v>
      </c>
      <c r="K1313" s="112">
        <f ca="1">IFERROR(__xludf.DUMMYFUNCTION("""COMPUTED_VALUE"""),42647.7055555555)</f>
        <v>42647.705555555498</v>
      </c>
      <c r="L1313" s="111">
        <f ca="1">IFERROR(__xludf.DUMMYFUNCTION("""COMPUTED_VALUE"""),0.31)</f>
        <v>0.31</v>
      </c>
      <c r="M1313" s="112">
        <f ca="1">IFERROR(__xludf.DUMMYFUNCTION("""COMPUTED_VALUE"""),42110.7055555555)</f>
        <v>42110.705555555498</v>
      </c>
      <c r="N1313" s="111">
        <f ca="1">IFERROR(__xludf.DUMMYFUNCTION("""COMPUTED_VALUE"""),16.4)</f>
        <v>16.399999999999999</v>
      </c>
      <c r="O1313" s="112">
        <f ca="1">IFERROR(__xludf.DUMMYFUNCTION("""COMPUTED_VALUE"""),42188.7055555555)</f>
        <v>42188.705555555498</v>
      </c>
      <c r="P1313" s="111">
        <f ca="1">IFERROR(__xludf.DUMMYFUNCTION("""COMPUTED_VALUE"""),17.68)</f>
        <v>17.68</v>
      </c>
      <c r="Q1313" s="112">
        <f ca="1">IFERROR(__xludf.DUMMYFUNCTION("""COMPUTED_VALUE"""),42186.7055555555)</f>
        <v>42186.705555555498</v>
      </c>
      <c r="R1313" s="111">
        <f ca="1">IFERROR(__xludf.DUMMYFUNCTION("""COMPUTED_VALUE"""),23.92)</f>
        <v>23.92</v>
      </c>
      <c r="S1313" s="112">
        <f ca="1">IFERROR(__xludf.DUMMYFUNCTION("""COMPUTED_VALUE"""),42200.7055555555)</f>
        <v>42200.705555555498</v>
      </c>
      <c r="T1313" s="111">
        <f ca="1">IFERROR(__xludf.DUMMYFUNCTION("""COMPUTED_VALUE"""),17.22)</f>
        <v>17.22</v>
      </c>
    </row>
    <row r="1314" spans="1:20" x14ac:dyDescent="0.3">
      <c r="A1314" s="112">
        <f ca="1">IFERROR(__xludf.DUMMYFUNCTION("""COMPUTED_VALUE"""),42198.7055555555)</f>
        <v>42198.705555555498</v>
      </c>
      <c r="B1314" s="111">
        <f ca="1">IFERROR(__xludf.DUMMYFUNCTION("""COMPUTED_VALUE"""),5.85)</f>
        <v>5.85</v>
      </c>
      <c r="C1314" s="112">
        <f ca="1">IFERROR(__xludf.DUMMYFUNCTION("""COMPUTED_VALUE"""),42205.7055555555)</f>
        <v>42205.705555555498</v>
      </c>
      <c r="D1314" s="111">
        <f ca="1">IFERROR(__xludf.DUMMYFUNCTION("""COMPUTED_VALUE"""),18.68)</f>
        <v>18.68</v>
      </c>
      <c r="E1314" s="112">
        <f ca="1">IFERROR(__xludf.DUMMYFUNCTION("""COMPUTED_VALUE"""),42206.7055555555)</f>
        <v>42206.705555555498</v>
      </c>
      <c r="F1314" s="111">
        <f ca="1">IFERROR(__xludf.DUMMYFUNCTION("""COMPUTED_VALUE"""),6.91)</f>
        <v>6.91</v>
      </c>
      <c r="G1314" s="112">
        <f ca="1">IFERROR(__xludf.DUMMYFUNCTION("""COMPUTED_VALUE"""),42199.7055555555)</f>
        <v>42199.705555555498</v>
      </c>
      <c r="H1314" s="111">
        <f ca="1">IFERROR(__xludf.DUMMYFUNCTION("""COMPUTED_VALUE"""),11.99)</f>
        <v>11.99</v>
      </c>
      <c r="K1314" s="112">
        <f ca="1">IFERROR(__xludf.DUMMYFUNCTION("""COMPUTED_VALUE"""),42648.7055555555)</f>
        <v>42648.705555555498</v>
      </c>
      <c r="L1314" s="111">
        <f ca="1">IFERROR(__xludf.DUMMYFUNCTION("""COMPUTED_VALUE"""),0.32)</f>
        <v>0.32</v>
      </c>
      <c r="M1314" s="112">
        <f ca="1">IFERROR(__xludf.DUMMYFUNCTION("""COMPUTED_VALUE"""),42111.7055555555)</f>
        <v>42111.705555555498</v>
      </c>
      <c r="N1314" s="111">
        <f ca="1">IFERROR(__xludf.DUMMYFUNCTION("""COMPUTED_VALUE"""),15.91)</f>
        <v>15.91</v>
      </c>
      <c r="O1314" s="112">
        <f ca="1">IFERROR(__xludf.DUMMYFUNCTION("""COMPUTED_VALUE"""),42191.7055555555)</f>
        <v>42191.705555555498</v>
      </c>
      <c r="P1314" s="111">
        <f ca="1">IFERROR(__xludf.DUMMYFUNCTION("""COMPUTED_VALUE"""),17.51)</f>
        <v>17.510000000000002</v>
      </c>
      <c r="Q1314" s="112">
        <f ca="1">IFERROR(__xludf.DUMMYFUNCTION("""COMPUTED_VALUE"""),42187.7055555555)</f>
        <v>42187.705555555498</v>
      </c>
      <c r="R1314" s="111">
        <f ca="1">IFERROR(__xludf.DUMMYFUNCTION("""COMPUTED_VALUE"""),23.83)</f>
        <v>23.83</v>
      </c>
      <c r="S1314" s="112">
        <f ca="1">IFERROR(__xludf.DUMMYFUNCTION("""COMPUTED_VALUE"""),42201.7055555555)</f>
        <v>42201.705555555498</v>
      </c>
      <c r="T1314" s="111">
        <f ca="1">IFERROR(__xludf.DUMMYFUNCTION("""COMPUTED_VALUE"""),17.25)</f>
        <v>17.25</v>
      </c>
    </row>
    <row r="1315" spans="1:20" x14ac:dyDescent="0.3">
      <c r="A1315" s="112">
        <f ca="1">IFERROR(__xludf.DUMMYFUNCTION("""COMPUTED_VALUE"""),42199.7055555555)</f>
        <v>42199.705555555498</v>
      </c>
      <c r="B1315" s="111">
        <f ca="1">IFERROR(__xludf.DUMMYFUNCTION("""COMPUTED_VALUE"""),6.06)</f>
        <v>6.06</v>
      </c>
      <c r="C1315" s="112">
        <f ca="1">IFERROR(__xludf.DUMMYFUNCTION("""COMPUTED_VALUE"""),42206.7055555555)</f>
        <v>42206.705555555498</v>
      </c>
      <c r="D1315" s="111">
        <f ca="1">IFERROR(__xludf.DUMMYFUNCTION("""COMPUTED_VALUE"""),18.58)</f>
        <v>18.579999999999998</v>
      </c>
      <c r="E1315" s="112">
        <f ca="1">IFERROR(__xludf.DUMMYFUNCTION("""COMPUTED_VALUE"""),42207.7055555555)</f>
        <v>42207.705555555498</v>
      </c>
      <c r="F1315" s="111">
        <f ca="1">IFERROR(__xludf.DUMMYFUNCTION("""COMPUTED_VALUE"""),6.88)</f>
        <v>6.88</v>
      </c>
      <c r="G1315" s="112">
        <f ca="1">IFERROR(__xludf.DUMMYFUNCTION("""COMPUTED_VALUE"""),42200.7055555555)</f>
        <v>42200.705555555498</v>
      </c>
      <c r="H1315" s="111">
        <f ca="1">IFERROR(__xludf.DUMMYFUNCTION("""COMPUTED_VALUE"""),11.78)</f>
        <v>11.78</v>
      </c>
      <c r="K1315" s="112">
        <f ca="1">IFERROR(__xludf.DUMMYFUNCTION("""COMPUTED_VALUE"""),42649.7055555555)</f>
        <v>42649.705555555498</v>
      </c>
      <c r="L1315" s="111">
        <f ca="1">IFERROR(__xludf.DUMMYFUNCTION("""COMPUTED_VALUE"""),0.32)</f>
        <v>0.32</v>
      </c>
      <c r="M1315" s="112">
        <f ca="1">IFERROR(__xludf.DUMMYFUNCTION("""COMPUTED_VALUE"""),42114.7055555555)</f>
        <v>42114.705555555498</v>
      </c>
      <c r="N1315" s="111">
        <f ca="1">IFERROR(__xludf.DUMMYFUNCTION("""COMPUTED_VALUE"""),15.82)</f>
        <v>15.82</v>
      </c>
      <c r="O1315" s="112">
        <f ca="1">IFERROR(__xludf.DUMMYFUNCTION("""COMPUTED_VALUE"""),42192.7055555555)</f>
        <v>42192.705555555498</v>
      </c>
      <c r="P1315" s="111">
        <f ca="1">IFERROR(__xludf.DUMMYFUNCTION("""COMPUTED_VALUE"""),18.03)</f>
        <v>18.03</v>
      </c>
      <c r="Q1315" s="112">
        <f ca="1">IFERROR(__xludf.DUMMYFUNCTION("""COMPUTED_VALUE"""),42188.7055555555)</f>
        <v>42188.705555555498</v>
      </c>
      <c r="R1315" s="111">
        <f ca="1">IFERROR(__xludf.DUMMYFUNCTION("""COMPUTED_VALUE"""),23.54)</f>
        <v>23.54</v>
      </c>
      <c r="S1315" s="112">
        <f ca="1">IFERROR(__xludf.DUMMYFUNCTION("""COMPUTED_VALUE"""),42202.7055555555)</f>
        <v>42202.705555555498</v>
      </c>
      <c r="T1315" s="111">
        <f ca="1">IFERROR(__xludf.DUMMYFUNCTION("""COMPUTED_VALUE"""),17.08)</f>
        <v>17.079999999999998</v>
      </c>
    </row>
    <row r="1316" spans="1:20" x14ac:dyDescent="0.3">
      <c r="A1316" s="112">
        <f ca="1">IFERROR(__xludf.DUMMYFUNCTION("""COMPUTED_VALUE"""),42200.7055555555)</f>
        <v>42200.705555555498</v>
      </c>
      <c r="B1316" s="111">
        <f ca="1">IFERROR(__xludf.DUMMYFUNCTION("""COMPUTED_VALUE"""),5.88)</f>
        <v>5.88</v>
      </c>
      <c r="C1316" s="112">
        <f ca="1">IFERROR(__xludf.DUMMYFUNCTION("""COMPUTED_VALUE"""),42207.7055555555)</f>
        <v>42207.705555555498</v>
      </c>
      <c r="D1316" s="111">
        <f ca="1">IFERROR(__xludf.DUMMYFUNCTION("""COMPUTED_VALUE"""),18.38)</f>
        <v>18.38</v>
      </c>
      <c r="E1316" s="112">
        <f ca="1">IFERROR(__xludf.DUMMYFUNCTION("""COMPUTED_VALUE"""),42208.7055555555)</f>
        <v>42208.705555555498</v>
      </c>
      <c r="F1316" s="111">
        <f ca="1">IFERROR(__xludf.DUMMYFUNCTION("""COMPUTED_VALUE"""),6.48)</f>
        <v>6.48</v>
      </c>
      <c r="G1316" s="112">
        <f ca="1">IFERROR(__xludf.DUMMYFUNCTION("""COMPUTED_VALUE"""),42201.7055555555)</f>
        <v>42201.705555555498</v>
      </c>
      <c r="H1316" s="111">
        <f ca="1">IFERROR(__xludf.DUMMYFUNCTION("""COMPUTED_VALUE"""),11.99)</f>
        <v>11.99</v>
      </c>
      <c r="K1316" s="112">
        <f ca="1">IFERROR(__xludf.DUMMYFUNCTION("""COMPUTED_VALUE"""),42650.7055555555)</f>
        <v>42650.705555555498</v>
      </c>
      <c r="L1316" s="111">
        <f ca="1">IFERROR(__xludf.DUMMYFUNCTION("""COMPUTED_VALUE"""),0.33)</f>
        <v>0.33</v>
      </c>
      <c r="M1316" s="112">
        <f ca="1">IFERROR(__xludf.DUMMYFUNCTION("""COMPUTED_VALUE"""),42116.7055555555)</f>
        <v>42116.705555555498</v>
      </c>
      <c r="N1316" s="111">
        <f ca="1">IFERROR(__xludf.DUMMYFUNCTION("""COMPUTED_VALUE"""),15.95)</f>
        <v>15.95</v>
      </c>
      <c r="O1316" s="112">
        <f ca="1">IFERROR(__xludf.DUMMYFUNCTION("""COMPUTED_VALUE"""),42193.7055555555)</f>
        <v>42193.705555555498</v>
      </c>
      <c r="P1316" s="111">
        <f ca="1">IFERROR(__xludf.DUMMYFUNCTION("""COMPUTED_VALUE"""),17.01)</f>
        <v>17.010000000000002</v>
      </c>
      <c r="Q1316" s="112">
        <f ca="1">IFERROR(__xludf.DUMMYFUNCTION("""COMPUTED_VALUE"""),42191.7055555555)</f>
        <v>42191.705555555498</v>
      </c>
      <c r="R1316" s="111">
        <f ca="1">IFERROR(__xludf.DUMMYFUNCTION("""COMPUTED_VALUE"""),23.93)</f>
        <v>23.93</v>
      </c>
      <c r="S1316" s="112">
        <f ca="1">IFERROR(__xludf.DUMMYFUNCTION("""COMPUTED_VALUE"""),42205.7055555555)</f>
        <v>42205.705555555498</v>
      </c>
      <c r="T1316" s="111">
        <f ca="1">IFERROR(__xludf.DUMMYFUNCTION("""COMPUTED_VALUE"""),16.86)</f>
        <v>16.86</v>
      </c>
    </row>
    <row r="1317" spans="1:20" x14ac:dyDescent="0.3">
      <c r="A1317" s="112">
        <f ca="1">IFERROR(__xludf.DUMMYFUNCTION("""COMPUTED_VALUE"""),42201.7055555555)</f>
        <v>42201.705555555498</v>
      </c>
      <c r="B1317" s="111">
        <f ca="1">IFERROR(__xludf.DUMMYFUNCTION("""COMPUTED_VALUE"""),5.81)</f>
        <v>5.81</v>
      </c>
      <c r="C1317" s="112">
        <f ca="1">IFERROR(__xludf.DUMMYFUNCTION("""COMPUTED_VALUE"""),42208.7055555555)</f>
        <v>42208.705555555498</v>
      </c>
      <c r="D1317" s="111">
        <f ca="1">IFERROR(__xludf.DUMMYFUNCTION("""COMPUTED_VALUE"""),17.57)</f>
        <v>17.57</v>
      </c>
      <c r="E1317" s="112">
        <f ca="1">IFERROR(__xludf.DUMMYFUNCTION("""COMPUTED_VALUE"""),42209.7055555555)</f>
        <v>42209.705555555498</v>
      </c>
      <c r="F1317" s="111">
        <f ca="1">IFERROR(__xludf.DUMMYFUNCTION("""COMPUTED_VALUE"""),6.3)</f>
        <v>6.3</v>
      </c>
      <c r="G1317" s="112">
        <f ca="1">IFERROR(__xludf.DUMMYFUNCTION("""COMPUTED_VALUE"""),42202.7055555555)</f>
        <v>42202.705555555498</v>
      </c>
      <c r="H1317" s="111">
        <f ca="1">IFERROR(__xludf.DUMMYFUNCTION("""COMPUTED_VALUE"""),11.41)</f>
        <v>11.41</v>
      </c>
      <c r="K1317" s="112">
        <f ca="1">IFERROR(__xludf.DUMMYFUNCTION("""COMPUTED_VALUE"""),42653.7055555555)</f>
        <v>42653.705555555498</v>
      </c>
      <c r="L1317" s="111">
        <f ca="1">IFERROR(__xludf.DUMMYFUNCTION("""COMPUTED_VALUE"""),0.35)</f>
        <v>0.35</v>
      </c>
      <c r="M1317" s="112">
        <f ca="1">IFERROR(__xludf.DUMMYFUNCTION("""COMPUTED_VALUE"""),42117.7055555555)</f>
        <v>42117.705555555498</v>
      </c>
      <c r="N1317" s="111">
        <f ca="1">IFERROR(__xludf.DUMMYFUNCTION("""COMPUTED_VALUE"""),16.36)</f>
        <v>16.36</v>
      </c>
      <c r="O1317" s="112">
        <f ca="1">IFERROR(__xludf.DUMMYFUNCTION("""COMPUTED_VALUE"""),42195.7055555555)</f>
        <v>42195.705555555498</v>
      </c>
      <c r="P1317" s="111">
        <f ca="1">IFERROR(__xludf.DUMMYFUNCTION("""COMPUTED_VALUE"""),17.11)</f>
        <v>17.11</v>
      </c>
      <c r="Q1317" s="112">
        <f ca="1">IFERROR(__xludf.DUMMYFUNCTION("""COMPUTED_VALUE"""),42192.7055555555)</f>
        <v>42192.705555555498</v>
      </c>
      <c r="R1317" s="111">
        <f ca="1">IFERROR(__xludf.DUMMYFUNCTION("""COMPUTED_VALUE"""),23.45)</f>
        <v>23.45</v>
      </c>
      <c r="S1317" s="112">
        <f ca="1">IFERROR(__xludf.DUMMYFUNCTION("""COMPUTED_VALUE"""),42206.7055555555)</f>
        <v>42206.705555555498</v>
      </c>
      <c r="T1317" s="111">
        <f ca="1">IFERROR(__xludf.DUMMYFUNCTION("""COMPUTED_VALUE"""),16.76)</f>
        <v>16.760000000000002</v>
      </c>
    </row>
    <row r="1318" spans="1:20" x14ac:dyDescent="0.3">
      <c r="A1318" s="112">
        <f ca="1">IFERROR(__xludf.DUMMYFUNCTION("""COMPUTED_VALUE"""),42202.7055555555)</f>
        <v>42202.705555555498</v>
      </c>
      <c r="B1318" s="111">
        <f ca="1">IFERROR(__xludf.DUMMYFUNCTION("""COMPUTED_VALUE"""),5.78)</f>
        <v>5.78</v>
      </c>
      <c r="C1318" s="112">
        <f ca="1">IFERROR(__xludf.DUMMYFUNCTION("""COMPUTED_VALUE"""),42209.7055555555)</f>
        <v>42209.705555555498</v>
      </c>
      <c r="D1318" s="111">
        <f ca="1">IFERROR(__xludf.DUMMYFUNCTION("""COMPUTED_VALUE"""),17.52)</f>
        <v>17.52</v>
      </c>
      <c r="E1318" s="112">
        <f ca="1">IFERROR(__xludf.DUMMYFUNCTION("""COMPUTED_VALUE"""),42212.7055555555)</f>
        <v>42212.705555555498</v>
      </c>
      <c r="F1318" s="111">
        <f ca="1">IFERROR(__xludf.DUMMYFUNCTION("""COMPUTED_VALUE"""),6.31)</f>
        <v>6.31</v>
      </c>
      <c r="G1318" s="112">
        <f ca="1">IFERROR(__xludf.DUMMYFUNCTION("""COMPUTED_VALUE"""),42205.7055555555)</f>
        <v>42205.705555555498</v>
      </c>
      <c r="H1318" s="111">
        <f ca="1">IFERROR(__xludf.DUMMYFUNCTION("""COMPUTED_VALUE"""),10.79)</f>
        <v>10.79</v>
      </c>
      <c r="K1318" s="112">
        <f ca="1">IFERROR(__xludf.DUMMYFUNCTION("""COMPUTED_VALUE"""),42654.7055555555)</f>
        <v>42654.705555555498</v>
      </c>
      <c r="L1318" s="111">
        <f ca="1">IFERROR(__xludf.DUMMYFUNCTION("""COMPUTED_VALUE"""),0.35)</f>
        <v>0.35</v>
      </c>
      <c r="M1318" s="112">
        <f ca="1">IFERROR(__xludf.DUMMYFUNCTION("""COMPUTED_VALUE"""),42118.7055555555)</f>
        <v>42118.705555555498</v>
      </c>
      <c r="N1318" s="111">
        <f ca="1">IFERROR(__xludf.DUMMYFUNCTION("""COMPUTED_VALUE"""),16.82)</f>
        <v>16.82</v>
      </c>
      <c r="O1318" s="112">
        <f ca="1">IFERROR(__xludf.DUMMYFUNCTION("""COMPUTED_VALUE"""),42198.7055555555)</f>
        <v>42198.705555555498</v>
      </c>
      <c r="P1318" s="111">
        <f ca="1">IFERROR(__xludf.DUMMYFUNCTION("""COMPUTED_VALUE"""),18.5)</f>
        <v>18.5</v>
      </c>
      <c r="Q1318" s="112">
        <f ca="1">IFERROR(__xludf.DUMMYFUNCTION("""COMPUTED_VALUE"""),42193.7055555555)</f>
        <v>42193.705555555498</v>
      </c>
      <c r="R1318" s="111">
        <f ca="1">IFERROR(__xludf.DUMMYFUNCTION("""COMPUTED_VALUE"""),23.08)</f>
        <v>23.08</v>
      </c>
      <c r="S1318" s="112">
        <f ca="1">IFERROR(__xludf.DUMMYFUNCTION("""COMPUTED_VALUE"""),42207.7055555555)</f>
        <v>42207.705555555498</v>
      </c>
      <c r="T1318" s="111">
        <f ca="1">IFERROR(__xludf.DUMMYFUNCTION("""COMPUTED_VALUE"""),16.65)</f>
        <v>16.649999999999999</v>
      </c>
    </row>
    <row r="1319" spans="1:20" x14ac:dyDescent="0.3">
      <c r="A1319" s="112">
        <f ca="1">IFERROR(__xludf.DUMMYFUNCTION("""COMPUTED_VALUE"""),42205.7055555555)</f>
        <v>42205.705555555498</v>
      </c>
      <c r="B1319" s="111">
        <f ca="1">IFERROR(__xludf.DUMMYFUNCTION("""COMPUTED_VALUE"""),5.56)</f>
        <v>5.56</v>
      </c>
      <c r="C1319" s="112">
        <f ca="1">IFERROR(__xludf.DUMMYFUNCTION("""COMPUTED_VALUE"""),42212.7055555555)</f>
        <v>42212.705555555498</v>
      </c>
      <c r="D1319" s="111">
        <f ca="1">IFERROR(__xludf.DUMMYFUNCTION("""COMPUTED_VALUE"""),17.48)</f>
        <v>17.48</v>
      </c>
      <c r="E1319" s="112">
        <f ca="1">IFERROR(__xludf.DUMMYFUNCTION("""COMPUTED_VALUE"""),42213.7055555555)</f>
        <v>42213.705555555498</v>
      </c>
      <c r="F1319" s="111">
        <f ca="1">IFERROR(__xludf.DUMMYFUNCTION("""COMPUTED_VALUE"""),6.34)</f>
        <v>6.34</v>
      </c>
      <c r="G1319" s="112">
        <f ca="1">IFERROR(__xludf.DUMMYFUNCTION("""COMPUTED_VALUE"""),42206.7055555555)</f>
        <v>42206.705555555498</v>
      </c>
      <c r="H1319" s="111">
        <f ca="1">IFERROR(__xludf.DUMMYFUNCTION("""COMPUTED_VALUE"""),10.73)</f>
        <v>10.73</v>
      </c>
      <c r="K1319" s="112">
        <f ca="1">IFERROR(__xludf.DUMMYFUNCTION("""COMPUTED_VALUE"""),42656.7055555555)</f>
        <v>42656.705555555498</v>
      </c>
      <c r="L1319" s="111">
        <f ca="1">IFERROR(__xludf.DUMMYFUNCTION("""COMPUTED_VALUE"""),0.35)</f>
        <v>0.35</v>
      </c>
      <c r="M1319" s="112">
        <f ca="1">IFERROR(__xludf.DUMMYFUNCTION("""COMPUTED_VALUE"""),42121.7055555555)</f>
        <v>42121.705555555498</v>
      </c>
      <c r="N1319" s="111">
        <f ca="1">IFERROR(__xludf.DUMMYFUNCTION("""COMPUTED_VALUE"""),16.5)</f>
        <v>16.5</v>
      </c>
      <c r="O1319" s="112">
        <f ca="1">IFERROR(__xludf.DUMMYFUNCTION("""COMPUTED_VALUE"""),42199.7055555555)</f>
        <v>42199.705555555498</v>
      </c>
      <c r="P1319" s="111">
        <f ca="1">IFERROR(__xludf.DUMMYFUNCTION("""COMPUTED_VALUE"""),17.85)</f>
        <v>17.850000000000001</v>
      </c>
      <c r="Q1319" s="112">
        <f ca="1">IFERROR(__xludf.DUMMYFUNCTION("""COMPUTED_VALUE"""),42195.7055555555)</f>
        <v>42195.705555555498</v>
      </c>
      <c r="R1319" s="111">
        <f ca="1">IFERROR(__xludf.DUMMYFUNCTION("""COMPUTED_VALUE"""),23.85)</f>
        <v>23.85</v>
      </c>
      <c r="S1319" s="112">
        <f ca="1">IFERROR(__xludf.DUMMYFUNCTION("""COMPUTED_VALUE"""),42208.7055555555)</f>
        <v>42208.705555555498</v>
      </c>
      <c r="T1319" s="111">
        <f ca="1">IFERROR(__xludf.DUMMYFUNCTION("""COMPUTED_VALUE"""),16.17)</f>
        <v>16.170000000000002</v>
      </c>
    </row>
    <row r="1320" spans="1:20" x14ac:dyDescent="0.3">
      <c r="A1320" s="112">
        <f ca="1">IFERROR(__xludf.DUMMYFUNCTION("""COMPUTED_VALUE"""),42206.7055555555)</f>
        <v>42206.705555555498</v>
      </c>
      <c r="B1320" s="111">
        <f ca="1">IFERROR(__xludf.DUMMYFUNCTION("""COMPUTED_VALUE"""),5.66)</f>
        <v>5.66</v>
      </c>
      <c r="C1320" s="112">
        <f ca="1">IFERROR(__xludf.DUMMYFUNCTION("""COMPUTED_VALUE"""),42213.7055555555)</f>
        <v>42213.705555555498</v>
      </c>
      <c r="D1320" s="111">
        <f ca="1">IFERROR(__xludf.DUMMYFUNCTION("""COMPUTED_VALUE"""),17.71)</f>
        <v>17.71</v>
      </c>
      <c r="E1320" s="112">
        <f ca="1">IFERROR(__xludf.DUMMYFUNCTION("""COMPUTED_VALUE"""),42214.7055555555)</f>
        <v>42214.705555555498</v>
      </c>
      <c r="F1320" s="111">
        <f ca="1">IFERROR(__xludf.DUMMYFUNCTION("""COMPUTED_VALUE"""),6.49)</f>
        <v>6.49</v>
      </c>
      <c r="G1320" s="112">
        <f ca="1">IFERROR(__xludf.DUMMYFUNCTION("""COMPUTED_VALUE"""),42207.7055555555)</f>
        <v>42207.705555555498</v>
      </c>
      <c r="H1320" s="111">
        <f ca="1">IFERROR(__xludf.DUMMYFUNCTION("""COMPUTED_VALUE"""),10.36)</f>
        <v>10.36</v>
      </c>
      <c r="K1320" s="112">
        <f ca="1">IFERROR(__xludf.DUMMYFUNCTION("""COMPUTED_VALUE"""),42657.7055555555)</f>
        <v>42657.705555555498</v>
      </c>
      <c r="L1320" s="111">
        <f ca="1">IFERROR(__xludf.DUMMYFUNCTION("""COMPUTED_VALUE"""),0.36)</f>
        <v>0.36</v>
      </c>
      <c r="M1320" s="112">
        <f ca="1">IFERROR(__xludf.DUMMYFUNCTION("""COMPUTED_VALUE"""),42122.7055555555)</f>
        <v>42122.705555555498</v>
      </c>
      <c r="N1320" s="111">
        <f ca="1">IFERROR(__xludf.DUMMYFUNCTION("""COMPUTED_VALUE"""),16.82)</f>
        <v>16.82</v>
      </c>
      <c r="O1320" s="112">
        <f ca="1">IFERROR(__xludf.DUMMYFUNCTION("""COMPUTED_VALUE"""),42200.7055555555)</f>
        <v>42200.705555555498</v>
      </c>
      <c r="P1320" s="111">
        <f ca="1">IFERROR(__xludf.DUMMYFUNCTION("""COMPUTED_VALUE"""),17.18)</f>
        <v>17.18</v>
      </c>
      <c r="Q1320" s="112">
        <f ca="1">IFERROR(__xludf.DUMMYFUNCTION("""COMPUTED_VALUE"""),42198.7055555555)</f>
        <v>42198.705555555498</v>
      </c>
      <c r="R1320" s="111">
        <f ca="1">IFERROR(__xludf.DUMMYFUNCTION("""COMPUTED_VALUE"""),23.83)</f>
        <v>23.83</v>
      </c>
      <c r="S1320" s="112">
        <f ca="1">IFERROR(__xludf.DUMMYFUNCTION("""COMPUTED_VALUE"""),42209.7055555555)</f>
        <v>42209.705555555498</v>
      </c>
      <c r="T1320" s="111">
        <f ca="1">IFERROR(__xludf.DUMMYFUNCTION("""COMPUTED_VALUE"""),16.07)</f>
        <v>16.07</v>
      </c>
    </row>
    <row r="1321" spans="1:20" x14ac:dyDescent="0.3">
      <c r="A1321" s="112">
        <f ca="1">IFERROR(__xludf.DUMMYFUNCTION("""COMPUTED_VALUE"""),42207.7055555555)</f>
        <v>42207.705555555498</v>
      </c>
      <c r="B1321" s="111">
        <f ca="1">IFERROR(__xludf.DUMMYFUNCTION("""COMPUTED_VALUE"""),5.7)</f>
        <v>5.7</v>
      </c>
      <c r="C1321" s="112">
        <f ca="1">IFERROR(__xludf.DUMMYFUNCTION("""COMPUTED_VALUE"""),42214.7055555555)</f>
        <v>42214.705555555498</v>
      </c>
      <c r="D1321" s="111">
        <f ca="1">IFERROR(__xludf.DUMMYFUNCTION("""COMPUTED_VALUE"""),17.98)</f>
        <v>17.98</v>
      </c>
      <c r="E1321" s="112">
        <f ca="1">IFERROR(__xludf.DUMMYFUNCTION("""COMPUTED_VALUE"""),42215.7055555555)</f>
        <v>42215.705555555498</v>
      </c>
      <c r="F1321" s="111">
        <f ca="1">IFERROR(__xludf.DUMMYFUNCTION("""COMPUTED_VALUE"""),6.39)</f>
        <v>6.39</v>
      </c>
      <c r="G1321" s="112">
        <f ca="1">IFERROR(__xludf.DUMMYFUNCTION("""COMPUTED_VALUE"""),42208.7055555555)</f>
        <v>42208.705555555498</v>
      </c>
      <c r="H1321" s="111">
        <f ca="1">IFERROR(__xludf.DUMMYFUNCTION("""COMPUTED_VALUE"""),10.12)</f>
        <v>10.119999999999999</v>
      </c>
      <c r="K1321" s="112">
        <f ca="1">IFERROR(__xludf.DUMMYFUNCTION("""COMPUTED_VALUE"""),42660.7055555555)</f>
        <v>42660.705555555498</v>
      </c>
      <c r="L1321" s="111">
        <f ca="1">IFERROR(__xludf.DUMMYFUNCTION("""COMPUTED_VALUE"""),0.35)</f>
        <v>0.35</v>
      </c>
      <c r="M1321" s="112">
        <f ca="1">IFERROR(__xludf.DUMMYFUNCTION("""COMPUTED_VALUE"""),42123.7055555555)</f>
        <v>42123.705555555498</v>
      </c>
      <c r="N1321" s="111">
        <f ca="1">IFERROR(__xludf.DUMMYFUNCTION("""COMPUTED_VALUE"""),16.31)</f>
        <v>16.309999999999999</v>
      </c>
      <c r="O1321" s="112">
        <f ca="1">IFERROR(__xludf.DUMMYFUNCTION("""COMPUTED_VALUE"""),42201.7055555555)</f>
        <v>42201.705555555498</v>
      </c>
      <c r="P1321" s="111">
        <f ca="1">IFERROR(__xludf.DUMMYFUNCTION("""COMPUTED_VALUE"""),17.51)</f>
        <v>17.510000000000002</v>
      </c>
      <c r="Q1321" s="112">
        <f ca="1">IFERROR(__xludf.DUMMYFUNCTION("""COMPUTED_VALUE"""),42199.7055555555)</f>
        <v>42199.705555555498</v>
      </c>
      <c r="R1321" s="111">
        <f ca="1">IFERROR(__xludf.DUMMYFUNCTION("""COMPUTED_VALUE"""),23.92)</f>
        <v>23.92</v>
      </c>
      <c r="S1321" s="112">
        <f ca="1">IFERROR(__xludf.DUMMYFUNCTION("""COMPUTED_VALUE"""),42212.7055555555)</f>
        <v>42212.705555555498</v>
      </c>
      <c r="T1321" s="111">
        <f ca="1">IFERROR(__xludf.DUMMYFUNCTION("""COMPUTED_VALUE"""),15.91)</f>
        <v>15.91</v>
      </c>
    </row>
    <row r="1322" spans="1:20" x14ac:dyDescent="0.3">
      <c r="A1322" s="112">
        <f ca="1">IFERROR(__xludf.DUMMYFUNCTION("""COMPUTED_VALUE"""),42208.7055555555)</f>
        <v>42208.705555555498</v>
      </c>
      <c r="B1322" s="111">
        <f ca="1">IFERROR(__xludf.DUMMYFUNCTION("""COMPUTED_VALUE"""),5.51)</f>
        <v>5.51</v>
      </c>
      <c r="C1322" s="112">
        <f ca="1">IFERROR(__xludf.DUMMYFUNCTION("""COMPUTED_VALUE"""),42215.7055555555)</f>
        <v>42215.705555555498</v>
      </c>
      <c r="D1322" s="111">
        <f ca="1">IFERROR(__xludf.DUMMYFUNCTION("""COMPUTED_VALUE"""),17.77)</f>
        <v>17.77</v>
      </c>
      <c r="E1322" s="112">
        <f ca="1">IFERROR(__xludf.DUMMYFUNCTION("""COMPUTED_VALUE"""),42216.7055555555)</f>
        <v>42216.705555555498</v>
      </c>
      <c r="F1322" s="111">
        <f ca="1">IFERROR(__xludf.DUMMYFUNCTION("""COMPUTED_VALUE"""),6.61)</f>
        <v>6.61</v>
      </c>
      <c r="G1322" s="112">
        <f ca="1">IFERROR(__xludf.DUMMYFUNCTION("""COMPUTED_VALUE"""),42209.7055555555)</f>
        <v>42209.705555555498</v>
      </c>
      <c r="H1322" s="111">
        <f ca="1">IFERROR(__xludf.DUMMYFUNCTION("""COMPUTED_VALUE"""),10.03)</f>
        <v>10.029999999999999</v>
      </c>
      <c r="K1322" s="112">
        <f ca="1">IFERROR(__xludf.DUMMYFUNCTION("""COMPUTED_VALUE"""),42661.7055555555)</f>
        <v>42661.705555555498</v>
      </c>
      <c r="L1322" s="111">
        <f ca="1">IFERROR(__xludf.DUMMYFUNCTION("""COMPUTED_VALUE"""),0.36)</f>
        <v>0.36</v>
      </c>
      <c r="M1322" s="112">
        <f ca="1">IFERROR(__xludf.DUMMYFUNCTION("""COMPUTED_VALUE"""),42124.7055555555)</f>
        <v>42124.705555555498</v>
      </c>
      <c r="N1322" s="111">
        <f ca="1">IFERROR(__xludf.DUMMYFUNCTION("""COMPUTED_VALUE"""),16.65)</f>
        <v>16.649999999999999</v>
      </c>
      <c r="O1322" s="112">
        <f ca="1">IFERROR(__xludf.DUMMYFUNCTION("""COMPUTED_VALUE"""),42202.7055555555)</f>
        <v>42202.705555555498</v>
      </c>
      <c r="P1322" s="111">
        <f ca="1">IFERROR(__xludf.DUMMYFUNCTION("""COMPUTED_VALUE"""),17.45)</f>
        <v>17.45</v>
      </c>
      <c r="Q1322" s="112">
        <f ca="1">IFERROR(__xludf.DUMMYFUNCTION("""COMPUTED_VALUE"""),42200.7055555555)</f>
        <v>42200.705555555498</v>
      </c>
      <c r="R1322" s="111">
        <f ca="1">IFERROR(__xludf.DUMMYFUNCTION("""COMPUTED_VALUE"""),23.95)</f>
        <v>23.95</v>
      </c>
      <c r="S1322" s="112">
        <f ca="1">IFERROR(__xludf.DUMMYFUNCTION("""COMPUTED_VALUE"""),42213.7055555555)</f>
        <v>42213.705555555498</v>
      </c>
      <c r="T1322" s="111">
        <f ca="1">IFERROR(__xludf.DUMMYFUNCTION("""COMPUTED_VALUE"""),16.21)</f>
        <v>16.21</v>
      </c>
    </row>
    <row r="1323" spans="1:20" x14ac:dyDescent="0.3">
      <c r="A1323" s="112">
        <f ca="1">IFERROR(__xludf.DUMMYFUNCTION("""COMPUTED_VALUE"""),42209.7055555555)</f>
        <v>42209.705555555498</v>
      </c>
      <c r="B1323" s="111">
        <f ca="1">IFERROR(__xludf.DUMMYFUNCTION("""COMPUTED_VALUE"""),5.19)</f>
        <v>5.19</v>
      </c>
      <c r="C1323" s="112">
        <f ca="1">IFERROR(__xludf.DUMMYFUNCTION("""COMPUTED_VALUE"""),42216.7055555555)</f>
        <v>42216.705555555498</v>
      </c>
      <c r="D1323" s="111">
        <f ca="1">IFERROR(__xludf.DUMMYFUNCTION("""COMPUTED_VALUE"""),18.25)</f>
        <v>18.25</v>
      </c>
      <c r="E1323" s="112">
        <f ca="1">IFERROR(__xludf.DUMMYFUNCTION("""COMPUTED_VALUE"""),42219.7055555555)</f>
        <v>42219.705555555498</v>
      </c>
      <c r="F1323" s="111">
        <f ca="1">IFERROR(__xludf.DUMMYFUNCTION("""COMPUTED_VALUE"""),6.62)</f>
        <v>6.62</v>
      </c>
      <c r="G1323" s="112">
        <f ca="1">IFERROR(__xludf.DUMMYFUNCTION("""COMPUTED_VALUE"""),42212.7055555555)</f>
        <v>42212.705555555498</v>
      </c>
      <c r="H1323" s="111">
        <f ca="1">IFERROR(__xludf.DUMMYFUNCTION("""COMPUTED_VALUE"""),9.5)</f>
        <v>9.5</v>
      </c>
      <c r="K1323" s="112">
        <f ca="1">IFERROR(__xludf.DUMMYFUNCTION("""COMPUTED_VALUE"""),42662.7055555555)</f>
        <v>42662.705555555498</v>
      </c>
      <c r="L1323" s="111">
        <f ca="1">IFERROR(__xludf.DUMMYFUNCTION("""COMPUTED_VALUE"""),0.36)</f>
        <v>0.36</v>
      </c>
      <c r="M1323" s="112">
        <f ca="1">IFERROR(__xludf.DUMMYFUNCTION("""COMPUTED_VALUE"""),42128.7055555555)</f>
        <v>42128.705555555498</v>
      </c>
      <c r="N1323" s="111">
        <f ca="1">IFERROR(__xludf.DUMMYFUNCTION("""COMPUTED_VALUE"""),16.73)</f>
        <v>16.73</v>
      </c>
      <c r="O1323" s="112">
        <f ca="1">IFERROR(__xludf.DUMMYFUNCTION("""COMPUTED_VALUE"""),42205.7055555555)</f>
        <v>42205.705555555498</v>
      </c>
      <c r="P1323" s="111">
        <f ca="1">IFERROR(__xludf.DUMMYFUNCTION("""COMPUTED_VALUE"""),17.28)</f>
        <v>17.28</v>
      </c>
      <c r="Q1323" s="112">
        <f ca="1">IFERROR(__xludf.DUMMYFUNCTION("""COMPUTED_VALUE"""),42201.7055555555)</f>
        <v>42201.705555555498</v>
      </c>
      <c r="R1323" s="111">
        <f ca="1">IFERROR(__xludf.DUMMYFUNCTION("""COMPUTED_VALUE"""),23.2)</f>
        <v>23.2</v>
      </c>
      <c r="S1323" s="112">
        <f ca="1">IFERROR(__xludf.DUMMYFUNCTION("""COMPUTED_VALUE"""),42214.7055555555)</f>
        <v>42214.705555555498</v>
      </c>
      <c r="T1323" s="111">
        <f ca="1">IFERROR(__xludf.DUMMYFUNCTION("""COMPUTED_VALUE"""),16.2)</f>
        <v>16.2</v>
      </c>
    </row>
    <row r="1324" spans="1:20" x14ac:dyDescent="0.3">
      <c r="A1324" s="112">
        <f ca="1">IFERROR(__xludf.DUMMYFUNCTION("""COMPUTED_VALUE"""),42212.7055555555)</f>
        <v>42212.705555555498</v>
      </c>
      <c r="B1324" s="111">
        <f ca="1">IFERROR(__xludf.DUMMYFUNCTION("""COMPUTED_VALUE"""),5.39)</f>
        <v>5.39</v>
      </c>
      <c r="C1324" s="112">
        <f ca="1">IFERROR(__xludf.DUMMYFUNCTION("""COMPUTED_VALUE"""),42219.7055555555)</f>
        <v>42219.705555555498</v>
      </c>
      <c r="D1324" s="111">
        <f ca="1">IFERROR(__xludf.DUMMYFUNCTION("""COMPUTED_VALUE"""),18.07)</f>
        <v>18.07</v>
      </c>
      <c r="E1324" s="112">
        <f ca="1">IFERROR(__xludf.DUMMYFUNCTION("""COMPUTED_VALUE"""),42220.7055555555)</f>
        <v>42220.705555555498</v>
      </c>
      <c r="F1324" s="111">
        <f ca="1">IFERROR(__xludf.DUMMYFUNCTION("""COMPUTED_VALUE"""),6.43)</f>
        <v>6.43</v>
      </c>
      <c r="G1324" s="112">
        <f ca="1">IFERROR(__xludf.DUMMYFUNCTION("""COMPUTED_VALUE"""),42213.7055555555)</f>
        <v>42213.705555555498</v>
      </c>
      <c r="H1324" s="111">
        <f ca="1">IFERROR(__xludf.DUMMYFUNCTION("""COMPUTED_VALUE"""),10.02)</f>
        <v>10.02</v>
      </c>
      <c r="K1324" s="112">
        <f ca="1">IFERROR(__xludf.DUMMYFUNCTION("""COMPUTED_VALUE"""),42663.7055555555)</f>
        <v>42663.705555555498</v>
      </c>
      <c r="L1324" s="111">
        <f ca="1">IFERROR(__xludf.DUMMYFUNCTION("""COMPUTED_VALUE"""),0.36)</f>
        <v>0.36</v>
      </c>
      <c r="M1324" s="112">
        <f ca="1">IFERROR(__xludf.DUMMYFUNCTION("""COMPUTED_VALUE"""),42129.7055555555)</f>
        <v>42129.705555555498</v>
      </c>
      <c r="N1324" s="111">
        <f ca="1">IFERROR(__xludf.DUMMYFUNCTION("""COMPUTED_VALUE"""),16.79)</f>
        <v>16.79</v>
      </c>
      <c r="O1324" s="112">
        <f ca="1">IFERROR(__xludf.DUMMYFUNCTION("""COMPUTED_VALUE"""),42206.7055555555)</f>
        <v>42206.705555555498</v>
      </c>
      <c r="P1324" s="111">
        <f ca="1">IFERROR(__xludf.DUMMYFUNCTION("""COMPUTED_VALUE"""),17.7)</f>
        <v>17.7</v>
      </c>
      <c r="Q1324" s="112">
        <f ca="1">IFERROR(__xludf.DUMMYFUNCTION("""COMPUTED_VALUE"""),42202.7055555555)</f>
        <v>42202.705555555498</v>
      </c>
      <c r="R1324" s="111">
        <f ca="1">IFERROR(__xludf.DUMMYFUNCTION("""COMPUTED_VALUE"""),22.59)</f>
        <v>22.59</v>
      </c>
      <c r="S1324" s="112">
        <f ca="1">IFERROR(__xludf.DUMMYFUNCTION("""COMPUTED_VALUE"""),42215.7055555555)</f>
        <v>42215.705555555498</v>
      </c>
      <c r="T1324" s="111">
        <f ca="1">IFERROR(__xludf.DUMMYFUNCTION("""COMPUTED_VALUE"""),16.49)</f>
        <v>16.489999999999998</v>
      </c>
    </row>
    <row r="1325" spans="1:20" x14ac:dyDescent="0.3">
      <c r="A1325" s="112">
        <f ca="1">IFERROR(__xludf.DUMMYFUNCTION("""COMPUTED_VALUE"""),42213.7055555555)</f>
        <v>42213.705555555498</v>
      </c>
      <c r="B1325" s="111">
        <f ca="1">IFERROR(__xludf.DUMMYFUNCTION("""COMPUTED_VALUE"""),5.38)</f>
        <v>5.38</v>
      </c>
      <c r="C1325" s="112">
        <f ca="1">IFERROR(__xludf.DUMMYFUNCTION("""COMPUTED_VALUE"""),42220.7055555555)</f>
        <v>42220.705555555498</v>
      </c>
      <c r="D1325" s="111">
        <f ca="1">IFERROR(__xludf.DUMMYFUNCTION("""COMPUTED_VALUE"""),17.68)</f>
        <v>17.68</v>
      </c>
      <c r="E1325" s="112">
        <f ca="1">IFERROR(__xludf.DUMMYFUNCTION("""COMPUTED_VALUE"""),42221.7055555555)</f>
        <v>42221.705555555498</v>
      </c>
      <c r="F1325" s="111">
        <f ca="1">IFERROR(__xludf.DUMMYFUNCTION("""COMPUTED_VALUE"""),6.45)</f>
        <v>6.45</v>
      </c>
      <c r="G1325" s="112">
        <f ca="1">IFERROR(__xludf.DUMMYFUNCTION("""COMPUTED_VALUE"""),42214.7055555555)</f>
        <v>42214.705555555498</v>
      </c>
      <c r="H1325" s="111">
        <f ca="1">IFERROR(__xludf.DUMMYFUNCTION("""COMPUTED_VALUE"""),10.7)</f>
        <v>10.7</v>
      </c>
      <c r="K1325" s="112">
        <f ca="1">IFERROR(__xludf.DUMMYFUNCTION("""COMPUTED_VALUE"""),42664.7055555555)</f>
        <v>42664.705555555498</v>
      </c>
      <c r="L1325" s="111">
        <f ca="1">IFERROR(__xludf.DUMMYFUNCTION("""COMPUTED_VALUE"""),0.36)</f>
        <v>0.36</v>
      </c>
      <c r="M1325" s="112">
        <f ca="1">IFERROR(__xludf.DUMMYFUNCTION("""COMPUTED_VALUE"""),42130.7055555555)</f>
        <v>42130.705555555498</v>
      </c>
      <c r="N1325" s="111">
        <f ca="1">IFERROR(__xludf.DUMMYFUNCTION("""COMPUTED_VALUE"""),16.38)</f>
        <v>16.38</v>
      </c>
      <c r="O1325" s="112">
        <f ca="1">IFERROR(__xludf.DUMMYFUNCTION("""COMPUTED_VALUE"""),42207.7055555555)</f>
        <v>42207.705555555498</v>
      </c>
      <c r="P1325" s="111">
        <f ca="1">IFERROR(__xludf.DUMMYFUNCTION("""COMPUTED_VALUE"""),17.35)</f>
        <v>17.350000000000001</v>
      </c>
      <c r="Q1325" s="112">
        <f ca="1">IFERROR(__xludf.DUMMYFUNCTION("""COMPUTED_VALUE"""),42205.7055555555)</f>
        <v>42205.705555555498</v>
      </c>
      <c r="R1325" s="111">
        <f ca="1">IFERROR(__xludf.DUMMYFUNCTION("""COMPUTED_VALUE"""),22.02)</f>
        <v>22.02</v>
      </c>
      <c r="S1325" s="112">
        <f ca="1">IFERROR(__xludf.DUMMYFUNCTION("""COMPUTED_VALUE"""),42216.7055555555)</f>
        <v>42216.705555555498</v>
      </c>
      <c r="T1325" s="111">
        <f ca="1">IFERROR(__xludf.DUMMYFUNCTION("""COMPUTED_VALUE"""),16.33)</f>
        <v>16.329999999999998</v>
      </c>
    </row>
    <row r="1326" spans="1:20" x14ac:dyDescent="0.3">
      <c r="A1326" s="112">
        <f ca="1">IFERROR(__xludf.DUMMYFUNCTION("""COMPUTED_VALUE"""),42214.7055555555)</f>
        <v>42214.705555555498</v>
      </c>
      <c r="B1326" s="111">
        <f ca="1">IFERROR(__xludf.DUMMYFUNCTION("""COMPUTED_VALUE"""),5.38)</f>
        <v>5.38</v>
      </c>
      <c r="C1326" s="112">
        <f ca="1">IFERROR(__xludf.DUMMYFUNCTION("""COMPUTED_VALUE"""),42221.7055555555)</f>
        <v>42221.705555555498</v>
      </c>
      <c r="D1326" s="111">
        <f ca="1">IFERROR(__xludf.DUMMYFUNCTION("""COMPUTED_VALUE"""),17.74)</f>
        <v>17.739999999999998</v>
      </c>
      <c r="E1326" s="112">
        <f ca="1">IFERROR(__xludf.DUMMYFUNCTION("""COMPUTED_VALUE"""),42222.7055555555)</f>
        <v>42222.705555555498</v>
      </c>
      <c r="F1326" s="111">
        <f ca="1">IFERROR(__xludf.DUMMYFUNCTION("""COMPUTED_VALUE"""),6.31)</f>
        <v>6.31</v>
      </c>
      <c r="G1326" s="112">
        <f ca="1">IFERROR(__xludf.DUMMYFUNCTION("""COMPUTED_VALUE"""),42215.7055555555)</f>
        <v>42215.705555555498</v>
      </c>
      <c r="H1326" s="111">
        <f ca="1">IFERROR(__xludf.DUMMYFUNCTION("""COMPUTED_VALUE"""),10.42)</f>
        <v>10.42</v>
      </c>
      <c r="K1326" s="112">
        <f ca="1">IFERROR(__xludf.DUMMYFUNCTION("""COMPUTED_VALUE"""),42667.7055555555)</f>
        <v>42667.705555555498</v>
      </c>
      <c r="L1326" s="111">
        <f ca="1">IFERROR(__xludf.DUMMYFUNCTION("""COMPUTED_VALUE"""),0.38)</f>
        <v>0.38</v>
      </c>
      <c r="M1326" s="112">
        <f ca="1">IFERROR(__xludf.DUMMYFUNCTION("""COMPUTED_VALUE"""),42131.7055555555)</f>
        <v>42131.705555555498</v>
      </c>
      <c r="N1326" s="111">
        <f ca="1">IFERROR(__xludf.DUMMYFUNCTION("""COMPUTED_VALUE"""),16.31)</f>
        <v>16.309999999999999</v>
      </c>
      <c r="O1326" s="112">
        <f ca="1">IFERROR(__xludf.DUMMYFUNCTION("""COMPUTED_VALUE"""),42208.7055555555)</f>
        <v>42208.705555555498</v>
      </c>
      <c r="P1326" s="111">
        <f ca="1">IFERROR(__xludf.DUMMYFUNCTION("""COMPUTED_VALUE"""),17.31)</f>
        <v>17.309999999999999</v>
      </c>
      <c r="Q1326" s="112">
        <f ca="1">IFERROR(__xludf.DUMMYFUNCTION("""COMPUTED_VALUE"""),42206.7055555555)</f>
        <v>42206.705555555498</v>
      </c>
      <c r="R1326" s="111">
        <f ca="1">IFERROR(__xludf.DUMMYFUNCTION("""COMPUTED_VALUE"""),22)</f>
        <v>22</v>
      </c>
      <c r="S1326" s="112">
        <f ca="1">IFERROR(__xludf.DUMMYFUNCTION("""COMPUTED_VALUE"""),42219.7055555555)</f>
        <v>42219.705555555498</v>
      </c>
      <c r="T1326" s="111">
        <f ca="1">IFERROR(__xludf.DUMMYFUNCTION("""COMPUTED_VALUE"""),15.7)</f>
        <v>15.7</v>
      </c>
    </row>
    <row r="1327" spans="1:20" x14ac:dyDescent="0.3">
      <c r="A1327" s="112">
        <f ca="1">IFERROR(__xludf.DUMMYFUNCTION("""COMPUTED_VALUE"""),42215.7055555555)</f>
        <v>42215.705555555498</v>
      </c>
      <c r="B1327" s="111">
        <f ca="1">IFERROR(__xludf.DUMMYFUNCTION("""COMPUTED_VALUE"""),5.53)</f>
        <v>5.53</v>
      </c>
      <c r="C1327" s="112">
        <f ca="1">IFERROR(__xludf.DUMMYFUNCTION("""COMPUTED_VALUE"""),42222.7055555555)</f>
        <v>42222.705555555498</v>
      </c>
      <c r="D1327" s="111">
        <f ca="1">IFERROR(__xludf.DUMMYFUNCTION("""COMPUTED_VALUE"""),17.64)</f>
        <v>17.64</v>
      </c>
      <c r="E1327" s="112">
        <f ca="1">IFERROR(__xludf.DUMMYFUNCTION("""COMPUTED_VALUE"""),42223.7055555555)</f>
        <v>42223.705555555498</v>
      </c>
      <c r="F1327" s="111">
        <f ca="1">IFERROR(__xludf.DUMMYFUNCTION("""COMPUTED_VALUE"""),6.12)</f>
        <v>6.12</v>
      </c>
      <c r="G1327" s="112">
        <f ca="1">IFERROR(__xludf.DUMMYFUNCTION("""COMPUTED_VALUE"""),42216.7055555555)</f>
        <v>42216.705555555498</v>
      </c>
      <c r="H1327" s="111">
        <f ca="1">IFERROR(__xludf.DUMMYFUNCTION("""COMPUTED_VALUE"""),10.49)</f>
        <v>10.49</v>
      </c>
      <c r="K1327" s="112">
        <f ca="1">IFERROR(__xludf.DUMMYFUNCTION("""COMPUTED_VALUE"""),42668.7055555555)</f>
        <v>42668.705555555498</v>
      </c>
      <c r="L1327" s="111">
        <f ca="1">IFERROR(__xludf.DUMMYFUNCTION("""COMPUTED_VALUE"""),0.32)</f>
        <v>0.32</v>
      </c>
      <c r="M1327" s="112">
        <f ca="1">IFERROR(__xludf.DUMMYFUNCTION("""COMPUTED_VALUE"""),42132.7055555555)</f>
        <v>42132.705555555498</v>
      </c>
      <c r="N1327" s="111">
        <f ca="1">IFERROR(__xludf.DUMMYFUNCTION("""COMPUTED_VALUE"""),16.38)</f>
        <v>16.38</v>
      </c>
      <c r="O1327" s="112">
        <f ca="1">IFERROR(__xludf.DUMMYFUNCTION("""COMPUTED_VALUE"""),42209.7055555555)</f>
        <v>42209.705555555498</v>
      </c>
      <c r="P1327" s="111">
        <f ca="1">IFERROR(__xludf.DUMMYFUNCTION("""COMPUTED_VALUE"""),16.75)</f>
        <v>16.75</v>
      </c>
      <c r="Q1327" s="112">
        <f ca="1">IFERROR(__xludf.DUMMYFUNCTION("""COMPUTED_VALUE"""),42207.7055555555)</f>
        <v>42207.705555555498</v>
      </c>
      <c r="R1327" s="111">
        <f ca="1">IFERROR(__xludf.DUMMYFUNCTION("""COMPUTED_VALUE"""),20.9)</f>
        <v>20.9</v>
      </c>
      <c r="S1327" s="112">
        <f ca="1">IFERROR(__xludf.DUMMYFUNCTION("""COMPUTED_VALUE"""),42220.7055555555)</f>
        <v>42220.705555555498</v>
      </c>
      <c r="T1327" s="111">
        <f ca="1">IFERROR(__xludf.DUMMYFUNCTION("""COMPUTED_VALUE"""),15.83)</f>
        <v>15.83</v>
      </c>
    </row>
    <row r="1328" spans="1:20" x14ac:dyDescent="0.3">
      <c r="A1328" s="112">
        <f ca="1">IFERROR(__xludf.DUMMYFUNCTION("""COMPUTED_VALUE"""),42216.7055555555)</f>
        <v>42216.705555555498</v>
      </c>
      <c r="B1328" s="111">
        <f ca="1">IFERROR(__xludf.DUMMYFUNCTION("""COMPUTED_VALUE"""),5.71)</f>
        <v>5.71</v>
      </c>
      <c r="C1328" s="112">
        <f ca="1">IFERROR(__xludf.DUMMYFUNCTION("""COMPUTED_VALUE"""),42223.7055555555)</f>
        <v>42223.705555555498</v>
      </c>
      <c r="D1328" s="111">
        <f ca="1">IFERROR(__xludf.DUMMYFUNCTION("""COMPUTED_VALUE"""),17.06)</f>
        <v>17.059999999999999</v>
      </c>
      <c r="E1328" s="112">
        <f ca="1">IFERROR(__xludf.DUMMYFUNCTION("""COMPUTED_VALUE"""),42226.7055555555)</f>
        <v>42226.705555555498</v>
      </c>
      <c r="F1328" s="111">
        <f ca="1">IFERROR(__xludf.DUMMYFUNCTION("""COMPUTED_VALUE"""),6.19)</f>
        <v>6.19</v>
      </c>
      <c r="G1328" s="112">
        <f ca="1">IFERROR(__xludf.DUMMYFUNCTION("""COMPUTED_VALUE"""),42219.7055555555)</f>
        <v>42219.705555555498</v>
      </c>
      <c r="H1328" s="111">
        <f ca="1">IFERROR(__xludf.DUMMYFUNCTION("""COMPUTED_VALUE"""),10.03)</f>
        <v>10.029999999999999</v>
      </c>
      <c r="K1328" s="112">
        <f ca="1">IFERROR(__xludf.DUMMYFUNCTION("""COMPUTED_VALUE"""),42669.7055555555)</f>
        <v>42669.705555555498</v>
      </c>
      <c r="L1328" s="111">
        <f ca="1">IFERROR(__xludf.DUMMYFUNCTION("""COMPUTED_VALUE"""),0.27)</f>
        <v>0.27</v>
      </c>
      <c r="M1328" s="112">
        <f ca="1">IFERROR(__xludf.DUMMYFUNCTION("""COMPUTED_VALUE"""),42135.7055555555)</f>
        <v>42135.705555555498</v>
      </c>
      <c r="N1328" s="111">
        <f ca="1">IFERROR(__xludf.DUMMYFUNCTION("""COMPUTED_VALUE"""),16.33)</f>
        <v>16.329999999999998</v>
      </c>
      <c r="O1328" s="112">
        <f ca="1">IFERROR(__xludf.DUMMYFUNCTION("""COMPUTED_VALUE"""),42212.7055555555)</f>
        <v>42212.705555555498</v>
      </c>
      <c r="P1328" s="111">
        <f ca="1">IFERROR(__xludf.DUMMYFUNCTION("""COMPUTED_VALUE"""),16.94)</f>
        <v>16.940000000000001</v>
      </c>
      <c r="Q1328" s="112">
        <f ca="1">IFERROR(__xludf.DUMMYFUNCTION("""COMPUTED_VALUE"""),42208.7055555555)</f>
        <v>42208.705555555498</v>
      </c>
      <c r="R1328" s="111">
        <f ca="1">IFERROR(__xludf.DUMMYFUNCTION("""COMPUTED_VALUE"""),20.59)</f>
        <v>20.59</v>
      </c>
      <c r="S1328" s="112">
        <f ca="1">IFERROR(__xludf.DUMMYFUNCTION("""COMPUTED_VALUE"""),42221.7055555555)</f>
        <v>42221.705555555498</v>
      </c>
      <c r="T1328" s="111">
        <f ca="1">IFERROR(__xludf.DUMMYFUNCTION("""COMPUTED_VALUE"""),15.79)</f>
        <v>15.79</v>
      </c>
    </row>
    <row r="1329" spans="1:20" x14ac:dyDescent="0.3">
      <c r="A1329" s="112">
        <f ca="1">IFERROR(__xludf.DUMMYFUNCTION("""COMPUTED_VALUE"""),42219.7055555555)</f>
        <v>42219.705555555498</v>
      </c>
      <c r="B1329" s="111">
        <f ca="1">IFERROR(__xludf.DUMMYFUNCTION("""COMPUTED_VALUE"""),5.79)</f>
        <v>5.79</v>
      </c>
      <c r="C1329" s="112">
        <f ca="1">IFERROR(__xludf.DUMMYFUNCTION("""COMPUTED_VALUE"""),42226.7055555555)</f>
        <v>42226.705555555498</v>
      </c>
      <c r="D1329" s="111">
        <f ca="1">IFERROR(__xludf.DUMMYFUNCTION("""COMPUTED_VALUE"""),17.36)</f>
        <v>17.36</v>
      </c>
      <c r="E1329" s="112">
        <f ca="1">IFERROR(__xludf.DUMMYFUNCTION("""COMPUTED_VALUE"""),42227.7055555555)</f>
        <v>42227.705555555498</v>
      </c>
      <c r="F1329" s="111">
        <f ca="1">IFERROR(__xludf.DUMMYFUNCTION("""COMPUTED_VALUE"""),6.22)</f>
        <v>6.22</v>
      </c>
      <c r="G1329" s="112">
        <f ca="1">IFERROR(__xludf.DUMMYFUNCTION("""COMPUTED_VALUE"""),42220.7055555555)</f>
        <v>42220.705555555498</v>
      </c>
      <c r="H1329" s="111">
        <f ca="1">IFERROR(__xludf.DUMMYFUNCTION("""COMPUTED_VALUE"""),10.16)</f>
        <v>10.16</v>
      </c>
      <c r="K1329" s="112">
        <f ca="1">IFERROR(__xludf.DUMMYFUNCTION("""COMPUTED_VALUE"""),42670.7055555555)</f>
        <v>42670.705555555498</v>
      </c>
      <c r="L1329" s="111">
        <f ca="1">IFERROR(__xludf.DUMMYFUNCTION("""COMPUTED_VALUE"""),0.36)</f>
        <v>0.36</v>
      </c>
      <c r="M1329" s="112">
        <f ca="1">IFERROR(__xludf.DUMMYFUNCTION("""COMPUTED_VALUE"""),42136.7055555555)</f>
        <v>42136.705555555498</v>
      </c>
      <c r="N1329" s="111">
        <f ca="1">IFERROR(__xludf.DUMMYFUNCTION("""COMPUTED_VALUE"""),16.16)</f>
        <v>16.16</v>
      </c>
      <c r="O1329" s="112">
        <f ca="1">IFERROR(__xludf.DUMMYFUNCTION("""COMPUTED_VALUE"""),42213.7055555555)</f>
        <v>42213.705555555498</v>
      </c>
      <c r="P1329" s="111">
        <f ca="1">IFERROR(__xludf.DUMMYFUNCTION("""COMPUTED_VALUE"""),18.15)</f>
        <v>18.149999999999999</v>
      </c>
      <c r="Q1329" s="112">
        <f ca="1">IFERROR(__xludf.DUMMYFUNCTION("""COMPUTED_VALUE"""),42209.7055555555)</f>
        <v>42209.705555555498</v>
      </c>
      <c r="R1329" s="111">
        <f ca="1">IFERROR(__xludf.DUMMYFUNCTION("""COMPUTED_VALUE"""),20.75)</f>
        <v>20.75</v>
      </c>
      <c r="S1329" s="112">
        <f ca="1">IFERROR(__xludf.DUMMYFUNCTION("""COMPUTED_VALUE"""),42222.7055555555)</f>
        <v>42222.705555555498</v>
      </c>
      <c r="T1329" s="111">
        <f ca="1">IFERROR(__xludf.DUMMYFUNCTION("""COMPUTED_VALUE"""),15.58)</f>
        <v>15.58</v>
      </c>
    </row>
    <row r="1330" spans="1:20" x14ac:dyDescent="0.3">
      <c r="A1330" s="112">
        <f ca="1">IFERROR(__xludf.DUMMYFUNCTION("""COMPUTED_VALUE"""),42220.7055555555)</f>
        <v>42220.705555555498</v>
      </c>
      <c r="B1330" s="111">
        <f ca="1">IFERROR(__xludf.DUMMYFUNCTION("""COMPUTED_VALUE"""),5.72)</f>
        <v>5.72</v>
      </c>
      <c r="C1330" s="112">
        <f ca="1">IFERROR(__xludf.DUMMYFUNCTION("""COMPUTED_VALUE"""),42227.7055555555)</f>
        <v>42227.705555555498</v>
      </c>
      <c r="D1330" s="111">
        <f ca="1">IFERROR(__xludf.DUMMYFUNCTION("""COMPUTED_VALUE"""),17.6)</f>
        <v>17.600000000000001</v>
      </c>
      <c r="E1330" s="112">
        <f ca="1">IFERROR(__xludf.DUMMYFUNCTION("""COMPUTED_VALUE"""),42228.7055555555)</f>
        <v>42228.705555555498</v>
      </c>
      <c r="F1330" s="111">
        <f ca="1">IFERROR(__xludf.DUMMYFUNCTION("""COMPUTED_VALUE"""),6.08)</f>
        <v>6.08</v>
      </c>
      <c r="G1330" s="112">
        <f ca="1">IFERROR(__xludf.DUMMYFUNCTION("""COMPUTED_VALUE"""),42221.7055555555)</f>
        <v>42221.705555555498</v>
      </c>
      <c r="H1330" s="111">
        <f ca="1">IFERROR(__xludf.DUMMYFUNCTION("""COMPUTED_VALUE"""),10.01)</f>
        <v>10.01</v>
      </c>
      <c r="K1330" s="112">
        <f ca="1">IFERROR(__xludf.DUMMYFUNCTION("""COMPUTED_VALUE"""),42671.7055555555)</f>
        <v>42671.705555555498</v>
      </c>
      <c r="L1330" s="111">
        <f ca="1">IFERROR(__xludf.DUMMYFUNCTION("""COMPUTED_VALUE"""),0.34)</f>
        <v>0.34</v>
      </c>
      <c r="M1330" s="112">
        <f ca="1">IFERROR(__xludf.DUMMYFUNCTION("""COMPUTED_VALUE"""),42137.7055555555)</f>
        <v>42137.705555555498</v>
      </c>
      <c r="N1330" s="111">
        <f ca="1">IFERROR(__xludf.DUMMYFUNCTION("""COMPUTED_VALUE"""),16)</f>
        <v>16</v>
      </c>
      <c r="O1330" s="112">
        <f ca="1">IFERROR(__xludf.DUMMYFUNCTION("""COMPUTED_VALUE"""),42214.7055555555)</f>
        <v>42214.705555555498</v>
      </c>
      <c r="P1330" s="111">
        <f ca="1">IFERROR(__xludf.DUMMYFUNCTION("""COMPUTED_VALUE"""),18.35)</f>
        <v>18.350000000000001</v>
      </c>
      <c r="Q1330" s="112">
        <f ca="1">IFERROR(__xludf.DUMMYFUNCTION("""COMPUTED_VALUE"""),42212.7055555555)</f>
        <v>42212.705555555498</v>
      </c>
      <c r="R1330" s="111">
        <f ca="1">IFERROR(__xludf.DUMMYFUNCTION("""COMPUTED_VALUE"""),21.06)</f>
        <v>21.06</v>
      </c>
      <c r="S1330" s="112">
        <f ca="1">IFERROR(__xludf.DUMMYFUNCTION("""COMPUTED_VALUE"""),42223.7055555555)</f>
        <v>42223.705555555498</v>
      </c>
      <c r="T1330" s="111">
        <f ca="1">IFERROR(__xludf.DUMMYFUNCTION("""COMPUTED_VALUE"""),15.13)</f>
        <v>15.13</v>
      </c>
    </row>
    <row r="1331" spans="1:20" x14ac:dyDescent="0.3">
      <c r="A1331" s="112">
        <f ca="1">IFERROR(__xludf.DUMMYFUNCTION("""COMPUTED_VALUE"""),42221.7055555555)</f>
        <v>42221.705555555498</v>
      </c>
      <c r="B1331" s="111">
        <f ca="1">IFERROR(__xludf.DUMMYFUNCTION("""COMPUTED_VALUE"""),5.56)</f>
        <v>5.56</v>
      </c>
      <c r="C1331" s="112">
        <f ca="1">IFERROR(__xludf.DUMMYFUNCTION("""COMPUTED_VALUE"""),42228.7055555555)</f>
        <v>42228.705555555498</v>
      </c>
      <c r="D1331" s="111">
        <f ca="1">IFERROR(__xludf.DUMMYFUNCTION("""COMPUTED_VALUE"""),16.78)</f>
        <v>16.78</v>
      </c>
      <c r="E1331" s="112">
        <f ca="1">IFERROR(__xludf.DUMMYFUNCTION("""COMPUTED_VALUE"""),42229.7055555555)</f>
        <v>42229.705555555498</v>
      </c>
      <c r="F1331" s="111">
        <f ca="1">IFERROR(__xludf.DUMMYFUNCTION("""COMPUTED_VALUE"""),5.96)</f>
        <v>5.96</v>
      </c>
      <c r="G1331" s="112">
        <f ca="1">IFERROR(__xludf.DUMMYFUNCTION("""COMPUTED_VALUE"""),42222.7055555555)</f>
        <v>42222.705555555498</v>
      </c>
      <c r="H1331" s="111">
        <f ca="1">IFERROR(__xludf.DUMMYFUNCTION("""COMPUTED_VALUE"""),10.34)</f>
        <v>10.34</v>
      </c>
      <c r="K1331" s="112">
        <f ca="1">IFERROR(__xludf.DUMMYFUNCTION("""COMPUTED_VALUE"""),42674.7055555555)</f>
        <v>42674.705555555498</v>
      </c>
      <c r="L1331" s="111">
        <f ca="1">IFERROR(__xludf.DUMMYFUNCTION("""COMPUTED_VALUE"""),0.36)</f>
        <v>0.36</v>
      </c>
      <c r="M1331" s="112">
        <f ca="1">IFERROR(__xludf.DUMMYFUNCTION("""COMPUTED_VALUE"""),42138.7055555555)</f>
        <v>42138.705555555498</v>
      </c>
      <c r="N1331" s="111">
        <f ca="1">IFERROR(__xludf.DUMMYFUNCTION("""COMPUTED_VALUE"""),16.37)</f>
        <v>16.37</v>
      </c>
      <c r="O1331" s="112">
        <f ca="1">IFERROR(__xludf.DUMMYFUNCTION("""COMPUTED_VALUE"""),42215.7055555555)</f>
        <v>42215.705555555498</v>
      </c>
      <c r="P1331" s="111">
        <f ca="1">IFERROR(__xludf.DUMMYFUNCTION("""COMPUTED_VALUE"""),17.45)</f>
        <v>17.45</v>
      </c>
      <c r="Q1331" s="112">
        <f ca="1">IFERROR(__xludf.DUMMYFUNCTION("""COMPUTED_VALUE"""),42213.7055555555)</f>
        <v>42213.705555555498</v>
      </c>
      <c r="R1331" s="111">
        <f ca="1">IFERROR(__xludf.DUMMYFUNCTION("""COMPUTED_VALUE"""),21.12)</f>
        <v>21.12</v>
      </c>
      <c r="S1331" s="112">
        <f ca="1">IFERROR(__xludf.DUMMYFUNCTION("""COMPUTED_VALUE"""),42226.7055555555)</f>
        <v>42226.705555555498</v>
      </c>
      <c r="T1331" s="111">
        <f ca="1">IFERROR(__xludf.DUMMYFUNCTION("""COMPUTED_VALUE"""),15.08)</f>
        <v>15.08</v>
      </c>
    </row>
    <row r="1332" spans="1:20" x14ac:dyDescent="0.3">
      <c r="A1332" s="112">
        <f ca="1">IFERROR(__xludf.DUMMYFUNCTION("""COMPUTED_VALUE"""),42222.7055555555)</f>
        <v>42222.705555555498</v>
      </c>
      <c r="B1332" s="111">
        <f ca="1">IFERROR(__xludf.DUMMYFUNCTION("""COMPUTED_VALUE"""),5.6)</f>
        <v>5.6</v>
      </c>
      <c r="C1332" s="112">
        <f ca="1">IFERROR(__xludf.DUMMYFUNCTION("""COMPUTED_VALUE"""),42229.7055555555)</f>
        <v>42229.705555555498</v>
      </c>
      <c r="D1332" s="111">
        <f ca="1">IFERROR(__xludf.DUMMYFUNCTION("""COMPUTED_VALUE"""),16.14)</f>
        <v>16.14</v>
      </c>
      <c r="E1332" s="112">
        <f ca="1">IFERROR(__xludf.DUMMYFUNCTION("""COMPUTED_VALUE"""),42230.7055555555)</f>
        <v>42230.705555555498</v>
      </c>
      <c r="F1332" s="111">
        <f ca="1">IFERROR(__xludf.DUMMYFUNCTION("""COMPUTED_VALUE"""),5.92)</f>
        <v>5.92</v>
      </c>
      <c r="G1332" s="112">
        <f ca="1">IFERROR(__xludf.DUMMYFUNCTION("""COMPUTED_VALUE"""),42223.7055555555)</f>
        <v>42223.705555555498</v>
      </c>
      <c r="H1332" s="111">
        <f ca="1">IFERROR(__xludf.DUMMYFUNCTION("""COMPUTED_VALUE"""),9.69)</f>
        <v>9.69</v>
      </c>
      <c r="K1332" s="112">
        <f ca="1">IFERROR(__xludf.DUMMYFUNCTION("""COMPUTED_VALUE"""),42675.7055555555)</f>
        <v>42675.705555555498</v>
      </c>
      <c r="L1332" s="111">
        <f ca="1">IFERROR(__xludf.DUMMYFUNCTION("""COMPUTED_VALUE"""),0.36)</f>
        <v>0.36</v>
      </c>
      <c r="M1332" s="112">
        <f ca="1">IFERROR(__xludf.DUMMYFUNCTION("""COMPUTED_VALUE"""),42139.7055555555)</f>
        <v>42139.705555555498</v>
      </c>
      <c r="N1332" s="111">
        <f ca="1">IFERROR(__xludf.DUMMYFUNCTION("""COMPUTED_VALUE"""),16.65)</f>
        <v>16.649999999999999</v>
      </c>
      <c r="O1332" s="112">
        <f ca="1">IFERROR(__xludf.DUMMYFUNCTION("""COMPUTED_VALUE"""),42216.7055555555)</f>
        <v>42216.705555555498</v>
      </c>
      <c r="P1332" s="111">
        <f ca="1">IFERROR(__xludf.DUMMYFUNCTION("""COMPUTED_VALUE"""),17.9)</f>
        <v>17.899999999999999</v>
      </c>
      <c r="Q1332" s="112">
        <f ca="1">IFERROR(__xludf.DUMMYFUNCTION("""COMPUTED_VALUE"""),42214.7055555555)</f>
        <v>42214.705555555498</v>
      </c>
      <c r="R1332" s="111">
        <f ca="1">IFERROR(__xludf.DUMMYFUNCTION("""COMPUTED_VALUE"""),21.88)</f>
        <v>21.88</v>
      </c>
      <c r="S1332" s="112">
        <f ca="1">IFERROR(__xludf.DUMMYFUNCTION("""COMPUTED_VALUE"""),42227.7055555555)</f>
        <v>42227.705555555498</v>
      </c>
      <c r="T1332" s="111">
        <f ca="1">IFERROR(__xludf.DUMMYFUNCTION("""COMPUTED_VALUE"""),15.25)</f>
        <v>15.25</v>
      </c>
    </row>
    <row r="1333" spans="1:20" x14ac:dyDescent="0.3">
      <c r="A1333" s="112">
        <f ca="1">IFERROR(__xludf.DUMMYFUNCTION("""COMPUTED_VALUE"""),42223.7055555555)</f>
        <v>42223.705555555498</v>
      </c>
      <c r="B1333" s="111">
        <f ca="1">IFERROR(__xludf.DUMMYFUNCTION("""COMPUTED_VALUE"""),5.39)</f>
        <v>5.39</v>
      </c>
      <c r="C1333" s="112">
        <f ca="1">IFERROR(__xludf.DUMMYFUNCTION("""COMPUTED_VALUE"""),42230.7055555555)</f>
        <v>42230.705555555498</v>
      </c>
      <c r="D1333" s="111">
        <f ca="1">IFERROR(__xludf.DUMMYFUNCTION("""COMPUTED_VALUE"""),16.16)</f>
        <v>16.16</v>
      </c>
      <c r="E1333" s="112">
        <f ca="1">IFERROR(__xludf.DUMMYFUNCTION("""COMPUTED_VALUE"""),42233.7055555555)</f>
        <v>42233.705555555498</v>
      </c>
      <c r="F1333" s="111">
        <f ca="1">IFERROR(__xludf.DUMMYFUNCTION("""COMPUTED_VALUE"""),5.9)</f>
        <v>5.9</v>
      </c>
      <c r="G1333" s="112">
        <f ca="1">IFERROR(__xludf.DUMMYFUNCTION("""COMPUTED_VALUE"""),42226.7055555555)</f>
        <v>42226.705555555498</v>
      </c>
      <c r="H1333" s="111">
        <f ca="1">IFERROR(__xludf.DUMMYFUNCTION("""COMPUTED_VALUE"""),9.99)</f>
        <v>9.99</v>
      </c>
      <c r="K1333" s="112">
        <f ca="1">IFERROR(__xludf.DUMMYFUNCTION("""COMPUTED_VALUE"""),42677.7055555555)</f>
        <v>42677.705555555498</v>
      </c>
      <c r="L1333" s="111">
        <f ca="1">IFERROR(__xludf.DUMMYFUNCTION("""COMPUTED_VALUE"""),0.36)</f>
        <v>0.36</v>
      </c>
      <c r="M1333" s="112">
        <f ca="1">IFERROR(__xludf.DUMMYFUNCTION("""COMPUTED_VALUE"""),42142.7055555555)</f>
        <v>42142.705555555498</v>
      </c>
      <c r="N1333" s="111">
        <f ca="1">IFERROR(__xludf.DUMMYFUNCTION("""COMPUTED_VALUE"""),16.23)</f>
        <v>16.23</v>
      </c>
      <c r="O1333" s="112">
        <f ca="1">IFERROR(__xludf.DUMMYFUNCTION("""COMPUTED_VALUE"""),42219.7055555555)</f>
        <v>42219.705555555498</v>
      </c>
      <c r="P1333" s="111">
        <f ca="1">IFERROR(__xludf.DUMMYFUNCTION("""COMPUTED_VALUE"""),17.7)</f>
        <v>17.7</v>
      </c>
      <c r="Q1333" s="112">
        <f ca="1">IFERROR(__xludf.DUMMYFUNCTION("""COMPUTED_VALUE"""),42215.7055555555)</f>
        <v>42215.705555555498</v>
      </c>
      <c r="R1333" s="111">
        <f ca="1">IFERROR(__xludf.DUMMYFUNCTION("""COMPUTED_VALUE"""),21.56)</f>
        <v>21.56</v>
      </c>
      <c r="S1333" s="112">
        <f ca="1">IFERROR(__xludf.DUMMYFUNCTION("""COMPUTED_VALUE"""),42228.7055555555)</f>
        <v>42228.705555555498</v>
      </c>
      <c r="T1333" s="111">
        <f ca="1">IFERROR(__xludf.DUMMYFUNCTION("""COMPUTED_VALUE"""),14.59)</f>
        <v>14.59</v>
      </c>
    </row>
    <row r="1334" spans="1:20" x14ac:dyDescent="0.3">
      <c r="A1334" s="112">
        <f ca="1">IFERROR(__xludf.DUMMYFUNCTION("""COMPUTED_VALUE"""),42226.7055555555)</f>
        <v>42226.705555555498</v>
      </c>
      <c r="B1334" s="111">
        <f ca="1">IFERROR(__xludf.DUMMYFUNCTION("""COMPUTED_VALUE"""),5.36)</f>
        <v>5.36</v>
      </c>
      <c r="C1334" s="112">
        <f ca="1">IFERROR(__xludf.DUMMYFUNCTION("""COMPUTED_VALUE"""),42233.7055555555)</f>
        <v>42233.705555555498</v>
      </c>
      <c r="D1334" s="111">
        <f ca="1">IFERROR(__xludf.DUMMYFUNCTION("""COMPUTED_VALUE"""),15.98)</f>
        <v>15.98</v>
      </c>
      <c r="E1334" s="112">
        <f ca="1">IFERROR(__xludf.DUMMYFUNCTION("""COMPUTED_VALUE"""),42234.7055555555)</f>
        <v>42234.705555555498</v>
      </c>
      <c r="F1334" s="111">
        <f ca="1">IFERROR(__xludf.DUMMYFUNCTION("""COMPUTED_VALUE"""),5.85)</f>
        <v>5.85</v>
      </c>
      <c r="G1334" s="112">
        <f ca="1">IFERROR(__xludf.DUMMYFUNCTION("""COMPUTED_VALUE"""),42227.7055555555)</f>
        <v>42227.705555555498</v>
      </c>
      <c r="H1334" s="111">
        <f ca="1">IFERROR(__xludf.DUMMYFUNCTION("""COMPUTED_VALUE"""),9.98)</f>
        <v>9.98</v>
      </c>
      <c r="K1334" s="112">
        <f ca="1">IFERROR(__xludf.DUMMYFUNCTION("""COMPUTED_VALUE"""),42678.7055555555)</f>
        <v>42678.705555555498</v>
      </c>
      <c r="L1334" s="111">
        <f ca="1">IFERROR(__xludf.DUMMYFUNCTION("""COMPUTED_VALUE"""),0.36)</f>
        <v>0.36</v>
      </c>
      <c r="M1334" s="112">
        <f ca="1">IFERROR(__xludf.DUMMYFUNCTION("""COMPUTED_VALUE"""),42143.7055555555)</f>
        <v>42143.705555555498</v>
      </c>
      <c r="N1334" s="111">
        <f ca="1">IFERROR(__xludf.DUMMYFUNCTION("""COMPUTED_VALUE"""),16.08)</f>
        <v>16.079999999999998</v>
      </c>
      <c r="O1334" s="112">
        <f ca="1">IFERROR(__xludf.DUMMYFUNCTION("""COMPUTED_VALUE"""),42220.7055555555)</f>
        <v>42220.705555555498</v>
      </c>
      <c r="P1334" s="111">
        <f ca="1">IFERROR(__xludf.DUMMYFUNCTION("""COMPUTED_VALUE"""),18.1)</f>
        <v>18.100000000000001</v>
      </c>
      <c r="Q1334" s="112">
        <f ca="1">IFERROR(__xludf.DUMMYFUNCTION("""COMPUTED_VALUE"""),42216.7055555555)</f>
        <v>42216.705555555498</v>
      </c>
      <c r="R1334" s="111">
        <f ca="1">IFERROR(__xludf.DUMMYFUNCTION("""COMPUTED_VALUE"""),22.04)</f>
        <v>22.04</v>
      </c>
      <c r="S1334" s="112">
        <f ca="1">IFERROR(__xludf.DUMMYFUNCTION("""COMPUTED_VALUE"""),42229.7055555555)</f>
        <v>42229.705555555498</v>
      </c>
      <c r="T1334" s="111">
        <f ca="1">IFERROR(__xludf.DUMMYFUNCTION("""COMPUTED_VALUE"""),14.63)</f>
        <v>14.63</v>
      </c>
    </row>
    <row r="1335" spans="1:20" x14ac:dyDescent="0.3">
      <c r="A1335" s="112">
        <f ca="1">IFERROR(__xludf.DUMMYFUNCTION("""COMPUTED_VALUE"""),42227.7055555555)</f>
        <v>42227.705555555498</v>
      </c>
      <c r="B1335" s="111">
        <f ca="1">IFERROR(__xludf.DUMMYFUNCTION("""COMPUTED_VALUE"""),5.45)</f>
        <v>5.45</v>
      </c>
      <c r="C1335" s="112">
        <f ca="1">IFERROR(__xludf.DUMMYFUNCTION("""COMPUTED_VALUE"""),42234.7055555555)</f>
        <v>42234.705555555498</v>
      </c>
      <c r="D1335" s="111">
        <f ca="1">IFERROR(__xludf.DUMMYFUNCTION("""COMPUTED_VALUE"""),16.25)</f>
        <v>16.25</v>
      </c>
      <c r="E1335" s="112">
        <f ca="1">IFERROR(__xludf.DUMMYFUNCTION("""COMPUTED_VALUE"""),42235.7055555555)</f>
        <v>42235.705555555498</v>
      </c>
      <c r="F1335" s="111">
        <f ca="1">IFERROR(__xludf.DUMMYFUNCTION("""COMPUTED_VALUE"""),5.77)</f>
        <v>5.77</v>
      </c>
      <c r="G1335" s="112">
        <f ca="1">IFERROR(__xludf.DUMMYFUNCTION("""COMPUTED_VALUE"""),42228.7055555555)</f>
        <v>42228.705555555498</v>
      </c>
      <c r="H1335" s="111">
        <f ca="1">IFERROR(__xludf.DUMMYFUNCTION("""COMPUTED_VALUE"""),9.82)</f>
        <v>9.82</v>
      </c>
      <c r="K1335" s="112">
        <f ca="1">IFERROR(__xludf.DUMMYFUNCTION("""COMPUTED_VALUE"""),42681.7055555555)</f>
        <v>42681.705555555498</v>
      </c>
      <c r="L1335" s="111">
        <f ca="1">IFERROR(__xludf.DUMMYFUNCTION("""COMPUTED_VALUE"""),0.37)</f>
        <v>0.37</v>
      </c>
      <c r="M1335" s="112">
        <f ca="1">IFERROR(__xludf.DUMMYFUNCTION("""COMPUTED_VALUE"""),42144.7055555555)</f>
        <v>42144.705555555498</v>
      </c>
      <c r="N1335" s="111">
        <f ca="1">IFERROR(__xludf.DUMMYFUNCTION("""COMPUTED_VALUE"""),15.63)</f>
        <v>15.63</v>
      </c>
      <c r="O1335" s="112">
        <f ca="1">IFERROR(__xludf.DUMMYFUNCTION("""COMPUTED_VALUE"""),42221.7055555555)</f>
        <v>42221.705555555498</v>
      </c>
      <c r="P1335" s="111">
        <f ca="1">IFERROR(__xludf.DUMMYFUNCTION("""COMPUTED_VALUE"""),19.05)</f>
        <v>19.05</v>
      </c>
      <c r="Q1335" s="112">
        <f ca="1">IFERROR(__xludf.DUMMYFUNCTION("""COMPUTED_VALUE"""),42219.7055555555)</f>
        <v>42219.705555555498</v>
      </c>
      <c r="R1335" s="111">
        <f ca="1">IFERROR(__xludf.DUMMYFUNCTION("""COMPUTED_VALUE"""),22.31)</f>
        <v>22.31</v>
      </c>
      <c r="S1335" s="112">
        <f ca="1">IFERROR(__xludf.DUMMYFUNCTION("""COMPUTED_VALUE"""),42230.7055555555)</f>
        <v>42230.705555555498</v>
      </c>
      <c r="T1335" s="111">
        <f ca="1">IFERROR(__xludf.DUMMYFUNCTION("""COMPUTED_VALUE"""),14.83)</f>
        <v>14.83</v>
      </c>
    </row>
    <row r="1336" spans="1:20" x14ac:dyDescent="0.3">
      <c r="A1336" s="112">
        <f ca="1">IFERROR(__xludf.DUMMYFUNCTION("""COMPUTED_VALUE"""),42228.7055555555)</f>
        <v>42228.705555555498</v>
      </c>
      <c r="B1336" s="111">
        <f ca="1">IFERROR(__xludf.DUMMYFUNCTION("""COMPUTED_VALUE"""),5.23)</f>
        <v>5.23</v>
      </c>
      <c r="C1336" s="112">
        <f ca="1">IFERROR(__xludf.DUMMYFUNCTION("""COMPUTED_VALUE"""),42235.7055555555)</f>
        <v>42235.705555555498</v>
      </c>
      <c r="D1336" s="111">
        <f ca="1">IFERROR(__xludf.DUMMYFUNCTION("""COMPUTED_VALUE"""),15.92)</f>
        <v>15.92</v>
      </c>
      <c r="E1336" s="112">
        <f ca="1">IFERROR(__xludf.DUMMYFUNCTION("""COMPUTED_VALUE"""),42236.7055555555)</f>
        <v>42236.705555555498</v>
      </c>
      <c r="F1336" s="111">
        <f ca="1">IFERROR(__xludf.DUMMYFUNCTION("""COMPUTED_VALUE"""),5.71)</f>
        <v>5.71</v>
      </c>
      <c r="G1336" s="112">
        <f ca="1">IFERROR(__xludf.DUMMYFUNCTION("""COMPUTED_VALUE"""),42229.7055555555)</f>
        <v>42229.705555555498</v>
      </c>
      <c r="H1336" s="111">
        <f ca="1">IFERROR(__xludf.DUMMYFUNCTION("""COMPUTED_VALUE"""),9.5)</f>
        <v>9.5</v>
      </c>
      <c r="K1336" s="112">
        <f ca="1">IFERROR(__xludf.DUMMYFUNCTION("""COMPUTED_VALUE"""),42682.7055555555)</f>
        <v>42682.705555555498</v>
      </c>
      <c r="L1336" s="111">
        <f ca="1">IFERROR(__xludf.DUMMYFUNCTION("""COMPUTED_VALUE"""),0.37)</f>
        <v>0.37</v>
      </c>
      <c r="M1336" s="112">
        <f ca="1">IFERROR(__xludf.DUMMYFUNCTION("""COMPUTED_VALUE"""),42145.7055555555)</f>
        <v>42145.705555555498</v>
      </c>
      <c r="N1336" s="111">
        <f ca="1">IFERROR(__xludf.DUMMYFUNCTION("""COMPUTED_VALUE"""),15.44)</f>
        <v>15.44</v>
      </c>
      <c r="O1336" s="112">
        <f ca="1">IFERROR(__xludf.DUMMYFUNCTION("""COMPUTED_VALUE"""),42222.7055555555)</f>
        <v>42222.705555555498</v>
      </c>
      <c r="P1336" s="111">
        <f ca="1">IFERROR(__xludf.DUMMYFUNCTION("""COMPUTED_VALUE"""),19.58)</f>
        <v>19.579999999999998</v>
      </c>
      <c r="Q1336" s="112">
        <f ca="1">IFERROR(__xludf.DUMMYFUNCTION("""COMPUTED_VALUE"""),42220.7055555555)</f>
        <v>42220.705555555498</v>
      </c>
      <c r="R1336" s="111">
        <f ca="1">IFERROR(__xludf.DUMMYFUNCTION("""COMPUTED_VALUE"""),21.43)</f>
        <v>21.43</v>
      </c>
      <c r="S1336" s="112">
        <f ca="1">IFERROR(__xludf.DUMMYFUNCTION("""COMPUTED_VALUE"""),42233.7055555555)</f>
        <v>42233.705555555498</v>
      </c>
      <c r="T1336" s="111">
        <f ca="1">IFERROR(__xludf.DUMMYFUNCTION("""COMPUTED_VALUE"""),15.12)</f>
        <v>15.12</v>
      </c>
    </row>
    <row r="1337" spans="1:20" x14ac:dyDescent="0.3">
      <c r="A1337" s="112">
        <f ca="1">IFERROR(__xludf.DUMMYFUNCTION("""COMPUTED_VALUE"""),42229.7055555555)</f>
        <v>42229.705555555498</v>
      </c>
      <c r="B1337" s="111">
        <f ca="1">IFERROR(__xludf.DUMMYFUNCTION("""COMPUTED_VALUE"""),5.16)</f>
        <v>5.16</v>
      </c>
      <c r="C1337" s="112">
        <f ca="1">IFERROR(__xludf.DUMMYFUNCTION("""COMPUTED_VALUE"""),42236.7055555555)</f>
        <v>42236.705555555498</v>
      </c>
      <c r="D1337" s="111">
        <f ca="1">IFERROR(__xludf.DUMMYFUNCTION("""COMPUTED_VALUE"""),15.94)</f>
        <v>15.94</v>
      </c>
      <c r="E1337" s="112">
        <f ca="1">IFERROR(__xludf.DUMMYFUNCTION("""COMPUTED_VALUE"""),42237.7055555555)</f>
        <v>42237.705555555498</v>
      </c>
      <c r="F1337" s="111">
        <f ca="1">IFERROR(__xludf.DUMMYFUNCTION("""COMPUTED_VALUE"""),5.67)</f>
        <v>5.67</v>
      </c>
      <c r="G1337" s="112">
        <f ca="1">IFERROR(__xludf.DUMMYFUNCTION("""COMPUTED_VALUE"""),42230.7055555555)</f>
        <v>42230.705555555498</v>
      </c>
      <c r="H1337" s="111">
        <f ca="1">IFERROR(__xludf.DUMMYFUNCTION("""COMPUTED_VALUE"""),9.3)</f>
        <v>9.3000000000000007</v>
      </c>
      <c r="K1337" s="112">
        <f ca="1">IFERROR(__xludf.DUMMYFUNCTION("""COMPUTED_VALUE"""),42683.7055555555)</f>
        <v>42683.705555555498</v>
      </c>
      <c r="L1337" s="111">
        <f ca="1">IFERROR(__xludf.DUMMYFUNCTION("""COMPUTED_VALUE"""),0.38)</f>
        <v>0.38</v>
      </c>
      <c r="M1337" s="112">
        <f ca="1">IFERROR(__xludf.DUMMYFUNCTION("""COMPUTED_VALUE"""),42146.7055555555)</f>
        <v>42146.705555555498</v>
      </c>
      <c r="N1337" s="111">
        <f ca="1">IFERROR(__xludf.DUMMYFUNCTION("""COMPUTED_VALUE"""),15.01)</f>
        <v>15.01</v>
      </c>
      <c r="O1337" s="112">
        <f ca="1">IFERROR(__xludf.DUMMYFUNCTION("""COMPUTED_VALUE"""),42223.7055555555)</f>
        <v>42223.705555555498</v>
      </c>
      <c r="P1337" s="111">
        <f ca="1">IFERROR(__xludf.DUMMYFUNCTION("""COMPUTED_VALUE"""),18.46)</f>
        <v>18.46</v>
      </c>
      <c r="Q1337" s="112">
        <f ca="1">IFERROR(__xludf.DUMMYFUNCTION("""COMPUTED_VALUE"""),42221.7055555555)</f>
        <v>42221.705555555498</v>
      </c>
      <c r="R1337" s="111">
        <f ca="1">IFERROR(__xludf.DUMMYFUNCTION("""COMPUTED_VALUE"""),21.7)</f>
        <v>21.7</v>
      </c>
      <c r="S1337" s="112">
        <f ca="1">IFERROR(__xludf.DUMMYFUNCTION("""COMPUTED_VALUE"""),42234.7055555555)</f>
        <v>42234.705555555498</v>
      </c>
      <c r="T1337" s="111">
        <f ca="1">IFERROR(__xludf.DUMMYFUNCTION("""COMPUTED_VALUE"""),15.68)</f>
        <v>15.68</v>
      </c>
    </row>
    <row r="1338" spans="1:20" x14ac:dyDescent="0.3">
      <c r="A1338" s="112">
        <f ca="1">IFERROR(__xludf.DUMMYFUNCTION("""COMPUTED_VALUE"""),42230.7055555555)</f>
        <v>42230.705555555498</v>
      </c>
      <c r="B1338" s="111">
        <f ca="1">IFERROR(__xludf.DUMMYFUNCTION("""COMPUTED_VALUE"""),5.22)</f>
        <v>5.22</v>
      </c>
      <c r="C1338" s="112">
        <f ca="1">IFERROR(__xludf.DUMMYFUNCTION("""COMPUTED_VALUE"""),42237.7055555555)</f>
        <v>42237.705555555498</v>
      </c>
      <c r="D1338" s="111">
        <f ca="1">IFERROR(__xludf.DUMMYFUNCTION("""COMPUTED_VALUE"""),15.86)</f>
        <v>15.86</v>
      </c>
      <c r="E1338" s="112">
        <f ca="1">IFERROR(__xludf.DUMMYFUNCTION("""COMPUTED_VALUE"""),42240.7055555555)</f>
        <v>42240.705555555498</v>
      </c>
      <c r="F1338" s="111">
        <f ca="1">IFERROR(__xludf.DUMMYFUNCTION("""COMPUTED_VALUE"""),5.67)</f>
        <v>5.67</v>
      </c>
      <c r="G1338" s="112">
        <f ca="1">IFERROR(__xludf.DUMMYFUNCTION("""COMPUTED_VALUE"""),42233.7055555555)</f>
        <v>42233.705555555498</v>
      </c>
      <c r="H1338" s="111">
        <f ca="1">IFERROR(__xludf.DUMMYFUNCTION("""COMPUTED_VALUE"""),9.15)</f>
        <v>9.15</v>
      </c>
      <c r="K1338" s="112">
        <f ca="1">IFERROR(__xludf.DUMMYFUNCTION("""COMPUTED_VALUE"""),42684.7055555555)</f>
        <v>42684.705555555498</v>
      </c>
      <c r="L1338" s="111">
        <f ca="1">IFERROR(__xludf.DUMMYFUNCTION("""COMPUTED_VALUE"""),0.37)</f>
        <v>0.37</v>
      </c>
      <c r="M1338" s="112">
        <f ca="1">IFERROR(__xludf.DUMMYFUNCTION("""COMPUTED_VALUE"""),42149.7055555555)</f>
        <v>42149.705555555498</v>
      </c>
      <c r="N1338" s="111">
        <f ca="1">IFERROR(__xludf.DUMMYFUNCTION("""COMPUTED_VALUE"""),15.16)</f>
        <v>15.16</v>
      </c>
      <c r="O1338" s="112">
        <f ca="1">IFERROR(__xludf.DUMMYFUNCTION("""COMPUTED_VALUE"""),42226.7055555555)</f>
        <v>42226.705555555498</v>
      </c>
      <c r="P1338" s="111">
        <f ca="1">IFERROR(__xludf.DUMMYFUNCTION("""COMPUTED_VALUE"""),19.45)</f>
        <v>19.45</v>
      </c>
      <c r="Q1338" s="112">
        <f ca="1">IFERROR(__xludf.DUMMYFUNCTION("""COMPUTED_VALUE"""),42222.7055555555)</f>
        <v>42222.705555555498</v>
      </c>
      <c r="R1338" s="111">
        <f ca="1">IFERROR(__xludf.DUMMYFUNCTION("""COMPUTED_VALUE"""),21.14)</f>
        <v>21.14</v>
      </c>
      <c r="S1338" s="112">
        <f ca="1">IFERROR(__xludf.DUMMYFUNCTION("""COMPUTED_VALUE"""),42235.7055555555)</f>
        <v>42235.705555555498</v>
      </c>
      <c r="T1338" s="111">
        <f ca="1">IFERROR(__xludf.DUMMYFUNCTION("""COMPUTED_VALUE"""),15.38)</f>
        <v>15.38</v>
      </c>
    </row>
    <row r="1339" spans="1:20" x14ac:dyDescent="0.3">
      <c r="A1339" s="112">
        <f ca="1">IFERROR(__xludf.DUMMYFUNCTION("""COMPUTED_VALUE"""),42233.7055555555)</f>
        <v>42233.705555555498</v>
      </c>
      <c r="B1339" s="111">
        <f ca="1">IFERROR(__xludf.DUMMYFUNCTION("""COMPUTED_VALUE"""),5.1)</f>
        <v>5.0999999999999996</v>
      </c>
      <c r="C1339" s="112">
        <f ca="1">IFERROR(__xludf.DUMMYFUNCTION("""COMPUTED_VALUE"""),42240.7055555555)</f>
        <v>42240.705555555498</v>
      </c>
      <c r="D1339" s="111">
        <f ca="1">IFERROR(__xludf.DUMMYFUNCTION("""COMPUTED_VALUE"""),15.8)</f>
        <v>15.8</v>
      </c>
      <c r="E1339" s="112">
        <f ca="1">IFERROR(__xludf.DUMMYFUNCTION("""COMPUTED_VALUE"""),42241.7055555555)</f>
        <v>42241.705555555498</v>
      </c>
      <c r="F1339" s="111">
        <f ca="1">IFERROR(__xludf.DUMMYFUNCTION("""COMPUTED_VALUE"""),5.56)</f>
        <v>5.56</v>
      </c>
      <c r="G1339" s="112">
        <f ca="1">IFERROR(__xludf.DUMMYFUNCTION("""COMPUTED_VALUE"""),42234.7055555555)</f>
        <v>42234.705555555498</v>
      </c>
      <c r="H1339" s="111">
        <f ca="1">IFERROR(__xludf.DUMMYFUNCTION("""COMPUTED_VALUE"""),8.99)</f>
        <v>8.99</v>
      </c>
      <c r="K1339" s="112">
        <f ca="1">IFERROR(__xludf.DUMMYFUNCTION("""COMPUTED_VALUE"""),42685.7055555555)</f>
        <v>42685.705555555498</v>
      </c>
      <c r="L1339" s="111">
        <f ca="1">IFERROR(__xludf.DUMMYFUNCTION("""COMPUTED_VALUE"""),0.37)</f>
        <v>0.37</v>
      </c>
      <c r="M1339" s="112">
        <f ca="1">IFERROR(__xludf.DUMMYFUNCTION("""COMPUTED_VALUE"""),42150.7055555555)</f>
        <v>42150.705555555498</v>
      </c>
      <c r="N1339" s="111">
        <f ca="1">IFERROR(__xludf.DUMMYFUNCTION("""COMPUTED_VALUE"""),14.62)</f>
        <v>14.62</v>
      </c>
      <c r="O1339" s="112">
        <f ca="1">IFERROR(__xludf.DUMMYFUNCTION("""COMPUTED_VALUE"""),42227.7055555555)</f>
        <v>42227.705555555498</v>
      </c>
      <c r="P1339" s="111">
        <f ca="1">IFERROR(__xludf.DUMMYFUNCTION("""COMPUTED_VALUE"""),18.84)</f>
        <v>18.84</v>
      </c>
      <c r="Q1339" s="112">
        <f ca="1">IFERROR(__xludf.DUMMYFUNCTION("""COMPUTED_VALUE"""),42223.7055555555)</f>
        <v>42223.705555555498</v>
      </c>
      <c r="R1339" s="111">
        <f ca="1">IFERROR(__xludf.DUMMYFUNCTION("""COMPUTED_VALUE"""),20.52)</f>
        <v>20.52</v>
      </c>
      <c r="S1339" s="112">
        <f ca="1">IFERROR(__xludf.DUMMYFUNCTION("""COMPUTED_VALUE"""),42236.7055555555)</f>
        <v>42236.705555555498</v>
      </c>
      <c r="T1339" s="111">
        <f ca="1">IFERROR(__xludf.DUMMYFUNCTION("""COMPUTED_VALUE"""),15.3)</f>
        <v>15.3</v>
      </c>
    </row>
    <row r="1340" spans="1:20" x14ac:dyDescent="0.3">
      <c r="A1340" s="112">
        <f ca="1">IFERROR(__xludf.DUMMYFUNCTION("""COMPUTED_VALUE"""),42234.7055555555)</f>
        <v>42234.705555555498</v>
      </c>
      <c r="B1340" s="111">
        <f ca="1">IFERROR(__xludf.DUMMYFUNCTION("""COMPUTED_VALUE"""),5.04)</f>
        <v>5.04</v>
      </c>
      <c r="C1340" s="112">
        <f ca="1">IFERROR(__xludf.DUMMYFUNCTION("""COMPUTED_VALUE"""),42241.7055555555)</f>
        <v>42241.705555555498</v>
      </c>
      <c r="D1340" s="111">
        <f ca="1">IFERROR(__xludf.DUMMYFUNCTION("""COMPUTED_VALUE"""),15.57)</f>
        <v>15.57</v>
      </c>
      <c r="E1340" s="112">
        <f ca="1">IFERROR(__xludf.DUMMYFUNCTION("""COMPUTED_VALUE"""),42242.7055555555)</f>
        <v>42242.705555555498</v>
      </c>
      <c r="F1340" s="111">
        <f ca="1">IFERROR(__xludf.DUMMYFUNCTION("""COMPUTED_VALUE"""),5.97)</f>
        <v>5.97</v>
      </c>
      <c r="G1340" s="112">
        <f ca="1">IFERROR(__xludf.DUMMYFUNCTION("""COMPUTED_VALUE"""),42235.7055555555)</f>
        <v>42235.705555555498</v>
      </c>
      <c r="H1340" s="111">
        <f ca="1">IFERROR(__xludf.DUMMYFUNCTION("""COMPUTED_VALUE"""),8.74)</f>
        <v>8.74</v>
      </c>
      <c r="K1340" s="112">
        <f ca="1">IFERROR(__xludf.DUMMYFUNCTION("""COMPUTED_VALUE"""),42688.7055555555)</f>
        <v>42688.705555555498</v>
      </c>
      <c r="L1340" s="111">
        <f ca="1">IFERROR(__xludf.DUMMYFUNCTION("""COMPUTED_VALUE"""),0.36)</f>
        <v>0.36</v>
      </c>
      <c r="M1340" s="112">
        <f ca="1">IFERROR(__xludf.DUMMYFUNCTION("""COMPUTED_VALUE"""),42151.7055555555)</f>
        <v>42151.705555555498</v>
      </c>
      <c r="N1340" s="111">
        <f ca="1">IFERROR(__xludf.DUMMYFUNCTION("""COMPUTED_VALUE"""),15.15)</f>
        <v>15.15</v>
      </c>
      <c r="O1340" s="112">
        <f ca="1">IFERROR(__xludf.DUMMYFUNCTION("""COMPUTED_VALUE"""),42228.7055555555)</f>
        <v>42228.705555555498</v>
      </c>
      <c r="P1340" s="111">
        <f ca="1">IFERROR(__xludf.DUMMYFUNCTION("""COMPUTED_VALUE"""),18.96)</f>
        <v>18.96</v>
      </c>
      <c r="Q1340" s="112">
        <f ca="1">IFERROR(__xludf.DUMMYFUNCTION("""COMPUTED_VALUE"""),42226.7055555555)</f>
        <v>42226.705555555498</v>
      </c>
      <c r="R1340" s="111">
        <f ca="1">IFERROR(__xludf.DUMMYFUNCTION("""COMPUTED_VALUE"""),21.16)</f>
        <v>21.16</v>
      </c>
      <c r="S1340" s="112">
        <f ca="1">IFERROR(__xludf.DUMMYFUNCTION("""COMPUTED_VALUE"""),42237.7055555555)</f>
        <v>42237.705555555498</v>
      </c>
      <c r="T1340" s="111">
        <f ca="1">IFERROR(__xludf.DUMMYFUNCTION("""COMPUTED_VALUE"""),14.76)</f>
        <v>14.76</v>
      </c>
    </row>
    <row r="1341" spans="1:20" x14ac:dyDescent="0.3">
      <c r="A1341" s="112">
        <f ca="1">IFERROR(__xludf.DUMMYFUNCTION("""COMPUTED_VALUE"""),42235.7055555555)</f>
        <v>42235.705555555498</v>
      </c>
      <c r="B1341" s="111">
        <f ca="1">IFERROR(__xludf.DUMMYFUNCTION("""COMPUTED_VALUE"""),4.88)</f>
        <v>4.88</v>
      </c>
      <c r="C1341" s="112">
        <f ca="1">IFERROR(__xludf.DUMMYFUNCTION("""COMPUTED_VALUE"""),42242.7055555555)</f>
        <v>42242.705555555498</v>
      </c>
      <c r="D1341" s="111">
        <f ca="1">IFERROR(__xludf.DUMMYFUNCTION("""COMPUTED_VALUE"""),16.61)</f>
        <v>16.61</v>
      </c>
      <c r="E1341" s="112">
        <f ca="1">IFERROR(__xludf.DUMMYFUNCTION("""COMPUTED_VALUE"""),42243.7055555555)</f>
        <v>42243.705555555498</v>
      </c>
      <c r="F1341" s="111">
        <f ca="1">IFERROR(__xludf.DUMMYFUNCTION("""COMPUTED_VALUE"""),6.16)</f>
        <v>6.16</v>
      </c>
      <c r="G1341" s="112">
        <f ca="1">IFERROR(__xludf.DUMMYFUNCTION("""COMPUTED_VALUE"""),42236.7055555555)</f>
        <v>42236.705555555498</v>
      </c>
      <c r="H1341" s="111">
        <f ca="1">IFERROR(__xludf.DUMMYFUNCTION("""COMPUTED_VALUE"""),8.69)</f>
        <v>8.69</v>
      </c>
      <c r="K1341" s="112">
        <f ca="1">IFERROR(__xludf.DUMMYFUNCTION("""COMPUTED_VALUE"""),42690.7055555555)</f>
        <v>42690.705555555498</v>
      </c>
      <c r="L1341" s="111">
        <f ca="1">IFERROR(__xludf.DUMMYFUNCTION("""COMPUTED_VALUE"""),0.36)</f>
        <v>0.36</v>
      </c>
      <c r="M1341" s="112">
        <f ca="1">IFERROR(__xludf.DUMMYFUNCTION("""COMPUTED_VALUE"""),42152.7055555555)</f>
        <v>42152.705555555498</v>
      </c>
      <c r="N1341" s="111">
        <f ca="1">IFERROR(__xludf.DUMMYFUNCTION("""COMPUTED_VALUE"""),14.97)</f>
        <v>14.97</v>
      </c>
      <c r="O1341" s="112">
        <f ca="1">IFERROR(__xludf.DUMMYFUNCTION("""COMPUTED_VALUE"""),42229.7055555555)</f>
        <v>42229.705555555498</v>
      </c>
      <c r="P1341" s="111">
        <f ca="1">IFERROR(__xludf.DUMMYFUNCTION("""COMPUTED_VALUE"""),18.4)</f>
        <v>18.399999999999999</v>
      </c>
      <c r="Q1341" s="112">
        <f ca="1">IFERROR(__xludf.DUMMYFUNCTION("""COMPUTED_VALUE"""),42227.7055555555)</f>
        <v>42227.705555555498</v>
      </c>
      <c r="R1341" s="111">
        <f ca="1">IFERROR(__xludf.DUMMYFUNCTION("""COMPUTED_VALUE"""),21.6)</f>
        <v>21.6</v>
      </c>
      <c r="S1341" s="112">
        <f ca="1">IFERROR(__xludf.DUMMYFUNCTION("""COMPUTED_VALUE"""),42240.7055555555)</f>
        <v>42240.705555555498</v>
      </c>
      <c r="T1341" s="111">
        <f ca="1">IFERROR(__xludf.DUMMYFUNCTION("""COMPUTED_VALUE"""),14.43)</f>
        <v>14.43</v>
      </c>
    </row>
    <row r="1342" spans="1:20" x14ac:dyDescent="0.3">
      <c r="A1342" s="112">
        <f ca="1">IFERROR(__xludf.DUMMYFUNCTION("""COMPUTED_VALUE"""),42236.7055555555)</f>
        <v>42236.705555555498</v>
      </c>
      <c r="B1342" s="111">
        <f ca="1">IFERROR(__xludf.DUMMYFUNCTION("""COMPUTED_VALUE"""),4.85)</f>
        <v>4.8499999999999996</v>
      </c>
      <c r="C1342" s="112">
        <f ca="1">IFERROR(__xludf.DUMMYFUNCTION("""COMPUTED_VALUE"""),42243.7055555555)</f>
        <v>42243.705555555498</v>
      </c>
      <c r="D1342" s="111">
        <f ca="1">IFERROR(__xludf.DUMMYFUNCTION("""COMPUTED_VALUE"""),17.25)</f>
        <v>17.25</v>
      </c>
      <c r="E1342" s="112">
        <f ca="1">IFERROR(__xludf.DUMMYFUNCTION("""COMPUTED_VALUE"""),42244.7055555555)</f>
        <v>42244.705555555498</v>
      </c>
      <c r="F1342" s="111">
        <f ca="1">IFERROR(__xludf.DUMMYFUNCTION("""COMPUTED_VALUE"""),5.96)</f>
        <v>5.96</v>
      </c>
      <c r="G1342" s="112">
        <f ca="1">IFERROR(__xludf.DUMMYFUNCTION("""COMPUTED_VALUE"""),42237.7055555555)</f>
        <v>42237.705555555498</v>
      </c>
      <c r="H1342" s="111">
        <f ca="1">IFERROR(__xludf.DUMMYFUNCTION("""COMPUTED_VALUE"""),8.3)</f>
        <v>8.3000000000000007</v>
      </c>
      <c r="K1342" s="112">
        <f ca="1">IFERROR(__xludf.DUMMYFUNCTION("""COMPUTED_VALUE"""),42691.7055555555)</f>
        <v>42691.705555555498</v>
      </c>
      <c r="L1342" s="111">
        <f ca="1">IFERROR(__xludf.DUMMYFUNCTION("""COMPUTED_VALUE"""),0.36)</f>
        <v>0.36</v>
      </c>
      <c r="M1342" s="112">
        <f ca="1">IFERROR(__xludf.DUMMYFUNCTION("""COMPUTED_VALUE"""),42153.7055555555)</f>
        <v>42153.705555555498</v>
      </c>
      <c r="N1342" s="111">
        <f ca="1">IFERROR(__xludf.DUMMYFUNCTION("""COMPUTED_VALUE"""),14.59)</f>
        <v>14.59</v>
      </c>
      <c r="O1342" s="112">
        <f ca="1">IFERROR(__xludf.DUMMYFUNCTION("""COMPUTED_VALUE"""),42230.7055555555)</f>
        <v>42230.705555555498</v>
      </c>
      <c r="P1342" s="111">
        <f ca="1">IFERROR(__xludf.DUMMYFUNCTION("""COMPUTED_VALUE"""),18.22)</f>
        <v>18.22</v>
      </c>
      <c r="Q1342" s="112">
        <f ca="1">IFERROR(__xludf.DUMMYFUNCTION("""COMPUTED_VALUE"""),42228.7055555555)</f>
        <v>42228.705555555498</v>
      </c>
      <c r="R1342" s="111">
        <f ca="1">IFERROR(__xludf.DUMMYFUNCTION("""COMPUTED_VALUE"""),20.37)</f>
        <v>20.37</v>
      </c>
      <c r="S1342" s="112">
        <f ca="1">IFERROR(__xludf.DUMMYFUNCTION("""COMPUTED_VALUE"""),42241.7055555555)</f>
        <v>42241.705555555498</v>
      </c>
      <c r="T1342" s="111">
        <f ca="1">IFERROR(__xludf.DUMMYFUNCTION("""COMPUTED_VALUE"""),14.54)</f>
        <v>14.54</v>
      </c>
    </row>
    <row r="1343" spans="1:20" x14ac:dyDescent="0.3">
      <c r="A1343" s="112">
        <f ca="1">IFERROR(__xludf.DUMMYFUNCTION("""COMPUTED_VALUE"""),42237.7055555555)</f>
        <v>42237.705555555498</v>
      </c>
      <c r="B1343" s="111">
        <f ca="1">IFERROR(__xludf.DUMMYFUNCTION("""COMPUTED_VALUE"""),4.86)</f>
        <v>4.8600000000000003</v>
      </c>
      <c r="C1343" s="112">
        <f ca="1">IFERROR(__xludf.DUMMYFUNCTION("""COMPUTED_VALUE"""),42244.7055555555)</f>
        <v>42244.705555555498</v>
      </c>
      <c r="D1343" s="111">
        <f ca="1">IFERROR(__xludf.DUMMYFUNCTION("""COMPUTED_VALUE"""),16.69)</f>
        <v>16.690000000000001</v>
      </c>
      <c r="E1343" s="112">
        <f ca="1">IFERROR(__xludf.DUMMYFUNCTION("""COMPUTED_VALUE"""),42247.7055555555)</f>
        <v>42247.705555555498</v>
      </c>
      <c r="F1343" s="111">
        <f ca="1">IFERROR(__xludf.DUMMYFUNCTION("""COMPUTED_VALUE"""),5.73)</f>
        <v>5.73</v>
      </c>
      <c r="G1343" s="112">
        <f ca="1">IFERROR(__xludf.DUMMYFUNCTION("""COMPUTED_VALUE"""),42240.7055555555)</f>
        <v>42240.705555555498</v>
      </c>
      <c r="H1343" s="111">
        <f ca="1">IFERROR(__xludf.DUMMYFUNCTION("""COMPUTED_VALUE"""),7.89)</f>
        <v>7.89</v>
      </c>
      <c r="K1343" s="112">
        <f ca="1">IFERROR(__xludf.DUMMYFUNCTION("""COMPUTED_VALUE"""),42692.7055555555)</f>
        <v>42692.705555555498</v>
      </c>
      <c r="L1343" s="111">
        <f ca="1">IFERROR(__xludf.DUMMYFUNCTION("""COMPUTED_VALUE"""),0.36)</f>
        <v>0.36</v>
      </c>
      <c r="M1343" s="112">
        <f ca="1">IFERROR(__xludf.DUMMYFUNCTION("""COMPUTED_VALUE"""),42156.7055555555)</f>
        <v>42156.705555555498</v>
      </c>
      <c r="N1343" s="111">
        <f ca="1">IFERROR(__xludf.DUMMYFUNCTION("""COMPUTED_VALUE"""),14.5)</f>
        <v>14.5</v>
      </c>
      <c r="O1343" s="112">
        <f ca="1">IFERROR(__xludf.DUMMYFUNCTION("""COMPUTED_VALUE"""),42233.7055555555)</f>
        <v>42233.705555555498</v>
      </c>
      <c r="P1343" s="111">
        <f ca="1">IFERROR(__xludf.DUMMYFUNCTION("""COMPUTED_VALUE"""),18.07)</f>
        <v>18.07</v>
      </c>
      <c r="Q1343" s="112">
        <f ca="1">IFERROR(__xludf.DUMMYFUNCTION("""COMPUTED_VALUE"""),42229.7055555555)</f>
        <v>42229.705555555498</v>
      </c>
      <c r="R1343" s="111">
        <f ca="1">IFERROR(__xludf.DUMMYFUNCTION("""COMPUTED_VALUE"""),19.45)</f>
        <v>19.45</v>
      </c>
      <c r="S1343" s="112">
        <f ca="1">IFERROR(__xludf.DUMMYFUNCTION("""COMPUTED_VALUE"""),42242.7055555555)</f>
        <v>42242.705555555498</v>
      </c>
      <c r="T1343" s="111">
        <f ca="1">IFERROR(__xludf.DUMMYFUNCTION("""COMPUTED_VALUE"""),15.02)</f>
        <v>15.02</v>
      </c>
    </row>
    <row r="1344" spans="1:20" x14ac:dyDescent="0.3">
      <c r="A1344" s="112">
        <f ca="1">IFERROR(__xludf.DUMMYFUNCTION("""COMPUTED_VALUE"""),42240.7055555555)</f>
        <v>42240.705555555498</v>
      </c>
      <c r="B1344" s="111">
        <f ca="1">IFERROR(__xludf.DUMMYFUNCTION("""COMPUTED_VALUE"""),4.65)</f>
        <v>4.6500000000000004</v>
      </c>
      <c r="C1344" s="112">
        <f ca="1">IFERROR(__xludf.DUMMYFUNCTION("""COMPUTED_VALUE"""),42247.7055555555)</f>
        <v>42247.705555555498</v>
      </c>
      <c r="D1344" s="111">
        <f ca="1">IFERROR(__xludf.DUMMYFUNCTION("""COMPUTED_VALUE"""),16.09)</f>
        <v>16.09</v>
      </c>
      <c r="E1344" s="112">
        <f ca="1">IFERROR(__xludf.DUMMYFUNCTION("""COMPUTED_VALUE"""),42248.7055555555)</f>
        <v>42248.705555555498</v>
      </c>
      <c r="F1344" s="111">
        <f ca="1">IFERROR(__xludf.DUMMYFUNCTION("""COMPUTED_VALUE"""),5.67)</f>
        <v>5.67</v>
      </c>
      <c r="G1344" s="112">
        <f ca="1">IFERROR(__xludf.DUMMYFUNCTION("""COMPUTED_VALUE"""),42241.7055555555)</f>
        <v>42241.705555555498</v>
      </c>
      <c r="H1344" s="111">
        <f ca="1">IFERROR(__xludf.DUMMYFUNCTION("""COMPUTED_VALUE"""),7.85)</f>
        <v>7.85</v>
      </c>
      <c r="K1344" s="112">
        <f ca="1">IFERROR(__xludf.DUMMYFUNCTION("""COMPUTED_VALUE"""),42695.7055555555)</f>
        <v>42695.705555555498</v>
      </c>
      <c r="L1344" s="111">
        <f ca="1">IFERROR(__xludf.DUMMYFUNCTION("""COMPUTED_VALUE"""),0.37)</f>
        <v>0.37</v>
      </c>
      <c r="M1344" s="112">
        <f ca="1">IFERROR(__xludf.DUMMYFUNCTION("""COMPUTED_VALUE"""),42157.7055555555)</f>
        <v>42157.705555555498</v>
      </c>
      <c r="N1344" s="111">
        <f ca="1">IFERROR(__xludf.DUMMYFUNCTION("""COMPUTED_VALUE"""),14.99)</f>
        <v>14.99</v>
      </c>
      <c r="O1344" s="112">
        <f ca="1">IFERROR(__xludf.DUMMYFUNCTION("""COMPUTED_VALUE"""),42234.7055555555)</f>
        <v>42234.705555555498</v>
      </c>
      <c r="P1344" s="111">
        <f ca="1">IFERROR(__xludf.DUMMYFUNCTION("""COMPUTED_VALUE"""),17.4)</f>
        <v>17.399999999999999</v>
      </c>
      <c r="Q1344" s="112">
        <f ca="1">IFERROR(__xludf.DUMMYFUNCTION("""COMPUTED_VALUE"""),42230.7055555555)</f>
        <v>42230.705555555498</v>
      </c>
      <c r="R1344" s="111">
        <f ca="1">IFERROR(__xludf.DUMMYFUNCTION("""COMPUTED_VALUE"""),19.3)</f>
        <v>19.3</v>
      </c>
      <c r="S1344" s="112">
        <f ca="1">IFERROR(__xludf.DUMMYFUNCTION("""COMPUTED_VALUE"""),42243.7055555555)</f>
        <v>42243.705555555498</v>
      </c>
      <c r="T1344" s="111">
        <f ca="1">IFERROR(__xludf.DUMMYFUNCTION("""COMPUTED_VALUE"""),15.45)</f>
        <v>15.45</v>
      </c>
    </row>
    <row r="1345" spans="1:20" x14ac:dyDescent="0.3">
      <c r="A1345" s="112">
        <f ca="1">IFERROR(__xludf.DUMMYFUNCTION("""COMPUTED_VALUE"""),42241.7055555555)</f>
        <v>42241.705555555498</v>
      </c>
      <c r="B1345" s="111">
        <f ca="1">IFERROR(__xludf.DUMMYFUNCTION("""COMPUTED_VALUE"""),4.61)</f>
        <v>4.6100000000000003</v>
      </c>
      <c r="C1345" s="112">
        <f ca="1">IFERROR(__xludf.DUMMYFUNCTION("""COMPUTED_VALUE"""),42248.7055555555)</f>
        <v>42248.705555555498</v>
      </c>
      <c r="D1345" s="111">
        <f ca="1">IFERROR(__xludf.DUMMYFUNCTION("""COMPUTED_VALUE"""),15.71)</f>
        <v>15.71</v>
      </c>
      <c r="E1345" s="112">
        <f ca="1">IFERROR(__xludf.DUMMYFUNCTION("""COMPUTED_VALUE"""),42249.7055555555)</f>
        <v>42249.705555555498</v>
      </c>
      <c r="F1345" s="111">
        <f ca="1">IFERROR(__xludf.DUMMYFUNCTION("""COMPUTED_VALUE"""),5.71)</f>
        <v>5.71</v>
      </c>
      <c r="G1345" s="112">
        <f ca="1">IFERROR(__xludf.DUMMYFUNCTION("""COMPUTED_VALUE"""),42242.7055555555)</f>
        <v>42242.705555555498</v>
      </c>
      <c r="H1345" s="111">
        <f ca="1">IFERROR(__xludf.DUMMYFUNCTION("""COMPUTED_VALUE"""),8.13)</f>
        <v>8.1300000000000008</v>
      </c>
      <c r="K1345" s="112">
        <f ca="1">IFERROR(__xludf.DUMMYFUNCTION("""COMPUTED_VALUE"""),42696.7055555555)</f>
        <v>42696.705555555498</v>
      </c>
      <c r="L1345" s="111">
        <f ca="1">IFERROR(__xludf.DUMMYFUNCTION("""COMPUTED_VALUE"""),0.38)</f>
        <v>0.38</v>
      </c>
      <c r="M1345" s="112">
        <f ca="1">IFERROR(__xludf.DUMMYFUNCTION("""COMPUTED_VALUE"""),42158.7055555555)</f>
        <v>42158.705555555498</v>
      </c>
      <c r="N1345" s="111">
        <f ca="1">IFERROR(__xludf.DUMMYFUNCTION("""COMPUTED_VALUE"""),14.59)</f>
        <v>14.59</v>
      </c>
      <c r="O1345" s="112">
        <f ca="1">IFERROR(__xludf.DUMMYFUNCTION("""COMPUTED_VALUE"""),42235.7055555555)</f>
        <v>42235.705555555498</v>
      </c>
      <c r="P1345" s="111">
        <f ca="1">IFERROR(__xludf.DUMMYFUNCTION("""COMPUTED_VALUE"""),16.85)</f>
        <v>16.850000000000001</v>
      </c>
      <c r="Q1345" s="112">
        <f ca="1">IFERROR(__xludf.DUMMYFUNCTION("""COMPUTED_VALUE"""),42233.7055555555)</f>
        <v>42233.705555555498</v>
      </c>
      <c r="R1345" s="111">
        <f ca="1">IFERROR(__xludf.DUMMYFUNCTION("""COMPUTED_VALUE"""),18.85)</f>
        <v>18.850000000000001</v>
      </c>
      <c r="S1345" s="112">
        <f ca="1">IFERROR(__xludf.DUMMYFUNCTION("""COMPUTED_VALUE"""),42244.7055555555)</f>
        <v>42244.705555555498</v>
      </c>
      <c r="T1345" s="111">
        <f ca="1">IFERROR(__xludf.DUMMYFUNCTION("""COMPUTED_VALUE"""),15.11)</f>
        <v>15.11</v>
      </c>
    </row>
    <row r="1346" spans="1:20" x14ac:dyDescent="0.3">
      <c r="A1346" s="112">
        <f ca="1">IFERROR(__xludf.DUMMYFUNCTION("""COMPUTED_VALUE"""),42242.7055555555)</f>
        <v>42242.705555555498</v>
      </c>
      <c r="B1346" s="111">
        <f ca="1">IFERROR(__xludf.DUMMYFUNCTION("""COMPUTED_VALUE"""),4.79)</f>
        <v>4.79</v>
      </c>
      <c r="C1346" s="112">
        <f ca="1">IFERROR(__xludf.DUMMYFUNCTION("""COMPUTED_VALUE"""),42249.7055555555)</f>
        <v>42249.705555555498</v>
      </c>
      <c r="D1346" s="111">
        <f ca="1">IFERROR(__xludf.DUMMYFUNCTION("""COMPUTED_VALUE"""),16.08)</f>
        <v>16.079999999999998</v>
      </c>
      <c r="E1346" s="112">
        <f ca="1">IFERROR(__xludf.DUMMYFUNCTION("""COMPUTED_VALUE"""),42250.7055555555)</f>
        <v>42250.705555555498</v>
      </c>
      <c r="F1346" s="111">
        <f ca="1">IFERROR(__xludf.DUMMYFUNCTION("""COMPUTED_VALUE"""),5.89)</f>
        <v>5.89</v>
      </c>
      <c r="G1346" s="112">
        <f ca="1">IFERROR(__xludf.DUMMYFUNCTION("""COMPUTED_VALUE"""),42243.7055555555)</f>
        <v>42243.705555555498</v>
      </c>
      <c r="H1346" s="111">
        <f ca="1">IFERROR(__xludf.DUMMYFUNCTION("""COMPUTED_VALUE"""),8.92)</f>
        <v>8.92</v>
      </c>
      <c r="K1346" s="112">
        <f ca="1">IFERROR(__xludf.DUMMYFUNCTION("""COMPUTED_VALUE"""),42697.7055555555)</f>
        <v>42697.705555555498</v>
      </c>
      <c r="L1346" s="111">
        <f ca="1">IFERROR(__xludf.DUMMYFUNCTION("""COMPUTED_VALUE"""),0.38)</f>
        <v>0.38</v>
      </c>
      <c r="M1346" s="112">
        <f ca="1">IFERROR(__xludf.DUMMYFUNCTION("""COMPUTED_VALUE"""),42160.7055555555)</f>
        <v>42160.705555555498</v>
      </c>
      <c r="N1346" s="111">
        <f ca="1">IFERROR(__xludf.DUMMYFUNCTION("""COMPUTED_VALUE"""),14.28)</f>
        <v>14.28</v>
      </c>
      <c r="O1346" s="112">
        <f ca="1">IFERROR(__xludf.DUMMYFUNCTION("""COMPUTED_VALUE"""),42236.7055555555)</f>
        <v>42236.705555555498</v>
      </c>
      <c r="P1346" s="111">
        <f ca="1">IFERROR(__xludf.DUMMYFUNCTION("""COMPUTED_VALUE"""),17.16)</f>
        <v>17.16</v>
      </c>
      <c r="Q1346" s="112">
        <f ca="1">IFERROR(__xludf.DUMMYFUNCTION("""COMPUTED_VALUE"""),42234.7055555555)</f>
        <v>42234.705555555498</v>
      </c>
      <c r="R1346" s="111">
        <f ca="1">IFERROR(__xludf.DUMMYFUNCTION("""COMPUTED_VALUE"""),19.66)</f>
        <v>19.66</v>
      </c>
      <c r="S1346" s="112">
        <f ca="1">IFERROR(__xludf.DUMMYFUNCTION("""COMPUTED_VALUE"""),42247.7055555555)</f>
        <v>42247.705555555498</v>
      </c>
      <c r="T1346" s="111">
        <f ca="1">IFERROR(__xludf.DUMMYFUNCTION("""COMPUTED_VALUE"""),14.8)</f>
        <v>14.8</v>
      </c>
    </row>
    <row r="1347" spans="1:20" x14ac:dyDescent="0.3">
      <c r="A1347" s="112">
        <f ca="1">IFERROR(__xludf.DUMMYFUNCTION("""COMPUTED_VALUE"""),42243.7055555555)</f>
        <v>42243.705555555498</v>
      </c>
      <c r="B1347" s="111">
        <f ca="1">IFERROR(__xludf.DUMMYFUNCTION("""COMPUTED_VALUE"""),5.03)</f>
        <v>5.03</v>
      </c>
      <c r="C1347" s="112">
        <f ca="1">IFERROR(__xludf.DUMMYFUNCTION("""COMPUTED_VALUE"""),42250.7055555555)</f>
        <v>42250.705555555498</v>
      </c>
      <c r="D1347" s="111">
        <f ca="1">IFERROR(__xludf.DUMMYFUNCTION("""COMPUTED_VALUE"""),16.69)</f>
        <v>16.690000000000001</v>
      </c>
      <c r="E1347" s="112">
        <f ca="1">IFERROR(__xludf.DUMMYFUNCTION("""COMPUTED_VALUE"""),42251.7055555555)</f>
        <v>42251.705555555498</v>
      </c>
      <c r="F1347" s="111">
        <f ca="1">IFERROR(__xludf.DUMMYFUNCTION("""COMPUTED_VALUE"""),5.75)</f>
        <v>5.75</v>
      </c>
      <c r="G1347" s="112">
        <f ca="1">IFERROR(__xludf.DUMMYFUNCTION("""COMPUTED_VALUE"""),42244.7055555555)</f>
        <v>42244.705555555498</v>
      </c>
      <c r="H1347" s="111">
        <f ca="1">IFERROR(__xludf.DUMMYFUNCTION("""COMPUTED_VALUE"""),9.02)</f>
        <v>9.02</v>
      </c>
      <c r="K1347" s="112">
        <f ca="1">IFERROR(__xludf.DUMMYFUNCTION("""COMPUTED_VALUE"""),42698.7055555555)</f>
        <v>42698.705555555498</v>
      </c>
      <c r="L1347" s="111">
        <f ca="1">IFERROR(__xludf.DUMMYFUNCTION("""COMPUTED_VALUE"""),0.38)</f>
        <v>0.38</v>
      </c>
      <c r="M1347" s="112">
        <f ca="1">IFERROR(__xludf.DUMMYFUNCTION("""COMPUTED_VALUE"""),42163.7055555555)</f>
        <v>42163.705555555498</v>
      </c>
      <c r="N1347" s="111">
        <f ca="1">IFERROR(__xludf.DUMMYFUNCTION("""COMPUTED_VALUE"""),14.26)</f>
        <v>14.26</v>
      </c>
      <c r="O1347" s="112">
        <f ca="1">IFERROR(__xludf.DUMMYFUNCTION("""COMPUTED_VALUE"""),42237.7055555555)</f>
        <v>42237.705555555498</v>
      </c>
      <c r="P1347" s="111">
        <f ca="1">IFERROR(__xludf.DUMMYFUNCTION("""COMPUTED_VALUE"""),16.87)</f>
        <v>16.87</v>
      </c>
      <c r="Q1347" s="112">
        <f ca="1">IFERROR(__xludf.DUMMYFUNCTION("""COMPUTED_VALUE"""),42235.7055555555)</f>
        <v>42235.705555555498</v>
      </c>
      <c r="R1347" s="111">
        <f ca="1">IFERROR(__xludf.DUMMYFUNCTION("""COMPUTED_VALUE"""),18.32)</f>
        <v>18.32</v>
      </c>
      <c r="S1347" s="112">
        <f ca="1">IFERROR(__xludf.DUMMYFUNCTION("""COMPUTED_VALUE"""),42248.7055555555)</f>
        <v>42248.705555555498</v>
      </c>
      <c r="T1347" s="111">
        <f ca="1">IFERROR(__xludf.DUMMYFUNCTION("""COMPUTED_VALUE"""),14.4)</f>
        <v>14.4</v>
      </c>
    </row>
    <row r="1348" spans="1:20" x14ac:dyDescent="0.3">
      <c r="A1348" s="112">
        <f ca="1">IFERROR(__xludf.DUMMYFUNCTION("""COMPUTED_VALUE"""),42244.7055555555)</f>
        <v>42244.705555555498</v>
      </c>
      <c r="B1348" s="111">
        <f ca="1">IFERROR(__xludf.DUMMYFUNCTION("""COMPUTED_VALUE"""),4.87)</f>
        <v>4.87</v>
      </c>
      <c r="C1348" s="112">
        <f ca="1">IFERROR(__xludf.DUMMYFUNCTION("""COMPUTED_VALUE"""),42251.7055555555)</f>
        <v>42251.705555555498</v>
      </c>
      <c r="D1348" s="111">
        <f ca="1">IFERROR(__xludf.DUMMYFUNCTION("""COMPUTED_VALUE"""),16.01)</f>
        <v>16.010000000000002</v>
      </c>
      <c r="E1348" s="112">
        <f ca="1">IFERROR(__xludf.DUMMYFUNCTION("""COMPUTED_VALUE"""),42255.7055555555)</f>
        <v>42255.705555555498</v>
      </c>
      <c r="F1348" s="111">
        <f ca="1">IFERROR(__xludf.DUMMYFUNCTION("""COMPUTED_VALUE"""),5.78)</f>
        <v>5.78</v>
      </c>
      <c r="G1348" s="112">
        <f ca="1">IFERROR(__xludf.DUMMYFUNCTION("""COMPUTED_VALUE"""),42247.7055555555)</f>
        <v>42247.705555555498</v>
      </c>
      <c r="H1348" s="111">
        <f ca="1">IFERROR(__xludf.DUMMYFUNCTION("""COMPUTED_VALUE"""),9.19)</f>
        <v>9.19</v>
      </c>
      <c r="K1348" s="112">
        <f ca="1">IFERROR(__xludf.DUMMYFUNCTION("""COMPUTED_VALUE"""),42699.7055555555)</f>
        <v>42699.705555555498</v>
      </c>
      <c r="L1348" s="111">
        <f ca="1">IFERROR(__xludf.DUMMYFUNCTION("""COMPUTED_VALUE"""),0.38)</f>
        <v>0.38</v>
      </c>
      <c r="M1348" s="112">
        <f ca="1">IFERROR(__xludf.DUMMYFUNCTION("""COMPUTED_VALUE"""),42164.7055555555)</f>
        <v>42164.705555555498</v>
      </c>
      <c r="N1348" s="111">
        <f ca="1">IFERROR(__xludf.DUMMYFUNCTION("""COMPUTED_VALUE"""),14.18)</f>
        <v>14.18</v>
      </c>
      <c r="O1348" s="112">
        <f ca="1">IFERROR(__xludf.DUMMYFUNCTION("""COMPUTED_VALUE"""),42240.7055555555)</f>
        <v>42240.705555555498</v>
      </c>
      <c r="P1348" s="111">
        <f ca="1">IFERROR(__xludf.DUMMYFUNCTION("""COMPUTED_VALUE"""),15.49)</f>
        <v>15.49</v>
      </c>
      <c r="Q1348" s="112">
        <f ca="1">IFERROR(__xludf.DUMMYFUNCTION("""COMPUTED_VALUE"""),42236.7055555555)</f>
        <v>42236.705555555498</v>
      </c>
      <c r="R1348" s="111">
        <f ca="1">IFERROR(__xludf.DUMMYFUNCTION("""COMPUTED_VALUE"""),18.54)</f>
        <v>18.54</v>
      </c>
      <c r="S1348" s="112">
        <f ca="1">IFERROR(__xludf.DUMMYFUNCTION("""COMPUTED_VALUE"""),42249.7055555555)</f>
        <v>42249.705555555498</v>
      </c>
      <c r="T1348" s="111">
        <f ca="1">IFERROR(__xludf.DUMMYFUNCTION("""COMPUTED_VALUE"""),14.05)</f>
        <v>14.05</v>
      </c>
    </row>
    <row r="1349" spans="1:20" x14ac:dyDescent="0.3">
      <c r="A1349" s="112">
        <f ca="1">IFERROR(__xludf.DUMMYFUNCTION("""COMPUTED_VALUE"""),42247.7055555555)</f>
        <v>42247.705555555498</v>
      </c>
      <c r="B1349" s="111">
        <f ca="1">IFERROR(__xludf.DUMMYFUNCTION("""COMPUTED_VALUE"""),4.92)</f>
        <v>4.92</v>
      </c>
      <c r="C1349" s="112">
        <f ca="1">IFERROR(__xludf.DUMMYFUNCTION("""COMPUTED_VALUE"""),42255.7055555555)</f>
        <v>42255.705555555498</v>
      </c>
      <c r="D1349" s="111">
        <f ca="1">IFERROR(__xludf.DUMMYFUNCTION("""COMPUTED_VALUE"""),16.19)</f>
        <v>16.190000000000001</v>
      </c>
      <c r="E1349" s="112">
        <f ca="1">IFERROR(__xludf.DUMMYFUNCTION("""COMPUTED_VALUE"""),42256.7055555555)</f>
        <v>42256.705555555498</v>
      </c>
      <c r="F1349" s="111">
        <f ca="1">IFERROR(__xludf.DUMMYFUNCTION("""COMPUTED_VALUE"""),5.84)</f>
        <v>5.84</v>
      </c>
      <c r="G1349" s="112">
        <f ca="1">IFERROR(__xludf.DUMMYFUNCTION("""COMPUTED_VALUE"""),42248.7055555555)</f>
        <v>42248.705555555498</v>
      </c>
      <c r="H1349" s="111">
        <f ca="1">IFERROR(__xludf.DUMMYFUNCTION("""COMPUTED_VALUE"""),8.59)</f>
        <v>8.59</v>
      </c>
      <c r="K1349" s="112">
        <f ca="1">IFERROR(__xludf.DUMMYFUNCTION("""COMPUTED_VALUE"""),42702.7055555555)</f>
        <v>42702.705555555498</v>
      </c>
      <c r="L1349" s="111">
        <f ca="1">IFERROR(__xludf.DUMMYFUNCTION("""COMPUTED_VALUE"""),0.38)</f>
        <v>0.38</v>
      </c>
      <c r="M1349" s="112">
        <f ca="1">IFERROR(__xludf.DUMMYFUNCTION("""COMPUTED_VALUE"""),42165.7055555555)</f>
        <v>42165.705555555498</v>
      </c>
      <c r="N1349" s="111">
        <f ca="1">IFERROR(__xludf.DUMMYFUNCTION("""COMPUTED_VALUE"""),14.7)</f>
        <v>14.7</v>
      </c>
      <c r="O1349" s="112">
        <f ca="1">IFERROR(__xludf.DUMMYFUNCTION("""COMPUTED_VALUE"""),42241.7055555555)</f>
        <v>42241.705555555498</v>
      </c>
      <c r="P1349" s="111">
        <f ca="1">IFERROR(__xludf.DUMMYFUNCTION("""COMPUTED_VALUE"""),15.17)</f>
        <v>15.17</v>
      </c>
      <c r="Q1349" s="112">
        <f ca="1">IFERROR(__xludf.DUMMYFUNCTION("""COMPUTED_VALUE"""),42237.7055555555)</f>
        <v>42237.705555555498</v>
      </c>
      <c r="R1349" s="111">
        <f ca="1">IFERROR(__xludf.DUMMYFUNCTION("""COMPUTED_VALUE"""),18.5)</f>
        <v>18.5</v>
      </c>
      <c r="S1349" s="112">
        <f ca="1">IFERROR(__xludf.DUMMYFUNCTION("""COMPUTED_VALUE"""),42250.7055555555)</f>
        <v>42250.705555555498</v>
      </c>
      <c r="T1349" s="111">
        <f ca="1">IFERROR(__xludf.DUMMYFUNCTION("""COMPUTED_VALUE"""),14.44)</f>
        <v>14.44</v>
      </c>
    </row>
    <row r="1350" spans="1:20" x14ac:dyDescent="0.3">
      <c r="A1350" s="112">
        <f ca="1">IFERROR(__xludf.DUMMYFUNCTION("""COMPUTED_VALUE"""),42248.7055555555)</f>
        <v>42248.705555555498</v>
      </c>
      <c r="B1350" s="111">
        <f ca="1">IFERROR(__xludf.DUMMYFUNCTION("""COMPUTED_VALUE"""),4.81)</f>
        <v>4.8099999999999996</v>
      </c>
      <c r="C1350" s="112">
        <f ca="1">IFERROR(__xludf.DUMMYFUNCTION("""COMPUTED_VALUE"""),42256.7055555555)</f>
        <v>42256.705555555498</v>
      </c>
      <c r="D1350" s="111">
        <f ca="1">IFERROR(__xludf.DUMMYFUNCTION("""COMPUTED_VALUE"""),16.37)</f>
        <v>16.37</v>
      </c>
      <c r="E1350" s="112">
        <f ca="1">IFERROR(__xludf.DUMMYFUNCTION("""COMPUTED_VALUE"""),42257.7055555555)</f>
        <v>42257.705555555498</v>
      </c>
      <c r="F1350" s="111">
        <f ca="1">IFERROR(__xludf.DUMMYFUNCTION("""COMPUTED_VALUE"""),5.67)</f>
        <v>5.67</v>
      </c>
      <c r="G1350" s="112">
        <f ca="1">IFERROR(__xludf.DUMMYFUNCTION("""COMPUTED_VALUE"""),42249.7055555555)</f>
        <v>42249.705555555498</v>
      </c>
      <c r="H1350" s="111">
        <f ca="1">IFERROR(__xludf.DUMMYFUNCTION("""COMPUTED_VALUE"""),8.82)</f>
        <v>8.82</v>
      </c>
      <c r="K1350" s="112">
        <f ca="1">IFERROR(__xludf.DUMMYFUNCTION("""COMPUTED_VALUE"""),42703.7055555555)</f>
        <v>42703.705555555498</v>
      </c>
      <c r="L1350" s="111">
        <f ca="1">IFERROR(__xludf.DUMMYFUNCTION("""COMPUTED_VALUE"""),0.4)</f>
        <v>0.4</v>
      </c>
      <c r="M1350" s="112">
        <f ca="1">IFERROR(__xludf.DUMMYFUNCTION("""COMPUTED_VALUE"""),42166.7055555555)</f>
        <v>42166.705555555498</v>
      </c>
      <c r="N1350" s="111">
        <f ca="1">IFERROR(__xludf.DUMMYFUNCTION("""COMPUTED_VALUE"""),14.67)</f>
        <v>14.67</v>
      </c>
      <c r="O1350" s="112">
        <f ca="1">IFERROR(__xludf.DUMMYFUNCTION("""COMPUTED_VALUE"""),42242.7055555555)</f>
        <v>42242.705555555498</v>
      </c>
      <c r="P1350" s="111">
        <f ca="1">IFERROR(__xludf.DUMMYFUNCTION("""COMPUTED_VALUE"""),15.98)</f>
        <v>15.98</v>
      </c>
      <c r="Q1350" s="112">
        <f ca="1">IFERROR(__xludf.DUMMYFUNCTION("""COMPUTED_VALUE"""),42240.7055555555)</f>
        <v>42240.705555555498</v>
      </c>
      <c r="R1350" s="111">
        <f ca="1">IFERROR(__xludf.DUMMYFUNCTION("""COMPUTED_VALUE"""),17.91)</f>
        <v>17.91</v>
      </c>
      <c r="S1350" s="112">
        <f ca="1">IFERROR(__xludf.DUMMYFUNCTION("""COMPUTED_VALUE"""),42251.7055555555)</f>
        <v>42251.705555555498</v>
      </c>
      <c r="T1350" s="111">
        <f ca="1">IFERROR(__xludf.DUMMYFUNCTION("""COMPUTED_VALUE"""),13.99)</f>
        <v>13.99</v>
      </c>
    </row>
    <row r="1351" spans="1:20" x14ac:dyDescent="0.3">
      <c r="A1351" s="112">
        <f ca="1">IFERROR(__xludf.DUMMYFUNCTION("""COMPUTED_VALUE"""),42249.7055555555)</f>
        <v>42249.705555555498</v>
      </c>
      <c r="B1351" s="111">
        <f ca="1">IFERROR(__xludf.DUMMYFUNCTION("""COMPUTED_VALUE"""),4.76)</f>
        <v>4.76</v>
      </c>
      <c r="C1351" s="112">
        <f ca="1">IFERROR(__xludf.DUMMYFUNCTION("""COMPUTED_VALUE"""),42257.7055555555)</f>
        <v>42257.705555555498</v>
      </c>
      <c r="D1351" s="111">
        <f ca="1">IFERROR(__xludf.DUMMYFUNCTION("""COMPUTED_VALUE"""),16.04)</f>
        <v>16.04</v>
      </c>
      <c r="E1351" s="112">
        <f ca="1">IFERROR(__xludf.DUMMYFUNCTION("""COMPUTED_VALUE"""),42258.7055555555)</f>
        <v>42258.705555555498</v>
      </c>
      <c r="F1351" s="111">
        <f ca="1">IFERROR(__xludf.DUMMYFUNCTION("""COMPUTED_VALUE"""),5.82)</f>
        <v>5.82</v>
      </c>
      <c r="G1351" s="112">
        <f ca="1">IFERROR(__xludf.DUMMYFUNCTION("""COMPUTED_VALUE"""),42250.7055555555)</f>
        <v>42250.705555555498</v>
      </c>
      <c r="H1351" s="111">
        <f ca="1">IFERROR(__xludf.DUMMYFUNCTION("""COMPUTED_VALUE"""),8.76)</f>
        <v>8.76</v>
      </c>
      <c r="K1351" s="112">
        <f ca="1">IFERROR(__xludf.DUMMYFUNCTION("""COMPUTED_VALUE"""),42704.7055555555)</f>
        <v>42704.705555555498</v>
      </c>
      <c r="L1351" s="111">
        <f ca="1">IFERROR(__xludf.DUMMYFUNCTION("""COMPUTED_VALUE"""),0.41)</f>
        <v>0.41</v>
      </c>
      <c r="M1351" s="112">
        <f ca="1">IFERROR(__xludf.DUMMYFUNCTION("""COMPUTED_VALUE"""),42167.7055555555)</f>
        <v>42167.705555555498</v>
      </c>
      <c r="N1351" s="111">
        <f ca="1">IFERROR(__xludf.DUMMYFUNCTION("""COMPUTED_VALUE"""),14.38)</f>
        <v>14.38</v>
      </c>
      <c r="O1351" s="112">
        <f ca="1">IFERROR(__xludf.DUMMYFUNCTION("""COMPUTED_VALUE"""),42243.7055555555)</f>
        <v>42243.705555555498</v>
      </c>
      <c r="P1351" s="111">
        <f ca="1">IFERROR(__xludf.DUMMYFUNCTION("""COMPUTED_VALUE"""),17.84)</f>
        <v>17.84</v>
      </c>
      <c r="Q1351" s="112">
        <f ca="1">IFERROR(__xludf.DUMMYFUNCTION("""COMPUTED_VALUE"""),42241.7055555555)</f>
        <v>42241.705555555498</v>
      </c>
      <c r="R1351" s="111">
        <f ca="1">IFERROR(__xludf.DUMMYFUNCTION("""COMPUTED_VALUE"""),17.61)</f>
        <v>17.61</v>
      </c>
      <c r="S1351" s="112">
        <f ca="1">IFERROR(__xludf.DUMMYFUNCTION("""COMPUTED_VALUE"""),42255.7055555555)</f>
        <v>42255.705555555498</v>
      </c>
      <c r="T1351" s="111">
        <f ca="1">IFERROR(__xludf.DUMMYFUNCTION("""COMPUTED_VALUE"""),13.82)</f>
        <v>13.82</v>
      </c>
    </row>
    <row r="1352" spans="1:20" x14ac:dyDescent="0.3">
      <c r="A1352" s="112">
        <f ca="1">IFERROR(__xludf.DUMMYFUNCTION("""COMPUTED_VALUE"""),42250.7055555555)</f>
        <v>42250.705555555498</v>
      </c>
      <c r="B1352" s="111">
        <f ca="1">IFERROR(__xludf.DUMMYFUNCTION("""COMPUTED_VALUE"""),4.97)</f>
        <v>4.97</v>
      </c>
      <c r="C1352" s="112">
        <f ca="1">IFERROR(__xludf.DUMMYFUNCTION("""COMPUTED_VALUE"""),42258.7055555555)</f>
        <v>42258.705555555498</v>
      </c>
      <c r="D1352" s="111">
        <f ca="1">IFERROR(__xludf.DUMMYFUNCTION("""COMPUTED_VALUE"""),16.07)</f>
        <v>16.07</v>
      </c>
      <c r="E1352" s="112">
        <f ca="1">IFERROR(__xludf.DUMMYFUNCTION("""COMPUTED_VALUE"""),42261.7055555555)</f>
        <v>42261.705555555498</v>
      </c>
      <c r="F1352" s="111">
        <f ca="1">IFERROR(__xludf.DUMMYFUNCTION("""COMPUTED_VALUE"""),6.11)</f>
        <v>6.11</v>
      </c>
      <c r="G1352" s="112">
        <f ca="1">IFERROR(__xludf.DUMMYFUNCTION("""COMPUTED_VALUE"""),42251.7055555555)</f>
        <v>42251.705555555498</v>
      </c>
      <c r="H1352" s="111">
        <f ca="1">IFERROR(__xludf.DUMMYFUNCTION("""COMPUTED_VALUE"""),8.51)</f>
        <v>8.51</v>
      </c>
      <c r="K1352" s="112">
        <f ca="1">IFERROR(__xludf.DUMMYFUNCTION("""COMPUTED_VALUE"""),42705.7055555555)</f>
        <v>42705.705555555498</v>
      </c>
      <c r="L1352" s="111">
        <f ca="1">IFERROR(__xludf.DUMMYFUNCTION("""COMPUTED_VALUE"""),0.39)</f>
        <v>0.39</v>
      </c>
      <c r="M1352" s="112">
        <f ca="1">IFERROR(__xludf.DUMMYFUNCTION("""COMPUTED_VALUE"""),42170.7055555555)</f>
        <v>42170.705555555498</v>
      </c>
      <c r="N1352" s="111">
        <f ca="1">IFERROR(__xludf.DUMMYFUNCTION("""COMPUTED_VALUE"""),14.33)</f>
        <v>14.33</v>
      </c>
      <c r="O1352" s="112">
        <f ca="1">IFERROR(__xludf.DUMMYFUNCTION("""COMPUTED_VALUE"""),42244.7055555555)</f>
        <v>42244.705555555498</v>
      </c>
      <c r="P1352" s="111">
        <f ca="1">IFERROR(__xludf.DUMMYFUNCTION("""COMPUTED_VALUE"""),17.32)</f>
        <v>17.32</v>
      </c>
      <c r="Q1352" s="112">
        <f ca="1">IFERROR(__xludf.DUMMYFUNCTION("""COMPUTED_VALUE"""),42242.7055555555)</f>
        <v>42242.705555555498</v>
      </c>
      <c r="R1352" s="111">
        <f ca="1">IFERROR(__xludf.DUMMYFUNCTION("""COMPUTED_VALUE"""),18.63)</f>
        <v>18.63</v>
      </c>
      <c r="S1352" s="112">
        <f ca="1">IFERROR(__xludf.DUMMYFUNCTION("""COMPUTED_VALUE"""),42256.7055555555)</f>
        <v>42256.705555555498</v>
      </c>
      <c r="T1352" s="111">
        <f ca="1">IFERROR(__xludf.DUMMYFUNCTION("""COMPUTED_VALUE"""),13.87)</f>
        <v>13.87</v>
      </c>
    </row>
    <row r="1353" spans="1:20" x14ac:dyDescent="0.3">
      <c r="A1353" s="112">
        <f ca="1">IFERROR(__xludf.DUMMYFUNCTION("""COMPUTED_VALUE"""),42251.7055555555)</f>
        <v>42251.705555555498</v>
      </c>
      <c r="B1353" s="111">
        <f ca="1">IFERROR(__xludf.DUMMYFUNCTION("""COMPUTED_VALUE"""),5.03)</f>
        <v>5.03</v>
      </c>
      <c r="C1353" s="112">
        <f ca="1">IFERROR(__xludf.DUMMYFUNCTION("""COMPUTED_VALUE"""),42261.7055555555)</f>
        <v>42261.705555555498</v>
      </c>
      <c r="D1353" s="111">
        <f ca="1">IFERROR(__xludf.DUMMYFUNCTION("""COMPUTED_VALUE"""),16.72)</f>
        <v>16.72</v>
      </c>
      <c r="E1353" s="112">
        <f ca="1">IFERROR(__xludf.DUMMYFUNCTION("""COMPUTED_VALUE"""),42262.7055555555)</f>
        <v>42262.705555555498</v>
      </c>
      <c r="F1353" s="111">
        <f ca="1">IFERROR(__xludf.DUMMYFUNCTION("""COMPUTED_VALUE"""),6.07)</f>
        <v>6.07</v>
      </c>
      <c r="G1353" s="112">
        <f ca="1">IFERROR(__xludf.DUMMYFUNCTION("""COMPUTED_VALUE"""),42255.7055555555)</f>
        <v>42255.705555555498</v>
      </c>
      <c r="H1353" s="111">
        <f ca="1">IFERROR(__xludf.DUMMYFUNCTION("""COMPUTED_VALUE"""),8.64)</f>
        <v>8.64</v>
      </c>
      <c r="K1353" s="112">
        <f ca="1">IFERROR(__xludf.DUMMYFUNCTION("""COMPUTED_VALUE"""),42706.7055555555)</f>
        <v>42706.705555555498</v>
      </c>
      <c r="L1353" s="111">
        <f ca="1">IFERROR(__xludf.DUMMYFUNCTION("""COMPUTED_VALUE"""),0.39)</f>
        <v>0.39</v>
      </c>
      <c r="M1353" s="112">
        <f ca="1">IFERROR(__xludf.DUMMYFUNCTION("""COMPUTED_VALUE"""),42171.7055555555)</f>
        <v>42171.705555555498</v>
      </c>
      <c r="N1353" s="111">
        <f ca="1">IFERROR(__xludf.DUMMYFUNCTION("""COMPUTED_VALUE"""),14.65)</f>
        <v>14.65</v>
      </c>
      <c r="O1353" s="112">
        <f ca="1">IFERROR(__xludf.DUMMYFUNCTION("""COMPUTED_VALUE"""),42247.7055555555)</f>
        <v>42247.705555555498</v>
      </c>
      <c r="P1353" s="111">
        <f ca="1">IFERROR(__xludf.DUMMYFUNCTION("""COMPUTED_VALUE"""),17.92)</f>
        <v>17.920000000000002</v>
      </c>
      <c r="Q1353" s="112">
        <f ca="1">IFERROR(__xludf.DUMMYFUNCTION("""COMPUTED_VALUE"""),42243.7055555555)</f>
        <v>42243.705555555498</v>
      </c>
      <c r="R1353" s="111">
        <f ca="1">IFERROR(__xludf.DUMMYFUNCTION("""COMPUTED_VALUE"""),19.25)</f>
        <v>19.25</v>
      </c>
      <c r="S1353" s="112">
        <f ca="1">IFERROR(__xludf.DUMMYFUNCTION("""COMPUTED_VALUE"""),42257.7055555555)</f>
        <v>42257.705555555498</v>
      </c>
      <c r="T1353" s="111">
        <f ca="1">IFERROR(__xludf.DUMMYFUNCTION("""COMPUTED_VALUE"""),14.24)</f>
        <v>14.24</v>
      </c>
    </row>
    <row r="1354" spans="1:20" x14ac:dyDescent="0.3">
      <c r="A1354" s="112">
        <f ca="1">IFERROR(__xludf.DUMMYFUNCTION("""COMPUTED_VALUE"""),42255.7055555555)</f>
        <v>42255.705555555498</v>
      </c>
      <c r="B1354" s="111">
        <f ca="1">IFERROR(__xludf.DUMMYFUNCTION("""COMPUTED_VALUE"""),4.92)</f>
        <v>4.92</v>
      </c>
      <c r="C1354" s="112">
        <f ca="1">IFERROR(__xludf.DUMMYFUNCTION("""COMPUTED_VALUE"""),42262.7055555555)</f>
        <v>42262.705555555498</v>
      </c>
      <c r="D1354" s="111">
        <f ca="1">IFERROR(__xludf.DUMMYFUNCTION("""COMPUTED_VALUE"""),17.13)</f>
        <v>17.13</v>
      </c>
      <c r="E1354" s="112">
        <f ca="1">IFERROR(__xludf.DUMMYFUNCTION("""COMPUTED_VALUE"""),42263.7055555555)</f>
        <v>42263.705555555498</v>
      </c>
      <c r="F1354" s="111">
        <f ca="1">IFERROR(__xludf.DUMMYFUNCTION("""COMPUTED_VALUE"""),6.19)</f>
        <v>6.19</v>
      </c>
      <c r="G1354" s="112">
        <f ca="1">IFERROR(__xludf.DUMMYFUNCTION("""COMPUTED_VALUE"""),42256.7055555555)</f>
        <v>42256.705555555498</v>
      </c>
      <c r="H1354" s="111">
        <f ca="1">IFERROR(__xludf.DUMMYFUNCTION("""COMPUTED_VALUE"""),8.39)</f>
        <v>8.39</v>
      </c>
      <c r="K1354" s="112">
        <f ca="1">IFERROR(__xludf.DUMMYFUNCTION("""COMPUTED_VALUE"""),42709.7055555555)</f>
        <v>42709.705555555498</v>
      </c>
      <c r="L1354" s="111">
        <f ca="1">IFERROR(__xludf.DUMMYFUNCTION("""COMPUTED_VALUE"""),0.38)</f>
        <v>0.38</v>
      </c>
      <c r="M1354" s="112">
        <f ca="1">IFERROR(__xludf.DUMMYFUNCTION("""COMPUTED_VALUE"""),42172.7055555555)</f>
        <v>42172.705555555498</v>
      </c>
      <c r="N1354" s="111">
        <f ca="1">IFERROR(__xludf.DUMMYFUNCTION("""COMPUTED_VALUE"""),14.34)</f>
        <v>14.34</v>
      </c>
      <c r="O1354" s="112">
        <f ca="1">IFERROR(__xludf.DUMMYFUNCTION("""COMPUTED_VALUE"""),42248.7055555555)</f>
        <v>42248.705555555498</v>
      </c>
      <c r="P1354" s="111">
        <f ca="1">IFERROR(__xludf.DUMMYFUNCTION("""COMPUTED_VALUE"""),17.1)</f>
        <v>17.100000000000001</v>
      </c>
      <c r="Q1354" s="112">
        <f ca="1">IFERROR(__xludf.DUMMYFUNCTION("""COMPUTED_VALUE"""),42244.7055555555)</f>
        <v>42244.705555555498</v>
      </c>
      <c r="R1354" s="111">
        <f ca="1">IFERROR(__xludf.DUMMYFUNCTION("""COMPUTED_VALUE"""),18.73)</f>
        <v>18.73</v>
      </c>
      <c r="S1354" s="112">
        <f ca="1">IFERROR(__xludf.DUMMYFUNCTION("""COMPUTED_VALUE"""),42258.7055555555)</f>
        <v>42258.705555555498</v>
      </c>
      <c r="T1354" s="111">
        <f ca="1">IFERROR(__xludf.DUMMYFUNCTION("""COMPUTED_VALUE"""),14.29)</f>
        <v>14.29</v>
      </c>
    </row>
    <row r="1355" spans="1:20" x14ac:dyDescent="0.3">
      <c r="A1355" s="112">
        <f ca="1">IFERROR(__xludf.DUMMYFUNCTION("""COMPUTED_VALUE"""),42256.7055555555)</f>
        <v>42256.705555555498</v>
      </c>
      <c r="B1355" s="111">
        <f ca="1">IFERROR(__xludf.DUMMYFUNCTION("""COMPUTED_VALUE"""),4.85)</f>
        <v>4.8499999999999996</v>
      </c>
      <c r="C1355" s="112">
        <f ca="1">IFERROR(__xludf.DUMMYFUNCTION("""COMPUTED_VALUE"""),42263.7055555555)</f>
        <v>42263.705555555498</v>
      </c>
      <c r="D1355" s="111">
        <f ca="1">IFERROR(__xludf.DUMMYFUNCTION("""COMPUTED_VALUE"""),17.42)</f>
        <v>17.420000000000002</v>
      </c>
      <c r="E1355" s="112">
        <f ca="1">IFERROR(__xludf.DUMMYFUNCTION("""COMPUTED_VALUE"""),42264.7055555555)</f>
        <v>42264.705555555498</v>
      </c>
      <c r="F1355" s="111">
        <f ca="1">IFERROR(__xludf.DUMMYFUNCTION("""COMPUTED_VALUE"""),6.21)</f>
        <v>6.21</v>
      </c>
      <c r="G1355" s="112">
        <f ca="1">IFERROR(__xludf.DUMMYFUNCTION("""COMPUTED_VALUE"""),42257.7055555555)</f>
        <v>42257.705555555498</v>
      </c>
      <c r="H1355" s="111">
        <f ca="1">IFERROR(__xludf.DUMMYFUNCTION("""COMPUTED_VALUE"""),7.97)</f>
        <v>7.97</v>
      </c>
      <c r="K1355" s="112">
        <f ca="1">IFERROR(__xludf.DUMMYFUNCTION("""COMPUTED_VALUE"""),42710.7055555555)</f>
        <v>42710.705555555498</v>
      </c>
      <c r="L1355" s="111">
        <f ca="1">IFERROR(__xludf.DUMMYFUNCTION("""COMPUTED_VALUE"""),0.4)</f>
        <v>0.4</v>
      </c>
      <c r="M1355" s="112">
        <f ca="1">IFERROR(__xludf.DUMMYFUNCTION("""COMPUTED_VALUE"""),42173.7055555555)</f>
        <v>42173.705555555498</v>
      </c>
      <c r="N1355" s="111">
        <f ca="1">IFERROR(__xludf.DUMMYFUNCTION("""COMPUTED_VALUE"""),14.88)</f>
        <v>14.88</v>
      </c>
      <c r="O1355" s="112">
        <f ca="1">IFERROR(__xludf.DUMMYFUNCTION("""COMPUTED_VALUE"""),42249.7055555555)</f>
        <v>42249.705555555498</v>
      </c>
      <c r="P1355" s="111">
        <f ca="1">IFERROR(__xludf.DUMMYFUNCTION("""COMPUTED_VALUE"""),18.11)</f>
        <v>18.11</v>
      </c>
      <c r="Q1355" s="112">
        <f ca="1">IFERROR(__xludf.DUMMYFUNCTION("""COMPUTED_VALUE"""),42247.7055555555)</f>
        <v>42247.705555555498</v>
      </c>
      <c r="R1355" s="111">
        <f ca="1">IFERROR(__xludf.DUMMYFUNCTION("""COMPUTED_VALUE"""),17.83)</f>
        <v>17.829999999999998</v>
      </c>
      <c r="S1355" s="112">
        <f ca="1">IFERROR(__xludf.DUMMYFUNCTION("""COMPUTED_VALUE"""),42261.7055555555)</f>
        <v>42261.705555555498</v>
      </c>
      <c r="T1355" s="111">
        <f ca="1">IFERROR(__xludf.DUMMYFUNCTION("""COMPUTED_VALUE"""),14.83)</f>
        <v>14.83</v>
      </c>
    </row>
    <row r="1356" spans="1:20" x14ac:dyDescent="0.3">
      <c r="A1356" s="112">
        <f ca="1">IFERROR(__xludf.DUMMYFUNCTION("""COMPUTED_VALUE"""),42257.7055555555)</f>
        <v>42257.705555555498</v>
      </c>
      <c r="B1356" s="111">
        <f ca="1">IFERROR(__xludf.DUMMYFUNCTION("""COMPUTED_VALUE"""),4.84)</f>
        <v>4.84</v>
      </c>
      <c r="C1356" s="112">
        <f ca="1">IFERROR(__xludf.DUMMYFUNCTION("""COMPUTED_VALUE"""),42264.7055555555)</f>
        <v>42264.705555555498</v>
      </c>
      <c r="D1356" s="111">
        <f ca="1">IFERROR(__xludf.DUMMYFUNCTION("""COMPUTED_VALUE"""),17.57)</f>
        <v>17.57</v>
      </c>
      <c r="E1356" s="112">
        <f ca="1">IFERROR(__xludf.DUMMYFUNCTION("""COMPUTED_VALUE"""),42265.7055555555)</f>
        <v>42265.705555555498</v>
      </c>
      <c r="F1356" s="111">
        <f ca="1">IFERROR(__xludf.DUMMYFUNCTION("""COMPUTED_VALUE"""),5.94)</f>
        <v>5.94</v>
      </c>
      <c r="G1356" s="112">
        <f ca="1">IFERROR(__xludf.DUMMYFUNCTION("""COMPUTED_VALUE"""),42258.7055555555)</f>
        <v>42258.705555555498</v>
      </c>
      <c r="H1356" s="111">
        <f ca="1">IFERROR(__xludf.DUMMYFUNCTION("""COMPUTED_VALUE"""),7.66)</f>
        <v>7.66</v>
      </c>
      <c r="K1356" s="112">
        <f ca="1">IFERROR(__xludf.DUMMYFUNCTION("""COMPUTED_VALUE"""),42711.7055555555)</f>
        <v>42711.705555555498</v>
      </c>
      <c r="L1356" s="111">
        <f ca="1">IFERROR(__xludf.DUMMYFUNCTION("""COMPUTED_VALUE"""),0.4)</f>
        <v>0.4</v>
      </c>
      <c r="M1356" s="112">
        <f ca="1">IFERROR(__xludf.DUMMYFUNCTION("""COMPUTED_VALUE"""),42174.7055555555)</f>
        <v>42174.705555555498</v>
      </c>
      <c r="N1356" s="111">
        <f ca="1">IFERROR(__xludf.DUMMYFUNCTION("""COMPUTED_VALUE"""),14.58)</f>
        <v>14.58</v>
      </c>
      <c r="O1356" s="112">
        <f ca="1">IFERROR(__xludf.DUMMYFUNCTION("""COMPUTED_VALUE"""),42250.7055555555)</f>
        <v>42250.705555555498</v>
      </c>
      <c r="P1356" s="111">
        <f ca="1">IFERROR(__xludf.DUMMYFUNCTION("""COMPUTED_VALUE"""),18.73)</f>
        <v>18.73</v>
      </c>
      <c r="Q1356" s="112">
        <f ca="1">IFERROR(__xludf.DUMMYFUNCTION("""COMPUTED_VALUE"""),42248.7055555555)</f>
        <v>42248.705555555498</v>
      </c>
      <c r="R1356" s="111">
        <f ca="1">IFERROR(__xludf.DUMMYFUNCTION("""COMPUTED_VALUE"""),17.37)</f>
        <v>17.37</v>
      </c>
      <c r="S1356" s="112">
        <f ca="1">IFERROR(__xludf.DUMMYFUNCTION("""COMPUTED_VALUE"""),42262.7055555555)</f>
        <v>42262.705555555498</v>
      </c>
      <c r="T1356" s="111">
        <f ca="1">IFERROR(__xludf.DUMMYFUNCTION("""COMPUTED_VALUE"""),14.65)</f>
        <v>14.65</v>
      </c>
    </row>
    <row r="1357" spans="1:20" x14ac:dyDescent="0.3">
      <c r="A1357" s="112">
        <f ca="1">IFERROR(__xludf.DUMMYFUNCTION("""COMPUTED_VALUE"""),42258.7055555555)</f>
        <v>42258.705555555498</v>
      </c>
      <c r="B1357" s="111">
        <f ca="1">IFERROR(__xludf.DUMMYFUNCTION("""COMPUTED_VALUE"""),5.01)</f>
        <v>5.01</v>
      </c>
      <c r="C1357" s="112">
        <f ca="1">IFERROR(__xludf.DUMMYFUNCTION("""COMPUTED_VALUE"""),42265.7055555555)</f>
        <v>42265.705555555498</v>
      </c>
      <c r="D1357" s="111">
        <f ca="1">IFERROR(__xludf.DUMMYFUNCTION("""COMPUTED_VALUE"""),16.88)</f>
        <v>16.88</v>
      </c>
      <c r="E1357" s="112">
        <f ca="1">IFERROR(__xludf.DUMMYFUNCTION("""COMPUTED_VALUE"""),42268.7055555555)</f>
        <v>42268.705555555498</v>
      </c>
      <c r="F1357" s="111">
        <f ca="1">IFERROR(__xludf.DUMMYFUNCTION("""COMPUTED_VALUE"""),5.79)</f>
        <v>5.79</v>
      </c>
      <c r="G1357" s="112">
        <f ca="1">IFERROR(__xludf.DUMMYFUNCTION("""COMPUTED_VALUE"""),42261.7055555555)</f>
        <v>42261.705555555498</v>
      </c>
      <c r="H1357" s="111">
        <f ca="1">IFERROR(__xludf.DUMMYFUNCTION("""COMPUTED_VALUE"""),7.72)</f>
        <v>7.72</v>
      </c>
      <c r="K1357" s="112">
        <f ca="1">IFERROR(__xludf.DUMMYFUNCTION("""COMPUTED_VALUE"""),42712.7055555555)</f>
        <v>42712.705555555498</v>
      </c>
      <c r="L1357" s="111">
        <f ca="1">IFERROR(__xludf.DUMMYFUNCTION("""COMPUTED_VALUE"""),0.41)</f>
        <v>0.41</v>
      </c>
      <c r="M1357" s="112">
        <f ca="1">IFERROR(__xludf.DUMMYFUNCTION("""COMPUTED_VALUE"""),42177.7055555555)</f>
        <v>42177.705555555498</v>
      </c>
      <c r="N1357" s="111">
        <f ca="1">IFERROR(__xludf.DUMMYFUNCTION("""COMPUTED_VALUE"""),14.72)</f>
        <v>14.72</v>
      </c>
      <c r="O1357" s="112">
        <f ca="1">IFERROR(__xludf.DUMMYFUNCTION("""COMPUTED_VALUE"""),42251.7055555555)</f>
        <v>42251.705555555498</v>
      </c>
      <c r="P1357" s="111">
        <f ca="1">IFERROR(__xludf.DUMMYFUNCTION("""COMPUTED_VALUE"""),18.24)</f>
        <v>18.239999999999998</v>
      </c>
      <c r="Q1357" s="112">
        <f ca="1">IFERROR(__xludf.DUMMYFUNCTION("""COMPUTED_VALUE"""),42249.7055555555)</f>
        <v>42249.705555555498</v>
      </c>
      <c r="R1357" s="111">
        <f ca="1">IFERROR(__xludf.DUMMYFUNCTION("""COMPUTED_VALUE"""),17.4)</f>
        <v>17.399999999999999</v>
      </c>
      <c r="S1357" s="112">
        <f ca="1">IFERROR(__xludf.DUMMYFUNCTION("""COMPUTED_VALUE"""),42263.7055555555)</f>
        <v>42263.705555555498</v>
      </c>
      <c r="T1357" s="111">
        <f ca="1">IFERROR(__xludf.DUMMYFUNCTION("""COMPUTED_VALUE"""),15.21)</f>
        <v>15.21</v>
      </c>
    </row>
    <row r="1358" spans="1:20" x14ac:dyDescent="0.3">
      <c r="A1358" s="112">
        <f ca="1">IFERROR(__xludf.DUMMYFUNCTION("""COMPUTED_VALUE"""),42261.7055555555)</f>
        <v>42261.705555555498</v>
      </c>
      <c r="B1358" s="111">
        <f ca="1">IFERROR(__xludf.DUMMYFUNCTION("""COMPUTED_VALUE"""),5.13)</f>
        <v>5.13</v>
      </c>
      <c r="C1358" s="112">
        <f ca="1">IFERROR(__xludf.DUMMYFUNCTION("""COMPUTED_VALUE"""),42268.7055555555)</f>
        <v>42268.705555555498</v>
      </c>
      <c r="D1358" s="111">
        <f ca="1">IFERROR(__xludf.DUMMYFUNCTION("""COMPUTED_VALUE"""),16.5)</f>
        <v>16.5</v>
      </c>
      <c r="E1358" s="112">
        <f ca="1">IFERROR(__xludf.DUMMYFUNCTION("""COMPUTED_VALUE"""),42269.7055555555)</f>
        <v>42269.705555555498</v>
      </c>
      <c r="F1358" s="111">
        <f ca="1">IFERROR(__xludf.DUMMYFUNCTION("""COMPUTED_VALUE"""),5.86)</f>
        <v>5.86</v>
      </c>
      <c r="G1358" s="112">
        <f ca="1">IFERROR(__xludf.DUMMYFUNCTION("""COMPUTED_VALUE"""),42262.7055555555)</f>
        <v>42262.705555555498</v>
      </c>
      <c r="H1358" s="111">
        <f ca="1">IFERROR(__xludf.DUMMYFUNCTION("""COMPUTED_VALUE"""),7.65)</f>
        <v>7.65</v>
      </c>
      <c r="K1358" s="112">
        <f ca="1">IFERROR(__xludf.DUMMYFUNCTION("""COMPUTED_VALUE"""),42713.7055555555)</f>
        <v>42713.705555555498</v>
      </c>
      <c r="L1358" s="111">
        <f ca="1">IFERROR(__xludf.DUMMYFUNCTION("""COMPUTED_VALUE"""),0.41)</f>
        <v>0.41</v>
      </c>
      <c r="M1358" s="112">
        <f ca="1">IFERROR(__xludf.DUMMYFUNCTION("""COMPUTED_VALUE"""),42178.7055555555)</f>
        <v>42178.705555555498</v>
      </c>
      <c r="N1358" s="111">
        <f ca="1">IFERROR(__xludf.DUMMYFUNCTION("""COMPUTED_VALUE"""),14.81)</f>
        <v>14.81</v>
      </c>
      <c r="O1358" s="112">
        <f ca="1">IFERROR(__xludf.DUMMYFUNCTION("""COMPUTED_VALUE"""),42255.7055555555)</f>
        <v>42255.705555555498</v>
      </c>
      <c r="P1358" s="111">
        <f ca="1">IFERROR(__xludf.DUMMYFUNCTION("""COMPUTED_VALUE"""),18.93)</f>
        <v>18.93</v>
      </c>
      <c r="Q1358" s="112">
        <f ca="1">IFERROR(__xludf.DUMMYFUNCTION("""COMPUTED_VALUE"""),42250.7055555555)</f>
        <v>42250.705555555498</v>
      </c>
      <c r="R1358" s="111">
        <f ca="1">IFERROR(__xludf.DUMMYFUNCTION("""COMPUTED_VALUE"""),17.83)</f>
        <v>17.829999999999998</v>
      </c>
      <c r="S1358" s="112">
        <f ca="1">IFERROR(__xludf.DUMMYFUNCTION("""COMPUTED_VALUE"""),42264.7055555555)</f>
        <v>42264.705555555498</v>
      </c>
      <c r="T1358" s="111">
        <f ca="1">IFERROR(__xludf.DUMMYFUNCTION("""COMPUTED_VALUE"""),15.11)</f>
        <v>15.11</v>
      </c>
    </row>
    <row r="1359" spans="1:20" x14ac:dyDescent="0.3">
      <c r="A1359" s="112">
        <f ca="1">IFERROR(__xludf.DUMMYFUNCTION("""COMPUTED_VALUE"""),42262.7055555555)</f>
        <v>42262.705555555498</v>
      </c>
      <c r="B1359" s="111">
        <f ca="1">IFERROR(__xludf.DUMMYFUNCTION("""COMPUTED_VALUE"""),5.28)</f>
        <v>5.28</v>
      </c>
      <c r="C1359" s="112">
        <f ca="1">IFERROR(__xludf.DUMMYFUNCTION("""COMPUTED_VALUE"""),42269.7055555555)</f>
        <v>42269.705555555498</v>
      </c>
      <c r="D1359" s="111">
        <f ca="1">IFERROR(__xludf.DUMMYFUNCTION("""COMPUTED_VALUE"""),16.66)</f>
        <v>16.66</v>
      </c>
      <c r="E1359" s="112">
        <f ca="1">IFERROR(__xludf.DUMMYFUNCTION("""COMPUTED_VALUE"""),42270.7055555555)</f>
        <v>42270.705555555498</v>
      </c>
      <c r="F1359" s="111">
        <f ca="1">IFERROR(__xludf.DUMMYFUNCTION("""COMPUTED_VALUE"""),5.67)</f>
        <v>5.67</v>
      </c>
      <c r="G1359" s="112">
        <f ca="1">IFERROR(__xludf.DUMMYFUNCTION("""COMPUTED_VALUE"""),42263.7055555555)</f>
        <v>42263.705555555498</v>
      </c>
      <c r="H1359" s="111">
        <f ca="1">IFERROR(__xludf.DUMMYFUNCTION("""COMPUTED_VALUE"""),8.14)</f>
        <v>8.14</v>
      </c>
      <c r="K1359" s="112">
        <f ca="1">IFERROR(__xludf.DUMMYFUNCTION("""COMPUTED_VALUE"""),42716.7055555555)</f>
        <v>42716.705555555498</v>
      </c>
      <c r="L1359" s="111">
        <f ca="1">IFERROR(__xludf.DUMMYFUNCTION("""COMPUTED_VALUE"""),0.4)</f>
        <v>0.4</v>
      </c>
      <c r="M1359" s="112">
        <f ca="1">IFERROR(__xludf.DUMMYFUNCTION("""COMPUTED_VALUE"""),42179.7055555555)</f>
        <v>42179.705555555498</v>
      </c>
      <c r="N1359" s="111">
        <f ca="1">IFERROR(__xludf.DUMMYFUNCTION("""COMPUTED_VALUE"""),14.9)</f>
        <v>14.9</v>
      </c>
      <c r="O1359" s="112">
        <f ca="1">IFERROR(__xludf.DUMMYFUNCTION("""COMPUTED_VALUE"""),42256.7055555555)</f>
        <v>42256.705555555498</v>
      </c>
      <c r="P1359" s="111">
        <f ca="1">IFERROR(__xludf.DUMMYFUNCTION("""COMPUTED_VALUE"""),19.06)</f>
        <v>19.059999999999999</v>
      </c>
      <c r="Q1359" s="112">
        <f ca="1">IFERROR(__xludf.DUMMYFUNCTION("""COMPUTED_VALUE"""),42251.7055555555)</f>
        <v>42251.705555555498</v>
      </c>
      <c r="R1359" s="111">
        <f ca="1">IFERROR(__xludf.DUMMYFUNCTION("""COMPUTED_VALUE"""),17.04)</f>
        <v>17.04</v>
      </c>
      <c r="S1359" s="112">
        <f ca="1">IFERROR(__xludf.DUMMYFUNCTION("""COMPUTED_VALUE"""),42265.7055555555)</f>
        <v>42265.705555555498</v>
      </c>
      <c r="T1359" s="111">
        <f ca="1">IFERROR(__xludf.DUMMYFUNCTION("""COMPUTED_VALUE"""),14.55)</f>
        <v>14.55</v>
      </c>
    </row>
    <row r="1360" spans="1:20" x14ac:dyDescent="0.3">
      <c r="A1360" s="112">
        <f ca="1">IFERROR(__xludf.DUMMYFUNCTION("""COMPUTED_VALUE"""),42263.7055555555)</f>
        <v>42263.705555555498</v>
      </c>
      <c r="B1360" s="111">
        <f ca="1">IFERROR(__xludf.DUMMYFUNCTION("""COMPUTED_VALUE"""),5.47)</f>
        <v>5.47</v>
      </c>
      <c r="C1360" s="112">
        <f ca="1">IFERROR(__xludf.DUMMYFUNCTION("""COMPUTED_VALUE"""),42270.7055555555)</f>
        <v>42270.705555555498</v>
      </c>
      <c r="D1360" s="111">
        <f ca="1">IFERROR(__xludf.DUMMYFUNCTION("""COMPUTED_VALUE"""),16)</f>
        <v>16</v>
      </c>
      <c r="E1360" s="112">
        <f ca="1">IFERROR(__xludf.DUMMYFUNCTION("""COMPUTED_VALUE"""),42271.7055555555)</f>
        <v>42271.705555555498</v>
      </c>
      <c r="F1360" s="111">
        <f ca="1">IFERROR(__xludf.DUMMYFUNCTION("""COMPUTED_VALUE"""),5.63)</f>
        <v>5.63</v>
      </c>
      <c r="G1360" s="112">
        <f ca="1">IFERROR(__xludf.DUMMYFUNCTION("""COMPUTED_VALUE"""),42264.7055555555)</f>
        <v>42264.705555555498</v>
      </c>
      <c r="H1360" s="111">
        <f ca="1">IFERROR(__xludf.DUMMYFUNCTION("""COMPUTED_VALUE"""),7.86)</f>
        <v>7.86</v>
      </c>
      <c r="K1360" s="112">
        <f ca="1">IFERROR(__xludf.DUMMYFUNCTION("""COMPUTED_VALUE"""),42717.7055555555)</f>
        <v>42717.705555555498</v>
      </c>
      <c r="L1360" s="111">
        <f ca="1">IFERROR(__xludf.DUMMYFUNCTION("""COMPUTED_VALUE"""),0.41)</f>
        <v>0.41</v>
      </c>
      <c r="M1360" s="112">
        <f ca="1">IFERROR(__xludf.DUMMYFUNCTION("""COMPUTED_VALUE"""),42180.7055555555)</f>
        <v>42180.705555555498</v>
      </c>
      <c r="N1360" s="111">
        <f ca="1">IFERROR(__xludf.DUMMYFUNCTION("""COMPUTED_VALUE"""),14.85)</f>
        <v>14.85</v>
      </c>
      <c r="O1360" s="112">
        <f ca="1">IFERROR(__xludf.DUMMYFUNCTION("""COMPUTED_VALUE"""),42257.7055555555)</f>
        <v>42257.705555555498</v>
      </c>
      <c r="P1360" s="111">
        <f ca="1">IFERROR(__xludf.DUMMYFUNCTION("""COMPUTED_VALUE"""),19.94)</f>
        <v>19.940000000000001</v>
      </c>
      <c r="Q1360" s="112">
        <f ca="1">IFERROR(__xludf.DUMMYFUNCTION("""COMPUTED_VALUE"""),42255.7055555555)</f>
        <v>42255.705555555498</v>
      </c>
      <c r="R1360" s="111">
        <f ca="1">IFERROR(__xludf.DUMMYFUNCTION("""COMPUTED_VALUE"""),17.1)</f>
        <v>17.100000000000001</v>
      </c>
      <c r="S1360" s="112">
        <f ca="1">IFERROR(__xludf.DUMMYFUNCTION("""COMPUTED_VALUE"""),42268.7055555555)</f>
        <v>42268.705555555498</v>
      </c>
      <c r="T1360" s="111">
        <f ca="1">IFERROR(__xludf.DUMMYFUNCTION("""COMPUTED_VALUE"""),14.74)</f>
        <v>14.74</v>
      </c>
    </row>
    <row r="1361" spans="1:20" x14ac:dyDescent="0.3">
      <c r="A1361" s="112">
        <f ca="1">IFERROR(__xludf.DUMMYFUNCTION("""COMPUTED_VALUE"""),42264.7055555555)</f>
        <v>42264.705555555498</v>
      </c>
      <c r="B1361" s="111">
        <f ca="1">IFERROR(__xludf.DUMMYFUNCTION("""COMPUTED_VALUE"""),5.46)</f>
        <v>5.46</v>
      </c>
      <c r="C1361" s="112">
        <f ca="1">IFERROR(__xludf.DUMMYFUNCTION("""COMPUTED_VALUE"""),42271.7055555555)</f>
        <v>42271.705555555498</v>
      </c>
      <c r="D1361" s="111">
        <f ca="1">IFERROR(__xludf.DUMMYFUNCTION("""COMPUTED_VALUE"""),16.18)</f>
        <v>16.18</v>
      </c>
      <c r="E1361" s="112">
        <f ca="1">IFERROR(__xludf.DUMMYFUNCTION("""COMPUTED_VALUE"""),42272.7055555555)</f>
        <v>42272.705555555498</v>
      </c>
      <c r="F1361" s="111">
        <f ca="1">IFERROR(__xludf.DUMMYFUNCTION("""COMPUTED_VALUE"""),5.51)</f>
        <v>5.51</v>
      </c>
      <c r="G1361" s="112">
        <f ca="1">IFERROR(__xludf.DUMMYFUNCTION("""COMPUTED_VALUE"""),42265.7055555555)</f>
        <v>42265.705555555498</v>
      </c>
      <c r="H1361" s="111">
        <f ca="1">IFERROR(__xludf.DUMMYFUNCTION("""COMPUTED_VALUE"""),7.6)</f>
        <v>7.6</v>
      </c>
      <c r="K1361" s="112">
        <f ca="1">IFERROR(__xludf.DUMMYFUNCTION("""COMPUTED_VALUE"""),42718.7055555555)</f>
        <v>42718.705555555498</v>
      </c>
      <c r="L1361" s="111">
        <f ca="1">IFERROR(__xludf.DUMMYFUNCTION("""COMPUTED_VALUE"""),0.4)</f>
        <v>0.4</v>
      </c>
      <c r="M1361" s="112">
        <f ca="1">IFERROR(__xludf.DUMMYFUNCTION("""COMPUTED_VALUE"""),42181.7055555555)</f>
        <v>42181.705555555498</v>
      </c>
      <c r="N1361" s="111">
        <f ca="1">IFERROR(__xludf.DUMMYFUNCTION("""COMPUTED_VALUE"""),15.07)</f>
        <v>15.07</v>
      </c>
      <c r="O1361" s="112">
        <f ca="1">IFERROR(__xludf.DUMMYFUNCTION("""COMPUTED_VALUE"""),42258.7055555555)</f>
        <v>42258.705555555498</v>
      </c>
      <c r="P1361" s="111">
        <f ca="1">IFERROR(__xludf.DUMMYFUNCTION("""COMPUTED_VALUE"""),19.45)</f>
        <v>19.45</v>
      </c>
      <c r="Q1361" s="112">
        <f ca="1">IFERROR(__xludf.DUMMYFUNCTION("""COMPUTED_VALUE"""),42256.7055555555)</f>
        <v>42256.705555555498</v>
      </c>
      <c r="R1361" s="111">
        <f ca="1">IFERROR(__xludf.DUMMYFUNCTION("""COMPUTED_VALUE"""),17.15)</f>
        <v>17.149999999999999</v>
      </c>
      <c r="S1361" s="112">
        <f ca="1">IFERROR(__xludf.DUMMYFUNCTION("""COMPUTED_VALUE"""),42269.7055555555)</f>
        <v>42269.705555555498</v>
      </c>
      <c r="T1361" s="111">
        <f ca="1">IFERROR(__xludf.DUMMYFUNCTION("""COMPUTED_VALUE"""),14.45)</f>
        <v>14.45</v>
      </c>
    </row>
    <row r="1362" spans="1:20" x14ac:dyDescent="0.3">
      <c r="A1362" s="112">
        <f ca="1">IFERROR(__xludf.DUMMYFUNCTION("""COMPUTED_VALUE"""),42265.7055555555)</f>
        <v>42265.705555555498</v>
      </c>
      <c r="B1362" s="111">
        <f ca="1">IFERROR(__xludf.DUMMYFUNCTION("""COMPUTED_VALUE"""),5.19)</f>
        <v>5.19</v>
      </c>
      <c r="C1362" s="112">
        <f ca="1">IFERROR(__xludf.DUMMYFUNCTION("""COMPUTED_VALUE"""),42272.7055555555)</f>
        <v>42272.705555555498</v>
      </c>
      <c r="D1362" s="111">
        <f ca="1">IFERROR(__xludf.DUMMYFUNCTION("""COMPUTED_VALUE"""),15.79)</f>
        <v>15.79</v>
      </c>
      <c r="E1362" s="112">
        <f ca="1">IFERROR(__xludf.DUMMYFUNCTION("""COMPUTED_VALUE"""),42275.7055555555)</f>
        <v>42275.705555555498</v>
      </c>
      <c r="F1362" s="111">
        <f ca="1">IFERROR(__xludf.DUMMYFUNCTION("""COMPUTED_VALUE"""),5.53)</f>
        <v>5.53</v>
      </c>
      <c r="G1362" s="112">
        <f ca="1">IFERROR(__xludf.DUMMYFUNCTION("""COMPUTED_VALUE"""),42268.7055555555)</f>
        <v>42268.705555555498</v>
      </c>
      <c r="H1362" s="111">
        <f ca="1">IFERROR(__xludf.DUMMYFUNCTION("""COMPUTED_VALUE"""),7.3)</f>
        <v>7.3</v>
      </c>
      <c r="K1362" s="112">
        <f ca="1">IFERROR(__xludf.DUMMYFUNCTION("""COMPUTED_VALUE"""),42719.7055555555)</f>
        <v>42719.705555555498</v>
      </c>
      <c r="L1362" s="111">
        <f ca="1">IFERROR(__xludf.DUMMYFUNCTION("""COMPUTED_VALUE"""),0.41)</f>
        <v>0.41</v>
      </c>
      <c r="M1362" s="112">
        <f ca="1">IFERROR(__xludf.DUMMYFUNCTION("""COMPUTED_VALUE"""),42184.7055555555)</f>
        <v>42184.705555555498</v>
      </c>
      <c r="N1362" s="111">
        <f ca="1">IFERROR(__xludf.DUMMYFUNCTION("""COMPUTED_VALUE"""),14.66)</f>
        <v>14.66</v>
      </c>
      <c r="O1362" s="112">
        <f ca="1">IFERROR(__xludf.DUMMYFUNCTION("""COMPUTED_VALUE"""),42261.7055555555)</f>
        <v>42261.705555555498</v>
      </c>
      <c r="P1362" s="111">
        <f ca="1">IFERROR(__xludf.DUMMYFUNCTION("""COMPUTED_VALUE"""),19.15)</f>
        <v>19.149999999999999</v>
      </c>
      <c r="Q1362" s="112">
        <f ca="1">IFERROR(__xludf.DUMMYFUNCTION("""COMPUTED_VALUE"""),42257.7055555555)</f>
        <v>42257.705555555498</v>
      </c>
      <c r="R1362" s="111">
        <f ca="1">IFERROR(__xludf.DUMMYFUNCTION("""COMPUTED_VALUE"""),16.85)</f>
        <v>16.850000000000001</v>
      </c>
      <c r="S1362" s="112">
        <f ca="1">IFERROR(__xludf.DUMMYFUNCTION("""COMPUTED_VALUE"""),42270.7055555555)</f>
        <v>42270.705555555498</v>
      </c>
      <c r="T1362" s="111">
        <f ca="1">IFERROR(__xludf.DUMMYFUNCTION("""COMPUTED_VALUE"""),14.24)</f>
        <v>14.24</v>
      </c>
    </row>
    <row r="1363" spans="1:20" x14ac:dyDescent="0.3">
      <c r="A1363" s="112">
        <f ca="1">IFERROR(__xludf.DUMMYFUNCTION("""COMPUTED_VALUE"""),42268.7055555555)</f>
        <v>42268.705555555498</v>
      </c>
      <c r="B1363" s="111">
        <f ca="1">IFERROR(__xludf.DUMMYFUNCTION("""COMPUTED_VALUE"""),5.28)</f>
        <v>5.28</v>
      </c>
      <c r="C1363" s="112">
        <f ca="1">IFERROR(__xludf.DUMMYFUNCTION("""COMPUTED_VALUE"""),42275.7055555555)</f>
        <v>42275.705555555498</v>
      </c>
      <c r="D1363" s="111">
        <f ca="1">IFERROR(__xludf.DUMMYFUNCTION("""COMPUTED_VALUE"""),15.78)</f>
        <v>15.78</v>
      </c>
      <c r="E1363" s="112">
        <f ca="1">IFERROR(__xludf.DUMMYFUNCTION("""COMPUTED_VALUE"""),42276.7055555555)</f>
        <v>42276.705555555498</v>
      </c>
      <c r="F1363" s="111">
        <f ca="1">IFERROR(__xludf.DUMMYFUNCTION("""COMPUTED_VALUE"""),5.53)</f>
        <v>5.53</v>
      </c>
      <c r="G1363" s="112">
        <f ca="1">IFERROR(__xludf.DUMMYFUNCTION("""COMPUTED_VALUE"""),42269.7055555555)</f>
        <v>42269.705555555498</v>
      </c>
      <c r="H1363" s="111">
        <f ca="1">IFERROR(__xludf.DUMMYFUNCTION("""COMPUTED_VALUE"""),6.97)</f>
        <v>6.97</v>
      </c>
      <c r="K1363" s="112">
        <f ca="1">IFERROR(__xludf.DUMMYFUNCTION("""COMPUTED_VALUE"""),42720.7055555555)</f>
        <v>42720.705555555498</v>
      </c>
      <c r="L1363" s="111">
        <f ca="1">IFERROR(__xludf.DUMMYFUNCTION("""COMPUTED_VALUE"""),0.42)</f>
        <v>0.42</v>
      </c>
      <c r="M1363" s="112">
        <f ca="1">IFERROR(__xludf.DUMMYFUNCTION("""COMPUTED_VALUE"""),42185.7055555555)</f>
        <v>42185.705555555498</v>
      </c>
      <c r="N1363" s="111">
        <f ca="1">IFERROR(__xludf.DUMMYFUNCTION("""COMPUTED_VALUE"""),14.71)</f>
        <v>14.71</v>
      </c>
      <c r="O1363" s="112">
        <f ca="1">IFERROR(__xludf.DUMMYFUNCTION("""COMPUTED_VALUE"""),42262.7055555555)</f>
        <v>42262.705555555498</v>
      </c>
      <c r="P1363" s="111">
        <f ca="1">IFERROR(__xludf.DUMMYFUNCTION("""COMPUTED_VALUE"""),18.6)</f>
        <v>18.600000000000001</v>
      </c>
      <c r="Q1363" s="112">
        <f ca="1">IFERROR(__xludf.DUMMYFUNCTION("""COMPUTED_VALUE"""),42258.7055555555)</f>
        <v>42258.705555555498</v>
      </c>
      <c r="R1363" s="111">
        <f ca="1">IFERROR(__xludf.DUMMYFUNCTION("""COMPUTED_VALUE"""),16.4)</f>
        <v>16.399999999999999</v>
      </c>
      <c r="S1363" s="112">
        <f ca="1">IFERROR(__xludf.DUMMYFUNCTION("""COMPUTED_VALUE"""),42271.7055555555)</f>
        <v>42271.705555555498</v>
      </c>
      <c r="T1363" s="111">
        <f ca="1">IFERROR(__xludf.DUMMYFUNCTION("""COMPUTED_VALUE"""),14)</f>
        <v>14</v>
      </c>
    </row>
    <row r="1364" spans="1:20" x14ac:dyDescent="0.3">
      <c r="A1364" s="112">
        <f ca="1">IFERROR(__xludf.DUMMYFUNCTION("""COMPUTED_VALUE"""),42269.7055555555)</f>
        <v>42269.705555555498</v>
      </c>
      <c r="B1364" s="111">
        <f ca="1">IFERROR(__xludf.DUMMYFUNCTION("""COMPUTED_VALUE"""),5.02)</f>
        <v>5.0199999999999996</v>
      </c>
      <c r="C1364" s="112">
        <f ca="1">IFERROR(__xludf.DUMMYFUNCTION("""COMPUTED_VALUE"""),42276.7055555555)</f>
        <v>42276.705555555498</v>
      </c>
      <c r="D1364" s="111">
        <f ca="1">IFERROR(__xludf.DUMMYFUNCTION("""COMPUTED_VALUE"""),15.71)</f>
        <v>15.71</v>
      </c>
      <c r="E1364" s="112">
        <f ca="1">IFERROR(__xludf.DUMMYFUNCTION("""COMPUTED_VALUE"""),42277.7055555555)</f>
        <v>42277.705555555498</v>
      </c>
      <c r="F1364" s="111">
        <f ca="1">IFERROR(__xludf.DUMMYFUNCTION("""COMPUTED_VALUE"""),5.62)</f>
        <v>5.62</v>
      </c>
      <c r="G1364" s="112">
        <f ca="1">IFERROR(__xludf.DUMMYFUNCTION("""COMPUTED_VALUE"""),42270.7055555555)</f>
        <v>42270.705555555498</v>
      </c>
      <c r="H1364" s="111">
        <f ca="1">IFERROR(__xludf.DUMMYFUNCTION("""COMPUTED_VALUE"""),6.82)</f>
        <v>6.82</v>
      </c>
      <c r="K1364" s="112">
        <f ca="1">IFERROR(__xludf.DUMMYFUNCTION("""COMPUTED_VALUE"""),42723.7055555555)</f>
        <v>42723.705555555498</v>
      </c>
      <c r="L1364" s="111">
        <f ca="1">IFERROR(__xludf.DUMMYFUNCTION("""COMPUTED_VALUE"""),0.41)</f>
        <v>0.41</v>
      </c>
      <c r="M1364" s="112">
        <f ca="1">IFERROR(__xludf.DUMMYFUNCTION("""COMPUTED_VALUE"""),42186.7055555555)</f>
        <v>42186.705555555498</v>
      </c>
      <c r="N1364" s="111">
        <f ca="1">IFERROR(__xludf.DUMMYFUNCTION("""COMPUTED_VALUE"""),14.66)</f>
        <v>14.66</v>
      </c>
      <c r="O1364" s="112">
        <f ca="1">IFERROR(__xludf.DUMMYFUNCTION("""COMPUTED_VALUE"""),42263.7055555555)</f>
        <v>42263.705555555498</v>
      </c>
      <c r="P1364" s="111">
        <f ca="1">IFERROR(__xludf.DUMMYFUNCTION("""COMPUTED_VALUE"""),19.04)</f>
        <v>19.04</v>
      </c>
      <c r="Q1364" s="112">
        <f ca="1">IFERROR(__xludf.DUMMYFUNCTION("""COMPUTED_VALUE"""),42261.7055555555)</f>
        <v>42261.705555555498</v>
      </c>
      <c r="R1364" s="111">
        <f ca="1">IFERROR(__xludf.DUMMYFUNCTION("""COMPUTED_VALUE"""),17.08)</f>
        <v>17.079999999999998</v>
      </c>
      <c r="S1364" s="112">
        <f ca="1">IFERROR(__xludf.DUMMYFUNCTION("""COMPUTED_VALUE"""),42272.7055555555)</f>
        <v>42272.705555555498</v>
      </c>
      <c r="T1364" s="111">
        <f ca="1">IFERROR(__xludf.DUMMYFUNCTION("""COMPUTED_VALUE"""),14.1)</f>
        <v>14.1</v>
      </c>
    </row>
    <row r="1365" spans="1:20" x14ac:dyDescent="0.3">
      <c r="A1365" s="112">
        <f ca="1">IFERROR(__xludf.DUMMYFUNCTION("""COMPUTED_VALUE"""),42270.7055555555)</f>
        <v>42270.705555555498</v>
      </c>
      <c r="B1365" s="111">
        <f ca="1">IFERROR(__xludf.DUMMYFUNCTION("""COMPUTED_VALUE"""),5.03)</f>
        <v>5.03</v>
      </c>
      <c r="C1365" s="112">
        <f ca="1">IFERROR(__xludf.DUMMYFUNCTION("""COMPUTED_VALUE"""),42277.7055555555)</f>
        <v>42277.705555555498</v>
      </c>
      <c r="D1365" s="111">
        <f ca="1">IFERROR(__xludf.DUMMYFUNCTION("""COMPUTED_VALUE"""),16.07)</f>
        <v>16.07</v>
      </c>
      <c r="E1365" s="112">
        <f ca="1">IFERROR(__xludf.DUMMYFUNCTION("""COMPUTED_VALUE"""),42278.7055555555)</f>
        <v>42278.705555555498</v>
      </c>
      <c r="F1365" s="111">
        <f ca="1">IFERROR(__xludf.DUMMYFUNCTION("""COMPUTED_VALUE"""),5.68)</f>
        <v>5.68</v>
      </c>
      <c r="G1365" s="112">
        <f ca="1">IFERROR(__xludf.DUMMYFUNCTION("""COMPUTED_VALUE"""),42271.7055555555)</f>
        <v>42271.705555555498</v>
      </c>
      <c r="H1365" s="111">
        <f ca="1">IFERROR(__xludf.DUMMYFUNCTION("""COMPUTED_VALUE"""),6.96)</f>
        <v>6.96</v>
      </c>
      <c r="K1365" s="112">
        <f ca="1">IFERROR(__xludf.DUMMYFUNCTION("""COMPUTED_VALUE"""),42724.7055555555)</f>
        <v>42724.705555555498</v>
      </c>
      <c r="L1365" s="111">
        <f ca="1">IFERROR(__xludf.DUMMYFUNCTION("""COMPUTED_VALUE"""),0.41)</f>
        <v>0.41</v>
      </c>
      <c r="M1365" s="112">
        <f ca="1">IFERROR(__xludf.DUMMYFUNCTION("""COMPUTED_VALUE"""),42187.7055555555)</f>
        <v>42187.705555555498</v>
      </c>
      <c r="N1365" s="111">
        <f ca="1">IFERROR(__xludf.DUMMYFUNCTION("""COMPUTED_VALUE"""),14.95)</f>
        <v>14.95</v>
      </c>
      <c r="O1365" s="112">
        <f ca="1">IFERROR(__xludf.DUMMYFUNCTION("""COMPUTED_VALUE"""),42264.7055555555)</f>
        <v>42264.705555555498</v>
      </c>
      <c r="P1365" s="111">
        <f ca="1">IFERROR(__xludf.DUMMYFUNCTION("""COMPUTED_VALUE"""),19.49)</f>
        <v>19.489999999999998</v>
      </c>
      <c r="Q1365" s="112">
        <f ca="1">IFERROR(__xludf.DUMMYFUNCTION("""COMPUTED_VALUE"""),42262.7055555555)</f>
        <v>42262.705555555498</v>
      </c>
      <c r="R1365" s="111">
        <f ca="1">IFERROR(__xludf.DUMMYFUNCTION("""COMPUTED_VALUE"""),17.7)</f>
        <v>17.7</v>
      </c>
      <c r="S1365" s="112">
        <f ca="1">IFERROR(__xludf.DUMMYFUNCTION("""COMPUTED_VALUE"""),42275.7055555555)</f>
        <v>42275.705555555498</v>
      </c>
      <c r="T1365" s="111">
        <f ca="1">IFERROR(__xludf.DUMMYFUNCTION("""COMPUTED_VALUE"""),13.75)</f>
        <v>13.75</v>
      </c>
    </row>
    <row r="1366" spans="1:20" x14ac:dyDescent="0.3">
      <c r="A1366" s="112">
        <f ca="1">IFERROR(__xludf.DUMMYFUNCTION("""COMPUTED_VALUE"""),42271.7055555555)</f>
        <v>42271.705555555498</v>
      </c>
      <c r="B1366" s="111">
        <f ca="1">IFERROR(__xludf.DUMMYFUNCTION("""COMPUTED_VALUE"""),4.94)</f>
        <v>4.9400000000000004</v>
      </c>
      <c r="C1366" s="112">
        <f ca="1">IFERROR(__xludf.DUMMYFUNCTION("""COMPUTED_VALUE"""),42278.7055555555)</f>
        <v>42278.705555555498</v>
      </c>
      <c r="D1366" s="111">
        <f ca="1">IFERROR(__xludf.DUMMYFUNCTION("""COMPUTED_VALUE"""),16.29)</f>
        <v>16.29</v>
      </c>
      <c r="E1366" s="112">
        <f ca="1">IFERROR(__xludf.DUMMYFUNCTION("""COMPUTED_VALUE"""),42279.7055555555)</f>
        <v>42279.705555555498</v>
      </c>
      <c r="F1366" s="111">
        <f ca="1">IFERROR(__xludf.DUMMYFUNCTION("""COMPUTED_VALUE"""),5.84)</f>
        <v>5.84</v>
      </c>
      <c r="G1366" s="112">
        <f ca="1">IFERROR(__xludf.DUMMYFUNCTION("""COMPUTED_VALUE"""),42272.7055555555)</f>
        <v>42272.705555555498</v>
      </c>
      <c r="H1366" s="111">
        <f ca="1">IFERROR(__xludf.DUMMYFUNCTION("""COMPUTED_VALUE"""),6.82)</f>
        <v>6.82</v>
      </c>
      <c r="K1366" s="112">
        <f ca="1">IFERROR(__xludf.DUMMYFUNCTION("""COMPUTED_VALUE"""),42725.7055555555)</f>
        <v>42725.705555555498</v>
      </c>
      <c r="L1366" s="111">
        <f ca="1">IFERROR(__xludf.DUMMYFUNCTION("""COMPUTED_VALUE"""),0.42)</f>
        <v>0.42</v>
      </c>
      <c r="M1366" s="112">
        <f ca="1">IFERROR(__xludf.DUMMYFUNCTION("""COMPUTED_VALUE"""),42188.7055555555)</f>
        <v>42188.705555555498</v>
      </c>
      <c r="N1366" s="111">
        <f ca="1">IFERROR(__xludf.DUMMYFUNCTION("""COMPUTED_VALUE"""),14.78)</f>
        <v>14.78</v>
      </c>
      <c r="O1366" s="112">
        <f ca="1">IFERROR(__xludf.DUMMYFUNCTION("""COMPUTED_VALUE"""),42265.7055555555)</f>
        <v>42265.705555555498</v>
      </c>
      <c r="P1366" s="111">
        <f ca="1">IFERROR(__xludf.DUMMYFUNCTION("""COMPUTED_VALUE"""),19.91)</f>
        <v>19.91</v>
      </c>
      <c r="Q1366" s="112">
        <f ca="1">IFERROR(__xludf.DUMMYFUNCTION("""COMPUTED_VALUE"""),42263.7055555555)</f>
        <v>42263.705555555498</v>
      </c>
      <c r="R1366" s="111">
        <f ca="1">IFERROR(__xludf.DUMMYFUNCTION("""COMPUTED_VALUE"""),17.87)</f>
        <v>17.87</v>
      </c>
      <c r="S1366" s="112">
        <f ca="1">IFERROR(__xludf.DUMMYFUNCTION("""COMPUTED_VALUE"""),42276.7055555555)</f>
        <v>42276.705555555498</v>
      </c>
      <c r="T1366" s="111">
        <f ca="1">IFERROR(__xludf.DUMMYFUNCTION("""COMPUTED_VALUE"""),13.82)</f>
        <v>13.82</v>
      </c>
    </row>
    <row r="1367" spans="1:20" x14ac:dyDescent="0.3">
      <c r="A1367" s="112">
        <f ca="1">IFERROR(__xludf.DUMMYFUNCTION("""COMPUTED_VALUE"""),42272.7055555555)</f>
        <v>42272.705555555498</v>
      </c>
      <c r="B1367" s="111">
        <f ca="1">IFERROR(__xludf.DUMMYFUNCTION("""COMPUTED_VALUE"""),5.11)</f>
        <v>5.1100000000000003</v>
      </c>
      <c r="C1367" s="112">
        <f ca="1">IFERROR(__xludf.DUMMYFUNCTION("""COMPUTED_VALUE"""),42279.7055555555)</f>
        <v>42279.705555555498</v>
      </c>
      <c r="D1367" s="111">
        <f ca="1">IFERROR(__xludf.DUMMYFUNCTION("""COMPUTED_VALUE"""),16.95)</f>
        <v>16.95</v>
      </c>
      <c r="E1367" s="112">
        <f ca="1">IFERROR(__xludf.DUMMYFUNCTION("""COMPUTED_VALUE"""),42282.7055555555)</f>
        <v>42282.705555555498</v>
      </c>
      <c r="F1367" s="111">
        <f ca="1">IFERROR(__xludf.DUMMYFUNCTION("""COMPUTED_VALUE"""),5.97)</f>
        <v>5.97</v>
      </c>
      <c r="G1367" s="112">
        <f ca="1">IFERROR(__xludf.DUMMYFUNCTION("""COMPUTED_VALUE"""),42275.7055555555)</f>
        <v>42275.705555555498</v>
      </c>
      <c r="H1367" s="111">
        <f ca="1">IFERROR(__xludf.DUMMYFUNCTION("""COMPUTED_VALUE"""),6.44)</f>
        <v>6.44</v>
      </c>
      <c r="K1367" s="112">
        <f ca="1">IFERROR(__xludf.DUMMYFUNCTION("""COMPUTED_VALUE"""),42726.7055555555)</f>
        <v>42726.705555555498</v>
      </c>
      <c r="L1367" s="111">
        <f ca="1">IFERROR(__xludf.DUMMYFUNCTION("""COMPUTED_VALUE"""),0.41)</f>
        <v>0.41</v>
      </c>
      <c r="M1367" s="112">
        <f ca="1">IFERROR(__xludf.DUMMYFUNCTION("""COMPUTED_VALUE"""),42191.7055555555)</f>
        <v>42191.705555555498</v>
      </c>
      <c r="N1367" s="111">
        <f ca="1">IFERROR(__xludf.DUMMYFUNCTION("""COMPUTED_VALUE"""),14.49)</f>
        <v>14.49</v>
      </c>
      <c r="O1367" s="112">
        <f ca="1">IFERROR(__xludf.DUMMYFUNCTION("""COMPUTED_VALUE"""),42268.7055555555)</f>
        <v>42268.705555555498</v>
      </c>
      <c r="P1367" s="111">
        <f ca="1">IFERROR(__xludf.DUMMYFUNCTION("""COMPUTED_VALUE"""),19.93)</f>
        <v>19.93</v>
      </c>
      <c r="Q1367" s="112">
        <f ca="1">IFERROR(__xludf.DUMMYFUNCTION("""COMPUTED_VALUE"""),42264.7055555555)</f>
        <v>42264.705555555498</v>
      </c>
      <c r="R1367" s="111">
        <f ca="1">IFERROR(__xludf.DUMMYFUNCTION("""COMPUTED_VALUE"""),17.83)</f>
        <v>17.829999999999998</v>
      </c>
      <c r="S1367" s="112">
        <f ca="1">IFERROR(__xludf.DUMMYFUNCTION("""COMPUTED_VALUE"""),42277.7055555555)</f>
        <v>42277.705555555498</v>
      </c>
      <c r="T1367" s="111">
        <f ca="1">IFERROR(__xludf.DUMMYFUNCTION("""COMPUTED_VALUE"""),13.82)</f>
        <v>13.82</v>
      </c>
    </row>
    <row r="1368" spans="1:20" x14ac:dyDescent="0.3">
      <c r="A1368" s="112">
        <f ca="1">IFERROR(__xludf.DUMMYFUNCTION("""COMPUTED_VALUE"""),42275.7055555555)</f>
        <v>42275.705555555498</v>
      </c>
      <c r="B1368" s="111">
        <f ca="1">IFERROR(__xludf.DUMMYFUNCTION("""COMPUTED_VALUE"""),4.98)</f>
        <v>4.9800000000000004</v>
      </c>
      <c r="C1368" s="112">
        <f ca="1">IFERROR(__xludf.DUMMYFUNCTION("""COMPUTED_VALUE"""),42282.7055555555)</f>
        <v>42282.705555555498</v>
      </c>
      <c r="D1368" s="111">
        <f ca="1">IFERROR(__xludf.DUMMYFUNCTION("""COMPUTED_VALUE"""),17.31)</f>
        <v>17.309999999999999</v>
      </c>
      <c r="E1368" s="112">
        <f ca="1">IFERROR(__xludf.DUMMYFUNCTION("""COMPUTED_VALUE"""),42283.7055555555)</f>
        <v>42283.705555555498</v>
      </c>
      <c r="F1368" s="111">
        <f ca="1">IFERROR(__xludf.DUMMYFUNCTION("""COMPUTED_VALUE"""),6.06)</f>
        <v>6.06</v>
      </c>
      <c r="G1368" s="112">
        <f ca="1">IFERROR(__xludf.DUMMYFUNCTION("""COMPUTED_VALUE"""),42276.7055555555)</f>
        <v>42276.705555555498</v>
      </c>
      <c r="H1368" s="111">
        <f ca="1">IFERROR(__xludf.DUMMYFUNCTION("""COMPUTED_VALUE"""),6.59)</f>
        <v>6.59</v>
      </c>
      <c r="K1368" s="112">
        <f ca="1">IFERROR(__xludf.DUMMYFUNCTION("""COMPUTED_VALUE"""),42727.7055555555)</f>
        <v>42727.705555555498</v>
      </c>
      <c r="L1368" s="111">
        <f ca="1">IFERROR(__xludf.DUMMYFUNCTION("""COMPUTED_VALUE"""),0.41)</f>
        <v>0.41</v>
      </c>
      <c r="M1368" s="112">
        <f ca="1">IFERROR(__xludf.DUMMYFUNCTION("""COMPUTED_VALUE"""),42192.7055555555)</f>
        <v>42192.705555555498</v>
      </c>
      <c r="N1368" s="111">
        <f ca="1">IFERROR(__xludf.DUMMYFUNCTION("""COMPUTED_VALUE"""),14.36)</f>
        <v>14.36</v>
      </c>
      <c r="O1368" s="112">
        <f ca="1">IFERROR(__xludf.DUMMYFUNCTION("""COMPUTED_VALUE"""),42269.7055555555)</f>
        <v>42269.705555555498</v>
      </c>
      <c r="P1368" s="111">
        <f ca="1">IFERROR(__xludf.DUMMYFUNCTION("""COMPUTED_VALUE"""),19.46)</f>
        <v>19.46</v>
      </c>
      <c r="Q1368" s="112">
        <f ca="1">IFERROR(__xludf.DUMMYFUNCTION("""COMPUTED_VALUE"""),42265.7055555555)</f>
        <v>42265.705555555498</v>
      </c>
      <c r="R1368" s="111">
        <f ca="1">IFERROR(__xludf.DUMMYFUNCTION("""COMPUTED_VALUE"""),16.83)</f>
        <v>16.829999999999998</v>
      </c>
      <c r="S1368" s="112">
        <f ca="1">IFERROR(__xludf.DUMMYFUNCTION("""COMPUTED_VALUE"""),42278.7055555555)</f>
        <v>42278.705555555498</v>
      </c>
      <c r="T1368" s="111">
        <f ca="1">IFERROR(__xludf.DUMMYFUNCTION("""COMPUTED_VALUE"""),13.94)</f>
        <v>13.94</v>
      </c>
    </row>
    <row r="1369" spans="1:20" x14ac:dyDescent="0.3">
      <c r="A1369" s="112">
        <f ca="1">IFERROR(__xludf.DUMMYFUNCTION("""COMPUTED_VALUE"""),42276.7055555555)</f>
        <v>42276.705555555498</v>
      </c>
      <c r="B1369" s="111">
        <f ca="1">IFERROR(__xludf.DUMMYFUNCTION("""COMPUTED_VALUE"""),5.05)</f>
        <v>5.05</v>
      </c>
      <c r="C1369" s="112">
        <f ca="1">IFERROR(__xludf.DUMMYFUNCTION("""COMPUTED_VALUE"""),42283.7055555555)</f>
        <v>42283.705555555498</v>
      </c>
      <c r="D1369" s="111">
        <f ca="1">IFERROR(__xludf.DUMMYFUNCTION("""COMPUTED_VALUE"""),17.47)</f>
        <v>17.47</v>
      </c>
      <c r="E1369" s="112">
        <f ca="1">IFERROR(__xludf.DUMMYFUNCTION("""COMPUTED_VALUE"""),42284.7055555555)</f>
        <v>42284.705555555498</v>
      </c>
      <c r="F1369" s="111">
        <f ca="1">IFERROR(__xludf.DUMMYFUNCTION("""COMPUTED_VALUE"""),6.25)</f>
        <v>6.25</v>
      </c>
      <c r="G1369" s="112">
        <f ca="1">IFERROR(__xludf.DUMMYFUNCTION("""COMPUTED_VALUE"""),42277.7055555555)</f>
        <v>42277.705555555498</v>
      </c>
      <c r="H1369" s="111">
        <f ca="1">IFERROR(__xludf.DUMMYFUNCTION("""COMPUTED_VALUE"""),7.24)</f>
        <v>7.24</v>
      </c>
      <c r="K1369" s="112">
        <f ca="1">IFERROR(__xludf.DUMMYFUNCTION("""COMPUTED_VALUE"""),42730.7055555555)</f>
        <v>42730.705555555498</v>
      </c>
      <c r="L1369" s="111">
        <f ca="1">IFERROR(__xludf.DUMMYFUNCTION("""COMPUTED_VALUE"""),0.41)</f>
        <v>0.41</v>
      </c>
      <c r="M1369" s="112">
        <f ca="1">IFERROR(__xludf.DUMMYFUNCTION("""COMPUTED_VALUE"""),42193.7055555555)</f>
        <v>42193.705555555498</v>
      </c>
      <c r="N1369" s="111">
        <f ca="1">IFERROR(__xludf.DUMMYFUNCTION("""COMPUTED_VALUE"""),14.14)</f>
        <v>14.14</v>
      </c>
      <c r="O1369" s="112">
        <f ca="1">IFERROR(__xludf.DUMMYFUNCTION("""COMPUTED_VALUE"""),42270.7055555555)</f>
        <v>42270.705555555498</v>
      </c>
      <c r="P1369" s="111">
        <f ca="1">IFERROR(__xludf.DUMMYFUNCTION("""COMPUTED_VALUE"""),18.9)</f>
        <v>18.899999999999999</v>
      </c>
      <c r="Q1369" s="112">
        <f ca="1">IFERROR(__xludf.DUMMYFUNCTION("""COMPUTED_VALUE"""),42268.7055555555)</f>
        <v>42268.705555555498</v>
      </c>
      <c r="R1369" s="111">
        <f ca="1">IFERROR(__xludf.DUMMYFUNCTION("""COMPUTED_VALUE"""),16.29)</f>
        <v>16.29</v>
      </c>
      <c r="S1369" s="112">
        <f ca="1">IFERROR(__xludf.DUMMYFUNCTION("""COMPUTED_VALUE"""),42279.7055555555)</f>
        <v>42279.705555555498</v>
      </c>
      <c r="T1369" s="111">
        <f ca="1">IFERROR(__xludf.DUMMYFUNCTION("""COMPUTED_VALUE"""),14.57)</f>
        <v>14.57</v>
      </c>
    </row>
    <row r="1370" spans="1:20" x14ac:dyDescent="0.3">
      <c r="A1370" s="112">
        <f ca="1">IFERROR(__xludf.DUMMYFUNCTION("""COMPUTED_VALUE"""),42277.7055555555)</f>
        <v>42277.705555555498</v>
      </c>
      <c r="B1370" s="111">
        <f ca="1">IFERROR(__xludf.DUMMYFUNCTION("""COMPUTED_VALUE"""),5.19)</f>
        <v>5.19</v>
      </c>
      <c r="C1370" s="112">
        <f ca="1">IFERROR(__xludf.DUMMYFUNCTION("""COMPUTED_VALUE"""),42284.7055555555)</f>
        <v>42284.705555555498</v>
      </c>
      <c r="D1370" s="111">
        <f ca="1">IFERROR(__xludf.DUMMYFUNCTION("""COMPUTED_VALUE"""),17.96)</f>
        <v>17.96</v>
      </c>
      <c r="E1370" s="112">
        <f ca="1">IFERROR(__xludf.DUMMYFUNCTION("""COMPUTED_VALUE"""),42285.7055555555)</f>
        <v>42285.705555555498</v>
      </c>
      <c r="F1370" s="111">
        <f ca="1">IFERROR(__xludf.DUMMYFUNCTION("""COMPUTED_VALUE"""),6.27)</f>
        <v>6.27</v>
      </c>
      <c r="G1370" s="112">
        <f ca="1">IFERROR(__xludf.DUMMYFUNCTION("""COMPUTED_VALUE"""),42278.7055555555)</f>
        <v>42278.705555555498</v>
      </c>
      <c r="H1370" s="111">
        <f ca="1">IFERROR(__xludf.DUMMYFUNCTION("""COMPUTED_VALUE"""),7.02)</f>
        <v>7.02</v>
      </c>
      <c r="K1370" s="112">
        <f ca="1">IFERROR(__xludf.DUMMYFUNCTION("""COMPUTED_VALUE"""),42731.7055555555)</f>
        <v>42731.705555555498</v>
      </c>
      <c r="L1370" s="111">
        <f ca="1">IFERROR(__xludf.DUMMYFUNCTION("""COMPUTED_VALUE"""),0.41)</f>
        <v>0.41</v>
      </c>
      <c r="M1370" s="112">
        <f ca="1">IFERROR(__xludf.DUMMYFUNCTION("""COMPUTED_VALUE"""),42195.7055555555)</f>
        <v>42195.705555555498</v>
      </c>
      <c r="N1370" s="111">
        <f ca="1">IFERROR(__xludf.DUMMYFUNCTION("""COMPUTED_VALUE"""),14.75)</f>
        <v>14.75</v>
      </c>
      <c r="O1370" s="112">
        <f ca="1">IFERROR(__xludf.DUMMYFUNCTION("""COMPUTED_VALUE"""),42271.7055555555)</f>
        <v>42271.705555555498</v>
      </c>
      <c r="P1370" s="111">
        <f ca="1">IFERROR(__xludf.DUMMYFUNCTION("""COMPUTED_VALUE"""),18.45)</f>
        <v>18.45</v>
      </c>
      <c r="Q1370" s="112">
        <f ca="1">IFERROR(__xludf.DUMMYFUNCTION("""COMPUTED_VALUE"""),42269.7055555555)</f>
        <v>42269.705555555498</v>
      </c>
      <c r="R1370" s="111">
        <f ca="1">IFERROR(__xludf.DUMMYFUNCTION("""COMPUTED_VALUE"""),16.28)</f>
        <v>16.28</v>
      </c>
      <c r="S1370" s="112">
        <f ca="1">IFERROR(__xludf.DUMMYFUNCTION("""COMPUTED_VALUE"""),42282.7055555555)</f>
        <v>42282.705555555498</v>
      </c>
      <c r="T1370" s="111">
        <f ca="1">IFERROR(__xludf.DUMMYFUNCTION("""COMPUTED_VALUE"""),14.39)</f>
        <v>14.39</v>
      </c>
    </row>
    <row r="1371" spans="1:20" x14ac:dyDescent="0.3">
      <c r="A1371" s="112">
        <f ca="1">IFERROR(__xludf.DUMMYFUNCTION("""COMPUTED_VALUE"""),42278.7055555555)</f>
        <v>42278.705555555498</v>
      </c>
      <c r="B1371" s="111">
        <f ca="1">IFERROR(__xludf.DUMMYFUNCTION("""COMPUTED_VALUE"""),5.14)</f>
        <v>5.14</v>
      </c>
      <c r="C1371" s="112">
        <f ca="1">IFERROR(__xludf.DUMMYFUNCTION("""COMPUTED_VALUE"""),42285.7055555555)</f>
        <v>42285.705555555498</v>
      </c>
      <c r="D1371" s="111">
        <f ca="1">IFERROR(__xludf.DUMMYFUNCTION("""COMPUTED_VALUE"""),18.03)</f>
        <v>18.03</v>
      </c>
      <c r="E1371" s="112">
        <f ca="1">IFERROR(__xludf.DUMMYFUNCTION("""COMPUTED_VALUE"""),42286.7055555555)</f>
        <v>42286.705555555498</v>
      </c>
      <c r="F1371" s="111">
        <f ca="1">IFERROR(__xludf.DUMMYFUNCTION("""COMPUTED_VALUE"""),6.32)</f>
        <v>6.32</v>
      </c>
      <c r="G1371" s="112">
        <f ca="1">IFERROR(__xludf.DUMMYFUNCTION("""COMPUTED_VALUE"""),42279.7055555555)</f>
        <v>42279.705555555498</v>
      </c>
      <c r="H1371" s="111">
        <f ca="1">IFERROR(__xludf.DUMMYFUNCTION("""COMPUTED_VALUE"""),7.77)</f>
        <v>7.77</v>
      </c>
      <c r="K1371" s="112">
        <f ca="1">IFERROR(__xludf.DUMMYFUNCTION("""COMPUTED_VALUE"""),42732.7055555555)</f>
        <v>42732.705555555498</v>
      </c>
      <c r="L1371" s="111">
        <f ca="1">IFERROR(__xludf.DUMMYFUNCTION("""COMPUTED_VALUE"""),0.41)</f>
        <v>0.41</v>
      </c>
      <c r="M1371" s="112">
        <f ca="1">IFERROR(__xludf.DUMMYFUNCTION("""COMPUTED_VALUE"""),42198.7055555555)</f>
        <v>42198.705555555498</v>
      </c>
      <c r="N1371" s="111">
        <f ca="1">IFERROR(__xludf.DUMMYFUNCTION("""COMPUTED_VALUE"""),15.01)</f>
        <v>15.01</v>
      </c>
      <c r="O1371" s="112">
        <f ca="1">IFERROR(__xludf.DUMMYFUNCTION("""COMPUTED_VALUE"""),42272.7055555555)</f>
        <v>42272.705555555498</v>
      </c>
      <c r="P1371" s="111">
        <f ca="1">IFERROR(__xludf.DUMMYFUNCTION("""COMPUTED_VALUE"""),17.93)</f>
        <v>17.93</v>
      </c>
      <c r="Q1371" s="112">
        <f ca="1">IFERROR(__xludf.DUMMYFUNCTION("""COMPUTED_VALUE"""),42270.7055555555)</f>
        <v>42270.705555555498</v>
      </c>
      <c r="R1371" s="111">
        <f ca="1">IFERROR(__xludf.DUMMYFUNCTION("""COMPUTED_VALUE"""),15.7)</f>
        <v>15.7</v>
      </c>
      <c r="S1371" s="112">
        <f ca="1">IFERROR(__xludf.DUMMYFUNCTION("""COMPUTED_VALUE"""),42283.7055555555)</f>
        <v>42283.705555555498</v>
      </c>
      <c r="T1371" s="111">
        <f ca="1">IFERROR(__xludf.DUMMYFUNCTION("""COMPUTED_VALUE"""),14.65)</f>
        <v>14.65</v>
      </c>
    </row>
    <row r="1372" spans="1:20" x14ac:dyDescent="0.3">
      <c r="A1372" s="112">
        <f ca="1">IFERROR(__xludf.DUMMYFUNCTION("""COMPUTED_VALUE"""),42279.7055555555)</f>
        <v>42279.705555555498</v>
      </c>
      <c r="B1372" s="111">
        <f ca="1">IFERROR(__xludf.DUMMYFUNCTION("""COMPUTED_VALUE"""),5.54)</f>
        <v>5.54</v>
      </c>
      <c r="C1372" s="112">
        <f ca="1">IFERROR(__xludf.DUMMYFUNCTION("""COMPUTED_VALUE"""),42286.7055555555)</f>
        <v>42286.705555555498</v>
      </c>
      <c r="D1372" s="111">
        <f ca="1">IFERROR(__xludf.DUMMYFUNCTION("""COMPUTED_VALUE"""),17.91)</f>
        <v>17.91</v>
      </c>
      <c r="E1372" s="112">
        <f ca="1">IFERROR(__xludf.DUMMYFUNCTION("""COMPUTED_VALUE"""),42290.7055555555)</f>
        <v>42290.705555555498</v>
      </c>
      <c r="F1372" s="111">
        <f ca="1">IFERROR(__xludf.DUMMYFUNCTION("""COMPUTED_VALUE"""),6.08)</f>
        <v>6.08</v>
      </c>
      <c r="G1372" s="112">
        <f ca="1">IFERROR(__xludf.DUMMYFUNCTION("""COMPUTED_VALUE"""),42282.7055555555)</f>
        <v>42282.705555555498</v>
      </c>
      <c r="H1372" s="111">
        <f ca="1">IFERROR(__xludf.DUMMYFUNCTION("""COMPUTED_VALUE"""),7.82)</f>
        <v>7.82</v>
      </c>
      <c r="K1372" s="112">
        <f ca="1">IFERROR(__xludf.DUMMYFUNCTION("""COMPUTED_VALUE"""),42733.7055555555)</f>
        <v>42733.705555555498</v>
      </c>
      <c r="L1372" s="111">
        <f ca="1">IFERROR(__xludf.DUMMYFUNCTION("""COMPUTED_VALUE"""),0.41)</f>
        <v>0.41</v>
      </c>
      <c r="M1372" s="112">
        <f ca="1">IFERROR(__xludf.DUMMYFUNCTION("""COMPUTED_VALUE"""),42199.7055555555)</f>
        <v>42199.705555555498</v>
      </c>
      <c r="N1372" s="111">
        <f ca="1">IFERROR(__xludf.DUMMYFUNCTION("""COMPUTED_VALUE"""),15.1)</f>
        <v>15.1</v>
      </c>
      <c r="O1372" s="112">
        <f ca="1">IFERROR(__xludf.DUMMYFUNCTION("""COMPUTED_VALUE"""),42275.7055555555)</f>
        <v>42275.705555555498</v>
      </c>
      <c r="P1372" s="111">
        <f ca="1">IFERROR(__xludf.DUMMYFUNCTION("""COMPUTED_VALUE"""),16.59)</f>
        <v>16.59</v>
      </c>
      <c r="Q1372" s="112">
        <f ca="1">IFERROR(__xludf.DUMMYFUNCTION("""COMPUTED_VALUE"""),42271.7055555555)</f>
        <v>42271.705555555498</v>
      </c>
      <c r="R1372" s="111">
        <f ca="1">IFERROR(__xludf.DUMMYFUNCTION("""COMPUTED_VALUE"""),15.73)</f>
        <v>15.73</v>
      </c>
      <c r="S1372" s="112">
        <f ca="1">IFERROR(__xludf.DUMMYFUNCTION("""COMPUTED_VALUE"""),42284.7055555555)</f>
        <v>42284.705555555498</v>
      </c>
      <c r="T1372" s="111">
        <f ca="1">IFERROR(__xludf.DUMMYFUNCTION("""COMPUTED_VALUE"""),15.03)</f>
        <v>15.03</v>
      </c>
    </row>
    <row r="1373" spans="1:20" x14ac:dyDescent="0.3">
      <c r="A1373" s="112">
        <f ca="1">IFERROR(__xludf.DUMMYFUNCTION("""COMPUTED_VALUE"""),42282.7055555555)</f>
        <v>42282.705555555498</v>
      </c>
      <c r="B1373" s="111">
        <f ca="1">IFERROR(__xludf.DUMMYFUNCTION("""COMPUTED_VALUE"""),5.73)</f>
        <v>5.73</v>
      </c>
      <c r="C1373" s="112">
        <f ca="1">IFERROR(__xludf.DUMMYFUNCTION("""COMPUTED_VALUE"""),42290.7055555555)</f>
        <v>42290.705555555498</v>
      </c>
      <c r="D1373" s="111">
        <f ca="1">IFERROR(__xludf.DUMMYFUNCTION("""COMPUTED_VALUE"""),16.95)</f>
        <v>16.95</v>
      </c>
      <c r="E1373" s="112">
        <f ca="1">IFERROR(__xludf.DUMMYFUNCTION("""COMPUTED_VALUE"""),42291.7055555555)</f>
        <v>42291.705555555498</v>
      </c>
      <c r="F1373" s="111">
        <f ca="1">IFERROR(__xludf.DUMMYFUNCTION("""COMPUTED_VALUE"""),5.93)</f>
        <v>5.93</v>
      </c>
      <c r="G1373" s="112">
        <f ca="1">IFERROR(__xludf.DUMMYFUNCTION("""COMPUTED_VALUE"""),42283.7055555555)</f>
        <v>42283.705555555498</v>
      </c>
      <c r="H1373" s="111">
        <f ca="1">IFERROR(__xludf.DUMMYFUNCTION("""COMPUTED_VALUE"""),8.19)</f>
        <v>8.19</v>
      </c>
      <c r="K1373" s="112">
        <f ca="1">IFERROR(__xludf.DUMMYFUNCTION("""COMPUTED_VALUE"""),42737.7055555555)</f>
        <v>42737.705555555498</v>
      </c>
      <c r="L1373" s="111">
        <f ca="1">IFERROR(__xludf.DUMMYFUNCTION("""COMPUTED_VALUE"""),0.4)</f>
        <v>0.4</v>
      </c>
      <c r="M1373" s="112">
        <f ca="1">IFERROR(__xludf.DUMMYFUNCTION("""COMPUTED_VALUE"""),42200.7055555555)</f>
        <v>42200.705555555498</v>
      </c>
      <c r="N1373" s="111">
        <f ca="1">IFERROR(__xludf.DUMMYFUNCTION("""COMPUTED_VALUE"""),15.03)</f>
        <v>15.03</v>
      </c>
      <c r="O1373" s="112">
        <f ca="1">IFERROR(__xludf.DUMMYFUNCTION("""COMPUTED_VALUE"""),42276.7055555555)</f>
        <v>42276.705555555498</v>
      </c>
      <c r="P1373" s="111">
        <f ca="1">IFERROR(__xludf.DUMMYFUNCTION("""COMPUTED_VALUE"""),16.48)</f>
        <v>16.48</v>
      </c>
      <c r="Q1373" s="112">
        <f ca="1">IFERROR(__xludf.DUMMYFUNCTION("""COMPUTED_VALUE"""),42272.7055555555)</f>
        <v>42272.705555555498</v>
      </c>
      <c r="R1373" s="111">
        <f ca="1">IFERROR(__xludf.DUMMYFUNCTION("""COMPUTED_VALUE"""),15.25)</f>
        <v>15.25</v>
      </c>
      <c r="S1373" s="112">
        <f ca="1">IFERROR(__xludf.DUMMYFUNCTION("""COMPUTED_VALUE"""),42285.7055555555)</f>
        <v>42285.705555555498</v>
      </c>
      <c r="T1373" s="111">
        <f ca="1">IFERROR(__xludf.DUMMYFUNCTION("""COMPUTED_VALUE"""),15.02)</f>
        <v>15.02</v>
      </c>
    </row>
    <row r="1374" spans="1:20" x14ac:dyDescent="0.3">
      <c r="A1374" s="112">
        <f ca="1">IFERROR(__xludf.DUMMYFUNCTION("""COMPUTED_VALUE"""),42283.7055555555)</f>
        <v>42283.705555555498</v>
      </c>
      <c r="B1374" s="111">
        <f ca="1">IFERROR(__xludf.DUMMYFUNCTION("""COMPUTED_VALUE"""),5.52)</f>
        <v>5.52</v>
      </c>
      <c r="C1374" s="112">
        <f ca="1">IFERROR(__xludf.DUMMYFUNCTION("""COMPUTED_VALUE"""),42291.7055555555)</f>
        <v>42291.705555555498</v>
      </c>
      <c r="D1374" s="111">
        <f ca="1">IFERROR(__xludf.DUMMYFUNCTION("""COMPUTED_VALUE"""),16.79)</f>
        <v>16.79</v>
      </c>
      <c r="E1374" s="112">
        <f ca="1">IFERROR(__xludf.DUMMYFUNCTION("""COMPUTED_VALUE"""),42292.7055555555)</f>
        <v>42292.705555555498</v>
      </c>
      <c r="F1374" s="111">
        <f ca="1">IFERROR(__xludf.DUMMYFUNCTION("""COMPUTED_VALUE"""),5.91)</f>
        <v>5.91</v>
      </c>
      <c r="G1374" s="112">
        <f ca="1">IFERROR(__xludf.DUMMYFUNCTION("""COMPUTED_VALUE"""),42284.7055555555)</f>
        <v>42284.705555555498</v>
      </c>
      <c r="H1374" s="111">
        <f ca="1">IFERROR(__xludf.DUMMYFUNCTION("""COMPUTED_VALUE"""),8.47)</f>
        <v>8.4700000000000006</v>
      </c>
      <c r="K1374" s="112">
        <f ca="1">IFERROR(__xludf.DUMMYFUNCTION("""COMPUTED_VALUE"""),42738.7055555555)</f>
        <v>42738.705555555498</v>
      </c>
      <c r="L1374" s="111">
        <f ca="1">IFERROR(__xludf.DUMMYFUNCTION("""COMPUTED_VALUE"""),0.4)</f>
        <v>0.4</v>
      </c>
      <c r="M1374" s="112">
        <f ca="1">IFERROR(__xludf.DUMMYFUNCTION("""COMPUTED_VALUE"""),42201.7055555555)</f>
        <v>42201.705555555498</v>
      </c>
      <c r="N1374" s="111">
        <f ca="1">IFERROR(__xludf.DUMMYFUNCTION("""COMPUTED_VALUE"""),14.95)</f>
        <v>14.95</v>
      </c>
      <c r="O1374" s="112">
        <f ca="1">IFERROR(__xludf.DUMMYFUNCTION("""COMPUTED_VALUE"""),42277.7055555555)</f>
        <v>42277.705555555498</v>
      </c>
      <c r="P1374" s="111">
        <f ca="1">IFERROR(__xludf.DUMMYFUNCTION("""COMPUTED_VALUE"""),16.58)</f>
        <v>16.579999999999998</v>
      </c>
      <c r="Q1374" s="112">
        <f ca="1">IFERROR(__xludf.DUMMYFUNCTION("""COMPUTED_VALUE"""),42275.7055555555)</f>
        <v>42275.705555555498</v>
      </c>
      <c r="R1374" s="111">
        <f ca="1">IFERROR(__xludf.DUMMYFUNCTION("""COMPUTED_VALUE"""),14.49)</f>
        <v>14.49</v>
      </c>
      <c r="S1374" s="112">
        <f ca="1">IFERROR(__xludf.DUMMYFUNCTION("""COMPUTED_VALUE"""),42286.7055555555)</f>
        <v>42286.705555555498</v>
      </c>
      <c r="T1374" s="111">
        <f ca="1">IFERROR(__xludf.DUMMYFUNCTION("""COMPUTED_VALUE"""),14.67)</f>
        <v>14.67</v>
      </c>
    </row>
    <row r="1375" spans="1:20" x14ac:dyDescent="0.3">
      <c r="A1375" s="112">
        <f ca="1">IFERROR(__xludf.DUMMYFUNCTION("""COMPUTED_VALUE"""),42284.7055555555)</f>
        <v>42284.705555555498</v>
      </c>
      <c r="B1375" s="111">
        <f ca="1">IFERROR(__xludf.DUMMYFUNCTION("""COMPUTED_VALUE"""),5.59)</f>
        <v>5.59</v>
      </c>
      <c r="C1375" s="112">
        <f ca="1">IFERROR(__xludf.DUMMYFUNCTION("""COMPUTED_VALUE"""),42292.7055555555)</f>
        <v>42292.705555555498</v>
      </c>
      <c r="D1375" s="111">
        <f ca="1">IFERROR(__xludf.DUMMYFUNCTION("""COMPUTED_VALUE"""),16.52)</f>
        <v>16.52</v>
      </c>
      <c r="E1375" s="112">
        <f ca="1">IFERROR(__xludf.DUMMYFUNCTION("""COMPUTED_VALUE"""),42293.7055555555)</f>
        <v>42293.705555555498</v>
      </c>
      <c r="F1375" s="111">
        <f ca="1">IFERROR(__xludf.DUMMYFUNCTION("""COMPUTED_VALUE"""),5.81)</f>
        <v>5.81</v>
      </c>
      <c r="G1375" s="112">
        <f ca="1">IFERROR(__xludf.DUMMYFUNCTION("""COMPUTED_VALUE"""),42285.7055555555)</f>
        <v>42285.705555555498</v>
      </c>
      <c r="H1375" s="111">
        <f ca="1">IFERROR(__xludf.DUMMYFUNCTION("""COMPUTED_VALUE"""),8.75)</f>
        <v>8.75</v>
      </c>
      <c r="K1375" s="112">
        <f ca="1">IFERROR(__xludf.DUMMYFUNCTION("""COMPUTED_VALUE"""),42739.7055555555)</f>
        <v>42739.705555555498</v>
      </c>
      <c r="L1375" s="111">
        <f ca="1">IFERROR(__xludf.DUMMYFUNCTION("""COMPUTED_VALUE"""),0.38)</f>
        <v>0.38</v>
      </c>
      <c r="M1375" s="112">
        <f ca="1">IFERROR(__xludf.DUMMYFUNCTION("""COMPUTED_VALUE"""),42202.7055555555)</f>
        <v>42202.705555555498</v>
      </c>
      <c r="N1375" s="111">
        <f ca="1">IFERROR(__xludf.DUMMYFUNCTION("""COMPUTED_VALUE"""),14.91)</f>
        <v>14.91</v>
      </c>
      <c r="O1375" s="112">
        <f ca="1">IFERROR(__xludf.DUMMYFUNCTION("""COMPUTED_VALUE"""),42278.7055555555)</f>
        <v>42278.705555555498</v>
      </c>
      <c r="P1375" s="111">
        <f ca="1">IFERROR(__xludf.DUMMYFUNCTION("""COMPUTED_VALUE"""),17.22)</f>
        <v>17.22</v>
      </c>
      <c r="Q1375" s="112">
        <f ca="1">IFERROR(__xludf.DUMMYFUNCTION("""COMPUTED_VALUE"""),42276.7055555555)</f>
        <v>42276.705555555498</v>
      </c>
      <c r="R1375" s="111">
        <f ca="1">IFERROR(__xludf.DUMMYFUNCTION("""COMPUTED_VALUE"""),14.33)</f>
        <v>14.33</v>
      </c>
      <c r="S1375" s="112">
        <f ca="1">IFERROR(__xludf.DUMMYFUNCTION("""COMPUTED_VALUE"""),42290.7055555555)</f>
        <v>42290.705555555498</v>
      </c>
      <c r="T1375" s="111">
        <f ca="1">IFERROR(__xludf.DUMMYFUNCTION("""COMPUTED_VALUE"""),14.39)</f>
        <v>14.39</v>
      </c>
    </row>
    <row r="1376" spans="1:20" x14ac:dyDescent="0.3">
      <c r="A1376" s="112">
        <f ca="1">IFERROR(__xludf.DUMMYFUNCTION("""COMPUTED_VALUE"""),42285.7055555555)</f>
        <v>42285.705555555498</v>
      </c>
      <c r="B1376" s="111">
        <f ca="1">IFERROR(__xludf.DUMMYFUNCTION("""COMPUTED_VALUE"""),5.55)</f>
        <v>5.55</v>
      </c>
      <c r="C1376" s="112">
        <f ca="1">IFERROR(__xludf.DUMMYFUNCTION("""COMPUTED_VALUE"""),42293.7055555555)</f>
        <v>42293.705555555498</v>
      </c>
      <c r="D1376" s="111">
        <f ca="1">IFERROR(__xludf.DUMMYFUNCTION("""COMPUTED_VALUE"""),16.27)</f>
        <v>16.27</v>
      </c>
      <c r="E1376" s="112">
        <f ca="1">IFERROR(__xludf.DUMMYFUNCTION("""COMPUTED_VALUE"""),42296.7055555555)</f>
        <v>42296.705555555498</v>
      </c>
      <c r="F1376" s="111">
        <f ca="1">IFERROR(__xludf.DUMMYFUNCTION("""COMPUTED_VALUE"""),5.92)</f>
        <v>5.92</v>
      </c>
      <c r="G1376" s="112">
        <f ca="1">IFERROR(__xludf.DUMMYFUNCTION("""COMPUTED_VALUE"""),42286.7055555555)</f>
        <v>42286.705555555498</v>
      </c>
      <c r="H1376" s="111">
        <f ca="1">IFERROR(__xludf.DUMMYFUNCTION("""COMPUTED_VALUE"""),8.8)</f>
        <v>8.8000000000000007</v>
      </c>
      <c r="K1376" s="112">
        <f ca="1">IFERROR(__xludf.DUMMYFUNCTION("""COMPUTED_VALUE"""),42740.7055555555)</f>
        <v>42740.705555555498</v>
      </c>
      <c r="L1376" s="111">
        <f ca="1">IFERROR(__xludf.DUMMYFUNCTION("""COMPUTED_VALUE"""),0.39)</f>
        <v>0.39</v>
      </c>
      <c r="M1376" s="112">
        <f ca="1">IFERROR(__xludf.DUMMYFUNCTION("""COMPUTED_VALUE"""),42205.7055555555)</f>
        <v>42205.705555555498</v>
      </c>
      <c r="N1376" s="111">
        <f ca="1">IFERROR(__xludf.DUMMYFUNCTION("""COMPUTED_VALUE"""),14.62)</f>
        <v>14.62</v>
      </c>
      <c r="O1376" s="112">
        <f ca="1">IFERROR(__xludf.DUMMYFUNCTION("""COMPUTED_VALUE"""),42279.7055555555)</f>
        <v>42279.705555555498</v>
      </c>
      <c r="P1376" s="111">
        <f ca="1">IFERROR(__xludf.DUMMYFUNCTION("""COMPUTED_VALUE"""),17.82)</f>
        <v>17.82</v>
      </c>
      <c r="Q1376" s="112">
        <f ca="1">IFERROR(__xludf.DUMMYFUNCTION("""COMPUTED_VALUE"""),42277.7055555555)</f>
        <v>42277.705555555498</v>
      </c>
      <c r="R1376" s="111">
        <f ca="1">IFERROR(__xludf.DUMMYFUNCTION("""COMPUTED_VALUE"""),15.2)</f>
        <v>15.2</v>
      </c>
      <c r="S1376" s="112">
        <f ca="1">IFERROR(__xludf.DUMMYFUNCTION("""COMPUTED_VALUE"""),42291.7055555555)</f>
        <v>42291.705555555498</v>
      </c>
      <c r="T1376" s="111">
        <f ca="1">IFERROR(__xludf.DUMMYFUNCTION("""COMPUTED_VALUE"""),14.27)</f>
        <v>14.27</v>
      </c>
    </row>
    <row r="1377" spans="1:20" x14ac:dyDescent="0.3">
      <c r="A1377" s="112">
        <f ca="1">IFERROR(__xludf.DUMMYFUNCTION("""COMPUTED_VALUE"""),42286.7055555555)</f>
        <v>42286.705555555498</v>
      </c>
      <c r="B1377" s="111">
        <f ca="1">IFERROR(__xludf.DUMMYFUNCTION("""COMPUTED_VALUE"""),5.69)</f>
        <v>5.69</v>
      </c>
      <c r="C1377" s="112">
        <f ca="1">IFERROR(__xludf.DUMMYFUNCTION("""COMPUTED_VALUE"""),42296.7055555555)</f>
        <v>42296.705555555498</v>
      </c>
      <c r="D1377" s="111">
        <f ca="1">IFERROR(__xludf.DUMMYFUNCTION("""COMPUTED_VALUE"""),16.65)</f>
        <v>16.649999999999999</v>
      </c>
      <c r="E1377" s="112">
        <f ca="1">IFERROR(__xludf.DUMMYFUNCTION("""COMPUTED_VALUE"""),42297.7055555555)</f>
        <v>42297.705555555498</v>
      </c>
      <c r="F1377" s="111">
        <f ca="1">IFERROR(__xludf.DUMMYFUNCTION("""COMPUTED_VALUE"""),5.84)</f>
        <v>5.84</v>
      </c>
      <c r="G1377" s="112">
        <f ca="1">IFERROR(__xludf.DUMMYFUNCTION("""COMPUTED_VALUE"""),42290.7055555555)</f>
        <v>42290.705555555498</v>
      </c>
      <c r="H1377" s="111">
        <f ca="1">IFERROR(__xludf.DUMMYFUNCTION("""COMPUTED_VALUE"""),8.13)</f>
        <v>8.1300000000000008</v>
      </c>
      <c r="K1377" s="112">
        <f ca="1">IFERROR(__xludf.DUMMYFUNCTION("""COMPUTED_VALUE"""),42741.7055555555)</f>
        <v>42741.705555555498</v>
      </c>
      <c r="L1377" s="111">
        <f ca="1">IFERROR(__xludf.DUMMYFUNCTION("""COMPUTED_VALUE"""),0.39)</f>
        <v>0.39</v>
      </c>
      <c r="M1377" s="112">
        <f ca="1">IFERROR(__xludf.DUMMYFUNCTION("""COMPUTED_VALUE"""),42206.7055555555)</f>
        <v>42206.705555555498</v>
      </c>
      <c r="N1377" s="111">
        <f ca="1">IFERROR(__xludf.DUMMYFUNCTION("""COMPUTED_VALUE"""),14.44)</f>
        <v>14.44</v>
      </c>
      <c r="O1377" s="112">
        <f ca="1">IFERROR(__xludf.DUMMYFUNCTION("""COMPUTED_VALUE"""),42282.7055555555)</f>
        <v>42282.705555555498</v>
      </c>
      <c r="P1377" s="111">
        <f ca="1">IFERROR(__xludf.DUMMYFUNCTION("""COMPUTED_VALUE"""),18.14)</f>
        <v>18.14</v>
      </c>
      <c r="Q1377" s="112">
        <f ca="1">IFERROR(__xludf.DUMMYFUNCTION("""COMPUTED_VALUE"""),42278.7055555555)</f>
        <v>42278.705555555498</v>
      </c>
      <c r="R1377" s="111">
        <f ca="1">IFERROR(__xludf.DUMMYFUNCTION("""COMPUTED_VALUE"""),14.91)</f>
        <v>14.91</v>
      </c>
      <c r="S1377" s="112">
        <f ca="1">IFERROR(__xludf.DUMMYFUNCTION("""COMPUTED_VALUE"""),42292.7055555555)</f>
        <v>42292.705555555498</v>
      </c>
      <c r="T1377" s="111">
        <f ca="1">IFERROR(__xludf.DUMMYFUNCTION("""COMPUTED_VALUE"""),14.65)</f>
        <v>14.65</v>
      </c>
    </row>
    <row r="1378" spans="1:20" x14ac:dyDescent="0.3">
      <c r="A1378" s="112">
        <f ca="1">IFERROR(__xludf.DUMMYFUNCTION("""COMPUTED_VALUE"""),42290.7055555555)</f>
        <v>42290.705555555498</v>
      </c>
      <c r="B1378" s="111">
        <f ca="1">IFERROR(__xludf.DUMMYFUNCTION("""COMPUTED_VALUE"""),5.51)</f>
        <v>5.51</v>
      </c>
      <c r="C1378" s="112">
        <f ca="1">IFERROR(__xludf.DUMMYFUNCTION("""COMPUTED_VALUE"""),42297.7055555555)</f>
        <v>42297.705555555498</v>
      </c>
      <c r="D1378" s="111">
        <f ca="1">IFERROR(__xludf.DUMMYFUNCTION("""COMPUTED_VALUE"""),16.32)</f>
        <v>16.32</v>
      </c>
      <c r="E1378" s="112">
        <f ca="1">IFERROR(__xludf.DUMMYFUNCTION("""COMPUTED_VALUE"""),42298.7055555555)</f>
        <v>42298.705555555498</v>
      </c>
      <c r="F1378" s="111">
        <f ca="1">IFERROR(__xludf.DUMMYFUNCTION("""COMPUTED_VALUE"""),5.83)</f>
        <v>5.83</v>
      </c>
      <c r="G1378" s="112">
        <f ca="1">IFERROR(__xludf.DUMMYFUNCTION("""COMPUTED_VALUE"""),42291.7055555555)</f>
        <v>42291.705555555498</v>
      </c>
      <c r="H1378" s="111">
        <f ca="1">IFERROR(__xludf.DUMMYFUNCTION("""COMPUTED_VALUE"""),7.96)</f>
        <v>7.96</v>
      </c>
      <c r="K1378" s="112">
        <f ca="1">IFERROR(__xludf.DUMMYFUNCTION("""COMPUTED_VALUE"""),42744.7055555555)</f>
        <v>42744.705555555498</v>
      </c>
      <c r="L1378" s="111">
        <f ca="1">IFERROR(__xludf.DUMMYFUNCTION("""COMPUTED_VALUE"""),0.37)</f>
        <v>0.37</v>
      </c>
      <c r="M1378" s="112">
        <f ca="1">IFERROR(__xludf.DUMMYFUNCTION("""COMPUTED_VALUE"""),42207.7055555555)</f>
        <v>42207.705555555498</v>
      </c>
      <c r="N1378" s="111">
        <f ca="1">IFERROR(__xludf.DUMMYFUNCTION("""COMPUTED_VALUE"""),14.26)</f>
        <v>14.26</v>
      </c>
      <c r="O1378" s="112">
        <f ca="1">IFERROR(__xludf.DUMMYFUNCTION("""COMPUTED_VALUE"""),42283.7055555555)</f>
        <v>42283.705555555498</v>
      </c>
      <c r="P1378" s="111">
        <f ca="1">IFERROR(__xludf.DUMMYFUNCTION("""COMPUTED_VALUE"""),18.31)</f>
        <v>18.309999999999999</v>
      </c>
      <c r="Q1378" s="112">
        <f ca="1">IFERROR(__xludf.DUMMYFUNCTION("""COMPUTED_VALUE"""),42279.7055555555)</f>
        <v>42279.705555555498</v>
      </c>
      <c r="R1378" s="111">
        <f ca="1">IFERROR(__xludf.DUMMYFUNCTION("""COMPUTED_VALUE"""),15.92)</f>
        <v>15.92</v>
      </c>
      <c r="S1378" s="112">
        <f ca="1">IFERROR(__xludf.DUMMYFUNCTION("""COMPUTED_VALUE"""),42293.7055555555)</f>
        <v>42293.705555555498</v>
      </c>
      <c r="T1378" s="111">
        <f ca="1">IFERROR(__xludf.DUMMYFUNCTION("""COMPUTED_VALUE"""),15.09)</f>
        <v>15.09</v>
      </c>
    </row>
    <row r="1379" spans="1:20" x14ac:dyDescent="0.3">
      <c r="A1379" s="112">
        <f ca="1">IFERROR(__xludf.DUMMYFUNCTION("""COMPUTED_VALUE"""),42291.7055555555)</f>
        <v>42291.705555555498</v>
      </c>
      <c r="B1379" s="111">
        <f ca="1">IFERROR(__xludf.DUMMYFUNCTION("""COMPUTED_VALUE"""),5.32)</f>
        <v>5.32</v>
      </c>
      <c r="C1379" s="112">
        <f ca="1">IFERROR(__xludf.DUMMYFUNCTION("""COMPUTED_VALUE"""),42298.7055555555)</f>
        <v>42298.705555555498</v>
      </c>
      <c r="D1379" s="111">
        <f ca="1">IFERROR(__xludf.DUMMYFUNCTION("""COMPUTED_VALUE"""),16.19)</f>
        <v>16.190000000000001</v>
      </c>
      <c r="E1379" s="112">
        <f ca="1">IFERROR(__xludf.DUMMYFUNCTION("""COMPUTED_VALUE"""),42299.7055555555)</f>
        <v>42299.705555555498</v>
      </c>
      <c r="F1379" s="111">
        <f ca="1">IFERROR(__xludf.DUMMYFUNCTION("""COMPUTED_VALUE"""),5.92)</f>
        <v>5.92</v>
      </c>
      <c r="G1379" s="112">
        <f ca="1">IFERROR(__xludf.DUMMYFUNCTION("""COMPUTED_VALUE"""),42292.7055555555)</f>
        <v>42292.705555555498</v>
      </c>
      <c r="H1379" s="111">
        <f ca="1">IFERROR(__xludf.DUMMYFUNCTION("""COMPUTED_VALUE"""),8)</f>
        <v>8</v>
      </c>
      <c r="K1379" s="112">
        <f ca="1">IFERROR(__xludf.DUMMYFUNCTION("""COMPUTED_VALUE"""),42745.7055555555)</f>
        <v>42745.705555555498</v>
      </c>
      <c r="L1379" s="111">
        <f ca="1">IFERROR(__xludf.DUMMYFUNCTION("""COMPUTED_VALUE"""),0.38)</f>
        <v>0.38</v>
      </c>
      <c r="M1379" s="112">
        <f ca="1">IFERROR(__xludf.DUMMYFUNCTION("""COMPUTED_VALUE"""),42208.7055555555)</f>
        <v>42208.705555555498</v>
      </c>
      <c r="N1379" s="111">
        <f ca="1">IFERROR(__xludf.DUMMYFUNCTION("""COMPUTED_VALUE"""),13.71)</f>
        <v>13.71</v>
      </c>
      <c r="O1379" s="112">
        <f ca="1">IFERROR(__xludf.DUMMYFUNCTION("""COMPUTED_VALUE"""),42284.7055555555)</f>
        <v>42284.705555555498</v>
      </c>
      <c r="P1379" s="111">
        <f ca="1">IFERROR(__xludf.DUMMYFUNCTION("""COMPUTED_VALUE"""),20.15)</f>
        <v>20.149999999999999</v>
      </c>
      <c r="Q1379" s="112">
        <f ca="1">IFERROR(__xludf.DUMMYFUNCTION("""COMPUTED_VALUE"""),42282.7055555555)</f>
        <v>42282.705555555498</v>
      </c>
      <c r="R1379" s="111">
        <f ca="1">IFERROR(__xludf.DUMMYFUNCTION("""COMPUTED_VALUE"""),16.16)</f>
        <v>16.16</v>
      </c>
      <c r="S1379" s="112">
        <f ca="1">IFERROR(__xludf.DUMMYFUNCTION("""COMPUTED_VALUE"""),42296.7055555555)</f>
        <v>42296.705555555498</v>
      </c>
      <c r="T1379" s="111">
        <f ca="1">IFERROR(__xludf.DUMMYFUNCTION("""COMPUTED_VALUE"""),15.35)</f>
        <v>15.35</v>
      </c>
    </row>
    <row r="1380" spans="1:20" x14ac:dyDescent="0.3">
      <c r="A1380" s="112">
        <f ca="1">IFERROR(__xludf.DUMMYFUNCTION("""COMPUTED_VALUE"""),42292.7055555555)</f>
        <v>42292.705555555498</v>
      </c>
      <c r="B1380" s="111">
        <f ca="1">IFERROR(__xludf.DUMMYFUNCTION("""COMPUTED_VALUE"""),5.33)</f>
        <v>5.33</v>
      </c>
      <c r="C1380" s="112">
        <f ca="1">IFERROR(__xludf.DUMMYFUNCTION("""COMPUTED_VALUE"""),42299.7055555555)</f>
        <v>42299.705555555498</v>
      </c>
      <c r="D1380" s="111">
        <f ca="1">IFERROR(__xludf.DUMMYFUNCTION("""COMPUTED_VALUE"""),16.53)</f>
        <v>16.53</v>
      </c>
      <c r="E1380" s="112">
        <f ca="1">IFERROR(__xludf.DUMMYFUNCTION("""COMPUTED_VALUE"""),42300.7055555555)</f>
        <v>42300.705555555498</v>
      </c>
      <c r="F1380" s="111">
        <f ca="1">IFERROR(__xludf.DUMMYFUNCTION("""COMPUTED_VALUE"""),5.88)</f>
        <v>5.88</v>
      </c>
      <c r="G1380" s="112">
        <f ca="1">IFERROR(__xludf.DUMMYFUNCTION("""COMPUTED_VALUE"""),42293.7055555555)</f>
        <v>42293.705555555498</v>
      </c>
      <c r="H1380" s="111">
        <f ca="1">IFERROR(__xludf.DUMMYFUNCTION("""COMPUTED_VALUE"""),7.95)</f>
        <v>7.95</v>
      </c>
      <c r="K1380" s="112">
        <f ca="1">IFERROR(__xludf.DUMMYFUNCTION("""COMPUTED_VALUE"""),42746.7055555555)</f>
        <v>42746.705555555498</v>
      </c>
      <c r="L1380" s="111">
        <f ca="1">IFERROR(__xludf.DUMMYFUNCTION("""COMPUTED_VALUE"""),0.38)</f>
        <v>0.38</v>
      </c>
      <c r="M1380" s="112">
        <f ca="1">IFERROR(__xludf.DUMMYFUNCTION("""COMPUTED_VALUE"""),42209.7055555555)</f>
        <v>42209.705555555498</v>
      </c>
      <c r="N1380" s="111">
        <f ca="1">IFERROR(__xludf.DUMMYFUNCTION("""COMPUTED_VALUE"""),13.83)</f>
        <v>13.83</v>
      </c>
      <c r="O1380" s="112">
        <f ca="1">IFERROR(__xludf.DUMMYFUNCTION("""COMPUTED_VALUE"""),42285.7055555555)</f>
        <v>42285.705555555498</v>
      </c>
      <c r="P1380" s="111">
        <f ca="1">IFERROR(__xludf.DUMMYFUNCTION("""COMPUTED_VALUE"""),20.06)</f>
        <v>20.059999999999999</v>
      </c>
      <c r="Q1380" s="112">
        <f ca="1">IFERROR(__xludf.DUMMYFUNCTION("""COMPUTED_VALUE"""),42283.7055555555)</f>
        <v>42283.705555555498</v>
      </c>
      <c r="R1380" s="111">
        <f ca="1">IFERROR(__xludf.DUMMYFUNCTION("""COMPUTED_VALUE"""),16.53)</f>
        <v>16.53</v>
      </c>
      <c r="S1380" s="112">
        <f ca="1">IFERROR(__xludf.DUMMYFUNCTION("""COMPUTED_VALUE"""),42297.7055555555)</f>
        <v>42297.705555555498</v>
      </c>
      <c r="T1380" s="111">
        <f ca="1">IFERROR(__xludf.DUMMYFUNCTION("""COMPUTED_VALUE"""),15.06)</f>
        <v>15.06</v>
      </c>
    </row>
    <row r="1381" spans="1:20" x14ac:dyDescent="0.3">
      <c r="A1381" s="112">
        <f ca="1">IFERROR(__xludf.DUMMYFUNCTION("""COMPUTED_VALUE"""),42293.7055555555)</f>
        <v>42293.705555555498</v>
      </c>
      <c r="B1381" s="111">
        <f ca="1">IFERROR(__xludf.DUMMYFUNCTION("""COMPUTED_VALUE"""),5.14)</f>
        <v>5.14</v>
      </c>
      <c r="C1381" s="112">
        <f ca="1">IFERROR(__xludf.DUMMYFUNCTION("""COMPUTED_VALUE"""),42300.7055555555)</f>
        <v>42300.705555555498</v>
      </c>
      <c r="D1381" s="111">
        <f ca="1">IFERROR(__xludf.DUMMYFUNCTION("""COMPUTED_VALUE"""),16.42)</f>
        <v>16.420000000000002</v>
      </c>
      <c r="E1381" s="112">
        <f ca="1">IFERROR(__xludf.DUMMYFUNCTION("""COMPUTED_VALUE"""),42303.7055555555)</f>
        <v>42303.705555555498</v>
      </c>
      <c r="F1381" s="111">
        <f ca="1">IFERROR(__xludf.DUMMYFUNCTION("""COMPUTED_VALUE"""),5.79)</f>
        <v>5.79</v>
      </c>
      <c r="G1381" s="112">
        <f ca="1">IFERROR(__xludf.DUMMYFUNCTION("""COMPUTED_VALUE"""),42296.7055555555)</f>
        <v>42296.705555555498</v>
      </c>
      <c r="H1381" s="111">
        <f ca="1">IFERROR(__xludf.DUMMYFUNCTION("""COMPUTED_VALUE"""),7.95)</f>
        <v>7.95</v>
      </c>
      <c r="K1381" s="112">
        <f ca="1">IFERROR(__xludf.DUMMYFUNCTION("""COMPUTED_VALUE"""),42747.7055555555)</f>
        <v>42747.705555555498</v>
      </c>
      <c r="L1381" s="111">
        <f ca="1">IFERROR(__xludf.DUMMYFUNCTION("""COMPUTED_VALUE"""),0.41)</f>
        <v>0.41</v>
      </c>
      <c r="M1381" s="112">
        <f ca="1">IFERROR(__xludf.DUMMYFUNCTION("""COMPUTED_VALUE"""),42212.7055555555)</f>
        <v>42212.705555555498</v>
      </c>
      <c r="N1381" s="111">
        <f ca="1">IFERROR(__xludf.DUMMYFUNCTION("""COMPUTED_VALUE"""),14.02)</f>
        <v>14.02</v>
      </c>
      <c r="O1381" s="112">
        <f ca="1">IFERROR(__xludf.DUMMYFUNCTION("""COMPUTED_VALUE"""),42286.7055555555)</f>
        <v>42286.705555555498</v>
      </c>
      <c r="P1381" s="111">
        <f ca="1">IFERROR(__xludf.DUMMYFUNCTION("""COMPUTED_VALUE"""),20.79)</f>
        <v>20.79</v>
      </c>
      <c r="Q1381" s="112">
        <f ca="1">IFERROR(__xludf.DUMMYFUNCTION("""COMPUTED_VALUE"""),42284.7055555555)</f>
        <v>42284.705555555498</v>
      </c>
      <c r="R1381" s="111">
        <f ca="1">IFERROR(__xludf.DUMMYFUNCTION("""COMPUTED_VALUE"""),17.93)</f>
        <v>17.93</v>
      </c>
      <c r="S1381" s="112">
        <f ca="1">IFERROR(__xludf.DUMMYFUNCTION("""COMPUTED_VALUE"""),42298.7055555555)</f>
        <v>42298.705555555498</v>
      </c>
      <c r="T1381" s="111">
        <f ca="1">IFERROR(__xludf.DUMMYFUNCTION("""COMPUTED_VALUE"""),14.88)</f>
        <v>14.88</v>
      </c>
    </row>
    <row r="1382" spans="1:20" x14ac:dyDescent="0.3">
      <c r="A1382" s="112">
        <f ca="1">IFERROR(__xludf.DUMMYFUNCTION("""COMPUTED_VALUE"""),42296.7055555555)</f>
        <v>42296.705555555498</v>
      </c>
      <c r="B1382" s="111">
        <f ca="1">IFERROR(__xludf.DUMMYFUNCTION("""COMPUTED_VALUE"""),5.09)</f>
        <v>5.09</v>
      </c>
      <c r="C1382" s="112">
        <f ca="1">IFERROR(__xludf.DUMMYFUNCTION("""COMPUTED_VALUE"""),42303.7055555555)</f>
        <v>42303.705555555498</v>
      </c>
      <c r="D1382" s="111">
        <f ca="1">IFERROR(__xludf.DUMMYFUNCTION("""COMPUTED_VALUE"""),16.18)</f>
        <v>16.18</v>
      </c>
      <c r="E1382" s="112">
        <f ca="1">IFERROR(__xludf.DUMMYFUNCTION("""COMPUTED_VALUE"""),42304.7055555555)</f>
        <v>42304.705555555498</v>
      </c>
      <c r="F1382" s="111">
        <f ca="1">IFERROR(__xludf.DUMMYFUNCTION("""COMPUTED_VALUE"""),5.75)</f>
        <v>5.75</v>
      </c>
      <c r="G1382" s="112">
        <f ca="1">IFERROR(__xludf.DUMMYFUNCTION("""COMPUTED_VALUE"""),42297.7055555555)</f>
        <v>42297.705555555498</v>
      </c>
      <c r="H1382" s="111">
        <f ca="1">IFERROR(__xludf.DUMMYFUNCTION("""COMPUTED_VALUE"""),8.05)</f>
        <v>8.0500000000000007</v>
      </c>
      <c r="K1382" s="112">
        <f ca="1">IFERROR(__xludf.DUMMYFUNCTION("""COMPUTED_VALUE"""),42748.7055555555)</f>
        <v>42748.705555555498</v>
      </c>
      <c r="L1382" s="111">
        <f ca="1">IFERROR(__xludf.DUMMYFUNCTION("""COMPUTED_VALUE"""),0.41)</f>
        <v>0.41</v>
      </c>
      <c r="M1382" s="112">
        <f ca="1">IFERROR(__xludf.DUMMYFUNCTION("""COMPUTED_VALUE"""),42213.7055555555)</f>
        <v>42213.705555555498</v>
      </c>
      <c r="N1382" s="111">
        <f ca="1">IFERROR(__xludf.DUMMYFUNCTION("""COMPUTED_VALUE"""),14.17)</f>
        <v>14.17</v>
      </c>
      <c r="O1382" s="112">
        <f ca="1">IFERROR(__xludf.DUMMYFUNCTION("""COMPUTED_VALUE"""),42290.7055555555)</f>
        <v>42290.705555555498</v>
      </c>
      <c r="P1382" s="111">
        <f ca="1">IFERROR(__xludf.DUMMYFUNCTION("""COMPUTED_VALUE"""),18.58)</f>
        <v>18.579999999999998</v>
      </c>
      <c r="Q1382" s="112">
        <f ca="1">IFERROR(__xludf.DUMMYFUNCTION("""COMPUTED_VALUE"""),42285.7055555555)</f>
        <v>42285.705555555498</v>
      </c>
      <c r="R1382" s="111">
        <f ca="1">IFERROR(__xludf.DUMMYFUNCTION("""COMPUTED_VALUE"""),17.67)</f>
        <v>17.670000000000002</v>
      </c>
      <c r="S1382" s="112">
        <f ca="1">IFERROR(__xludf.DUMMYFUNCTION("""COMPUTED_VALUE"""),42299.7055555555)</f>
        <v>42299.705555555498</v>
      </c>
      <c r="T1382" s="111">
        <f ca="1">IFERROR(__xludf.DUMMYFUNCTION("""COMPUTED_VALUE"""),15.25)</f>
        <v>15.25</v>
      </c>
    </row>
    <row r="1383" spans="1:20" x14ac:dyDescent="0.3">
      <c r="A1383" s="112">
        <f ca="1">IFERROR(__xludf.DUMMYFUNCTION("""COMPUTED_VALUE"""),42297.7055555555)</f>
        <v>42297.705555555498</v>
      </c>
      <c r="B1383" s="111">
        <f ca="1">IFERROR(__xludf.DUMMYFUNCTION("""COMPUTED_VALUE"""),5.13)</f>
        <v>5.13</v>
      </c>
      <c r="C1383" s="112">
        <f ca="1">IFERROR(__xludf.DUMMYFUNCTION("""COMPUTED_VALUE"""),42304.7055555555)</f>
        <v>42304.705555555498</v>
      </c>
      <c r="D1383" s="111">
        <f ca="1">IFERROR(__xludf.DUMMYFUNCTION("""COMPUTED_VALUE"""),16.09)</f>
        <v>16.09</v>
      </c>
      <c r="E1383" s="112">
        <f ca="1">IFERROR(__xludf.DUMMYFUNCTION("""COMPUTED_VALUE"""),42305.7055555555)</f>
        <v>42305.705555555498</v>
      </c>
      <c r="F1383" s="111">
        <f ca="1">IFERROR(__xludf.DUMMYFUNCTION("""COMPUTED_VALUE"""),5.82)</f>
        <v>5.82</v>
      </c>
      <c r="G1383" s="112">
        <f ca="1">IFERROR(__xludf.DUMMYFUNCTION("""COMPUTED_VALUE"""),42298.7055555555)</f>
        <v>42298.705555555498</v>
      </c>
      <c r="H1383" s="111">
        <f ca="1">IFERROR(__xludf.DUMMYFUNCTION("""COMPUTED_VALUE"""),7.75)</f>
        <v>7.75</v>
      </c>
      <c r="K1383" s="112">
        <f ca="1">IFERROR(__xludf.DUMMYFUNCTION("""COMPUTED_VALUE"""),42751.7055555555)</f>
        <v>42751.705555555498</v>
      </c>
      <c r="L1383" s="111">
        <f ca="1">IFERROR(__xludf.DUMMYFUNCTION("""COMPUTED_VALUE"""),0.41)</f>
        <v>0.41</v>
      </c>
      <c r="M1383" s="112">
        <f ca="1">IFERROR(__xludf.DUMMYFUNCTION("""COMPUTED_VALUE"""),42214.7055555555)</f>
        <v>42214.705555555498</v>
      </c>
      <c r="N1383" s="111">
        <f ca="1">IFERROR(__xludf.DUMMYFUNCTION("""COMPUTED_VALUE"""),14.29)</f>
        <v>14.29</v>
      </c>
      <c r="O1383" s="112">
        <f ca="1">IFERROR(__xludf.DUMMYFUNCTION("""COMPUTED_VALUE"""),42291.7055555555)</f>
        <v>42291.705555555498</v>
      </c>
      <c r="P1383" s="111">
        <f ca="1">IFERROR(__xludf.DUMMYFUNCTION("""COMPUTED_VALUE"""),18.7)</f>
        <v>18.7</v>
      </c>
      <c r="Q1383" s="112">
        <f ca="1">IFERROR(__xludf.DUMMYFUNCTION("""COMPUTED_VALUE"""),42286.7055555555)</f>
        <v>42286.705555555498</v>
      </c>
      <c r="R1383" s="111">
        <f ca="1">IFERROR(__xludf.DUMMYFUNCTION("""COMPUTED_VALUE"""),18.51)</f>
        <v>18.510000000000002</v>
      </c>
      <c r="S1383" s="112">
        <f ca="1">IFERROR(__xludf.DUMMYFUNCTION("""COMPUTED_VALUE"""),42300.7055555555)</f>
        <v>42300.705555555498</v>
      </c>
      <c r="T1383" s="111">
        <f ca="1">IFERROR(__xludf.DUMMYFUNCTION("""COMPUTED_VALUE"""),14.37)</f>
        <v>14.37</v>
      </c>
    </row>
    <row r="1384" spans="1:20" x14ac:dyDescent="0.3">
      <c r="A1384" s="112">
        <f ca="1">IFERROR(__xludf.DUMMYFUNCTION("""COMPUTED_VALUE"""),42298.7055555555)</f>
        <v>42298.705555555498</v>
      </c>
      <c r="B1384" s="111">
        <f ca="1">IFERROR(__xludf.DUMMYFUNCTION("""COMPUTED_VALUE"""),4.94)</f>
        <v>4.9400000000000004</v>
      </c>
      <c r="C1384" s="112">
        <f ca="1">IFERROR(__xludf.DUMMYFUNCTION("""COMPUTED_VALUE"""),42305.7055555555)</f>
        <v>42305.705555555498</v>
      </c>
      <c r="D1384" s="111">
        <f ca="1">IFERROR(__xludf.DUMMYFUNCTION("""COMPUTED_VALUE"""),16.5)</f>
        <v>16.5</v>
      </c>
      <c r="E1384" s="112">
        <f ca="1">IFERROR(__xludf.DUMMYFUNCTION("""COMPUTED_VALUE"""),42306.7055555555)</f>
        <v>42306.705555555498</v>
      </c>
      <c r="F1384" s="111">
        <f ca="1">IFERROR(__xludf.DUMMYFUNCTION("""COMPUTED_VALUE"""),5.62)</f>
        <v>5.62</v>
      </c>
      <c r="G1384" s="112">
        <f ca="1">IFERROR(__xludf.DUMMYFUNCTION("""COMPUTED_VALUE"""),42299.7055555555)</f>
        <v>42299.705555555498</v>
      </c>
      <c r="H1384" s="111">
        <f ca="1">IFERROR(__xludf.DUMMYFUNCTION("""COMPUTED_VALUE"""),8.02)</f>
        <v>8.02</v>
      </c>
      <c r="K1384" s="112">
        <f ca="1">IFERROR(__xludf.DUMMYFUNCTION("""COMPUTED_VALUE"""),42752.7055555555)</f>
        <v>42752.705555555498</v>
      </c>
      <c r="L1384" s="111">
        <f ca="1">IFERROR(__xludf.DUMMYFUNCTION("""COMPUTED_VALUE"""),0.41)</f>
        <v>0.41</v>
      </c>
      <c r="M1384" s="112">
        <f ca="1">IFERROR(__xludf.DUMMYFUNCTION("""COMPUTED_VALUE"""),42215.7055555555)</f>
        <v>42215.705555555498</v>
      </c>
      <c r="N1384" s="111">
        <f ca="1">IFERROR(__xludf.DUMMYFUNCTION("""COMPUTED_VALUE"""),13.92)</f>
        <v>13.92</v>
      </c>
      <c r="O1384" s="112">
        <f ca="1">IFERROR(__xludf.DUMMYFUNCTION("""COMPUTED_VALUE"""),42292.7055555555)</f>
        <v>42292.705555555498</v>
      </c>
      <c r="P1384" s="111">
        <f ca="1">IFERROR(__xludf.DUMMYFUNCTION("""COMPUTED_VALUE"""),18.97)</f>
        <v>18.97</v>
      </c>
      <c r="Q1384" s="112">
        <f ca="1">IFERROR(__xludf.DUMMYFUNCTION("""COMPUTED_VALUE"""),42290.7055555555)</f>
        <v>42290.705555555498</v>
      </c>
      <c r="R1384" s="111">
        <f ca="1">IFERROR(__xludf.DUMMYFUNCTION("""COMPUTED_VALUE"""),16.97)</f>
        <v>16.97</v>
      </c>
      <c r="S1384" s="112">
        <f ca="1">IFERROR(__xludf.DUMMYFUNCTION("""COMPUTED_VALUE"""),42303.7055555555)</f>
        <v>42303.705555555498</v>
      </c>
      <c r="T1384" s="111">
        <f ca="1">IFERROR(__xludf.DUMMYFUNCTION("""COMPUTED_VALUE"""),14.09)</f>
        <v>14.09</v>
      </c>
    </row>
    <row r="1385" spans="1:20" x14ac:dyDescent="0.3">
      <c r="A1385" s="112">
        <f ca="1">IFERROR(__xludf.DUMMYFUNCTION("""COMPUTED_VALUE"""),42299.7055555555)</f>
        <v>42299.705555555498</v>
      </c>
      <c r="B1385" s="111">
        <f ca="1">IFERROR(__xludf.DUMMYFUNCTION("""COMPUTED_VALUE"""),5.14)</f>
        <v>5.14</v>
      </c>
      <c r="C1385" s="112">
        <f ca="1">IFERROR(__xludf.DUMMYFUNCTION("""COMPUTED_VALUE"""),42306.7055555555)</f>
        <v>42306.705555555498</v>
      </c>
      <c r="D1385" s="111">
        <f ca="1">IFERROR(__xludf.DUMMYFUNCTION("""COMPUTED_VALUE"""),15.76)</f>
        <v>15.76</v>
      </c>
      <c r="E1385" s="112">
        <f ca="1">IFERROR(__xludf.DUMMYFUNCTION("""COMPUTED_VALUE"""),42307.7055555555)</f>
        <v>42307.705555555498</v>
      </c>
      <c r="F1385" s="111">
        <f ca="1">IFERROR(__xludf.DUMMYFUNCTION("""COMPUTED_VALUE"""),5.67)</f>
        <v>5.67</v>
      </c>
      <c r="G1385" s="112">
        <f ca="1">IFERROR(__xludf.DUMMYFUNCTION("""COMPUTED_VALUE"""),42300.7055555555)</f>
        <v>42300.705555555498</v>
      </c>
      <c r="H1385" s="111">
        <f ca="1">IFERROR(__xludf.DUMMYFUNCTION("""COMPUTED_VALUE"""),7.99)</f>
        <v>7.99</v>
      </c>
      <c r="K1385" s="112">
        <f ca="1">IFERROR(__xludf.DUMMYFUNCTION("""COMPUTED_VALUE"""),42753.7055555555)</f>
        <v>42753.705555555498</v>
      </c>
      <c r="L1385" s="111">
        <f ca="1">IFERROR(__xludf.DUMMYFUNCTION("""COMPUTED_VALUE"""),0.42)</f>
        <v>0.42</v>
      </c>
      <c r="M1385" s="112">
        <f ca="1">IFERROR(__xludf.DUMMYFUNCTION("""COMPUTED_VALUE"""),42216.7055555555)</f>
        <v>42216.705555555498</v>
      </c>
      <c r="N1385" s="111">
        <f ca="1">IFERROR(__xludf.DUMMYFUNCTION("""COMPUTED_VALUE"""),14.22)</f>
        <v>14.22</v>
      </c>
      <c r="O1385" s="112">
        <f ca="1">IFERROR(__xludf.DUMMYFUNCTION("""COMPUTED_VALUE"""),42293.7055555555)</f>
        <v>42293.705555555498</v>
      </c>
      <c r="P1385" s="111">
        <f ca="1">IFERROR(__xludf.DUMMYFUNCTION("""COMPUTED_VALUE"""),18.42)</f>
        <v>18.420000000000002</v>
      </c>
      <c r="Q1385" s="112">
        <f ca="1">IFERROR(__xludf.DUMMYFUNCTION("""COMPUTED_VALUE"""),42291.7055555555)</f>
        <v>42291.705555555498</v>
      </c>
      <c r="R1385" s="111">
        <f ca="1">IFERROR(__xludf.DUMMYFUNCTION("""COMPUTED_VALUE"""),16.81)</f>
        <v>16.809999999999999</v>
      </c>
      <c r="S1385" s="112">
        <f ca="1">IFERROR(__xludf.DUMMYFUNCTION("""COMPUTED_VALUE"""),42304.7055555555)</f>
        <v>42304.705555555498</v>
      </c>
      <c r="T1385" s="111">
        <f ca="1">IFERROR(__xludf.DUMMYFUNCTION("""COMPUTED_VALUE"""),14.35)</f>
        <v>14.35</v>
      </c>
    </row>
    <row r="1386" spans="1:20" x14ac:dyDescent="0.3">
      <c r="A1386" s="112">
        <f ca="1">IFERROR(__xludf.DUMMYFUNCTION("""COMPUTED_VALUE"""),42300.7055555555)</f>
        <v>42300.705555555498</v>
      </c>
      <c r="B1386" s="111">
        <f ca="1">IFERROR(__xludf.DUMMYFUNCTION("""COMPUTED_VALUE"""),5.2)</f>
        <v>5.2</v>
      </c>
      <c r="C1386" s="112">
        <f ca="1">IFERROR(__xludf.DUMMYFUNCTION("""COMPUTED_VALUE"""),42307.7055555555)</f>
        <v>42307.705555555498</v>
      </c>
      <c r="D1386" s="111">
        <f ca="1">IFERROR(__xludf.DUMMYFUNCTION("""COMPUTED_VALUE"""),16.04)</f>
        <v>16.04</v>
      </c>
      <c r="E1386" s="112">
        <f ca="1">IFERROR(__xludf.DUMMYFUNCTION("""COMPUTED_VALUE"""),42311.7055555555)</f>
        <v>42311.705555555498</v>
      </c>
      <c r="F1386" s="111">
        <f ca="1">IFERROR(__xludf.DUMMYFUNCTION("""COMPUTED_VALUE"""),5.91)</f>
        <v>5.91</v>
      </c>
      <c r="G1386" s="112">
        <f ca="1">IFERROR(__xludf.DUMMYFUNCTION("""COMPUTED_VALUE"""),42303.7055555555)</f>
        <v>42303.705555555498</v>
      </c>
      <c r="H1386" s="111">
        <f ca="1">IFERROR(__xludf.DUMMYFUNCTION("""COMPUTED_VALUE"""),7.85)</f>
        <v>7.85</v>
      </c>
      <c r="K1386" s="112">
        <f ca="1">IFERROR(__xludf.DUMMYFUNCTION("""COMPUTED_VALUE"""),42754.7055555555)</f>
        <v>42754.705555555498</v>
      </c>
      <c r="L1386" s="111">
        <f ca="1">IFERROR(__xludf.DUMMYFUNCTION("""COMPUTED_VALUE"""),0.42)</f>
        <v>0.42</v>
      </c>
      <c r="M1386" s="112">
        <f ca="1">IFERROR(__xludf.DUMMYFUNCTION("""COMPUTED_VALUE"""),42219.7055555555)</f>
        <v>42219.705555555498</v>
      </c>
      <c r="N1386" s="111">
        <f ca="1">IFERROR(__xludf.DUMMYFUNCTION("""COMPUTED_VALUE"""),13.61)</f>
        <v>13.61</v>
      </c>
      <c r="O1386" s="112">
        <f ca="1">IFERROR(__xludf.DUMMYFUNCTION("""COMPUTED_VALUE"""),42296.7055555555)</f>
        <v>42296.705555555498</v>
      </c>
      <c r="P1386" s="111">
        <f ca="1">IFERROR(__xludf.DUMMYFUNCTION("""COMPUTED_VALUE"""),17.8)</f>
        <v>17.8</v>
      </c>
      <c r="Q1386" s="112">
        <f ca="1">IFERROR(__xludf.DUMMYFUNCTION("""COMPUTED_VALUE"""),42292.7055555555)</f>
        <v>42292.705555555498</v>
      </c>
      <c r="R1386" s="111">
        <f ca="1">IFERROR(__xludf.DUMMYFUNCTION("""COMPUTED_VALUE"""),16.57)</f>
        <v>16.57</v>
      </c>
      <c r="S1386" s="112">
        <f ca="1">IFERROR(__xludf.DUMMYFUNCTION("""COMPUTED_VALUE"""),42305.7055555555)</f>
        <v>42305.705555555498</v>
      </c>
      <c r="T1386" s="111">
        <f ca="1">IFERROR(__xludf.DUMMYFUNCTION("""COMPUTED_VALUE"""),14.42)</f>
        <v>14.42</v>
      </c>
    </row>
    <row r="1387" spans="1:20" x14ac:dyDescent="0.3">
      <c r="A1387" s="112">
        <f ca="1">IFERROR(__xludf.DUMMYFUNCTION("""COMPUTED_VALUE"""),42303.7055555555)</f>
        <v>42303.705555555498</v>
      </c>
      <c r="B1387" s="111">
        <f ca="1">IFERROR(__xludf.DUMMYFUNCTION("""COMPUTED_VALUE"""),5.05)</f>
        <v>5.05</v>
      </c>
      <c r="C1387" s="112">
        <f ca="1">IFERROR(__xludf.DUMMYFUNCTION("""COMPUTED_VALUE"""),42311.7055555555)</f>
        <v>42311.705555555498</v>
      </c>
      <c r="D1387" s="111">
        <f ca="1">IFERROR(__xludf.DUMMYFUNCTION("""COMPUTED_VALUE"""),17.07)</f>
        <v>17.07</v>
      </c>
      <c r="E1387" s="112">
        <f ca="1">IFERROR(__xludf.DUMMYFUNCTION("""COMPUTED_VALUE"""),42312.7055555555)</f>
        <v>42312.705555555498</v>
      </c>
      <c r="F1387" s="111">
        <f ca="1">IFERROR(__xludf.DUMMYFUNCTION("""COMPUTED_VALUE"""),5.95)</f>
        <v>5.95</v>
      </c>
      <c r="G1387" s="112">
        <f ca="1">IFERROR(__xludf.DUMMYFUNCTION("""COMPUTED_VALUE"""),42304.7055555555)</f>
        <v>42304.705555555498</v>
      </c>
      <c r="H1387" s="111">
        <f ca="1">IFERROR(__xludf.DUMMYFUNCTION("""COMPUTED_VALUE"""),7.6)</f>
        <v>7.6</v>
      </c>
      <c r="K1387" s="112">
        <f ca="1">IFERROR(__xludf.DUMMYFUNCTION("""COMPUTED_VALUE"""),42755.7055555555)</f>
        <v>42755.705555555498</v>
      </c>
      <c r="L1387" s="111">
        <f ca="1">IFERROR(__xludf.DUMMYFUNCTION("""COMPUTED_VALUE"""),0.47)</f>
        <v>0.47</v>
      </c>
      <c r="M1387" s="112">
        <f ca="1">IFERROR(__xludf.DUMMYFUNCTION("""COMPUTED_VALUE"""),42220.7055555555)</f>
        <v>42220.705555555498</v>
      </c>
      <c r="N1387" s="111">
        <f ca="1">IFERROR(__xludf.DUMMYFUNCTION("""COMPUTED_VALUE"""),13.48)</f>
        <v>13.48</v>
      </c>
      <c r="O1387" s="112">
        <f ca="1">IFERROR(__xludf.DUMMYFUNCTION("""COMPUTED_VALUE"""),42297.7055555555)</f>
        <v>42297.705555555498</v>
      </c>
      <c r="P1387" s="111">
        <f ca="1">IFERROR(__xludf.DUMMYFUNCTION("""COMPUTED_VALUE"""),17.61)</f>
        <v>17.61</v>
      </c>
      <c r="Q1387" s="112">
        <f ca="1">IFERROR(__xludf.DUMMYFUNCTION("""COMPUTED_VALUE"""),42293.7055555555)</f>
        <v>42293.705555555498</v>
      </c>
      <c r="R1387" s="111">
        <f ca="1">IFERROR(__xludf.DUMMYFUNCTION("""COMPUTED_VALUE"""),16.28)</f>
        <v>16.28</v>
      </c>
      <c r="S1387" s="112">
        <f ca="1">IFERROR(__xludf.DUMMYFUNCTION("""COMPUTED_VALUE"""),42306.7055555555)</f>
        <v>42306.705555555498</v>
      </c>
      <c r="T1387" s="111">
        <f ca="1">IFERROR(__xludf.DUMMYFUNCTION("""COMPUTED_VALUE"""),13.67)</f>
        <v>13.67</v>
      </c>
    </row>
    <row r="1388" spans="1:20" x14ac:dyDescent="0.3">
      <c r="A1388" s="112">
        <f ca="1">IFERROR(__xludf.DUMMYFUNCTION("""COMPUTED_VALUE"""),42304.7055555555)</f>
        <v>42304.705555555498</v>
      </c>
      <c r="B1388" s="111">
        <f ca="1">IFERROR(__xludf.DUMMYFUNCTION("""COMPUTED_VALUE"""),5.11)</f>
        <v>5.1100000000000003</v>
      </c>
      <c r="C1388" s="112">
        <f ca="1">IFERROR(__xludf.DUMMYFUNCTION("""COMPUTED_VALUE"""),42312.7055555555)</f>
        <v>42312.705555555498</v>
      </c>
      <c r="D1388" s="111">
        <f ca="1">IFERROR(__xludf.DUMMYFUNCTION("""COMPUTED_VALUE"""),17.11)</f>
        <v>17.11</v>
      </c>
      <c r="E1388" s="112">
        <f ca="1">IFERROR(__xludf.DUMMYFUNCTION("""COMPUTED_VALUE"""),42313.7055555555)</f>
        <v>42313.705555555498</v>
      </c>
      <c r="F1388" s="111">
        <f ca="1">IFERROR(__xludf.DUMMYFUNCTION("""COMPUTED_VALUE"""),6.04)</f>
        <v>6.04</v>
      </c>
      <c r="G1388" s="112">
        <f ca="1">IFERROR(__xludf.DUMMYFUNCTION("""COMPUTED_VALUE"""),42305.7055555555)</f>
        <v>42305.705555555498</v>
      </c>
      <c r="H1388" s="111">
        <f ca="1">IFERROR(__xludf.DUMMYFUNCTION("""COMPUTED_VALUE"""),7.95)</f>
        <v>7.95</v>
      </c>
      <c r="K1388" s="112">
        <f ca="1">IFERROR(__xludf.DUMMYFUNCTION("""COMPUTED_VALUE"""),42758.7055555555)</f>
        <v>42758.705555555498</v>
      </c>
      <c r="L1388" s="111">
        <f ca="1">IFERROR(__xludf.DUMMYFUNCTION("""COMPUTED_VALUE"""),0.49)</f>
        <v>0.49</v>
      </c>
      <c r="M1388" s="112">
        <f ca="1">IFERROR(__xludf.DUMMYFUNCTION("""COMPUTED_VALUE"""),42221.7055555555)</f>
        <v>42221.705555555498</v>
      </c>
      <c r="N1388" s="111">
        <f ca="1">IFERROR(__xludf.DUMMYFUNCTION("""COMPUTED_VALUE"""),13.42)</f>
        <v>13.42</v>
      </c>
      <c r="O1388" s="112">
        <f ca="1">IFERROR(__xludf.DUMMYFUNCTION("""COMPUTED_VALUE"""),42298.7055555555)</f>
        <v>42298.705555555498</v>
      </c>
      <c r="P1388" s="111">
        <f ca="1">IFERROR(__xludf.DUMMYFUNCTION("""COMPUTED_VALUE"""),18.09)</f>
        <v>18.09</v>
      </c>
      <c r="Q1388" s="112">
        <f ca="1">IFERROR(__xludf.DUMMYFUNCTION("""COMPUTED_VALUE"""),42296.7055555555)</f>
        <v>42296.705555555498</v>
      </c>
      <c r="R1388" s="111">
        <f ca="1">IFERROR(__xludf.DUMMYFUNCTION("""COMPUTED_VALUE"""),17)</f>
        <v>17</v>
      </c>
      <c r="S1388" s="112">
        <f ca="1">IFERROR(__xludf.DUMMYFUNCTION("""COMPUTED_VALUE"""),42307.7055555555)</f>
        <v>42307.705555555498</v>
      </c>
      <c r="T1388" s="111">
        <f ca="1">IFERROR(__xludf.DUMMYFUNCTION("""COMPUTED_VALUE"""),13.9)</f>
        <v>13.9</v>
      </c>
    </row>
    <row r="1389" spans="1:20" x14ac:dyDescent="0.3">
      <c r="A1389" s="112">
        <f ca="1">IFERROR(__xludf.DUMMYFUNCTION("""COMPUTED_VALUE"""),42305.7055555555)</f>
        <v>42305.705555555498</v>
      </c>
      <c r="B1389" s="111">
        <f ca="1">IFERROR(__xludf.DUMMYFUNCTION("""COMPUTED_VALUE"""),4.99)</f>
        <v>4.99</v>
      </c>
      <c r="C1389" s="112">
        <f ca="1">IFERROR(__xludf.DUMMYFUNCTION("""COMPUTED_VALUE"""),42313.7055555555)</f>
        <v>42313.705555555498</v>
      </c>
      <c r="D1389" s="111">
        <f ca="1">IFERROR(__xludf.DUMMYFUNCTION("""COMPUTED_VALUE"""),17.32)</f>
        <v>17.32</v>
      </c>
      <c r="E1389" s="112">
        <f ca="1">IFERROR(__xludf.DUMMYFUNCTION("""COMPUTED_VALUE"""),42314.7055555555)</f>
        <v>42314.705555555498</v>
      </c>
      <c r="F1389" s="111">
        <f ca="1">IFERROR(__xludf.DUMMYFUNCTION("""COMPUTED_VALUE"""),5.9)</f>
        <v>5.9</v>
      </c>
      <c r="G1389" s="112">
        <f ca="1">IFERROR(__xludf.DUMMYFUNCTION("""COMPUTED_VALUE"""),42306.7055555555)</f>
        <v>42306.705555555498</v>
      </c>
      <c r="H1389" s="111">
        <f ca="1">IFERROR(__xludf.DUMMYFUNCTION("""COMPUTED_VALUE"""),7.61)</f>
        <v>7.61</v>
      </c>
      <c r="K1389" s="112">
        <f ca="1">IFERROR(__xludf.DUMMYFUNCTION("""COMPUTED_VALUE"""),42759.7055555555)</f>
        <v>42759.705555555498</v>
      </c>
      <c r="L1389" s="111">
        <f ca="1">IFERROR(__xludf.DUMMYFUNCTION("""COMPUTED_VALUE"""),0.51)</f>
        <v>0.51</v>
      </c>
      <c r="M1389" s="112">
        <f ca="1">IFERROR(__xludf.DUMMYFUNCTION("""COMPUTED_VALUE"""),42222.7055555555)</f>
        <v>42222.705555555498</v>
      </c>
      <c r="N1389" s="111">
        <f ca="1">IFERROR(__xludf.DUMMYFUNCTION("""COMPUTED_VALUE"""),13.48)</f>
        <v>13.48</v>
      </c>
      <c r="O1389" s="112">
        <f ca="1">IFERROR(__xludf.DUMMYFUNCTION("""COMPUTED_VALUE"""),42299.7055555555)</f>
        <v>42299.705555555498</v>
      </c>
      <c r="P1389" s="111">
        <f ca="1">IFERROR(__xludf.DUMMYFUNCTION("""COMPUTED_VALUE"""),18.51)</f>
        <v>18.510000000000002</v>
      </c>
      <c r="Q1389" s="112">
        <f ca="1">IFERROR(__xludf.DUMMYFUNCTION("""COMPUTED_VALUE"""),42297.7055555555)</f>
        <v>42297.705555555498</v>
      </c>
      <c r="R1389" s="111">
        <f ca="1">IFERROR(__xludf.DUMMYFUNCTION("""COMPUTED_VALUE"""),16.45)</f>
        <v>16.45</v>
      </c>
      <c r="S1389" s="112">
        <f ca="1">IFERROR(__xludf.DUMMYFUNCTION("""COMPUTED_VALUE"""),42311.7055555555)</f>
        <v>42311.705555555498</v>
      </c>
      <c r="T1389" s="111">
        <f ca="1">IFERROR(__xludf.DUMMYFUNCTION("""COMPUTED_VALUE"""),14.12)</f>
        <v>14.12</v>
      </c>
    </row>
    <row r="1390" spans="1:20" x14ac:dyDescent="0.3">
      <c r="A1390" s="112">
        <f ca="1">IFERROR(__xludf.DUMMYFUNCTION("""COMPUTED_VALUE"""),42306.7055555555)</f>
        <v>42306.705555555498</v>
      </c>
      <c r="B1390" s="111">
        <f ca="1">IFERROR(__xludf.DUMMYFUNCTION("""COMPUTED_VALUE"""),4.92)</f>
        <v>4.92</v>
      </c>
      <c r="C1390" s="112">
        <f ca="1">IFERROR(__xludf.DUMMYFUNCTION("""COMPUTED_VALUE"""),42314.7055555555)</f>
        <v>42314.705555555498</v>
      </c>
      <c r="D1390" s="111">
        <f ca="1">IFERROR(__xludf.DUMMYFUNCTION("""COMPUTED_VALUE"""),17.05)</f>
        <v>17.05</v>
      </c>
      <c r="E1390" s="112">
        <f ca="1">IFERROR(__xludf.DUMMYFUNCTION("""COMPUTED_VALUE"""),42317.7055555555)</f>
        <v>42317.705555555498</v>
      </c>
      <c r="F1390" s="111">
        <f ca="1">IFERROR(__xludf.DUMMYFUNCTION("""COMPUTED_VALUE"""),5.79)</f>
        <v>5.79</v>
      </c>
      <c r="G1390" s="112">
        <f ca="1">IFERROR(__xludf.DUMMYFUNCTION("""COMPUTED_VALUE"""),42307.7055555555)</f>
        <v>42307.705555555498</v>
      </c>
      <c r="H1390" s="111">
        <f ca="1">IFERROR(__xludf.DUMMYFUNCTION("""COMPUTED_VALUE"""),7.71)</f>
        <v>7.71</v>
      </c>
      <c r="K1390" s="112">
        <f ca="1">IFERROR(__xludf.DUMMYFUNCTION("""COMPUTED_VALUE"""),42761.7055555555)</f>
        <v>42761.705555555498</v>
      </c>
      <c r="L1390" s="111">
        <f ca="1">IFERROR(__xludf.DUMMYFUNCTION("""COMPUTED_VALUE"""),0.5)</f>
        <v>0.5</v>
      </c>
      <c r="M1390" s="112">
        <f ca="1">IFERROR(__xludf.DUMMYFUNCTION("""COMPUTED_VALUE"""),42223.7055555555)</f>
        <v>42223.705555555498</v>
      </c>
      <c r="N1390" s="111">
        <f ca="1">IFERROR(__xludf.DUMMYFUNCTION("""COMPUTED_VALUE"""),13.1)</f>
        <v>13.1</v>
      </c>
      <c r="O1390" s="112">
        <f ca="1">IFERROR(__xludf.DUMMYFUNCTION("""COMPUTED_VALUE"""),42300.7055555555)</f>
        <v>42300.705555555498</v>
      </c>
      <c r="P1390" s="111">
        <f ca="1">IFERROR(__xludf.DUMMYFUNCTION("""COMPUTED_VALUE"""),18.6)</f>
        <v>18.600000000000001</v>
      </c>
      <c r="Q1390" s="112">
        <f ca="1">IFERROR(__xludf.DUMMYFUNCTION("""COMPUTED_VALUE"""),42298.7055555555)</f>
        <v>42298.705555555498</v>
      </c>
      <c r="R1390" s="111">
        <f ca="1">IFERROR(__xludf.DUMMYFUNCTION("""COMPUTED_VALUE"""),16.65)</f>
        <v>16.649999999999999</v>
      </c>
      <c r="S1390" s="112">
        <f ca="1">IFERROR(__xludf.DUMMYFUNCTION("""COMPUTED_VALUE"""),42312.7055555555)</f>
        <v>42312.705555555498</v>
      </c>
      <c r="T1390" s="111">
        <f ca="1">IFERROR(__xludf.DUMMYFUNCTION("""COMPUTED_VALUE"""),14.37)</f>
        <v>14.37</v>
      </c>
    </row>
    <row r="1391" spans="1:20" x14ac:dyDescent="0.3">
      <c r="A1391" s="112">
        <f ca="1">IFERROR(__xludf.DUMMYFUNCTION("""COMPUTED_VALUE"""),42307.7055555555)</f>
        <v>42307.705555555498</v>
      </c>
      <c r="B1391" s="111">
        <f ca="1">IFERROR(__xludf.DUMMYFUNCTION("""COMPUTED_VALUE"""),4.96)</f>
        <v>4.96</v>
      </c>
      <c r="C1391" s="112">
        <f ca="1">IFERROR(__xludf.DUMMYFUNCTION("""COMPUTED_VALUE"""),42317.7055555555)</f>
        <v>42317.705555555498</v>
      </c>
      <c r="D1391" s="111">
        <f ca="1">IFERROR(__xludf.DUMMYFUNCTION("""COMPUTED_VALUE"""),16.62)</f>
        <v>16.62</v>
      </c>
      <c r="E1391" s="112">
        <f ca="1">IFERROR(__xludf.DUMMYFUNCTION("""COMPUTED_VALUE"""),42318.7055555555)</f>
        <v>42318.705555555498</v>
      </c>
      <c r="F1391" s="111">
        <f ca="1">IFERROR(__xludf.DUMMYFUNCTION("""COMPUTED_VALUE"""),5.79)</f>
        <v>5.79</v>
      </c>
      <c r="G1391" s="112">
        <f ca="1">IFERROR(__xludf.DUMMYFUNCTION("""COMPUTED_VALUE"""),42311.7055555555)</f>
        <v>42311.705555555498</v>
      </c>
      <c r="H1391" s="111">
        <f ca="1">IFERROR(__xludf.DUMMYFUNCTION("""COMPUTED_VALUE"""),8.48)</f>
        <v>8.48</v>
      </c>
      <c r="K1391" s="112">
        <f ca="1">IFERROR(__xludf.DUMMYFUNCTION("""COMPUTED_VALUE"""),42762.7055555555)</f>
        <v>42762.705555555498</v>
      </c>
      <c r="L1391" s="111">
        <f ca="1">IFERROR(__xludf.DUMMYFUNCTION("""COMPUTED_VALUE"""),0.49)</f>
        <v>0.49</v>
      </c>
      <c r="M1391" s="112">
        <f ca="1">IFERROR(__xludf.DUMMYFUNCTION("""COMPUTED_VALUE"""),42226.7055555555)</f>
        <v>42226.705555555498</v>
      </c>
      <c r="N1391" s="111">
        <f ca="1">IFERROR(__xludf.DUMMYFUNCTION("""COMPUTED_VALUE"""),13.27)</f>
        <v>13.27</v>
      </c>
      <c r="O1391" s="112">
        <f ca="1">IFERROR(__xludf.DUMMYFUNCTION("""COMPUTED_VALUE"""),42303.7055555555)</f>
        <v>42303.705555555498</v>
      </c>
      <c r="P1391" s="111">
        <f ca="1">IFERROR(__xludf.DUMMYFUNCTION("""COMPUTED_VALUE"""),17.86)</f>
        <v>17.86</v>
      </c>
      <c r="Q1391" s="112">
        <f ca="1">IFERROR(__xludf.DUMMYFUNCTION("""COMPUTED_VALUE"""),42299.7055555555)</f>
        <v>42299.705555555498</v>
      </c>
      <c r="R1391" s="111">
        <f ca="1">IFERROR(__xludf.DUMMYFUNCTION("""COMPUTED_VALUE"""),16.9)</f>
        <v>16.899999999999999</v>
      </c>
      <c r="S1391" s="112">
        <f ca="1">IFERROR(__xludf.DUMMYFUNCTION("""COMPUTED_VALUE"""),42313.7055555555)</f>
        <v>42313.705555555498</v>
      </c>
      <c r="T1391" s="111">
        <f ca="1">IFERROR(__xludf.DUMMYFUNCTION("""COMPUTED_VALUE"""),14.28)</f>
        <v>14.28</v>
      </c>
    </row>
    <row r="1392" spans="1:20" x14ac:dyDescent="0.3">
      <c r="A1392" s="112">
        <f ca="1">IFERROR(__xludf.DUMMYFUNCTION("""COMPUTED_VALUE"""),42311.7055555555)</f>
        <v>42311.705555555498</v>
      </c>
      <c r="B1392" s="111">
        <f ca="1">IFERROR(__xludf.DUMMYFUNCTION("""COMPUTED_VALUE"""),5.36)</f>
        <v>5.36</v>
      </c>
      <c r="C1392" s="112">
        <f ca="1">IFERROR(__xludf.DUMMYFUNCTION("""COMPUTED_VALUE"""),42318.7055555555)</f>
        <v>42318.705555555498</v>
      </c>
      <c r="D1392" s="111">
        <f ca="1">IFERROR(__xludf.DUMMYFUNCTION("""COMPUTED_VALUE"""),16.72)</f>
        <v>16.72</v>
      </c>
      <c r="E1392" s="112">
        <f ca="1">IFERROR(__xludf.DUMMYFUNCTION("""COMPUTED_VALUE"""),42319.7055555555)</f>
        <v>42319.705555555498</v>
      </c>
      <c r="F1392" s="111">
        <f ca="1">IFERROR(__xludf.DUMMYFUNCTION("""COMPUTED_VALUE"""),5.91)</f>
        <v>5.91</v>
      </c>
      <c r="G1392" s="112">
        <f ca="1">IFERROR(__xludf.DUMMYFUNCTION("""COMPUTED_VALUE"""),42312.7055555555)</f>
        <v>42312.705555555498</v>
      </c>
      <c r="H1392" s="111">
        <f ca="1">IFERROR(__xludf.DUMMYFUNCTION("""COMPUTED_VALUE"""),8.08)</f>
        <v>8.08</v>
      </c>
      <c r="K1392" s="112">
        <f ca="1">IFERROR(__xludf.DUMMYFUNCTION("""COMPUTED_VALUE"""),42765.7055555555)</f>
        <v>42765.705555555498</v>
      </c>
      <c r="L1392" s="111">
        <f ca="1">IFERROR(__xludf.DUMMYFUNCTION("""COMPUTED_VALUE"""),0.46)</f>
        <v>0.46</v>
      </c>
      <c r="M1392" s="112">
        <f ca="1">IFERROR(__xludf.DUMMYFUNCTION("""COMPUTED_VALUE"""),42227.7055555555)</f>
        <v>42227.705555555498</v>
      </c>
      <c r="N1392" s="111">
        <f ca="1">IFERROR(__xludf.DUMMYFUNCTION("""COMPUTED_VALUE"""),13.49)</f>
        <v>13.49</v>
      </c>
      <c r="O1392" s="112">
        <f ca="1">IFERROR(__xludf.DUMMYFUNCTION("""COMPUTED_VALUE"""),42304.7055555555)</f>
        <v>42304.705555555498</v>
      </c>
      <c r="P1392" s="111">
        <f ca="1">IFERROR(__xludf.DUMMYFUNCTION("""COMPUTED_VALUE"""),17.03)</f>
        <v>17.03</v>
      </c>
      <c r="Q1392" s="112">
        <f ca="1">IFERROR(__xludf.DUMMYFUNCTION("""COMPUTED_VALUE"""),42300.7055555555)</f>
        <v>42300.705555555498</v>
      </c>
      <c r="R1392" s="111">
        <f ca="1">IFERROR(__xludf.DUMMYFUNCTION("""COMPUTED_VALUE"""),16.67)</f>
        <v>16.670000000000002</v>
      </c>
      <c r="S1392" s="112">
        <f ca="1">IFERROR(__xludf.DUMMYFUNCTION("""COMPUTED_VALUE"""),42314.7055555555)</f>
        <v>42314.705555555498</v>
      </c>
      <c r="T1392" s="111">
        <f ca="1">IFERROR(__xludf.DUMMYFUNCTION("""COMPUTED_VALUE"""),14.03)</f>
        <v>14.03</v>
      </c>
    </row>
    <row r="1393" spans="1:20" x14ac:dyDescent="0.3">
      <c r="A1393" s="112">
        <f ca="1">IFERROR(__xludf.DUMMYFUNCTION("""COMPUTED_VALUE"""),42312.7055555555)</f>
        <v>42312.705555555498</v>
      </c>
      <c r="B1393" s="111">
        <f ca="1">IFERROR(__xludf.DUMMYFUNCTION("""COMPUTED_VALUE"""),5.44)</f>
        <v>5.44</v>
      </c>
      <c r="C1393" s="112">
        <f ca="1">IFERROR(__xludf.DUMMYFUNCTION("""COMPUTED_VALUE"""),42319.7055555555)</f>
        <v>42319.705555555498</v>
      </c>
      <c r="D1393" s="111">
        <f ca="1">IFERROR(__xludf.DUMMYFUNCTION("""COMPUTED_VALUE"""),17.18)</f>
        <v>17.18</v>
      </c>
      <c r="E1393" s="112">
        <f ca="1">IFERROR(__xludf.DUMMYFUNCTION("""COMPUTED_VALUE"""),42320.7055555555)</f>
        <v>42320.705555555498</v>
      </c>
      <c r="F1393" s="111">
        <f ca="1">IFERROR(__xludf.DUMMYFUNCTION("""COMPUTED_VALUE"""),5.94)</f>
        <v>5.94</v>
      </c>
      <c r="G1393" s="112">
        <f ca="1">IFERROR(__xludf.DUMMYFUNCTION("""COMPUTED_VALUE"""),42313.7055555555)</f>
        <v>42313.705555555498</v>
      </c>
      <c r="H1393" s="111">
        <f ca="1">IFERROR(__xludf.DUMMYFUNCTION("""COMPUTED_VALUE"""),8.11)</f>
        <v>8.11</v>
      </c>
      <c r="K1393" s="112">
        <f ca="1">IFERROR(__xludf.DUMMYFUNCTION("""COMPUTED_VALUE"""),42766.7055555555)</f>
        <v>42766.705555555498</v>
      </c>
      <c r="L1393" s="111">
        <f ca="1">IFERROR(__xludf.DUMMYFUNCTION("""COMPUTED_VALUE"""),0.5)</f>
        <v>0.5</v>
      </c>
      <c r="M1393" s="112">
        <f ca="1">IFERROR(__xludf.DUMMYFUNCTION("""COMPUTED_VALUE"""),42228.7055555555)</f>
        <v>42228.705555555498</v>
      </c>
      <c r="N1393" s="111">
        <f ca="1">IFERROR(__xludf.DUMMYFUNCTION("""COMPUTED_VALUE"""),12.88)</f>
        <v>12.88</v>
      </c>
      <c r="O1393" s="112">
        <f ca="1">IFERROR(__xludf.DUMMYFUNCTION("""COMPUTED_VALUE"""),42305.7055555555)</f>
        <v>42305.705555555498</v>
      </c>
      <c r="P1393" s="111">
        <f ca="1">IFERROR(__xludf.DUMMYFUNCTION("""COMPUTED_VALUE"""),16.85)</f>
        <v>16.850000000000001</v>
      </c>
      <c r="Q1393" s="112">
        <f ca="1">IFERROR(__xludf.DUMMYFUNCTION("""COMPUTED_VALUE"""),42303.7055555555)</f>
        <v>42303.705555555498</v>
      </c>
      <c r="R1393" s="111">
        <f ca="1">IFERROR(__xludf.DUMMYFUNCTION("""COMPUTED_VALUE"""),16.34)</f>
        <v>16.34</v>
      </c>
      <c r="S1393" s="112">
        <f ca="1">IFERROR(__xludf.DUMMYFUNCTION("""COMPUTED_VALUE"""),42317.7055555555)</f>
        <v>42317.705555555498</v>
      </c>
      <c r="T1393" s="111">
        <f ca="1">IFERROR(__xludf.DUMMYFUNCTION("""COMPUTED_VALUE"""),13.59)</f>
        <v>13.59</v>
      </c>
    </row>
    <row r="1394" spans="1:20" x14ac:dyDescent="0.3">
      <c r="A1394" s="112">
        <f ca="1">IFERROR(__xludf.DUMMYFUNCTION("""COMPUTED_VALUE"""),42313.7055555555)</f>
        <v>42313.705555555498</v>
      </c>
      <c r="B1394" s="111">
        <f ca="1">IFERROR(__xludf.DUMMYFUNCTION("""COMPUTED_VALUE"""),5.88)</f>
        <v>5.88</v>
      </c>
      <c r="C1394" s="112">
        <f ca="1">IFERROR(__xludf.DUMMYFUNCTION("""COMPUTED_VALUE"""),42320.7055555555)</f>
        <v>42320.705555555498</v>
      </c>
      <c r="D1394" s="111">
        <f ca="1">IFERROR(__xludf.DUMMYFUNCTION("""COMPUTED_VALUE"""),17.22)</f>
        <v>17.22</v>
      </c>
      <c r="E1394" s="112">
        <f ca="1">IFERROR(__xludf.DUMMYFUNCTION("""COMPUTED_VALUE"""),42321.7055555555)</f>
        <v>42321.705555555498</v>
      </c>
      <c r="F1394" s="111">
        <f ca="1">IFERROR(__xludf.DUMMYFUNCTION("""COMPUTED_VALUE"""),5.82)</f>
        <v>5.82</v>
      </c>
      <c r="G1394" s="112">
        <f ca="1">IFERROR(__xludf.DUMMYFUNCTION("""COMPUTED_VALUE"""),42314.7055555555)</f>
        <v>42314.705555555498</v>
      </c>
      <c r="H1394" s="111">
        <f ca="1">IFERROR(__xludf.DUMMYFUNCTION("""COMPUTED_VALUE"""),7.82)</f>
        <v>7.82</v>
      </c>
      <c r="K1394" s="112">
        <f ca="1">IFERROR(__xludf.DUMMYFUNCTION("""COMPUTED_VALUE"""),42767.7055555555)</f>
        <v>42767.705555555498</v>
      </c>
      <c r="L1394" s="111">
        <f ca="1">IFERROR(__xludf.DUMMYFUNCTION("""COMPUTED_VALUE"""),0.5)</f>
        <v>0.5</v>
      </c>
      <c r="M1394" s="112">
        <f ca="1">IFERROR(__xludf.DUMMYFUNCTION("""COMPUTED_VALUE"""),42229.7055555555)</f>
        <v>42229.705555555498</v>
      </c>
      <c r="N1394" s="111">
        <f ca="1">IFERROR(__xludf.DUMMYFUNCTION("""COMPUTED_VALUE"""),12.57)</f>
        <v>12.57</v>
      </c>
      <c r="O1394" s="112">
        <f ca="1">IFERROR(__xludf.DUMMYFUNCTION("""COMPUTED_VALUE"""),42306.7055555555)</f>
        <v>42306.705555555498</v>
      </c>
      <c r="P1394" s="111">
        <f ca="1">IFERROR(__xludf.DUMMYFUNCTION("""COMPUTED_VALUE"""),16.14)</f>
        <v>16.14</v>
      </c>
      <c r="Q1394" s="112">
        <f ca="1">IFERROR(__xludf.DUMMYFUNCTION("""COMPUTED_VALUE"""),42304.7055555555)</f>
        <v>42304.705555555498</v>
      </c>
      <c r="R1394" s="111">
        <f ca="1">IFERROR(__xludf.DUMMYFUNCTION("""COMPUTED_VALUE"""),16.56)</f>
        <v>16.559999999999999</v>
      </c>
      <c r="S1394" s="112">
        <f ca="1">IFERROR(__xludf.DUMMYFUNCTION("""COMPUTED_VALUE"""),42318.7055555555)</f>
        <v>42318.705555555498</v>
      </c>
      <c r="T1394" s="111">
        <f ca="1">IFERROR(__xludf.DUMMYFUNCTION("""COMPUTED_VALUE"""),13.95)</f>
        <v>13.95</v>
      </c>
    </row>
    <row r="1395" spans="1:20" x14ac:dyDescent="0.3">
      <c r="A1395" s="112">
        <f ca="1">IFERROR(__xludf.DUMMYFUNCTION("""COMPUTED_VALUE"""),42314.7055555555)</f>
        <v>42314.705555555498</v>
      </c>
      <c r="B1395" s="111">
        <f ca="1">IFERROR(__xludf.DUMMYFUNCTION("""COMPUTED_VALUE"""),5.74)</f>
        <v>5.74</v>
      </c>
      <c r="C1395" s="112">
        <f ca="1">IFERROR(__xludf.DUMMYFUNCTION("""COMPUTED_VALUE"""),42321.7055555555)</f>
        <v>42321.705555555498</v>
      </c>
      <c r="D1395" s="111">
        <f ca="1">IFERROR(__xludf.DUMMYFUNCTION("""COMPUTED_VALUE"""),16.75)</f>
        <v>16.75</v>
      </c>
      <c r="E1395" s="112">
        <f ca="1">IFERROR(__xludf.DUMMYFUNCTION("""COMPUTED_VALUE"""),42324.7055555555)</f>
        <v>42324.705555555498</v>
      </c>
      <c r="F1395" s="111">
        <f ca="1">IFERROR(__xludf.DUMMYFUNCTION("""COMPUTED_VALUE"""),5.86)</f>
        <v>5.86</v>
      </c>
      <c r="G1395" s="112">
        <f ca="1">IFERROR(__xludf.DUMMYFUNCTION("""COMPUTED_VALUE"""),42317.7055555555)</f>
        <v>42317.705555555498</v>
      </c>
      <c r="H1395" s="111">
        <f ca="1">IFERROR(__xludf.DUMMYFUNCTION("""COMPUTED_VALUE"""),7.91)</f>
        <v>7.91</v>
      </c>
      <c r="K1395" s="112">
        <f ca="1">IFERROR(__xludf.DUMMYFUNCTION("""COMPUTED_VALUE"""),42768.7055555555)</f>
        <v>42768.705555555498</v>
      </c>
      <c r="L1395" s="111">
        <f ca="1">IFERROR(__xludf.DUMMYFUNCTION("""COMPUTED_VALUE"""),0.5)</f>
        <v>0.5</v>
      </c>
      <c r="M1395" s="112">
        <f ca="1">IFERROR(__xludf.DUMMYFUNCTION("""COMPUTED_VALUE"""),42230.7055555555)</f>
        <v>42230.705555555498</v>
      </c>
      <c r="N1395" s="111">
        <f ca="1">IFERROR(__xludf.DUMMYFUNCTION("""COMPUTED_VALUE"""),12.51)</f>
        <v>12.51</v>
      </c>
      <c r="O1395" s="112">
        <f ca="1">IFERROR(__xludf.DUMMYFUNCTION("""COMPUTED_VALUE"""),42307.7055555555)</f>
        <v>42307.705555555498</v>
      </c>
      <c r="P1395" s="111">
        <f ca="1">IFERROR(__xludf.DUMMYFUNCTION("""COMPUTED_VALUE"""),17.06)</f>
        <v>17.059999999999999</v>
      </c>
      <c r="Q1395" s="112">
        <f ca="1">IFERROR(__xludf.DUMMYFUNCTION("""COMPUTED_VALUE"""),42305.7055555555)</f>
        <v>42305.705555555498</v>
      </c>
      <c r="R1395" s="111">
        <f ca="1">IFERROR(__xludf.DUMMYFUNCTION("""COMPUTED_VALUE"""),16.78)</f>
        <v>16.78</v>
      </c>
      <c r="S1395" s="112">
        <f ca="1">IFERROR(__xludf.DUMMYFUNCTION("""COMPUTED_VALUE"""),42319.7055555555)</f>
        <v>42319.705555555498</v>
      </c>
      <c r="T1395" s="111">
        <f ca="1">IFERROR(__xludf.DUMMYFUNCTION("""COMPUTED_VALUE"""),14.5)</f>
        <v>14.5</v>
      </c>
    </row>
    <row r="1396" spans="1:20" x14ac:dyDescent="0.3">
      <c r="A1396" s="112">
        <f ca="1">IFERROR(__xludf.DUMMYFUNCTION("""COMPUTED_VALUE"""),42317.7055555555)</f>
        <v>42317.705555555498</v>
      </c>
      <c r="B1396" s="111">
        <f ca="1">IFERROR(__xludf.DUMMYFUNCTION("""COMPUTED_VALUE"""),5.64)</f>
        <v>5.64</v>
      </c>
      <c r="C1396" s="112">
        <f ca="1">IFERROR(__xludf.DUMMYFUNCTION("""COMPUTED_VALUE"""),42324.7055555555)</f>
        <v>42324.705555555498</v>
      </c>
      <c r="D1396" s="111">
        <f ca="1">IFERROR(__xludf.DUMMYFUNCTION("""COMPUTED_VALUE"""),17.22)</f>
        <v>17.22</v>
      </c>
      <c r="E1396" s="112">
        <f ca="1">IFERROR(__xludf.DUMMYFUNCTION("""COMPUTED_VALUE"""),42325.7055555555)</f>
        <v>42325.705555555498</v>
      </c>
      <c r="F1396" s="111">
        <f ca="1">IFERROR(__xludf.DUMMYFUNCTION("""COMPUTED_VALUE"""),5.95)</f>
        <v>5.95</v>
      </c>
      <c r="G1396" s="112">
        <f ca="1">IFERROR(__xludf.DUMMYFUNCTION("""COMPUTED_VALUE"""),42318.7055555555)</f>
        <v>42318.705555555498</v>
      </c>
      <c r="H1396" s="111">
        <f ca="1">IFERROR(__xludf.DUMMYFUNCTION("""COMPUTED_VALUE"""),7.61)</f>
        <v>7.61</v>
      </c>
      <c r="K1396" s="112">
        <f ca="1">IFERROR(__xludf.DUMMYFUNCTION("""COMPUTED_VALUE"""),42769.7055555555)</f>
        <v>42769.705555555498</v>
      </c>
      <c r="L1396" s="111">
        <f ca="1">IFERROR(__xludf.DUMMYFUNCTION("""COMPUTED_VALUE"""),0.5)</f>
        <v>0.5</v>
      </c>
      <c r="M1396" s="112">
        <f ca="1">IFERROR(__xludf.DUMMYFUNCTION("""COMPUTED_VALUE"""),42233.7055555555)</f>
        <v>42233.705555555498</v>
      </c>
      <c r="N1396" s="111">
        <f ca="1">IFERROR(__xludf.DUMMYFUNCTION("""COMPUTED_VALUE"""),12.29)</f>
        <v>12.29</v>
      </c>
      <c r="O1396" s="112">
        <f ca="1">IFERROR(__xludf.DUMMYFUNCTION("""COMPUTED_VALUE"""),42311.7055555555)</f>
        <v>42311.705555555498</v>
      </c>
      <c r="P1396" s="111">
        <f ca="1">IFERROR(__xludf.DUMMYFUNCTION("""COMPUTED_VALUE"""),17.75)</f>
        <v>17.75</v>
      </c>
      <c r="Q1396" s="112">
        <f ca="1">IFERROR(__xludf.DUMMYFUNCTION("""COMPUTED_VALUE"""),42306.7055555555)</f>
        <v>42306.705555555498</v>
      </c>
      <c r="R1396" s="111">
        <f ca="1">IFERROR(__xludf.DUMMYFUNCTION("""COMPUTED_VALUE"""),15.5)</f>
        <v>15.5</v>
      </c>
      <c r="S1396" s="112">
        <f ca="1">IFERROR(__xludf.DUMMYFUNCTION("""COMPUTED_VALUE"""),42320.7055555555)</f>
        <v>42320.705555555498</v>
      </c>
      <c r="T1396" s="111">
        <f ca="1">IFERROR(__xludf.DUMMYFUNCTION("""COMPUTED_VALUE"""),14.46)</f>
        <v>14.46</v>
      </c>
    </row>
    <row r="1397" spans="1:20" x14ac:dyDescent="0.3">
      <c r="A1397" s="112">
        <f ca="1">IFERROR(__xludf.DUMMYFUNCTION("""COMPUTED_VALUE"""),42318.7055555555)</f>
        <v>42318.705555555498</v>
      </c>
      <c r="B1397" s="111">
        <f ca="1">IFERROR(__xludf.DUMMYFUNCTION("""COMPUTED_VALUE"""),5.98)</f>
        <v>5.98</v>
      </c>
      <c r="C1397" s="112">
        <f ca="1">IFERROR(__xludf.DUMMYFUNCTION("""COMPUTED_VALUE"""),42325.7055555555)</f>
        <v>42325.705555555498</v>
      </c>
      <c r="D1397" s="111">
        <f ca="1">IFERROR(__xludf.DUMMYFUNCTION("""COMPUTED_VALUE"""),17.34)</f>
        <v>17.34</v>
      </c>
      <c r="E1397" s="112">
        <f ca="1">IFERROR(__xludf.DUMMYFUNCTION("""COMPUTED_VALUE"""),42326.7055555555)</f>
        <v>42326.705555555498</v>
      </c>
      <c r="F1397" s="111">
        <f ca="1">IFERROR(__xludf.DUMMYFUNCTION("""COMPUTED_VALUE"""),6.01)</f>
        <v>6.01</v>
      </c>
      <c r="G1397" s="112">
        <f ca="1">IFERROR(__xludf.DUMMYFUNCTION("""COMPUTED_VALUE"""),42319.7055555555)</f>
        <v>42319.705555555498</v>
      </c>
      <c r="H1397" s="111">
        <f ca="1">IFERROR(__xludf.DUMMYFUNCTION("""COMPUTED_VALUE"""),7.72)</f>
        <v>7.72</v>
      </c>
      <c r="K1397" s="112">
        <f ca="1">IFERROR(__xludf.DUMMYFUNCTION("""COMPUTED_VALUE"""),42772.7055555555)</f>
        <v>42772.705555555498</v>
      </c>
      <c r="L1397" s="111">
        <f ca="1">IFERROR(__xludf.DUMMYFUNCTION("""COMPUTED_VALUE"""),0.54)</f>
        <v>0.54</v>
      </c>
      <c r="M1397" s="112">
        <f ca="1">IFERROR(__xludf.DUMMYFUNCTION("""COMPUTED_VALUE"""),42234.7055555555)</f>
        <v>42234.705555555498</v>
      </c>
      <c r="N1397" s="111">
        <f ca="1">IFERROR(__xludf.DUMMYFUNCTION("""COMPUTED_VALUE"""),12.54)</f>
        <v>12.54</v>
      </c>
      <c r="O1397" s="112">
        <f ca="1">IFERROR(__xludf.DUMMYFUNCTION("""COMPUTED_VALUE"""),42312.7055555555)</f>
        <v>42312.705555555498</v>
      </c>
      <c r="P1397" s="111">
        <f ca="1">IFERROR(__xludf.DUMMYFUNCTION("""COMPUTED_VALUE"""),17.4)</f>
        <v>17.399999999999999</v>
      </c>
      <c r="Q1397" s="112">
        <f ca="1">IFERROR(__xludf.DUMMYFUNCTION("""COMPUTED_VALUE"""),42307.7055555555)</f>
        <v>42307.705555555498</v>
      </c>
      <c r="R1397" s="111">
        <f ca="1">IFERROR(__xludf.DUMMYFUNCTION("""COMPUTED_VALUE"""),15.97)</f>
        <v>15.97</v>
      </c>
      <c r="S1397" s="112">
        <f ca="1">IFERROR(__xludf.DUMMYFUNCTION("""COMPUTED_VALUE"""),42321.7055555555)</f>
        <v>42321.705555555498</v>
      </c>
      <c r="T1397" s="111">
        <f ca="1">IFERROR(__xludf.DUMMYFUNCTION("""COMPUTED_VALUE"""),14.43)</f>
        <v>14.43</v>
      </c>
    </row>
    <row r="1398" spans="1:20" x14ac:dyDescent="0.3">
      <c r="A1398" s="112">
        <f ca="1">IFERROR(__xludf.DUMMYFUNCTION("""COMPUTED_VALUE"""),42319.7055555555)</f>
        <v>42319.705555555498</v>
      </c>
      <c r="B1398" s="111">
        <f ca="1">IFERROR(__xludf.DUMMYFUNCTION("""COMPUTED_VALUE"""),6.22)</f>
        <v>6.22</v>
      </c>
      <c r="C1398" s="112">
        <f ca="1">IFERROR(__xludf.DUMMYFUNCTION("""COMPUTED_VALUE"""),42326.7055555555)</f>
        <v>42326.705555555498</v>
      </c>
      <c r="D1398" s="111">
        <f ca="1">IFERROR(__xludf.DUMMYFUNCTION("""COMPUTED_VALUE"""),17.3)</f>
        <v>17.3</v>
      </c>
      <c r="E1398" s="112">
        <f ca="1">IFERROR(__xludf.DUMMYFUNCTION("""COMPUTED_VALUE"""),42327.7055555555)</f>
        <v>42327.705555555498</v>
      </c>
      <c r="F1398" s="111">
        <f ca="1">IFERROR(__xludf.DUMMYFUNCTION("""COMPUTED_VALUE"""),6.1)</f>
        <v>6.1</v>
      </c>
      <c r="G1398" s="112">
        <f ca="1">IFERROR(__xludf.DUMMYFUNCTION("""COMPUTED_VALUE"""),42320.7055555555)</f>
        <v>42320.705555555498</v>
      </c>
      <c r="H1398" s="111">
        <f ca="1">IFERROR(__xludf.DUMMYFUNCTION("""COMPUTED_VALUE"""),7.58)</f>
        <v>7.58</v>
      </c>
      <c r="K1398" s="112">
        <f ca="1">IFERROR(__xludf.DUMMYFUNCTION("""COMPUTED_VALUE"""),42773.7055555555)</f>
        <v>42773.705555555498</v>
      </c>
      <c r="L1398" s="111">
        <f ca="1">IFERROR(__xludf.DUMMYFUNCTION("""COMPUTED_VALUE"""),0.55)</f>
        <v>0.55000000000000004</v>
      </c>
      <c r="M1398" s="112">
        <f ca="1">IFERROR(__xludf.DUMMYFUNCTION("""COMPUTED_VALUE"""),42235.7055555555)</f>
        <v>42235.705555555498</v>
      </c>
      <c r="N1398" s="111">
        <f ca="1">IFERROR(__xludf.DUMMYFUNCTION("""COMPUTED_VALUE"""),12.16)</f>
        <v>12.16</v>
      </c>
      <c r="O1398" s="112">
        <f ca="1">IFERROR(__xludf.DUMMYFUNCTION("""COMPUTED_VALUE"""),42313.7055555555)</f>
        <v>42313.705555555498</v>
      </c>
      <c r="P1398" s="111">
        <f ca="1">IFERROR(__xludf.DUMMYFUNCTION("""COMPUTED_VALUE"""),16.95)</f>
        <v>16.95</v>
      </c>
      <c r="Q1398" s="112">
        <f ca="1">IFERROR(__xludf.DUMMYFUNCTION("""COMPUTED_VALUE"""),42311.7055555555)</f>
        <v>42311.705555555498</v>
      </c>
      <c r="R1398" s="111">
        <f ca="1">IFERROR(__xludf.DUMMYFUNCTION("""COMPUTED_VALUE"""),17.38)</f>
        <v>17.38</v>
      </c>
      <c r="S1398" s="112">
        <f ca="1">IFERROR(__xludf.DUMMYFUNCTION("""COMPUTED_VALUE"""),42324.7055555555)</f>
        <v>42324.705555555498</v>
      </c>
      <c r="T1398" s="111">
        <f ca="1">IFERROR(__xludf.DUMMYFUNCTION("""COMPUTED_VALUE"""),14.27)</f>
        <v>14.27</v>
      </c>
    </row>
    <row r="1399" spans="1:20" x14ac:dyDescent="0.3">
      <c r="A1399" s="112">
        <f ca="1">IFERROR(__xludf.DUMMYFUNCTION("""COMPUTED_VALUE"""),42320.7055555555)</f>
        <v>42320.705555555498</v>
      </c>
      <c r="B1399" s="111">
        <f ca="1">IFERROR(__xludf.DUMMYFUNCTION("""COMPUTED_VALUE"""),6.08)</f>
        <v>6.08</v>
      </c>
      <c r="C1399" s="112">
        <f ca="1">IFERROR(__xludf.DUMMYFUNCTION("""COMPUTED_VALUE"""),42327.7055555555)</f>
        <v>42327.705555555498</v>
      </c>
      <c r="D1399" s="111">
        <f ca="1">IFERROR(__xludf.DUMMYFUNCTION("""COMPUTED_VALUE"""),17.77)</f>
        <v>17.77</v>
      </c>
      <c r="E1399" s="112">
        <f ca="1">IFERROR(__xludf.DUMMYFUNCTION("""COMPUTED_VALUE"""),42331.7055555555)</f>
        <v>42331.705555555498</v>
      </c>
      <c r="F1399" s="111">
        <f ca="1">IFERROR(__xludf.DUMMYFUNCTION("""COMPUTED_VALUE"""),6.08)</f>
        <v>6.08</v>
      </c>
      <c r="G1399" s="112">
        <f ca="1">IFERROR(__xludf.DUMMYFUNCTION("""COMPUTED_VALUE"""),42321.7055555555)</f>
        <v>42321.705555555498</v>
      </c>
      <c r="H1399" s="111">
        <f ca="1">IFERROR(__xludf.DUMMYFUNCTION("""COMPUTED_VALUE"""),7.27)</f>
        <v>7.27</v>
      </c>
      <c r="K1399" s="112">
        <f ca="1">IFERROR(__xludf.DUMMYFUNCTION("""COMPUTED_VALUE"""),42774.7055555555)</f>
        <v>42774.705555555498</v>
      </c>
      <c r="L1399" s="111">
        <f ca="1">IFERROR(__xludf.DUMMYFUNCTION("""COMPUTED_VALUE"""),0.54)</f>
        <v>0.54</v>
      </c>
      <c r="M1399" s="112">
        <f ca="1">IFERROR(__xludf.DUMMYFUNCTION("""COMPUTED_VALUE"""),42236.7055555555)</f>
        <v>42236.705555555498</v>
      </c>
      <c r="N1399" s="111">
        <f ca="1">IFERROR(__xludf.DUMMYFUNCTION("""COMPUTED_VALUE"""),12.1)</f>
        <v>12.1</v>
      </c>
      <c r="O1399" s="112">
        <f ca="1">IFERROR(__xludf.DUMMYFUNCTION("""COMPUTED_VALUE"""),42314.7055555555)</f>
        <v>42314.705555555498</v>
      </c>
      <c r="P1399" s="111">
        <f ca="1">IFERROR(__xludf.DUMMYFUNCTION("""COMPUTED_VALUE"""),15.67)</f>
        <v>15.67</v>
      </c>
      <c r="Q1399" s="112">
        <f ca="1">IFERROR(__xludf.DUMMYFUNCTION("""COMPUTED_VALUE"""),42312.7055555555)</f>
        <v>42312.705555555498</v>
      </c>
      <c r="R1399" s="111">
        <f ca="1">IFERROR(__xludf.DUMMYFUNCTION("""COMPUTED_VALUE"""),17.45)</f>
        <v>17.45</v>
      </c>
      <c r="S1399" s="112">
        <f ca="1">IFERROR(__xludf.DUMMYFUNCTION("""COMPUTED_VALUE"""),42325.7055555555)</f>
        <v>42325.705555555498</v>
      </c>
      <c r="T1399" s="111">
        <f ca="1">IFERROR(__xludf.DUMMYFUNCTION("""COMPUTED_VALUE"""),14.59)</f>
        <v>14.59</v>
      </c>
    </row>
    <row r="1400" spans="1:20" x14ac:dyDescent="0.3">
      <c r="A1400" s="112">
        <f ca="1">IFERROR(__xludf.DUMMYFUNCTION("""COMPUTED_VALUE"""),42321.7055555555)</f>
        <v>42321.705555555498</v>
      </c>
      <c r="B1400" s="111">
        <f ca="1">IFERROR(__xludf.DUMMYFUNCTION("""COMPUTED_VALUE"""),6.24)</f>
        <v>6.24</v>
      </c>
      <c r="C1400" s="112">
        <f ca="1">IFERROR(__xludf.DUMMYFUNCTION("""COMPUTED_VALUE"""),42331.7055555555)</f>
        <v>42331.705555555498</v>
      </c>
      <c r="D1400" s="111">
        <f ca="1">IFERROR(__xludf.DUMMYFUNCTION("""COMPUTED_VALUE"""),17.76)</f>
        <v>17.760000000000002</v>
      </c>
      <c r="E1400" s="112">
        <f ca="1">IFERROR(__xludf.DUMMYFUNCTION("""COMPUTED_VALUE"""),42332.7055555555)</f>
        <v>42332.705555555498</v>
      </c>
      <c r="F1400" s="111">
        <f ca="1">IFERROR(__xludf.DUMMYFUNCTION("""COMPUTED_VALUE"""),6.11)</f>
        <v>6.11</v>
      </c>
      <c r="G1400" s="112">
        <f ca="1">IFERROR(__xludf.DUMMYFUNCTION("""COMPUTED_VALUE"""),42324.7055555555)</f>
        <v>42324.705555555498</v>
      </c>
      <c r="H1400" s="111">
        <f ca="1">IFERROR(__xludf.DUMMYFUNCTION("""COMPUTED_VALUE"""),7.7)</f>
        <v>7.7</v>
      </c>
      <c r="K1400" s="112">
        <f ca="1">IFERROR(__xludf.DUMMYFUNCTION("""COMPUTED_VALUE"""),42775.7055555555)</f>
        <v>42775.705555555498</v>
      </c>
      <c r="L1400" s="111">
        <f ca="1">IFERROR(__xludf.DUMMYFUNCTION("""COMPUTED_VALUE"""),0.54)</f>
        <v>0.54</v>
      </c>
      <c r="M1400" s="112">
        <f ca="1">IFERROR(__xludf.DUMMYFUNCTION("""COMPUTED_VALUE"""),42237.7055555555)</f>
        <v>42237.705555555498</v>
      </c>
      <c r="N1400" s="111">
        <f ca="1">IFERROR(__xludf.DUMMYFUNCTION("""COMPUTED_VALUE"""),11.96)</f>
        <v>11.96</v>
      </c>
      <c r="O1400" s="112">
        <f ca="1">IFERROR(__xludf.DUMMYFUNCTION("""COMPUTED_VALUE"""),42317.7055555555)</f>
        <v>42317.705555555498</v>
      </c>
      <c r="P1400" s="111">
        <f ca="1">IFERROR(__xludf.DUMMYFUNCTION("""COMPUTED_VALUE"""),15.44)</f>
        <v>15.44</v>
      </c>
      <c r="Q1400" s="112">
        <f ca="1">IFERROR(__xludf.DUMMYFUNCTION("""COMPUTED_VALUE"""),42313.7055555555)</f>
        <v>42313.705555555498</v>
      </c>
      <c r="R1400" s="111">
        <f ca="1">IFERROR(__xludf.DUMMYFUNCTION("""COMPUTED_VALUE"""),18.3)</f>
        <v>18.3</v>
      </c>
      <c r="S1400" s="112">
        <f ca="1">IFERROR(__xludf.DUMMYFUNCTION("""COMPUTED_VALUE"""),42326.7055555555)</f>
        <v>42326.705555555498</v>
      </c>
      <c r="T1400" s="111">
        <f ca="1">IFERROR(__xludf.DUMMYFUNCTION("""COMPUTED_VALUE"""),14.68)</f>
        <v>14.68</v>
      </c>
    </row>
    <row r="1401" spans="1:20" x14ac:dyDescent="0.3">
      <c r="A1401" s="112">
        <f ca="1">IFERROR(__xludf.DUMMYFUNCTION("""COMPUTED_VALUE"""),42324.7055555555)</f>
        <v>42324.705555555498</v>
      </c>
      <c r="B1401" s="111">
        <f ca="1">IFERROR(__xludf.DUMMYFUNCTION("""COMPUTED_VALUE"""),6.19)</f>
        <v>6.19</v>
      </c>
      <c r="C1401" s="112">
        <f ca="1">IFERROR(__xludf.DUMMYFUNCTION("""COMPUTED_VALUE"""),42332.7055555555)</f>
        <v>42332.705555555498</v>
      </c>
      <c r="D1401" s="111">
        <f ca="1">IFERROR(__xludf.DUMMYFUNCTION("""COMPUTED_VALUE"""),17.79)</f>
        <v>17.79</v>
      </c>
      <c r="E1401" s="112">
        <f ca="1">IFERROR(__xludf.DUMMYFUNCTION("""COMPUTED_VALUE"""),42333.7055555555)</f>
        <v>42333.705555555498</v>
      </c>
      <c r="F1401" s="111">
        <f ca="1">IFERROR(__xludf.DUMMYFUNCTION("""COMPUTED_VALUE"""),5.82)</f>
        <v>5.82</v>
      </c>
      <c r="G1401" s="112">
        <f ca="1">IFERROR(__xludf.DUMMYFUNCTION("""COMPUTED_VALUE"""),42325.7055555555)</f>
        <v>42325.705555555498</v>
      </c>
      <c r="H1401" s="111">
        <f ca="1">IFERROR(__xludf.DUMMYFUNCTION("""COMPUTED_VALUE"""),7.76)</f>
        <v>7.76</v>
      </c>
      <c r="K1401" s="112">
        <f ca="1">IFERROR(__xludf.DUMMYFUNCTION("""COMPUTED_VALUE"""),42776.7055555555)</f>
        <v>42776.705555555498</v>
      </c>
      <c r="L1401" s="111">
        <f ca="1">IFERROR(__xludf.DUMMYFUNCTION("""COMPUTED_VALUE"""),0.54)</f>
        <v>0.54</v>
      </c>
      <c r="M1401" s="112">
        <f ca="1">IFERROR(__xludf.DUMMYFUNCTION("""COMPUTED_VALUE"""),42240.7055555555)</f>
        <v>42240.705555555498</v>
      </c>
      <c r="N1401" s="111">
        <f ca="1">IFERROR(__xludf.DUMMYFUNCTION("""COMPUTED_VALUE"""),11.91)</f>
        <v>11.91</v>
      </c>
      <c r="O1401" s="112">
        <f ca="1">IFERROR(__xludf.DUMMYFUNCTION("""COMPUTED_VALUE"""),42318.7055555555)</f>
        <v>42318.705555555498</v>
      </c>
      <c r="P1401" s="111">
        <f ca="1">IFERROR(__xludf.DUMMYFUNCTION("""COMPUTED_VALUE"""),15.38)</f>
        <v>15.38</v>
      </c>
      <c r="Q1401" s="112">
        <f ca="1">IFERROR(__xludf.DUMMYFUNCTION("""COMPUTED_VALUE"""),42314.7055555555)</f>
        <v>42314.705555555498</v>
      </c>
      <c r="R1401" s="111">
        <f ca="1">IFERROR(__xludf.DUMMYFUNCTION("""COMPUTED_VALUE"""),17.4)</f>
        <v>17.399999999999999</v>
      </c>
      <c r="S1401" s="112">
        <f ca="1">IFERROR(__xludf.DUMMYFUNCTION("""COMPUTED_VALUE"""),42327.7055555555)</f>
        <v>42327.705555555498</v>
      </c>
      <c r="T1401" s="111">
        <f ca="1">IFERROR(__xludf.DUMMYFUNCTION("""COMPUTED_VALUE"""),14.82)</f>
        <v>14.82</v>
      </c>
    </row>
    <row r="1402" spans="1:20" x14ac:dyDescent="0.3">
      <c r="A1402" s="112">
        <f ca="1">IFERROR(__xludf.DUMMYFUNCTION("""COMPUTED_VALUE"""),42325.7055555555)</f>
        <v>42325.705555555498</v>
      </c>
      <c r="B1402" s="111">
        <f ca="1">IFERROR(__xludf.DUMMYFUNCTION("""COMPUTED_VALUE"""),5.93)</f>
        <v>5.93</v>
      </c>
      <c r="C1402" s="112">
        <f ca="1">IFERROR(__xludf.DUMMYFUNCTION("""COMPUTED_VALUE"""),42333.7055555555)</f>
        <v>42333.705555555498</v>
      </c>
      <c r="D1402" s="111">
        <f ca="1">IFERROR(__xludf.DUMMYFUNCTION("""COMPUTED_VALUE"""),16.92)</f>
        <v>16.920000000000002</v>
      </c>
      <c r="E1402" s="112">
        <f ca="1">IFERROR(__xludf.DUMMYFUNCTION("""COMPUTED_VALUE"""),42334.7055555555)</f>
        <v>42334.705555555498</v>
      </c>
      <c r="F1402" s="111">
        <f ca="1">IFERROR(__xludf.DUMMYFUNCTION("""COMPUTED_VALUE"""),5.93)</f>
        <v>5.93</v>
      </c>
      <c r="G1402" s="112">
        <f ca="1">IFERROR(__xludf.DUMMYFUNCTION("""COMPUTED_VALUE"""),42326.7055555555)</f>
        <v>42326.705555555498</v>
      </c>
      <c r="H1402" s="111">
        <f ca="1">IFERROR(__xludf.DUMMYFUNCTION("""COMPUTED_VALUE"""),7.82)</f>
        <v>7.82</v>
      </c>
      <c r="K1402" s="112">
        <f ca="1">IFERROR(__xludf.DUMMYFUNCTION("""COMPUTED_VALUE"""),42779.7055555555)</f>
        <v>42779.705555555498</v>
      </c>
      <c r="L1402" s="111">
        <f ca="1">IFERROR(__xludf.DUMMYFUNCTION("""COMPUTED_VALUE"""),0.59)</f>
        <v>0.59</v>
      </c>
      <c r="M1402" s="112">
        <f ca="1">IFERROR(__xludf.DUMMYFUNCTION("""COMPUTED_VALUE"""),42241.7055555555)</f>
        <v>42241.705555555498</v>
      </c>
      <c r="N1402" s="111">
        <f ca="1">IFERROR(__xludf.DUMMYFUNCTION("""COMPUTED_VALUE"""),11.7)</f>
        <v>11.7</v>
      </c>
      <c r="O1402" s="112">
        <f ca="1">IFERROR(__xludf.DUMMYFUNCTION("""COMPUTED_VALUE"""),42319.7055555555)</f>
        <v>42319.705555555498</v>
      </c>
      <c r="P1402" s="111">
        <f ca="1">IFERROR(__xludf.DUMMYFUNCTION("""COMPUTED_VALUE"""),15.32)</f>
        <v>15.32</v>
      </c>
      <c r="Q1402" s="112">
        <f ca="1">IFERROR(__xludf.DUMMYFUNCTION("""COMPUTED_VALUE"""),42317.7055555555)</f>
        <v>42317.705555555498</v>
      </c>
      <c r="R1402" s="111">
        <f ca="1">IFERROR(__xludf.DUMMYFUNCTION("""COMPUTED_VALUE"""),17.16)</f>
        <v>17.16</v>
      </c>
      <c r="S1402" s="112">
        <f ca="1">IFERROR(__xludf.DUMMYFUNCTION("""COMPUTED_VALUE"""),42331.7055555555)</f>
        <v>42331.705555555498</v>
      </c>
      <c r="T1402" s="111">
        <f ca="1">IFERROR(__xludf.DUMMYFUNCTION("""COMPUTED_VALUE"""),14.91)</f>
        <v>14.91</v>
      </c>
    </row>
    <row r="1403" spans="1:20" x14ac:dyDescent="0.3">
      <c r="A1403" s="112">
        <f ca="1">IFERROR(__xludf.DUMMYFUNCTION("""COMPUTED_VALUE"""),42326.7055555555)</f>
        <v>42326.705555555498</v>
      </c>
      <c r="B1403" s="111">
        <f ca="1">IFERROR(__xludf.DUMMYFUNCTION("""COMPUTED_VALUE"""),6.03)</f>
        <v>6.03</v>
      </c>
      <c r="C1403" s="112">
        <f ca="1">IFERROR(__xludf.DUMMYFUNCTION("""COMPUTED_VALUE"""),42334.7055555555)</f>
        <v>42334.705555555498</v>
      </c>
      <c r="D1403" s="111">
        <f ca="1">IFERROR(__xludf.DUMMYFUNCTION("""COMPUTED_VALUE"""),17.16)</f>
        <v>17.16</v>
      </c>
      <c r="E1403" s="112">
        <f ca="1">IFERROR(__xludf.DUMMYFUNCTION("""COMPUTED_VALUE"""),42335.7055555555)</f>
        <v>42335.705555555498</v>
      </c>
      <c r="F1403" s="111">
        <f ca="1">IFERROR(__xludf.DUMMYFUNCTION("""COMPUTED_VALUE"""),5.79)</f>
        <v>5.79</v>
      </c>
      <c r="G1403" s="112">
        <f ca="1">IFERROR(__xludf.DUMMYFUNCTION("""COMPUTED_VALUE"""),42327.7055555555)</f>
        <v>42327.705555555498</v>
      </c>
      <c r="H1403" s="111">
        <f ca="1">IFERROR(__xludf.DUMMYFUNCTION("""COMPUTED_VALUE"""),7.84)</f>
        <v>7.84</v>
      </c>
      <c r="K1403" s="112">
        <f ca="1">IFERROR(__xludf.DUMMYFUNCTION("""COMPUTED_VALUE"""),42780.7055555555)</f>
        <v>42780.705555555498</v>
      </c>
      <c r="L1403" s="111">
        <f ca="1">IFERROR(__xludf.DUMMYFUNCTION("""COMPUTED_VALUE"""),0.58)</f>
        <v>0.57999999999999996</v>
      </c>
      <c r="M1403" s="112">
        <f ca="1">IFERROR(__xludf.DUMMYFUNCTION("""COMPUTED_VALUE"""),42242.7055555555)</f>
        <v>42242.705555555498</v>
      </c>
      <c r="N1403" s="111">
        <f ca="1">IFERROR(__xludf.DUMMYFUNCTION("""COMPUTED_VALUE"""),12.46)</f>
        <v>12.46</v>
      </c>
      <c r="O1403" s="112">
        <f ca="1">IFERROR(__xludf.DUMMYFUNCTION("""COMPUTED_VALUE"""),42320.7055555555)</f>
        <v>42320.705555555498</v>
      </c>
      <c r="P1403" s="111">
        <f ca="1">IFERROR(__xludf.DUMMYFUNCTION("""COMPUTED_VALUE"""),15.05)</f>
        <v>15.05</v>
      </c>
      <c r="Q1403" s="112">
        <f ca="1">IFERROR(__xludf.DUMMYFUNCTION("""COMPUTED_VALUE"""),42318.7055555555)</f>
        <v>42318.705555555498</v>
      </c>
      <c r="R1403" s="111">
        <f ca="1">IFERROR(__xludf.DUMMYFUNCTION("""COMPUTED_VALUE"""),17.13)</f>
        <v>17.13</v>
      </c>
      <c r="S1403" s="112">
        <f ca="1">IFERROR(__xludf.DUMMYFUNCTION("""COMPUTED_VALUE"""),42332.7055555555)</f>
        <v>42332.705555555498</v>
      </c>
      <c r="T1403" s="111">
        <f ca="1">IFERROR(__xludf.DUMMYFUNCTION("""COMPUTED_VALUE"""),14.92)</f>
        <v>14.92</v>
      </c>
    </row>
    <row r="1404" spans="1:20" x14ac:dyDescent="0.3">
      <c r="A1404" s="112">
        <f ca="1">IFERROR(__xludf.DUMMYFUNCTION("""COMPUTED_VALUE"""),42327.7055555555)</f>
        <v>42327.705555555498</v>
      </c>
      <c r="B1404" s="111">
        <f ca="1">IFERROR(__xludf.DUMMYFUNCTION("""COMPUTED_VALUE"""),6.22)</f>
        <v>6.22</v>
      </c>
      <c r="C1404" s="112">
        <f ca="1">IFERROR(__xludf.DUMMYFUNCTION("""COMPUTED_VALUE"""),42335.7055555555)</f>
        <v>42335.705555555498</v>
      </c>
      <c r="D1404" s="111">
        <f ca="1">IFERROR(__xludf.DUMMYFUNCTION("""COMPUTED_VALUE"""),16.71)</f>
        <v>16.71</v>
      </c>
      <c r="E1404" s="112">
        <f ca="1">IFERROR(__xludf.DUMMYFUNCTION("""COMPUTED_VALUE"""),42338.7055555555)</f>
        <v>42338.705555555498</v>
      </c>
      <c r="F1404" s="111">
        <f ca="1">IFERROR(__xludf.DUMMYFUNCTION("""COMPUTED_VALUE"""),5.71)</f>
        <v>5.71</v>
      </c>
      <c r="G1404" s="112">
        <f ca="1">IFERROR(__xludf.DUMMYFUNCTION("""COMPUTED_VALUE"""),42331.7055555555)</f>
        <v>42331.705555555498</v>
      </c>
      <c r="H1404" s="111">
        <f ca="1">IFERROR(__xludf.DUMMYFUNCTION("""COMPUTED_VALUE"""),8.08)</f>
        <v>8.08</v>
      </c>
      <c r="K1404" s="112">
        <f ca="1">IFERROR(__xludf.DUMMYFUNCTION("""COMPUTED_VALUE"""),42781.7055555555)</f>
        <v>42781.705555555498</v>
      </c>
      <c r="L1404" s="111">
        <f ca="1">IFERROR(__xludf.DUMMYFUNCTION("""COMPUTED_VALUE"""),0.6)</f>
        <v>0.6</v>
      </c>
      <c r="M1404" s="112">
        <f ca="1">IFERROR(__xludf.DUMMYFUNCTION("""COMPUTED_VALUE"""),42243.7055555555)</f>
        <v>42243.705555555498</v>
      </c>
      <c r="N1404" s="111">
        <f ca="1">IFERROR(__xludf.DUMMYFUNCTION("""COMPUTED_VALUE"""),12.81)</f>
        <v>12.81</v>
      </c>
      <c r="O1404" s="112">
        <f ca="1">IFERROR(__xludf.DUMMYFUNCTION("""COMPUTED_VALUE"""),42321.7055555555)</f>
        <v>42321.705555555498</v>
      </c>
      <c r="P1404" s="111">
        <f ca="1">IFERROR(__xludf.DUMMYFUNCTION("""COMPUTED_VALUE"""),15.37)</f>
        <v>15.37</v>
      </c>
      <c r="Q1404" s="112">
        <f ca="1">IFERROR(__xludf.DUMMYFUNCTION("""COMPUTED_VALUE"""),42319.7055555555)</f>
        <v>42319.705555555498</v>
      </c>
      <c r="R1404" s="111">
        <f ca="1">IFERROR(__xludf.DUMMYFUNCTION("""COMPUTED_VALUE"""),17.26)</f>
        <v>17.260000000000002</v>
      </c>
      <c r="S1404" s="112">
        <f ca="1">IFERROR(__xludf.DUMMYFUNCTION("""COMPUTED_VALUE"""),42333.7055555555)</f>
        <v>42333.705555555498</v>
      </c>
      <c r="T1404" s="111">
        <f ca="1">IFERROR(__xludf.DUMMYFUNCTION("""COMPUTED_VALUE"""),14.28)</f>
        <v>14.28</v>
      </c>
    </row>
    <row r="1405" spans="1:20" x14ac:dyDescent="0.3">
      <c r="A1405" s="112">
        <f ca="1">IFERROR(__xludf.DUMMYFUNCTION("""COMPUTED_VALUE"""),42331.7055555555)</f>
        <v>42331.705555555498</v>
      </c>
      <c r="B1405" s="111">
        <f ca="1">IFERROR(__xludf.DUMMYFUNCTION("""COMPUTED_VALUE"""),6.1)</f>
        <v>6.1</v>
      </c>
      <c r="C1405" s="112">
        <f ca="1">IFERROR(__xludf.DUMMYFUNCTION("""COMPUTED_VALUE"""),42338.7055555555)</f>
        <v>42338.705555555498</v>
      </c>
      <c r="D1405" s="111">
        <f ca="1">IFERROR(__xludf.DUMMYFUNCTION("""COMPUTED_VALUE"""),16.84)</f>
        <v>16.84</v>
      </c>
      <c r="E1405" s="112">
        <f ca="1">IFERROR(__xludf.DUMMYFUNCTION("""COMPUTED_VALUE"""),42339.7055555555)</f>
        <v>42339.705555555498</v>
      </c>
      <c r="F1405" s="111">
        <f ca="1">IFERROR(__xludf.DUMMYFUNCTION("""COMPUTED_VALUE"""),5.85)</f>
        <v>5.85</v>
      </c>
      <c r="G1405" s="112">
        <f ca="1">IFERROR(__xludf.DUMMYFUNCTION("""COMPUTED_VALUE"""),42332.7055555555)</f>
        <v>42332.705555555498</v>
      </c>
      <c r="H1405" s="111">
        <f ca="1">IFERROR(__xludf.DUMMYFUNCTION("""COMPUTED_VALUE"""),8.5)</f>
        <v>8.5</v>
      </c>
      <c r="K1405" s="112">
        <f ca="1">IFERROR(__xludf.DUMMYFUNCTION("""COMPUTED_VALUE"""),42782.7055555555)</f>
        <v>42782.705555555498</v>
      </c>
      <c r="L1405" s="111">
        <f ca="1">IFERROR(__xludf.DUMMYFUNCTION("""COMPUTED_VALUE"""),0.61)</f>
        <v>0.61</v>
      </c>
      <c r="M1405" s="112">
        <f ca="1">IFERROR(__xludf.DUMMYFUNCTION("""COMPUTED_VALUE"""),42244.7055555555)</f>
        <v>42244.705555555498</v>
      </c>
      <c r="N1405" s="111">
        <f ca="1">IFERROR(__xludf.DUMMYFUNCTION("""COMPUTED_VALUE"""),12.4)</f>
        <v>12.4</v>
      </c>
      <c r="O1405" s="112">
        <f ca="1">IFERROR(__xludf.DUMMYFUNCTION("""COMPUTED_VALUE"""),42324.7055555555)</f>
        <v>42324.705555555498</v>
      </c>
      <c r="P1405" s="111">
        <f ca="1">IFERROR(__xludf.DUMMYFUNCTION("""COMPUTED_VALUE"""),15.05)</f>
        <v>15.05</v>
      </c>
      <c r="Q1405" s="112">
        <f ca="1">IFERROR(__xludf.DUMMYFUNCTION("""COMPUTED_VALUE"""),42320.7055555555)</f>
        <v>42320.705555555498</v>
      </c>
      <c r="R1405" s="111">
        <f ca="1">IFERROR(__xludf.DUMMYFUNCTION("""COMPUTED_VALUE"""),17.21)</f>
        <v>17.21</v>
      </c>
      <c r="S1405" s="112">
        <f ca="1">IFERROR(__xludf.DUMMYFUNCTION("""COMPUTED_VALUE"""),42334.7055555555)</f>
        <v>42334.705555555498</v>
      </c>
      <c r="T1405" s="111">
        <f ca="1">IFERROR(__xludf.DUMMYFUNCTION("""COMPUTED_VALUE"""),14.12)</f>
        <v>14.12</v>
      </c>
    </row>
    <row r="1406" spans="1:20" x14ac:dyDescent="0.3">
      <c r="A1406" s="112">
        <f ca="1">IFERROR(__xludf.DUMMYFUNCTION("""COMPUTED_VALUE"""),42332.7055555555)</f>
        <v>42332.705555555498</v>
      </c>
      <c r="B1406" s="111">
        <f ca="1">IFERROR(__xludf.DUMMYFUNCTION("""COMPUTED_VALUE"""),6.27)</f>
        <v>6.27</v>
      </c>
      <c r="C1406" s="112">
        <f ca="1">IFERROR(__xludf.DUMMYFUNCTION("""COMPUTED_VALUE"""),42339.7055555555)</f>
        <v>42339.705555555498</v>
      </c>
      <c r="D1406" s="111">
        <f ca="1">IFERROR(__xludf.DUMMYFUNCTION("""COMPUTED_VALUE"""),16.96)</f>
        <v>16.96</v>
      </c>
      <c r="E1406" s="112">
        <f ca="1">IFERROR(__xludf.DUMMYFUNCTION("""COMPUTED_VALUE"""),42340.7055555555)</f>
        <v>42340.705555555498</v>
      </c>
      <c r="F1406" s="111">
        <f ca="1">IFERROR(__xludf.DUMMYFUNCTION("""COMPUTED_VALUE"""),5.75)</f>
        <v>5.75</v>
      </c>
      <c r="G1406" s="112">
        <f ca="1">IFERROR(__xludf.DUMMYFUNCTION("""COMPUTED_VALUE"""),42333.7055555555)</f>
        <v>42333.705555555498</v>
      </c>
      <c r="H1406" s="111">
        <f ca="1">IFERROR(__xludf.DUMMYFUNCTION("""COMPUTED_VALUE"""),7.9)</f>
        <v>7.9</v>
      </c>
      <c r="K1406" s="112">
        <f ca="1">IFERROR(__xludf.DUMMYFUNCTION("""COMPUTED_VALUE"""),42783.7055555555)</f>
        <v>42783.705555555498</v>
      </c>
      <c r="L1406" s="111">
        <f ca="1">IFERROR(__xludf.DUMMYFUNCTION("""COMPUTED_VALUE"""),0.64)</f>
        <v>0.64</v>
      </c>
      <c r="M1406" s="112">
        <f ca="1">IFERROR(__xludf.DUMMYFUNCTION("""COMPUTED_VALUE"""),42247.7055555555)</f>
        <v>42247.705555555498</v>
      </c>
      <c r="N1406" s="111">
        <f ca="1">IFERROR(__xludf.DUMMYFUNCTION("""COMPUTED_VALUE"""),11.93)</f>
        <v>11.93</v>
      </c>
      <c r="O1406" s="112">
        <f ca="1">IFERROR(__xludf.DUMMYFUNCTION("""COMPUTED_VALUE"""),42325.7055555555)</f>
        <v>42325.705555555498</v>
      </c>
      <c r="P1406" s="111">
        <f ca="1">IFERROR(__xludf.DUMMYFUNCTION("""COMPUTED_VALUE"""),14.52)</f>
        <v>14.52</v>
      </c>
      <c r="Q1406" s="112">
        <f ca="1">IFERROR(__xludf.DUMMYFUNCTION("""COMPUTED_VALUE"""),42321.7055555555)</f>
        <v>42321.705555555498</v>
      </c>
      <c r="R1406" s="111">
        <f ca="1">IFERROR(__xludf.DUMMYFUNCTION("""COMPUTED_VALUE"""),17.07)</f>
        <v>17.07</v>
      </c>
      <c r="S1406" s="112">
        <f ca="1">IFERROR(__xludf.DUMMYFUNCTION("""COMPUTED_VALUE"""),42335.7055555555)</f>
        <v>42335.705555555498</v>
      </c>
      <c r="T1406" s="111">
        <f ca="1">IFERROR(__xludf.DUMMYFUNCTION("""COMPUTED_VALUE"""),13.71)</f>
        <v>13.71</v>
      </c>
    </row>
    <row r="1407" spans="1:20" x14ac:dyDescent="0.3">
      <c r="A1407" s="112">
        <f ca="1">IFERROR(__xludf.DUMMYFUNCTION("""COMPUTED_VALUE"""),42333.7055555555)</f>
        <v>42333.705555555498</v>
      </c>
      <c r="B1407" s="111">
        <f ca="1">IFERROR(__xludf.DUMMYFUNCTION("""COMPUTED_VALUE"""),6)</f>
        <v>6</v>
      </c>
      <c r="C1407" s="112">
        <f ca="1">IFERROR(__xludf.DUMMYFUNCTION("""COMPUTED_VALUE"""),42340.7055555555)</f>
        <v>42340.705555555498</v>
      </c>
      <c r="D1407" s="111">
        <f ca="1">IFERROR(__xludf.DUMMYFUNCTION("""COMPUTED_VALUE"""),16.42)</f>
        <v>16.420000000000002</v>
      </c>
      <c r="E1407" s="112">
        <f ca="1">IFERROR(__xludf.DUMMYFUNCTION("""COMPUTED_VALUE"""),42341.7055555555)</f>
        <v>42341.705555555498</v>
      </c>
      <c r="F1407" s="111">
        <f ca="1">IFERROR(__xludf.DUMMYFUNCTION("""COMPUTED_VALUE"""),5.98)</f>
        <v>5.98</v>
      </c>
      <c r="G1407" s="112">
        <f ca="1">IFERROR(__xludf.DUMMYFUNCTION("""COMPUTED_VALUE"""),42334.7055555555)</f>
        <v>42334.705555555498</v>
      </c>
      <c r="H1407" s="111">
        <f ca="1">IFERROR(__xludf.DUMMYFUNCTION("""COMPUTED_VALUE"""),7.92)</f>
        <v>7.92</v>
      </c>
      <c r="K1407" s="112">
        <f ca="1">IFERROR(__xludf.DUMMYFUNCTION("""COMPUTED_VALUE"""),42786.7055555555)</f>
        <v>42786.705555555498</v>
      </c>
      <c r="L1407" s="111">
        <f ca="1">IFERROR(__xludf.DUMMYFUNCTION("""COMPUTED_VALUE"""),0.69)</f>
        <v>0.69</v>
      </c>
      <c r="M1407" s="112">
        <f ca="1">IFERROR(__xludf.DUMMYFUNCTION("""COMPUTED_VALUE"""),42248.7055555555)</f>
        <v>42248.705555555498</v>
      </c>
      <c r="N1407" s="111">
        <f ca="1">IFERROR(__xludf.DUMMYFUNCTION("""COMPUTED_VALUE"""),11.59)</f>
        <v>11.59</v>
      </c>
      <c r="O1407" s="112">
        <f ca="1">IFERROR(__xludf.DUMMYFUNCTION("""COMPUTED_VALUE"""),42326.7055555555)</f>
        <v>42326.705555555498</v>
      </c>
      <c r="P1407" s="111">
        <f ca="1">IFERROR(__xludf.DUMMYFUNCTION("""COMPUTED_VALUE"""),14.59)</f>
        <v>14.59</v>
      </c>
      <c r="Q1407" s="112">
        <f ca="1">IFERROR(__xludf.DUMMYFUNCTION("""COMPUTED_VALUE"""),42324.7055555555)</f>
        <v>42324.705555555498</v>
      </c>
      <c r="R1407" s="111">
        <f ca="1">IFERROR(__xludf.DUMMYFUNCTION("""COMPUTED_VALUE"""),17.3)</f>
        <v>17.3</v>
      </c>
      <c r="S1407" s="112">
        <f ca="1">IFERROR(__xludf.DUMMYFUNCTION("""COMPUTED_VALUE"""),42338.7055555555)</f>
        <v>42338.705555555498</v>
      </c>
      <c r="T1407" s="111">
        <f ca="1">IFERROR(__xludf.DUMMYFUNCTION("""COMPUTED_VALUE"""),13.15)</f>
        <v>13.15</v>
      </c>
    </row>
    <row r="1408" spans="1:20" x14ac:dyDescent="0.3">
      <c r="A1408" s="112">
        <f ca="1">IFERROR(__xludf.DUMMYFUNCTION("""COMPUTED_VALUE"""),42334.7055555555)</f>
        <v>42334.705555555498</v>
      </c>
      <c r="B1408" s="111">
        <f ca="1">IFERROR(__xludf.DUMMYFUNCTION("""COMPUTED_VALUE"""),5.92)</f>
        <v>5.92</v>
      </c>
      <c r="C1408" s="112">
        <f ca="1">IFERROR(__xludf.DUMMYFUNCTION("""COMPUTED_VALUE"""),42341.7055555555)</f>
        <v>42341.705555555498</v>
      </c>
      <c r="D1408" s="111">
        <f ca="1">IFERROR(__xludf.DUMMYFUNCTION("""COMPUTED_VALUE"""),17.47)</f>
        <v>17.47</v>
      </c>
      <c r="E1408" s="112">
        <f ca="1">IFERROR(__xludf.DUMMYFUNCTION("""COMPUTED_VALUE"""),42342.7055555555)</f>
        <v>42342.705555555498</v>
      </c>
      <c r="F1408" s="111">
        <f ca="1">IFERROR(__xludf.DUMMYFUNCTION("""COMPUTED_VALUE"""),5.92)</f>
        <v>5.92</v>
      </c>
      <c r="G1408" s="112">
        <f ca="1">IFERROR(__xludf.DUMMYFUNCTION("""COMPUTED_VALUE"""),42335.7055555555)</f>
        <v>42335.705555555498</v>
      </c>
      <c r="H1408" s="111">
        <f ca="1">IFERROR(__xludf.DUMMYFUNCTION("""COMPUTED_VALUE"""),7.6)</f>
        <v>7.6</v>
      </c>
      <c r="K1408" s="112">
        <f ca="1">IFERROR(__xludf.DUMMYFUNCTION("""COMPUTED_VALUE"""),42787.7055555555)</f>
        <v>42787.705555555498</v>
      </c>
      <c r="L1408" s="111">
        <f ca="1">IFERROR(__xludf.DUMMYFUNCTION("""COMPUTED_VALUE"""),0.75)</f>
        <v>0.75</v>
      </c>
      <c r="M1408" s="112">
        <f ca="1">IFERROR(__xludf.DUMMYFUNCTION("""COMPUTED_VALUE"""),42249.7055555555)</f>
        <v>42249.705555555498</v>
      </c>
      <c r="N1408" s="111">
        <f ca="1">IFERROR(__xludf.DUMMYFUNCTION("""COMPUTED_VALUE"""),11.79)</f>
        <v>11.79</v>
      </c>
      <c r="O1408" s="112">
        <f ca="1">IFERROR(__xludf.DUMMYFUNCTION("""COMPUTED_VALUE"""),42327.7055555555)</f>
        <v>42327.705555555498</v>
      </c>
      <c r="P1408" s="111">
        <f ca="1">IFERROR(__xludf.DUMMYFUNCTION("""COMPUTED_VALUE"""),14.64)</f>
        <v>14.64</v>
      </c>
      <c r="Q1408" s="112">
        <f ca="1">IFERROR(__xludf.DUMMYFUNCTION("""COMPUTED_VALUE"""),42325.7055555555)</f>
        <v>42325.705555555498</v>
      </c>
      <c r="R1408" s="111">
        <f ca="1">IFERROR(__xludf.DUMMYFUNCTION("""COMPUTED_VALUE"""),17.61)</f>
        <v>17.61</v>
      </c>
      <c r="S1408" s="112">
        <f ca="1">IFERROR(__xludf.DUMMYFUNCTION("""COMPUTED_VALUE"""),42339.7055555555)</f>
        <v>42339.705555555498</v>
      </c>
      <c r="T1408" s="111">
        <f ca="1">IFERROR(__xludf.DUMMYFUNCTION("""COMPUTED_VALUE"""),13.15)</f>
        <v>13.15</v>
      </c>
    </row>
    <row r="1409" spans="1:20" x14ac:dyDescent="0.3">
      <c r="A1409" s="112">
        <f ca="1">IFERROR(__xludf.DUMMYFUNCTION("""COMPUTED_VALUE"""),42335.7055555555)</f>
        <v>42335.705555555498</v>
      </c>
      <c r="B1409" s="111">
        <f ca="1">IFERROR(__xludf.DUMMYFUNCTION("""COMPUTED_VALUE"""),5.9)</f>
        <v>5.9</v>
      </c>
      <c r="C1409" s="112">
        <f ca="1">IFERROR(__xludf.DUMMYFUNCTION("""COMPUTED_VALUE"""),42342.7055555555)</f>
        <v>42342.705555555498</v>
      </c>
      <c r="D1409" s="111">
        <f ca="1">IFERROR(__xludf.DUMMYFUNCTION("""COMPUTED_VALUE"""),17.08)</f>
        <v>17.079999999999998</v>
      </c>
      <c r="E1409" s="112">
        <f ca="1">IFERROR(__xludf.DUMMYFUNCTION("""COMPUTED_VALUE"""),42345.7055555555)</f>
        <v>42345.705555555498</v>
      </c>
      <c r="F1409" s="111">
        <f ca="1">IFERROR(__xludf.DUMMYFUNCTION("""COMPUTED_VALUE"""),5.86)</f>
        <v>5.86</v>
      </c>
      <c r="G1409" s="112">
        <f ca="1">IFERROR(__xludf.DUMMYFUNCTION("""COMPUTED_VALUE"""),42338.7055555555)</f>
        <v>42338.705555555498</v>
      </c>
      <c r="H1409" s="111">
        <f ca="1">IFERROR(__xludf.DUMMYFUNCTION("""COMPUTED_VALUE"""),7.67)</f>
        <v>7.67</v>
      </c>
      <c r="K1409" s="112">
        <f ca="1">IFERROR(__xludf.DUMMYFUNCTION("""COMPUTED_VALUE"""),42788.7055555555)</f>
        <v>42788.705555555498</v>
      </c>
      <c r="L1409" s="111">
        <f ca="1">IFERROR(__xludf.DUMMYFUNCTION("""COMPUTED_VALUE"""),0.76)</f>
        <v>0.76</v>
      </c>
      <c r="M1409" s="112">
        <f ca="1">IFERROR(__xludf.DUMMYFUNCTION("""COMPUTED_VALUE"""),42250.7055555555)</f>
        <v>42250.705555555498</v>
      </c>
      <c r="N1409" s="111">
        <f ca="1">IFERROR(__xludf.DUMMYFUNCTION("""COMPUTED_VALUE"""),12.08)</f>
        <v>12.08</v>
      </c>
      <c r="O1409" s="112">
        <f ca="1">IFERROR(__xludf.DUMMYFUNCTION("""COMPUTED_VALUE"""),42331.7055555555)</f>
        <v>42331.705555555498</v>
      </c>
      <c r="P1409" s="111">
        <f ca="1">IFERROR(__xludf.DUMMYFUNCTION("""COMPUTED_VALUE"""),14.25)</f>
        <v>14.25</v>
      </c>
      <c r="Q1409" s="112">
        <f ca="1">IFERROR(__xludf.DUMMYFUNCTION("""COMPUTED_VALUE"""),42326.7055555555)</f>
        <v>42326.705555555498</v>
      </c>
      <c r="R1409" s="111">
        <f ca="1">IFERROR(__xludf.DUMMYFUNCTION("""COMPUTED_VALUE"""),17.74)</f>
        <v>17.739999999999998</v>
      </c>
      <c r="S1409" s="112">
        <f ca="1">IFERROR(__xludf.DUMMYFUNCTION("""COMPUTED_VALUE"""),42340.7055555555)</f>
        <v>42340.705555555498</v>
      </c>
      <c r="T1409" s="111">
        <f ca="1">IFERROR(__xludf.DUMMYFUNCTION("""COMPUTED_VALUE"""),12.76)</f>
        <v>12.76</v>
      </c>
    </row>
    <row r="1410" spans="1:20" x14ac:dyDescent="0.3">
      <c r="A1410" s="112">
        <f ca="1">IFERROR(__xludf.DUMMYFUNCTION("""COMPUTED_VALUE"""),42338.7055555555)</f>
        <v>42338.705555555498</v>
      </c>
      <c r="B1410" s="111">
        <f ca="1">IFERROR(__xludf.DUMMYFUNCTION("""COMPUTED_VALUE"""),5.73)</f>
        <v>5.73</v>
      </c>
      <c r="C1410" s="112">
        <f ca="1">IFERROR(__xludf.DUMMYFUNCTION("""COMPUTED_VALUE"""),42345.7055555555)</f>
        <v>42345.705555555498</v>
      </c>
      <c r="D1410" s="111">
        <f ca="1">IFERROR(__xludf.DUMMYFUNCTION("""COMPUTED_VALUE"""),16.95)</f>
        <v>16.95</v>
      </c>
      <c r="E1410" s="112">
        <f ca="1">IFERROR(__xludf.DUMMYFUNCTION("""COMPUTED_VALUE"""),42346.7055555555)</f>
        <v>42346.705555555498</v>
      </c>
      <c r="F1410" s="111">
        <f ca="1">IFERROR(__xludf.DUMMYFUNCTION("""COMPUTED_VALUE"""),5.82)</f>
        <v>5.82</v>
      </c>
      <c r="G1410" s="112">
        <f ca="1">IFERROR(__xludf.DUMMYFUNCTION("""COMPUTED_VALUE"""),42339.7055555555)</f>
        <v>42339.705555555498</v>
      </c>
      <c r="H1410" s="111">
        <f ca="1">IFERROR(__xludf.DUMMYFUNCTION("""COMPUTED_VALUE"""),7.49)</f>
        <v>7.49</v>
      </c>
      <c r="K1410" s="112">
        <f ca="1">IFERROR(__xludf.DUMMYFUNCTION("""COMPUTED_VALUE"""),42789.7055555555)</f>
        <v>42789.705555555498</v>
      </c>
      <c r="L1410" s="111">
        <f ca="1">IFERROR(__xludf.DUMMYFUNCTION("""COMPUTED_VALUE"""),0.8)</f>
        <v>0.8</v>
      </c>
      <c r="M1410" s="112">
        <f ca="1">IFERROR(__xludf.DUMMYFUNCTION("""COMPUTED_VALUE"""),42251.7055555555)</f>
        <v>42251.705555555498</v>
      </c>
      <c r="N1410" s="111">
        <f ca="1">IFERROR(__xludf.DUMMYFUNCTION("""COMPUTED_VALUE"""),11.57)</f>
        <v>11.57</v>
      </c>
      <c r="O1410" s="112">
        <f ca="1">IFERROR(__xludf.DUMMYFUNCTION("""COMPUTED_VALUE"""),42332.7055555555)</f>
        <v>42332.705555555498</v>
      </c>
      <c r="P1410" s="111">
        <f ca="1">IFERROR(__xludf.DUMMYFUNCTION("""COMPUTED_VALUE"""),14.47)</f>
        <v>14.47</v>
      </c>
      <c r="Q1410" s="112">
        <f ca="1">IFERROR(__xludf.DUMMYFUNCTION("""COMPUTED_VALUE"""),42327.7055555555)</f>
        <v>42327.705555555498</v>
      </c>
      <c r="R1410" s="111">
        <f ca="1">IFERROR(__xludf.DUMMYFUNCTION("""COMPUTED_VALUE"""),18.73)</f>
        <v>18.73</v>
      </c>
      <c r="S1410" s="112">
        <f ca="1">IFERROR(__xludf.DUMMYFUNCTION("""COMPUTED_VALUE"""),42341.7055555555)</f>
        <v>42341.705555555498</v>
      </c>
      <c r="T1410" s="111">
        <f ca="1">IFERROR(__xludf.DUMMYFUNCTION("""COMPUTED_VALUE"""),13.5)</f>
        <v>13.5</v>
      </c>
    </row>
    <row r="1411" spans="1:20" x14ac:dyDescent="0.3">
      <c r="A1411" s="112">
        <f ca="1">IFERROR(__xludf.DUMMYFUNCTION("""COMPUTED_VALUE"""),42339.7055555555)</f>
        <v>42339.705555555498</v>
      </c>
      <c r="B1411" s="111">
        <f ca="1">IFERROR(__xludf.DUMMYFUNCTION("""COMPUTED_VALUE"""),5.46)</f>
        <v>5.46</v>
      </c>
      <c r="C1411" s="112">
        <f ca="1">IFERROR(__xludf.DUMMYFUNCTION("""COMPUTED_VALUE"""),42346.7055555555)</f>
        <v>42346.705555555498</v>
      </c>
      <c r="D1411" s="111">
        <f ca="1">IFERROR(__xludf.DUMMYFUNCTION("""COMPUTED_VALUE"""),16.76)</f>
        <v>16.760000000000002</v>
      </c>
      <c r="E1411" s="112">
        <f ca="1">IFERROR(__xludf.DUMMYFUNCTION("""COMPUTED_VALUE"""),42347.7055555555)</f>
        <v>42347.705555555498</v>
      </c>
      <c r="F1411" s="111">
        <f ca="1">IFERROR(__xludf.DUMMYFUNCTION("""COMPUTED_VALUE"""),6.11)</f>
        <v>6.11</v>
      </c>
      <c r="G1411" s="112">
        <f ca="1">IFERROR(__xludf.DUMMYFUNCTION("""COMPUTED_VALUE"""),42340.7055555555)</f>
        <v>42340.705555555498</v>
      </c>
      <c r="H1411" s="111">
        <f ca="1">IFERROR(__xludf.DUMMYFUNCTION("""COMPUTED_VALUE"""),7.52)</f>
        <v>7.52</v>
      </c>
      <c r="K1411" s="112">
        <f ca="1">IFERROR(__xludf.DUMMYFUNCTION("""COMPUTED_VALUE"""),42790.7055555555)</f>
        <v>42790.705555555498</v>
      </c>
      <c r="L1411" s="111">
        <f ca="1">IFERROR(__xludf.DUMMYFUNCTION("""COMPUTED_VALUE"""),0.81)</f>
        <v>0.81</v>
      </c>
      <c r="M1411" s="112">
        <f ca="1">IFERROR(__xludf.DUMMYFUNCTION("""COMPUTED_VALUE"""),42255.7055555555)</f>
        <v>42255.705555555498</v>
      </c>
      <c r="N1411" s="111">
        <f ca="1">IFERROR(__xludf.DUMMYFUNCTION("""COMPUTED_VALUE"""),11.84)</f>
        <v>11.84</v>
      </c>
      <c r="O1411" s="112">
        <f ca="1">IFERROR(__xludf.DUMMYFUNCTION("""COMPUTED_VALUE"""),42333.7055555555)</f>
        <v>42333.705555555498</v>
      </c>
      <c r="P1411" s="111">
        <f ca="1">IFERROR(__xludf.DUMMYFUNCTION("""COMPUTED_VALUE"""),14.06)</f>
        <v>14.06</v>
      </c>
      <c r="Q1411" s="112">
        <f ca="1">IFERROR(__xludf.DUMMYFUNCTION("""COMPUTED_VALUE"""),42331.7055555555)</f>
        <v>42331.705555555498</v>
      </c>
      <c r="R1411" s="111">
        <f ca="1">IFERROR(__xludf.DUMMYFUNCTION("""COMPUTED_VALUE"""),18.57)</f>
        <v>18.57</v>
      </c>
      <c r="S1411" s="112">
        <f ca="1">IFERROR(__xludf.DUMMYFUNCTION("""COMPUTED_VALUE"""),42342.7055555555)</f>
        <v>42342.705555555498</v>
      </c>
      <c r="T1411" s="111">
        <f ca="1">IFERROR(__xludf.DUMMYFUNCTION("""COMPUTED_VALUE"""),13.15)</f>
        <v>13.15</v>
      </c>
    </row>
    <row r="1412" spans="1:20" x14ac:dyDescent="0.3">
      <c r="A1412" s="112">
        <f ca="1">IFERROR(__xludf.DUMMYFUNCTION("""COMPUTED_VALUE"""),42340.7055555555)</f>
        <v>42340.705555555498</v>
      </c>
      <c r="B1412" s="111">
        <f ca="1">IFERROR(__xludf.DUMMYFUNCTION("""COMPUTED_VALUE"""),5.71)</f>
        <v>5.71</v>
      </c>
      <c r="C1412" s="112">
        <f ca="1">IFERROR(__xludf.DUMMYFUNCTION("""COMPUTED_VALUE"""),42347.7055555555)</f>
        <v>42347.705555555498</v>
      </c>
      <c r="D1412" s="111">
        <f ca="1">IFERROR(__xludf.DUMMYFUNCTION("""COMPUTED_VALUE"""),17.67)</f>
        <v>17.670000000000002</v>
      </c>
      <c r="E1412" s="112">
        <f ca="1">IFERROR(__xludf.DUMMYFUNCTION("""COMPUTED_VALUE"""),42348.7055555555)</f>
        <v>42348.705555555498</v>
      </c>
      <c r="F1412" s="111">
        <f ca="1">IFERROR(__xludf.DUMMYFUNCTION("""COMPUTED_VALUE"""),6)</f>
        <v>6</v>
      </c>
      <c r="G1412" s="112">
        <f ca="1">IFERROR(__xludf.DUMMYFUNCTION("""COMPUTED_VALUE"""),42341.7055555555)</f>
        <v>42341.705555555498</v>
      </c>
      <c r="H1412" s="111">
        <f ca="1">IFERROR(__xludf.DUMMYFUNCTION("""COMPUTED_VALUE"""),7.98)</f>
        <v>7.98</v>
      </c>
      <c r="K1412" s="112">
        <f ca="1">IFERROR(__xludf.DUMMYFUNCTION("""COMPUTED_VALUE"""),42795.7055555555)</f>
        <v>42795.705555555498</v>
      </c>
      <c r="L1412" s="111">
        <f ca="1">IFERROR(__xludf.DUMMYFUNCTION("""COMPUTED_VALUE"""),0.84)</f>
        <v>0.84</v>
      </c>
      <c r="M1412" s="112">
        <f ca="1">IFERROR(__xludf.DUMMYFUNCTION("""COMPUTED_VALUE"""),42256.7055555555)</f>
        <v>42256.705555555498</v>
      </c>
      <c r="N1412" s="111">
        <f ca="1">IFERROR(__xludf.DUMMYFUNCTION("""COMPUTED_VALUE"""),11.98)</f>
        <v>11.98</v>
      </c>
      <c r="O1412" s="112">
        <f ca="1">IFERROR(__xludf.DUMMYFUNCTION("""COMPUTED_VALUE"""),42334.7055555555)</f>
        <v>42334.705555555498</v>
      </c>
      <c r="P1412" s="111">
        <f ca="1">IFERROR(__xludf.DUMMYFUNCTION("""COMPUTED_VALUE"""),14.19)</f>
        <v>14.19</v>
      </c>
      <c r="Q1412" s="112">
        <f ca="1">IFERROR(__xludf.DUMMYFUNCTION("""COMPUTED_VALUE"""),42332.7055555555)</f>
        <v>42332.705555555498</v>
      </c>
      <c r="R1412" s="111">
        <f ca="1">IFERROR(__xludf.DUMMYFUNCTION("""COMPUTED_VALUE"""),18.6)</f>
        <v>18.600000000000001</v>
      </c>
      <c r="S1412" s="112">
        <f ca="1">IFERROR(__xludf.DUMMYFUNCTION("""COMPUTED_VALUE"""),42345.7055555555)</f>
        <v>42345.705555555498</v>
      </c>
      <c r="T1412" s="111">
        <f ca="1">IFERROR(__xludf.DUMMYFUNCTION("""COMPUTED_VALUE"""),13.46)</f>
        <v>13.46</v>
      </c>
    </row>
    <row r="1413" spans="1:20" x14ac:dyDescent="0.3">
      <c r="A1413" s="112">
        <f ca="1">IFERROR(__xludf.DUMMYFUNCTION("""COMPUTED_VALUE"""),42341.7055555555)</f>
        <v>42341.705555555498</v>
      </c>
      <c r="B1413" s="111">
        <f ca="1">IFERROR(__xludf.DUMMYFUNCTION("""COMPUTED_VALUE"""),5.92)</f>
        <v>5.92</v>
      </c>
      <c r="C1413" s="112">
        <f ca="1">IFERROR(__xludf.DUMMYFUNCTION("""COMPUTED_VALUE"""),42348.7055555555)</f>
        <v>42348.705555555498</v>
      </c>
      <c r="D1413" s="111">
        <f ca="1">IFERROR(__xludf.DUMMYFUNCTION("""COMPUTED_VALUE"""),17.45)</f>
        <v>17.45</v>
      </c>
      <c r="E1413" s="112">
        <f ca="1">IFERROR(__xludf.DUMMYFUNCTION("""COMPUTED_VALUE"""),42349.7055555555)</f>
        <v>42349.705555555498</v>
      </c>
      <c r="F1413" s="111">
        <f ca="1">IFERROR(__xludf.DUMMYFUNCTION("""COMPUTED_VALUE"""),5.96)</f>
        <v>5.96</v>
      </c>
      <c r="G1413" s="112">
        <f ca="1">IFERROR(__xludf.DUMMYFUNCTION("""COMPUTED_VALUE"""),42342.7055555555)</f>
        <v>42342.705555555498</v>
      </c>
      <c r="H1413" s="111">
        <f ca="1">IFERROR(__xludf.DUMMYFUNCTION("""COMPUTED_VALUE"""),7.52)</f>
        <v>7.52</v>
      </c>
      <c r="K1413" s="112">
        <f ca="1">IFERROR(__xludf.DUMMYFUNCTION("""COMPUTED_VALUE"""),42796.7055555555)</f>
        <v>42796.705555555498</v>
      </c>
      <c r="L1413" s="111">
        <f ca="1">IFERROR(__xludf.DUMMYFUNCTION("""COMPUTED_VALUE"""),0.77)</f>
        <v>0.77</v>
      </c>
      <c r="M1413" s="112">
        <f ca="1">IFERROR(__xludf.DUMMYFUNCTION("""COMPUTED_VALUE"""),42257.7055555555)</f>
        <v>42257.705555555498</v>
      </c>
      <c r="N1413" s="111">
        <f ca="1">IFERROR(__xludf.DUMMYFUNCTION("""COMPUTED_VALUE"""),11.72)</f>
        <v>11.72</v>
      </c>
      <c r="O1413" s="112">
        <f ca="1">IFERROR(__xludf.DUMMYFUNCTION("""COMPUTED_VALUE"""),42335.7055555555)</f>
        <v>42335.705555555498</v>
      </c>
      <c r="P1413" s="111">
        <f ca="1">IFERROR(__xludf.DUMMYFUNCTION("""COMPUTED_VALUE"""),13.3)</f>
        <v>13.3</v>
      </c>
      <c r="Q1413" s="112">
        <f ca="1">IFERROR(__xludf.DUMMYFUNCTION("""COMPUTED_VALUE"""),42333.7055555555)</f>
        <v>42333.705555555498</v>
      </c>
      <c r="R1413" s="111">
        <f ca="1">IFERROR(__xludf.DUMMYFUNCTION("""COMPUTED_VALUE"""),17.4)</f>
        <v>17.399999999999999</v>
      </c>
      <c r="S1413" s="112">
        <f ca="1">IFERROR(__xludf.DUMMYFUNCTION("""COMPUTED_VALUE"""),42346.7055555555)</f>
        <v>42346.705555555498</v>
      </c>
      <c r="T1413" s="111">
        <f ca="1">IFERROR(__xludf.DUMMYFUNCTION("""COMPUTED_VALUE"""),13.16)</f>
        <v>13.16</v>
      </c>
    </row>
    <row r="1414" spans="1:20" x14ac:dyDescent="0.3">
      <c r="A1414" s="112">
        <f ca="1">IFERROR(__xludf.DUMMYFUNCTION("""COMPUTED_VALUE"""),42342.7055555555)</f>
        <v>42342.705555555498</v>
      </c>
      <c r="B1414" s="111">
        <f ca="1">IFERROR(__xludf.DUMMYFUNCTION("""COMPUTED_VALUE"""),5.54)</f>
        <v>5.54</v>
      </c>
      <c r="C1414" s="112">
        <f ca="1">IFERROR(__xludf.DUMMYFUNCTION("""COMPUTED_VALUE"""),42349.7055555555)</f>
        <v>42349.705555555498</v>
      </c>
      <c r="D1414" s="111">
        <f ca="1">IFERROR(__xludf.DUMMYFUNCTION("""COMPUTED_VALUE"""),17.45)</f>
        <v>17.45</v>
      </c>
      <c r="E1414" s="112">
        <f ca="1">IFERROR(__xludf.DUMMYFUNCTION("""COMPUTED_VALUE"""),42352.7055555555)</f>
        <v>42352.705555555498</v>
      </c>
      <c r="F1414" s="111">
        <f ca="1">IFERROR(__xludf.DUMMYFUNCTION("""COMPUTED_VALUE"""),5.78)</f>
        <v>5.78</v>
      </c>
      <c r="G1414" s="112">
        <f ca="1">IFERROR(__xludf.DUMMYFUNCTION("""COMPUTED_VALUE"""),42345.7055555555)</f>
        <v>42345.705555555498</v>
      </c>
      <c r="H1414" s="111">
        <f ca="1">IFERROR(__xludf.DUMMYFUNCTION("""COMPUTED_VALUE"""),7.19)</f>
        <v>7.19</v>
      </c>
      <c r="K1414" s="112">
        <f ca="1">IFERROR(__xludf.DUMMYFUNCTION("""COMPUTED_VALUE"""),42797.7055555555)</f>
        <v>42797.705555555498</v>
      </c>
      <c r="L1414" s="111">
        <f ca="1">IFERROR(__xludf.DUMMYFUNCTION("""COMPUTED_VALUE"""),0.76)</f>
        <v>0.76</v>
      </c>
      <c r="M1414" s="112">
        <f ca="1">IFERROR(__xludf.DUMMYFUNCTION("""COMPUTED_VALUE"""),42258.7055555555)</f>
        <v>42258.705555555498</v>
      </c>
      <c r="N1414" s="111">
        <f ca="1">IFERROR(__xludf.DUMMYFUNCTION("""COMPUTED_VALUE"""),11.59)</f>
        <v>11.59</v>
      </c>
      <c r="O1414" s="112">
        <f ca="1">IFERROR(__xludf.DUMMYFUNCTION("""COMPUTED_VALUE"""),42338.7055555555)</f>
        <v>42338.705555555498</v>
      </c>
      <c r="P1414" s="111">
        <f ca="1">IFERROR(__xludf.DUMMYFUNCTION("""COMPUTED_VALUE"""),13.17)</f>
        <v>13.17</v>
      </c>
      <c r="Q1414" s="112">
        <f ca="1">IFERROR(__xludf.DUMMYFUNCTION("""COMPUTED_VALUE"""),42334.7055555555)</f>
        <v>42334.705555555498</v>
      </c>
      <c r="R1414" s="111">
        <f ca="1">IFERROR(__xludf.DUMMYFUNCTION("""COMPUTED_VALUE"""),17.85)</f>
        <v>17.850000000000001</v>
      </c>
      <c r="S1414" s="112">
        <f ca="1">IFERROR(__xludf.DUMMYFUNCTION("""COMPUTED_VALUE"""),42347.7055555555)</f>
        <v>42347.705555555498</v>
      </c>
      <c r="T1414" s="111">
        <f ca="1">IFERROR(__xludf.DUMMYFUNCTION("""COMPUTED_VALUE"""),13.86)</f>
        <v>13.86</v>
      </c>
    </row>
    <row r="1415" spans="1:20" x14ac:dyDescent="0.3">
      <c r="A1415" s="112">
        <f ca="1">IFERROR(__xludf.DUMMYFUNCTION("""COMPUTED_VALUE"""),42345.7055555555)</f>
        <v>42345.705555555498</v>
      </c>
      <c r="B1415" s="111">
        <f ca="1">IFERROR(__xludf.DUMMYFUNCTION("""COMPUTED_VALUE"""),5.55)</f>
        <v>5.55</v>
      </c>
      <c r="C1415" s="112">
        <f ca="1">IFERROR(__xludf.DUMMYFUNCTION("""COMPUTED_VALUE"""),42352.7055555555)</f>
        <v>42352.705555555498</v>
      </c>
      <c r="D1415" s="111">
        <f ca="1">IFERROR(__xludf.DUMMYFUNCTION("""COMPUTED_VALUE"""),17.04)</f>
        <v>17.04</v>
      </c>
      <c r="E1415" s="112">
        <f ca="1">IFERROR(__xludf.DUMMYFUNCTION("""COMPUTED_VALUE"""),42353.7055555555)</f>
        <v>42353.705555555498</v>
      </c>
      <c r="F1415" s="111">
        <f ca="1">IFERROR(__xludf.DUMMYFUNCTION("""COMPUTED_VALUE"""),5.81)</f>
        <v>5.81</v>
      </c>
      <c r="G1415" s="112">
        <f ca="1">IFERROR(__xludf.DUMMYFUNCTION("""COMPUTED_VALUE"""),42346.7055555555)</f>
        <v>42346.705555555498</v>
      </c>
      <c r="H1415" s="111">
        <f ca="1">IFERROR(__xludf.DUMMYFUNCTION("""COMPUTED_VALUE"""),7.13)</f>
        <v>7.13</v>
      </c>
      <c r="K1415" s="112">
        <f ca="1">IFERROR(__xludf.DUMMYFUNCTION("""COMPUTED_VALUE"""),42800.7055555555)</f>
        <v>42800.705555555498</v>
      </c>
      <c r="L1415" s="111">
        <f ca="1">IFERROR(__xludf.DUMMYFUNCTION("""COMPUTED_VALUE"""),0.76)</f>
        <v>0.76</v>
      </c>
      <c r="M1415" s="112">
        <f ca="1">IFERROR(__xludf.DUMMYFUNCTION("""COMPUTED_VALUE"""),42261.7055555555)</f>
        <v>42261.705555555498</v>
      </c>
      <c r="N1415" s="111">
        <f ca="1">IFERROR(__xludf.DUMMYFUNCTION("""COMPUTED_VALUE"""),12.11)</f>
        <v>12.11</v>
      </c>
      <c r="O1415" s="112">
        <f ca="1">IFERROR(__xludf.DUMMYFUNCTION("""COMPUTED_VALUE"""),42339.7055555555)</f>
        <v>42339.705555555498</v>
      </c>
      <c r="P1415" s="111">
        <f ca="1">IFERROR(__xludf.DUMMYFUNCTION("""COMPUTED_VALUE"""),12.84)</f>
        <v>12.84</v>
      </c>
      <c r="Q1415" s="112">
        <f ca="1">IFERROR(__xludf.DUMMYFUNCTION("""COMPUTED_VALUE"""),42335.7055555555)</f>
        <v>42335.705555555498</v>
      </c>
      <c r="R1415" s="111">
        <f ca="1">IFERROR(__xludf.DUMMYFUNCTION("""COMPUTED_VALUE"""),17.29)</f>
        <v>17.29</v>
      </c>
      <c r="S1415" s="112">
        <f ca="1">IFERROR(__xludf.DUMMYFUNCTION("""COMPUTED_VALUE"""),42348.7055555555)</f>
        <v>42348.705555555498</v>
      </c>
      <c r="T1415" s="111">
        <f ca="1">IFERROR(__xludf.DUMMYFUNCTION("""COMPUTED_VALUE"""),13.47)</f>
        <v>13.47</v>
      </c>
    </row>
    <row r="1416" spans="1:20" x14ac:dyDescent="0.3">
      <c r="A1416" s="112">
        <f ca="1">IFERROR(__xludf.DUMMYFUNCTION("""COMPUTED_VALUE"""),42346.7055555555)</f>
        <v>42346.705555555498</v>
      </c>
      <c r="B1416" s="111">
        <f ca="1">IFERROR(__xludf.DUMMYFUNCTION("""COMPUTED_VALUE"""),5.41)</f>
        <v>5.41</v>
      </c>
      <c r="C1416" s="112">
        <f ca="1">IFERROR(__xludf.DUMMYFUNCTION("""COMPUTED_VALUE"""),42353.7055555555)</f>
        <v>42353.705555555498</v>
      </c>
      <c r="D1416" s="111">
        <f ca="1">IFERROR(__xludf.DUMMYFUNCTION("""COMPUTED_VALUE"""),17.15)</f>
        <v>17.149999999999999</v>
      </c>
      <c r="E1416" s="112">
        <f ca="1">IFERROR(__xludf.DUMMYFUNCTION("""COMPUTED_VALUE"""),42354.7055555555)</f>
        <v>42354.705555555498</v>
      </c>
      <c r="F1416" s="111">
        <f ca="1">IFERROR(__xludf.DUMMYFUNCTION("""COMPUTED_VALUE"""),5.77)</f>
        <v>5.77</v>
      </c>
      <c r="G1416" s="112">
        <f ca="1">IFERROR(__xludf.DUMMYFUNCTION("""COMPUTED_VALUE"""),42347.7055555555)</f>
        <v>42347.705555555498</v>
      </c>
      <c r="H1416" s="111">
        <f ca="1">IFERROR(__xludf.DUMMYFUNCTION("""COMPUTED_VALUE"""),7.65)</f>
        <v>7.65</v>
      </c>
      <c r="K1416" s="112">
        <f ca="1">IFERROR(__xludf.DUMMYFUNCTION("""COMPUTED_VALUE"""),42801.7055555555)</f>
        <v>42801.705555555498</v>
      </c>
      <c r="L1416" s="111">
        <f ca="1">IFERROR(__xludf.DUMMYFUNCTION("""COMPUTED_VALUE"""),0.72)</f>
        <v>0.72</v>
      </c>
      <c r="M1416" s="112">
        <f ca="1">IFERROR(__xludf.DUMMYFUNCTION("""COMPUTED_VALUE"""),42262.7055555555)</f>
        <v>42262.705555555498</v>
      </c>
      <c r="N1416" s="111">
        <f ca="1">IFERROR(__xludf.DUMMYFUNCTION("""COMPUTED_VALUE"""),12.34)</f>
        <v>12.34</v>
      </c>
      <c r="O1416" s="112">
        <f ca="1">IFERROR(__xludf.DUMMYFUNCTION("""COMPUTED_VALUE"""),42340.7055555555)</f>
        <v>42340.705555555498</v>
      </c>
      <c r="P1416" s="111">
        <f ca="1">IFERROR(__xludf.DUMMYFUNCTION("""COMPUTED_VALUE"""),12.94)</f>
        <v>12.94</v>
      </c>
      <c r="Q1416" s="112">
        <f ca="1">IFERROR(__xludf.DUMMYFUNCTION("""COMPUTED_VALUE"""),42338.7055555555)</f>
        <v>42338.705555555498</v>
      </c>
      <c r="R1416" s="111">
        <f ca="1">IFERROR(__xludf.DUMMYFUNCTION("""COMPUTED_VALUE"""),16.29)</f>
        <v>16.29</v>
      </c>
      <c r="S1416" s="112">
        <f ca="1">IFERROR(__xludf.DUMMYFUNCTION("""COMPUTED_VALUE"""),42349.7055555555)</f>
        <v>42349.705555555498</v>
      </c>
      <c r="T1416" s="111">
        <f ca="1">IFERROR(__xludf.DUMMYFUNCTION("""COMPUTED_VALUE"""),13.54)</f>
        <v>13.54</v>
      </c>
    </row>
    <row r="1417" spans="1:20" x14ac:dyDescent="0.3">
      <c r="A1417" s="112">
        <f ca="1">IFERROR(__xludf.DUMMYFUNCTION("""COMPUTED_VALUE"""),42347.7055555555)</f>
        <v>42347.705555555498</v>
      </c>
      <c r="B1417" s="111">
        <f ca="1">IFERROR(__xludf.DUMMYFUNCTION("""COMPUTED_VALUE"""),5.65)</f>
        <v>5.65</v>
      </c>
      <c r="C1417" s="112">
        <f ca="1">IFERROR(__xludf.DUMMYFUNCTION("""COMPUTED_VALUE"""),42354.7055555555)</f>
        <v>42354.705555555498</v>
      </c>
      <c r="D1417" s="111">
        <f ca="1">IFERROR(__xludf.DUMMYFUNCTION("""COMPUTED_VALUE"""),17.04)</f>
        <v>17.04</v>
      </c>
      <c r="E1417" s="112">
        <f ca="1">IFERROR(__xludf.DUMMYFUNCTION("""COMPUTED_VALUE"""),42355.7055555555)</f>
        <v>42355.705555555498</v>
      </c>
      <c r="F1417" s="111">
        <f ca="1">IFERROR(__xludf.DUMMYFUNCTION("""COMPUTED_VALUE"""),5.91)</f>
        <v>5.91</v>
      </c>
      <c r="G1417" s="112">
        <f ca="1">IFERROR(__xludf.DUMMYFUNCTION("""COMPUTED_VALUE"""),42348.7055555555)</f>
        <v>42348.705555555498</v>
      </c>
      <c r="H1417" s="111">
        <f ca="1">IFERROR(__xludf.DUMMYFUNCTION("""COMPUTED_VALUE"""),7.45)</f>
        <v>7.45</v>
      </c>
      <c r="K1417" s="112">
        <f ca="1">IFERROR(__xludf.DUMMYFUNCTION("""COMPUTED_VALUE"""),42802.7055555555)</f>
        <v>42802.705555555498</v>
      </c>
      <c r="L1417" s="111">
        <f ca="1">IFERROR(__xludf.DUMMYFUNCTION("""COMPUTED_VALUE"""),0.69)</f>
        <v>0.69</v>
      </c>
      <c r="M1417" s="112">
        <f ca="1">IFERROR(__xludf.DUMMYFUNCTION("""COMPUTED_VALUE"""),42263.7055555555)</f>
        <v>42263.705555555498</v>
      </c>
      <c r="N1417" s="111">
        <f ca="1">IFERROR(__xludf.DUMMYFUNCTION("""COMPUTED_VALUE"""),12.8)</f>
        <v>12.8</v>
      </c>
      <c r="O1417" s="112">
        <f ca="1">IFERROR(__xludf.DUMMYFUNCTION("""COMPUTED_VALUE"""),42341.7055555555)</f>
        <v>42341.705555555498</v>
      </c>
      <c r="P1417" s="111">
        <f ca="1">IFERROR(__xludf.DUMMYFUNCTION("""COMPUTED_VALUE"""),12.87)</f>
        <v>12.87</v>
      </c>
      <c r="Q1417" s="112">
        <f ca="1">IFERROR(__xludf.DUMMYFUNCTION("""COMPUTED_VALUE"""),42339.7055555555)</f>
        <v>42339.705555555498</v>
      </c>
      <c r="R1417" s="111">
        <f ca="1">IFERROR(__xludf.DUMMYFUNCTION("""COMPUTED_VALUE"""),16.29)</f>
        <v>16.29</v>
      </c>
      <c r="S1417" s="112">
        <f ca="1">IFERROR(__xludf.DUMMYFUNCTION("""COMPUTED_VALUE"""),42352.7055555555)</f>
        <v>42352.705555555498</v>
      </c>
      <c r="T1417" s="111">
        <f ca="1">IFERROR(__xludf.DUMMYFUNCTION("""COMPUTED_VALUE"""),13.37)</f>
        <v>13.37</v>
      </c>
    </row>
    <row r="1418" spans="1:20" x14ac:dyDescent="0.3">
      <c r="A1418" s="112">
        <f ca="1">IFERROR(__xludf.DUMMYFUNCTION("""COMPUTED_VALUE"""),42348.7055555555)</f>
        <v>42348.705555555498</v>
      </c>
      <c r="B1418" s="111">
        <f ca="1">IFERROR(__xludf.DUMMYFUNCTION("""COMPUTED_VALUE"""),5.74)</f>
        <v>5.74</v>
      </c>
      <c r="C1418" s="112">
        <f ca="1">IFERROR(__xludf.DUMMYFUNCTION("""COMPUTED_VALUE"""),42355.7055555555)</f>
        <v>42355.705555555498</v>
      </c>
      <c r="D1418" s="111">
        <f ca="1">IFERROR(__xludf.DUMMYFUNCTION("""COMPUTED_VALUE"""),17.33)</f>
        <v>17.329999999999998</v>
      </c>
      <c r="E1418" s="112">
        <f ca="1">IFERROR(__xludf.DUMMYFUNCTION("""COMPUTED_VALUE"""),42356.7055555555)</f>
        <v>42356.705555555498</v>
      </c>
      <c r="F1418" s="111">
        <f ca="1">IFERROR(__xludf.DUMMYFUNCTION("""COMPUTED_VALUE"""),5.63)</f>
        <v>5.63</v>
      </c>
      <c r="G1418" s="112">
        <f ca="1">IFERROR(__xludf.DUMMYFUNCTION("""COMPUTED_VALUE"""),42349.7055555555)</f>
        <v>42349.705555555498</v>
      </c>
      <c r="H1418" s="111">
        <f ca="1">IFERROR(__xludf.DUMMYFUNCTION("""COMPUTED_VALUE"""),7.25)</f>
        <v>7.25</v>
      </c>
      <c r="K1418" s="112">
        <f ca="1">IFERROR(__xludf.DUMMYFUNCTION("""COMPUTED_VALUE"""),42803.7055555555)</f>
        <v>42803.705555555498</v>
      </c>
      <c r="L1418" s="111">
        <f ca="1">IFERROR(__xludf.DUMMYFUNCTION("""COMPUTED_VALUE"""),0.72)</f>
        <v>0.72</v>
      </c>
      <c r="M1418" s="112">
        <f ca="1">IFERROR(__xludf.DUMMYFUNCTION("""COMPUTED_VALUE"""),42264.7055555555)</f>
        <v>42264.705555555498</v>
      </c>
      <c r="N1418" s="111">
        <f ca="1">IFERROR(__xludf.DUMMYFUNCTION("""COMPUTED_VALUE"""),12.77)</f>
        <v>12.77</v>
      </c>
      <c r="O1418" s="112">
        <f ca="1">IFERROR(__xludf.DUMMYFUNCTION("""COMPUTED_VALUE"""),42342.7055555555)</f>
        <v>42342.705555555498</v>
      </c>
      <c r="P1418" s="111">
        <f ca="1">IFERROR(__xludf.DUMMYFUNCTION("""COMPUTED_VALUE"""),12.35)</f>
        <v>12.35</v>
      </c>
      <c r="Q1418" s="112">
        <f ca="1">IFERROR(__xludf.DUMMYFUNCTION("""COMPUTED_VALUE"""),42340.7055555555)</f>
        <v>42340.705555555498</v>
      </c>
      <c r="R1418" s="111">
        <f ca="1">IFERROR(__xludf.DUMMYFUNCTION("""COMPUTED_VALUE"""),16.42)</f>
        <v>16.420000000000002</v>
      </c>
      <c r="S1418" s="112">
        <f ca="1">IFERROR(__xludf.DUMMYFUNCTION("""COMPUTED_VALUE"""),42353.7055555555)</f>
        <v>42353.705555555498</v>
      </c>
      <c r="T1418" s="111">
        <f ca="1">IFERROR(__xludf.DUMMYFUNCTION("""COMPUTED_VALUE"""),13.15)</f>
        <v>13.15</v>
      </c>
    </row>
    <row r="1419" spans="1:20" x14ac:dyDescent="0.3">
      <c r="A1419" s="112">
        <f ca="1">IFERROR(__xludf.DUMMYFUNCTION("""COMPUTED_VALUE"""),42349.7055555555)</f>
        <v>42349.705555555498</v>
      </c>
      <c r="B1419" s="111">
        <f ca="1">IFERROR(__xludf.DUMMYFUNCTION("""COMPUTED_VALUE"""),5.75)</f>
        <v>5.75</v>
      </c>
      <c r="C1419" s="112">
        <f ca="1">IFERROR(__xludf.DUMMYFUNCTION("""COMPUTED_VALUE"""),42356.7055555555)</f>
        <v>42356.705555555498</v>
      </c>
      <c r="D1419" s="111">
        <f ca="1">IFERROR(__xludf.DUMMYFUNCTION("""COMPUTED_VALUE"""),16.32)</f>
        <v>16.32</v>
      </c>
      <c r="E1419" s="112">
        <f ca="1">IFERROR(__xludf.DUMMYFUNCTION("""COMPUTED_VALUE"""),42359.7055555555)</f>
        <v>42359.705555555498</v>
      </c>
      <c r="F1419" s="111">
        <f ca="1">IFERROR(__xludf.DUMMYFUNCTION("""COMPUTED_VALUE"""),5.53)</f>
        <v>5.53</v>
      </c>
      <c r="G1419" s="112">
        <f ca="1">IFERROR(__xludf.DUMMYFUNCTION("""COMPUTED_VALUE"""),42352.7055555555)</f>
        <v>42352.705555555498</v>
      </c>
      <c r="H1419" s="111">
        <f ca="1">IFERROR(__xludf.DUMMYFUNCTION("""COMPUTED_VALUE"""),7.21)</f>
        <v>7.21</v>
      </c>
      <c r="K1419" s="112">
        <f ca="1">IFERROR(__xludf.DUMMYFUNCTION("""COMPUTED_VALUE"""),42804.7055555555)</f>
        <v>42804.705555555498</v>
      </c>
      <c r="L1419" s="111">
        <f ca="1">IFERROR(__xludf.DUMMYFUNCTION("""COMPUTED_VALUE"""),0.67)</f>
        <v>0.67</v>
      </c>
      <c r="M1419" s="112">
        <f ca="1">IFERROR(__xludf.DUMMYFUNCTION("""COMPUTED_VALUE"""),42265.7055555555)</f>
        <v>42265.705555555498</v>
      </c>
      <c r="N1419" s="111">
        <f ca="1">IFERROR(__xludf.DUMMYFUNCTION("""COMPUTED_VALUE"""),12.07)</f>
        <v>12.07</v>
      </c>
      <c r="O1419" s="112">
        <f ca="1">IFERROR(__xludf.DUMMYFUNCTION("""COMPUTED_VALUE"""),42345.7055555555)</f>
        <v>42345.705555555498</v>
      </c>
      <c r="P1419" s="111">
        <f ca="1">IFERROR(__xludf.DUMMYFUNCTION("""COMPUTED_VALUE"""),12.21)</f>
        <v>12.21</v>
      </c>
      <c r="Q1419" s="112">
        <f ca="1">IFERROR(__xludf.DUMMYFUNCTION("""COMPUTED_VALUE"""),42341.7055555555)</f>
        <v>42341.705555555498</v>
      </c>
      <c r="R1419" s="111">
        <f ca="1">IFERROR(__xludf.DUMMYFUNCTION("""COMPUTED_VALUE"""),17.8)</f>
        <v>17.8</v>
      </c>
      <c r="S1419" s="112">
        <f ca="1">IFERROR(__xludf.DUMMYFUNCTION("""COMPUTED_VALUE"""),42354.7055555555)</f>
        <v>42354.705555555498</v>
      </c>
      <c r="T1419" s="111">
        <f ca="1">IFERROR(__xludf.DUMMYFUNCTION("""COMPUTED_VALUE"""),13.15)</f>
        <v>13.15</v>
      </c>
    </row>
    <row r="1420" spans="1:20" x14ac:dyDescent="0.3">
      <c r="A1420" s="112">
        <f ca="1">IFERROR(__xludf.DUMMYFUNCTION("""COMPUTED_VALUE"""),42352.7055555555)</f>
        <v>42352.705555555498</v>
      </c>
      <c r="B1420" s="111">
        <f ca="1">IFERROR(__xludf.DUMMYFUNCTION("""COMPUTED_VALUE"""),5.55)</f>
        <v>5.55</v>
      </c>
      <c r="C1420" s="112">
        <f ca="1">IFERROR(__xludf.DUMMYFUNCTION("""COMPUTED_VALUE"""),42359.7055555555)</f>
        <v>42359.705555555498</v>
      </c>
      <c r="D1420" s="111">
        <f ca="1">IFERROR(__xludf.DUMMYFUNCTION("""COMPUTED_VALUE"""),16.02)</f>
        <v>16.02</v>
      </c>
      <c r="E1420" s="112">
        <f ca="1">IFERROR(__xludf.DUMMYFUNCTION("""COMPUTED_VALUE"""),42360.7055555555)</f>
        <v>42360.705555555498</v>
      </c>
      <c r="F1420" s="111">
        <f ca="1">IFERROR(__xludf.DUMMYFUNCTION("""COMPUTED_VALUE"""),5.55)</f>
        <v>5.55</v>
      </c>
      <c r="G1420" s="112">
        <f ca="1">IFERROR(__xludf.DUMMYFUNCTION("""COMPUTED_VALUE"""),42353.7055555555)</f>
        <v>42353.705555555498</v>
      </c>
      <c r="H1420" s="111">
        <f ca="1">IFERROR(__xludf.DUMMYFUNCTION("""COMPUTED_VALUE"""),7.42)</f>
        <v>7.42</v>
      </c>
      <c r="K1420" s="112">
        <f ca="1">IFERROR(__xludf.DUMMYFUNCTION("""COMPUTED_VALUE"""),42807.7055555555)</f>
        <v>42807.705555555498</v>
      </c>
      <c r="L1420" s="111">
        <f ca="1">IFERROR(__xludf.DUMMYFUNCTION("""COMPUTED_VALUE"""),0.66)</f>
        <v>0.66</v>
      </c>
      <c r="M1420" s="112">
        <f ca="1">IFERROR(__xludf.DUMMYFUNCTION("""COMPUTED_VALUE"""),42268.7055555555)</f>
        <v>42268.705555555498</v>
      </c>
      <c r="N1420" s="111">
        <f ca="1">IFERROR(__xludf.DUMMYFUNCTION("""COMPUTED_VALUE"""),11.7)</f>
        <v>11.7</v>
      </c>
      <c r="O1420" s="112">
        <f ca="1">IFERROR(__xludf.DUMMYFUNCTION("""COMPUTED_VALUE"""),42346.7055555555)</f>
        <v>42346.705555555498</v>
      </c>
      <c r="P1420" s="111">
        <f ca="1">IFERROR(__xludf.DUMMYFUNCTION("""COMPUTED_VALUE"""),11.65)</f>
        <v>11.65</v>
      </c>
      <c r="Q1420" s="112">
        <f ca="1">IFERROR(__xludf.DUMMYFUNCTION("""COMPUTED_VALUE"""),42342.7055555555)</f>
        <v>42342.705555555498</v>
      </c>
      <c r="R1420" s="111">
        <f ca="1">IFERROR(__xludf.DUMMYFUNCTION("""COMPUTED_VALUE"""),17.32)</f>
        <v>17.32</v>
      </c>
      <c r="S1420" s="112">
        <f ca="1">IFERROR(__xludf.DUMMYFUNCTION("""COMPUTED_VALUE"""),42355.7055555555)</f>
        <v>42355.705555555498</v>
      </c>
      <c r="T1420" s="111">
        <f ca="1">IFERROR(__xludf.DUMMYFUNCTION("""COMPUTED_VALUE"""),13.43)</f>
        <v>13.43</v>
      </c>
    </row>
    <row r="1421" spans="1:20" x14ac:dyDescent="0.3">
      <c r="A1421" s="112">
        <f ca="1">IFERROR(__xludf.DUMMYFUNCTION("""COMPUTED_VALUE"""),42353.7055555555)</f>
        <v>42353.705555555498</v>
      </c>
      <c r="B1421" s="111">
        <f ca="1">IFERROR(__xludf.DUMMYFUNCTION("""COMPUTED_VALUE"""),5.73)</f>
        <v>5.73</v>
      </c>
      <c r="C1421" s="112">
        <f ca="1">IFERROR(__xludf.DUMMYFUNCTION("""COMPUTED_VALUE"""),42360.7055555555)</f>
        <v>42360.705555555498</v>
      </c>
      <c r="D1421" s="111">
        <f ca="1">IFERROR(__xludf.DUMMYFUNCTION("""COMPUTED_VALUE"""),16.12)</f>
        <v>16.12</v>
      </c>
      <c r="E1421" s="112">
        <f ca="1">IFERROR(__xludf.DUMMYFUNCTION("""COMPUTED_VALUE"""),42361.7055555555)</f>
        <v>42361.705555555498</v>
      </c>
      <c r="F1421" s="111">
        <f ca="1">IFERROR(__xludf.DUMMYFUNCTION("""COMPUTED_VALUE"""),5.51)</f>
        <v>5.51</v>
      </c>
      <c r="G1421" s="112">
        <f ca="1">IFERROR(__xludf.DUMMYFUNCTION("""COMPUTED_VALUE"""),42354.7055555555)</f>
        <v>42354.705555555498</v>
      </c>
      <c r="H1421" s="111">
        <f ca="1">IFERROR(__xludf.DUMMYFUNCTION("""COMPUTED_VALUE"""),7.29)</f>
        <v>7.29</v>
      </c>
      <c r="K1421" s="112">
        <f ca="1">IFERROR(__xludf.DUMMYFUNCTION("""COMPUTED_VALUE"""),42808.7055555555)</f>
        <v>42808.705555555498</v>
      </c>
      <c r="L1421" s="111">
        <f ca="1">IFERROR(__xludf.DUMMYFUNCTION("""COMPUTED_VALUE"""),0.68)</f>
        <v>0.68</v>
      </c>
      <c r="M1421" s="112">
        <f ca="1">IFERROR(__xludf.DUMMYFUNCTION("""COMPUTED_VALUE"""),42269.7055555555)</f>
        <v>42269.705555555498</v>
      </c>
      <c r="N1421" s="111">
        <f ca="1">IFERROR(__xludf.DUMMYFUNCTION("""COMPUTED_VALUE"""),11.75)</f>
        <v>11.75</v>
      </c>
      <c r="O1421" s="112">
        <f ca="1">IFERROR(__xludf.DUMMYFUNCTION("""COMPUTED_VALUE"""),42347.7055555555)</f>
        <v>42347.705555555498</v>
      </c>
      <c r="P1421" s="111">
        <f ca="1">IFERROR(__xludf.DUMMYFUNCTION("""COMPUTED_VALUE"""),12.08)</f>
        <v>12.08</v>
      </c>
      <c r="Q1421" s="112">
        <f ca="1">IFERROR(__xludf.DUMMYFUNCTION("""COMPUTED_VALUE"""),42345.7055555555)</f>
        <v>42345.705555555498</v>
      </c>
      <c r="R1421" s="111">
        <f ca="1">IFERROR(__xludf.DUMMYFUNCTION("""COMPUTED_VALUE"""),17.25)</f>
        <v>17.25</v>
      </c>
      <c r="S1421" s="112">
        <f ca="1">IFERROR(__xludf.DUMMYFUNCTION("""COMPUTED_VALUE"""),42356.7055555555)</f>
        <v>42356.705555555498</v>
      </c>
      <c r="T1421" s="111">
        <f ca="1">IFERROR(__xludf.DUMMYFUNCTION("""COMPUTED_VALUE"""),13.16)</f>
        <v>13.16</v>
      </c>
    </row>
    <row r="1422" spans="1:20" x14ac:dyDescent="0.3">
      <c r="A1422" s="112">
        <f ca="1">IFERROR(__xludf.DUMMYFUNCTION("""COMPUTED_VALUE"""),42354.7055555555)</f>
        <v>42354.705555555498</v>
      </c>
      <c r="B1422" s="111">
        <f ca="1">IFERROR(__xludf.DUMMYFUNCTION("""COMPUTED_VALUE"""),5.71)</f>
        <v>5.71</v>
      </c>
      <c r="C1422" s="112">
        <f ca="1">IFERROR(__xludf.DUMMYFUNCTION("""COMPUTED_VALUE"""),42361.7055555555)</f>
        <v>42361.705555555498</v>
      </c>
      <c r="D1422" s="111">
        <f ca="1">IFERROR(__xludf.DUMMYFUNCTION("""COMPUTED_VALUE"""),16.06)</f>
        <v>16.059999999999999</v>
      </c>
      <c r="E1422" s="112">
        <f ca="1">IFERROR(__xludf.DUMMYFUNCTION("""COMPUTED_VALUE"""),42366.7055555555)</f>
        <v>42366.705555555498</v>
      </c>
      <c r="F1422" s="111">
        <f ca="1">IFERROR(__xludf.DUMMYFUNCTION("""COMPUTED_VALUE"""),5.49)</f>
        <v>5.49</v>
      </c>
      <c r="G1422" s="112">
        <f ca="1">IFERROR(__xludf.DUMMYFUNCTION("""COMPUTED_VALUE"""),42355.7055555555)</f>
        <v>42355.705555555498</v>
      </c>
      <c r="H1422" s="111">
        <f ca="1">IFERROR(__xludf.DUMMYFUNCTION("""COMPUTED_VALUE"""),7.2)</f>
        <v>7.2</v>
      </c>
      <c r="K1422" s="112">
        <f ca="1">IFERROR(__xludf.DUMMYFUNCTION("""COMPUTED_VALUE"""),42809.7055555555)</f>
        <v>42809.705555555498</v>
      </c>
      <c r="L1422" s="111">
        <f ca="1">IFERROR(__xludf.DUMMYFUNCTION("""COMPUTED_VALUE"""),0.69)</f>
        <v>0.69</v>
      </c>
      <c r="M1422" s="112">
        <f ca="1">IFERROR(__xludf.DUMMYFUNCTION("""COMPUTED_VALUE"""),42270.7055555555)</f>
        <v>42270.705555555498</v>
      </c>
      <c r="N1422" s="111">
        <f ca="1">IFERROR(__xludf.DUMMYFUNCTION("""COMPUTED_VALUE"""),11.35)</f>
        <v>11.35</v>
      </c>
      <c r="O1422" s="112">
        <f ca="1">IFERROR(__xludf.DUMMYFUNCTION("""COMPUTED_VALUE"""),42348.7055555555)</f>
        <v>42348.705555555498</v>
      </c>
      <c r="P1422" s="111">
        <f ca="1">IFERROR(__xludf.DUMMYFUNCTION("""COMPUTED_VALUE"""),12.67)</f>
        <v>12.67</v>
      </c>
      <c r="Q1422" s="112">
        <f ca="1">IFERROR(__xludf.DUMMYFUNCTION("""COMPUTED_VALUE"""),42346.7055555555)</f>
        <v>42346.705555555498</v>
      </c>
      <c r="R1422" s="111">
        <f ca="1">IFERROR(__xludf.DUMMYFUNCTION("""COMPUTED_VALUE"""),17.08)</f>
        <v>17.079999999999998</v>
      </c>
      <c r="S1422" s="112">
        <f ca="1">IFERROR(__xludf.DUMMYFUNCTION("""COMPUTED_VALUE"""),42359.7055555555)</f>
        <v>42359.705555555498</v>
      </c>
      <c r="T1422" s="111">
        <f ca="1">IFERROR(__xludf.DUMMYFUNCTION("""COMPUTED_VALUE"""),13)</f>
        <v>13</v>
      </c>
    </row>
    <row r="1423" spans="1:20" x14ac:dyDescent="0.3">
      <c r="A1423" s="112">
        <f ca="1">IFERROR(__xludf.DUMMYFUNCTION("""COMPUTED_VALUE"""),42355.7055555555)</f>
        <v>42355.705555555498</v>
      </c>
      <c r="B1423" s="111">
        <f ca="1">IFERROR(__xludf.DUMMYFUNCTION("""COMPUTED_VALUE"""),5.79)</f>
        <v>5.79</v>
      </c>
      <c r="C1423" s="112">
        <f ca="1">IFERROR(__xludf.DUMMYFUNCTION("""COMPUTED_VALUE"""),42366.7055555555)</f>
        <v>42366.705555555498</v>
      </c>
      <c r="D1423" s="111">
        <f ca="1">IFERROR(__xludf.DUMMYFUNCTION("""COMPUTED_VALUE"""),16)</f>
        <v>16</v>
      </c>
      <c r="E1423" s="112">
        <f ca="1">IFERROR(__xludf.DUMMYFUNCTION("""COMPUTED_VALUE"""),42367.7055555555)</f>
        <v>42367.705555555498</v>
      </c>
      <c r="F1423" s="111">
        <f ca="1">IFERROR(__xludf.DUMMYFUNCTION("""COMPUTED_VALUE"""),5.49)</f>
        <v>5.49</v>
      </c>
      <c r="G1423" s="112">
        <f ca="1">IFERROR(__xludf.DUMMYFUNCTION("""COMPUTED_VALUE"""),42356.7055555555)</f>
        <v>42356.705555555498</v>
      </c>
      <c r="H1423" s="111">
        <f ca="1">IFERROR(__xludf.DUMMYFUNCTION("""COMPUTED_VALUE"""),7.02)</f>
        <v>7.02</v>
      </c>
      <c r="K1423" s="112">
        <f ca="1">IFERROR(__xludf.DUMMYFUNCTION("""COMPUTED_VALUE"""),42810.7055555555)</f>
        <v>42810.705555555498</v>
      </c>
      <c r="L1423" s="111">
        <f ca="1">IFERROR(__xludf.DUMMYFUNCTION("""COMPUTED_VALUE"""),0.77)</f>
        <v>0.77</v>
      </c>
      <c r="M1423" s="112">
        <f ca="1">IFERROR(__xludf.DUMMYFUNCTION("""COMPUTED_VALUE"""),42271.7055555555)</f>
        <v>42271.705555555498</v>
      </c>
      <c r="N1423" s="111">
        <f ca="1">IFERROR(__xludf.DUMMYFUNCTION("""COMPUTED_VALUE"""),11.48)</f>
        <v>11.48</v>
      </c>
      <c r="O1423" s="112">
        <f ca="1">IFERROR(__xludf.DUMMYFUNCTION("""COMPUTED_VALUE"""),42349.7055555555)</f>
        <v>42349.705555555498</v>
      </c>
      <c r="P1423" s="111">
        <f ca="1">IFERROR(__xludf.DUMMYFUNCTION("""COMPUTED_VALUE"""),12.21)</f>
        <v>12.21</v>
      </c>
      <c r="Q1423" s="112">
        <f ca="1">IFERROR(__xludf.DUMMYFUNCTION("""COMPUTED_VALUE"""),42347.7055555555)</f>
        <v>42347.705555555498</v>
      </c>
      <c r="R1423" s="111">
        <f ca="1">IFERROR(__xludf.DUMMYFUNCTION("""COMPUTED_VALUE"""),18.8)</f>
        <v>18.8</v>
      </c>
      <c r="S1423" s="112">
        <f ca="1">IFERROR(__xludf.DUMMYFUNCTION("""COMPUTED_VALUE"""),42360.7055555555)</f>
        <v>42360.705555555498</v>
      </c>
      <c r="T1423" s="111">
        <f ca="1">IFERROR(__xludf.DUMMYFUNCTION("""COMPUTED_VALUE"""),12.66)</f>
        <v>12.66</v>
      </c>
    </row>
    <row r="1424" spans="1:20" x14ac:dyDescent="0.3">
      <c r="A1424" s="112">
        <f ca="1">IFERROR(__xludf.DUMMYFUNCTION("""COMPUTED_VALUE"""),42356.7055555555)</f>
        <v>42356.705555555498</v>
      </c>
      <c r="B1424" s="111">
        <f ca="1">IFERROR(__xludf.DUMMYFUNCTION("""COMPUTED_VALUE"""),5.65)</f>
        <v>5.65</v>
      </c>
      <c r="C1424" s="112">
        <f ca="1">IFERROR(__xludf.DUMMYFUNCTION("""COMPUTED_VALUE"""),42367.7055555555)</f>
        <v>42367.705555555498</v>
      </c>
      <c r="D1424" s="111">
        <f ca="1">IFERROR(__xludf.DUMMYFUNCTION("""COMPUTED_VALUE"""),16.01)</f>
        <v>16.010000000000002</v>
      </c>
      <c r="E1424" s="112">
        <f ca="1">IFERROR(__xludf.DUMMYFUNCTION("""COMPUTED_VALUE"""),42368.7055555555)</f>
        <v>42368.705555555498</v>
      </c>
      <c r="F1424" s="111">
        <f ca="1">IFERROR(__xludf.DUMMYFUNCTION("""COMPUTED_VALUE"""),5.42)</f>
        <v>5.42</v>
      </c>
      <c r="G1424" s="112">
        <f ca="1">IFERROR(__xludf.DUMMYFUNCTION("""COMPUTED_VALUE"""),42359.7055555555)</f>
        <v>42359.705555555498</v>
      </c>
      <c r="H1424" s="111">
        <f ca="1">IFERROR(__xludf.DUMMYFUNCTION("""COMPUTED_VALUE"""),6.64)</f>
        <v>6.64</v>
      </c>
      <c r="K1424" s="112">
        <f ca="1">IFERROR(__xludf.DUMMYFUNCTION("""COMPUTED_VALUE"""),42811.7055555555)</f>
        <v>42811.705555555498</v>
      </c>
      <c r="L1424" s="111">
        <f ca="1">IFERROR(__xludf.DUMMYFUNCTION("""COMPUTED_VALUE"""),0.72)</f>
        <v>0.72</v>
      </c>
      <c r="M1424" s="112">
        <f ca="1">IFERROR(__xludf.DUMMYFUNCTION("""COMPUTED_VALUE"""),42272.7055555555)</f>
        <v>42272.705555555498</v>
      </c>
      <c r="N1424" s="111">
        <f ca="1">IFERROR(__xludf.DUMMYFUNCTION("""COMPUTED_VALUE"""),11.22)</f>
        <v>11.22</v>
      </c>
      <c r="O1424" s="112">
        <f ca="1">IFERROR(__xludf.DUMMYFUNCTION("""COMPUTED_VALUE"""),42352.7055555555)</f>
        <v>42352.705555555498</v>
      </c>
      <c r="P1424" s="111">
        <f ca="1">IFERROR(__xludf.DUMMYFUNCTION("""COMPUTED_VALUE"""),12.46)</f>
        <v>12.46</v>
      </c>
      <c r="Q1424" s="112">
        <f ca="1">IFERROR(__xludf.DUMMYFUNCTION("""COMPUTED_VALUE"""),42348.7055555555)</f>
        <v>42348.705555555498</v>
      </c>
      <c r="R1424" s="111">
        <f ca="1">IFERROR(__xludf.DUMMYFUNCTION("""COMPUTED_VALUE"""),18)</f>
        <v>18</v>
      </c>
      <c r="S1424" s="112">
        <f ca="1">IFERROR(__xludf.DUMMYFUNCTION("""COMPUTED_VALUE"""),42361.7055555555)</f>
        <v>42361.705555555498</v>
      </c>
      <c r="T1424" s="111">
        <f ca="1">IFERROR(__xludf.DUMMYFUNCTION("""COMPUTED_VALUE"""),12.77)</f>
        <v>12.77</v>
      </c>
    </row>
    <row r="1425" spans="1:20" x14ac:dyDescent="0.3">
      <c r="A1425" s="112">
        <f ca="1">IFERROR(__xludf.DUMMYFUNCTION("""COMPUTED_VALUE"""),42359.7055555555)</f>
        <v>42359.705555555498</v>
      </c>
      <c r="B1425" s="111">
        <f ca="1">IFERROR(__xludf.DUMMYFUNCTION("""COMPUTED_VALUE"""),5.45)</f>
        <v>5.45</v>
      </c>
      <c r="C1425" s="112">
        <f ca="1">IFERROR(__xludf.DUMMYFUNCTION("""COMPUTED_VALUE"""),42368.7055555555)</f>
        <v>42368.705555555498</v>
      </c>
      <c r="D1425" s="111">
        <f ca="1">IFERROR(__xludf.DUMMYFUNCTION("""COMPUTED_VALUE"""),15.96)</f>
        <v>15.96</v>
      </c>
      <c r="E1425" s="112">
        <f ca="1">IFERROR(__xludf.DUMMYFUNCTION("""COMPUTED_VALUE"""),42373.7055555555)</f>
        <v>42373.705555555498</v>
      </c>
      <c r="F1425" s="111">
        <f ca="1">IFERROR(__xludf.DUMMYFUNCTION("""COMPUTED_VALUE"""),5.19)</f>
        <v>5.19</v>
      </c>
      <c r="G1425" s="112">
        <f ca="1">IFERROR(__xludf.DUMMYFUNCTION("""COMPUTED_VALUE"""),42360.7055555555)</f>
        <v>42360.705555555498</v>
      </c>
      <c r="H1425" s="111">
        <f ca="1">IFERROR(__xludf.DUMMYFUNCTION("""COMPUTED_VALUE"""),6.79)</f>
        <v>6.79</v>
      </c>
      <c r="K1425" s="112">
        <f ca="1">IFERROR(__xludf.DUMMYFUNCTION("""COMPUTED_VALUE"""),42814.7055555555)</f>
        <v>42814.705555555498</v>
      </c>
      <c r="L1425" s="111">
        <f ca="1">IFERROR(__xludf.DUMMYFUNCTION("""COMPUTED_VALUE"""),0.76)</f>
        <v>0.76</v>
      </c>
      <c r="M1425" s="112">
        <f ca="1">IFERROR(__xludf.DUMMYFUNCTION("""COMPUTED_VALUE"""),42275.7055555555)</f>
        <v>42275.705555555498</v>
      </c>
      <c r="N1425" s="111">
        <f ca="1">IFERROR(__xludf.DUMMYFUNCTION("""COMPUTED_VALUE"""),10.94)</f>
        <v>10.94</v>
      </c>
      <c r="O1425" s="112">
        <f ca="1">IFERROR(__xludf.DUMMYFUNCTION("""COMPUTED_VALUE"""),42353.7055555555)</f>
        <v>42353.705555555498</v>
      </c>
      <c r="P1425" s="111">
        <f ca="1">IFERROR(__xludf.DUMMYFUNCTION("""COMPUTED_VALUE"""),12.88)</f>
        <v>12.88</v>
      </c>
      <c r="Q1425" s="112">
        <f ca="1">IFERROR(__xludf.DUMMYFUNCTION("""COMPUTED_VALUE"""),42349.7055555555)</f>
        <v>42349.705555555498</v>
      </c>
      <c r="R1425" s="111">
        <f ca="1">IFERROR(__xludf.DUMMYFUNCTION("""COMPUTED_VALUE"""),17.65)</f>
        <v>17.649999999999999</v>
      </c>
      <c r="S1425" s="112">
        <f ca="1">IFERROR(__xludf.DUMMYFUNCTION("""COMPUTED_VALUE"""),42366.7055555555)</f>
        <v>42366.705555555498</v>
      </c>
      <c r="T1425" s="111">
        <f ca="1">IFERROR(__xludf.DUMMYFUNCTION("""COMPUTED_VALUE"""),12.75)</f>
        <v>12.75</v>
      </c>
    </row>
    <row r="1426" spans="1:20" x14ac:dyDescent="0.3">
      <c r="A1426" s="112">
        <f ca="1">IFERROR(__xludf.DUMMYFUNCTION("""COMPUTED_VALUE"""),42360.7055555555)</f>
        <v>42360.705555555498</v>
      </c>
      <c r="B1426" s="111">
        <f ca="1">IFERROR(__xludf.DUMMYFUNCTION("""COMPUTED_VALUE"""),5.54)</f>
        <v>5.54</v>
      </c>
      <c r="C1426" s="112">
        <f ca="1">IFERROR(__xludf.DUMMYFUNCTION("""COMPUTED_VALUE"""),42373.7055555555)</f>
        <v>42373.705555555498</v>
      </c>
      <c r="D1426" s="111">
        <f ca="1">IFERROR(__xludf.DUMMYFUNCTION("""COMPUTED_VALUE"""),15.23)</f>
        <v>15.23</v>
      </c>
      <c r="E1426" s="112">
        <f ca="1">IFERROR(__xludf.DUMMYFUNCTION("""COMPUTED_VALUE"""),42374.7055555555)</f>
        <v>42374.705555555498</v>
      </c>
      <c r="F1426" s="111">
        <f ca="1">IFERROR(__xludf.DUMMYFUNCTION("""COMPUTED_VALUE"""),5.28)</f>
        <v>5.28</v>
      </c>
      <c r="G1426" s="112">
        <f ca="1">IFERROR(__xludf.DUMMYFUNCTION("""COMPUTED_VALUE"""),42361.7055555555)</f>
        <v>42361.705555555498</v>
      </c>
      <c r="H1426" s="111">
        <f ca="1">IFERROR(__xludf.DUMMYFUNCTION("""COMPUTED_VALUE"""),6.93)</f>
        <v>6.93</v>
      </c>
      <c r="K1426" s="112">
        <f ca="1">IFERROR(__xludf.DUMMYFUNCTION("""COMPUTED_VALUE"""),42815.7055555555)</f>
        <v>42815.705555555498</v>
      </c>
      <c r="L1426" s="111">
        <f ca="1">IFERROR(__xludf.DUMMYFUNCTION("""COMPUTED_VALUE"""),0.72)</f>
        <v>0.72</v>
      </c>
      <c r="M1426" s="112">
        <f ca="1">IFERROR(__xludf.DUMMYFUNCTION("""COMPUTED_VALUE"""),42276.7055555555)</f>
        <v>42276.705555555498</v>
      </c>
      <c r="N1426" s="111">
        <f ca="1">IFERROR(__xludf.DUMMYFUNCTION("""COMPUTED_VALUE"""),10.87)</f>
        <v>10.87</v>
      </c>
      <c r="O1426" s="112">
        <f ca="1">IFERROR(__xludf.DUMMYFUNCTION("""COMPUTED_VALUE"""),42354.7055555555)</f>
        <v>42354.705555555498</v>
      </c>
      <c r="P1426" s="111">
        <f ca="1">IFERROR(__xludf.DUMMYFUNCTION("""COMPUTED_VALUE"""),13.25)</f>
        <v>13.25</v>
      </c>
      <c r="Q1426" s="112">
        <f ca="1">IFERROR(__xludf.DUMMYFUNCTION("""COMPUTED_VALUE"""),42352.7055555555)</f>
        <v>42352.705555555498</v>
      </c>
      <c r="R1426" s="111">
        <f ca="1">IFERROR(__xludf.DUMMYFUNCTION("""COMPUTED_VALUE"""),16.64)</f>
        <v>16.64</v>
      </c>
      <c r="S1426" s="112">
        <f ca="1">IFERROR(__xludf.DUMMYFUNCTION("""COMPUTED_VALUE"""),42367.7055555555)</f>
        <v>42367.705555555498</v>
      </c>
      <c r="T1426" s="111">
        <f ca="1">IFERROR(__xludf.DUMMYFUNCTION("""COMPUTED_VALUE"""),13.03)</f>
        <v>13.03</v>
      </c>
    </row>
    <row r="1427" spans="1:20" x14ac:dyDescent="0.3">
      <c r="A1427" s="112">
        <f ca="1">IFERROR(__xludf.DUMMYFUNCTION("""COMPUTED_VALUE"""),42361.7055555555)</f>
        <v>42361.705555555498</v>
      </c>
      <c r="B1427" s="111">
        <f ca="1">IFERROR(__xludf.DUMMYFUNCTION("""COMPUTED_VALUE"""),5.5)</f>
        <v>5.5</v>
      </c>
      <c r="C1427" s="112">
        <f ca="1">IFERROR(__xludf.DUMMYFUNCTION("""COMPUTED_VALUE"""),42374.7055555555)</f>
        <v>42374.705555555498</v>
      </c>
      <c r="D1427" s="111">
        <f ca="1">IFERROR(__xludf.DUMMYFUNCTION("""COMPUTED_VALUE"""),15.36)</f>
        <v>15.36</v>
      </c>
      <c r="E1427" s="112">
        <f ca="1">IFERROR(__xludf.DUMMYFUNCTION("""COMPUTED_VALUE"""),42375.7055555555)</f>
        <v>42375.705555555498</v>
      </c>
      <c r="F1427" s="111">
        <f ca="1">IFERROR(__xludf.DUMMYFUNCTION("""COMPUTED_VALUE"""),5.33)</f>
        <v>5.33</v>
      </c>
      <c r="G1427" s="112">
        <f ca="1">IFERROR(__xludf.DUMMYFUNCTION("""COMPUTED_VALUE"""),42366.7055555555)</f>
        <v>42366.705555555498</v>
      </c>
      <c r="H1427" s="111">
        <f ca="1">IFERROR(__xludf.DUMMYFUNCTION("""COMPUTED_VALUE"""),6.7)</f>
        <v>6.7</v>
      </c>
      <c r="K1427" s="112">
        <f ca="1">IFERROR(__xludf.DUMMYFUNCTION("""COMPUTED_VALUE"""),42816.7055555555)</f>
        <v>42816.705555555498</v>
      </c>
      <c r="L1427" s="111">
        <f ca="1">IFERROR(__xludf.DUMMYFUNCTION("""COMPUTED_VALUE"""),0.71)</f>
        <v>0.71</v>
      </c>
      <c r="M1427" s="112">
        <f ca="1">IFERROR(__xludf.DUMMYFUNCTION("""COMPUTED_VALUE"""),42277.7055555555)</f>
        <v>42277.705555555498</v>
      </c>
      <c r="N1427" s="111">
        <f ca="1">IFERROR(__xludf.DUMMYFUNCTION("""COMPUTED_VALUE"""),11.08)</f>
        <v>11.08</v>
      </c>
      <c r="O1427" s="112">
        <f ca="1">IFERROR(__xludf.DUMMYFUNCTION("""COMPUTED_VALUE"""),42355.7055555555)</f>
        <v>42355.705555555498</v>
      </c>
      <c r="P1427" s="111">
        <f ca="1">IFERROR(__xludf.DUMMYFUNCTION("""COMPUTED_VALUE"""),12.74)</f>
        <v>12.74</v>
      </c>
      <c r="Q1427" s="112">
        <f ca="1">IFERROR(__xludf.DUMMYFUNCTION("""COMPUTED_VALUE"""),42353.7055555555)</f>
        <v>42353.705555555498</v>
      </c>
      <c r="R1427" s="111">
        <f ca="1">IFERROR(__xludf.DUMMYFUNCTION("""COMPUTED_VALUE"""),16.76)</f>
        <v>16.760000000000002</v>
      </c>
      <c r="S1427" s="112">
        <f ca="1">IFERROR(__xludf.DUMMYFUNCTION("""COMPUTED_VALUE"""),42368.7055555555)</f>
        <v>42368.705555555498</v>
      </c>
      <c r="T1427" s="111">
        <f ca="1">IFERROR(__xludf.DUMMYFUNCTION("""COMPUTED_VALUE"""),12.85)</f>
        <v>12.85</v>
      </c>
    </row>
    <row r="1428" spans="1:20" x14ac:dyDescent="0.3">
      <c r="A1428" s="112">
        <f ca="1">IFERROR(__xludf.DUMMYFUNCTION("""COMPUTED_VALUE"""),42366.7055555555)</f>
        <v>42366.705555555498</v>
      </c>
      <c r="B1428" s="111">
        <f ca="1">IFERROR(__xludf.DUMMYFUNCTION("""COMPUTED_VALUE"""),5.49)</f>
        <v>5.49</v>
      </c>
      <c r="C1428" s="112">
        <f ca="1">IFERROR(__xludf.DUMMYFUNCTION("""COMPUTED_VALUE"""),42375.7055555555)</f>
        <v>42375.705555555498</v>
      </c>
      <c r="D1428" s="111">
        <f ca="1">IFERROR(__xludf.DUMMYFUNCTION("""COMPUTED_VALUE"""),15.3)</f>
        <v>15.3</v>
      </c>
      <c r="E1428" s="112">
        <f ca="1">IFERROR(__xludf.DUMMYFUNCTION("""COMPUTED_VALUE"""),42376.7055555555)</f>
        <v>42376.705555555498</v>
      </c>
      <c r="F1428" s="111">
        <f ca="1">IFERROR(__xludf.DUMMYFUNCTION("""COMPUTED_VALUE"""),5.25)</f>
        <v>5.25</v>
      </c>
      <c r="G1428" s="112">
        <f ca="1">IFERROR(__xludf.DUMMYFUNCTION("""COMPUTED_VALUE"""),42367.7055555555)</f>
        <v>42367.705555555498</v>
      </c>
      <c r="H1428" s="111">
        <f ca="1">IFERROR(__xludf.DUMMYFUNCTION("""COMPUTED_VALUE"""),6.69)</f>
        <v>6.69</v>
      </c>
      <c r="K1428" s="112">
        <f ca="1">IFERROR(__xludf.DUMMYFUNCTION("""COMPUTED_VALUE"""),42817.7055555555)</f>
        <v>42817.705555555498</v>
      </c>
      <c r="L1428" s="111">
        <f ca="1">IFERROR(__xludf.DUMMYFUNCTION("""COMPUTED_VALUE"""),0.74)</f>
        <v>0.74</v>
      </c>
      <c r="M1428" s="112">
        <f ca="1">IFERROR(__xludf.DUMMYFUNCTION("""COMPUTED_VALUE"""),42278.7055555555)</f>
        <v>42278.705555555498</v>
      </c>
      <c r="N1428" s="111">
        <f ca="1">IFERROR(__xludf.DUMMYFUNCTION("""COMPUTED_VALUE"""),11.23)</f>
        <v>11.23</v>
      </c>
      <c r="O1428" s="112">
        <f ca="1">IFERROR(__xludf.DUMMYFUNCTION("""COMPUTED_VALUE"""),42356.7055555555)</f>
        <v>42356.705555555498</v>
      </c>
      <c r="P1428" s="111">
        <f ca="1">IFERROR(__xludf.DUMMYFUNCTION("""COMPUTED_VALUE"""),12.89)</f>
        <v>12.89</v>
      </c>
      <c r="Q1428" s="112">
        <f ca="1">IFERROR(__xludf.DUMMYFUNCTION("""COMPUTED_VALUE"""),42354.7055555555)</f>
        <v>42354.705555555498</v>
      </c>
      <c r="R1428" s="111">
        <f ca="1">IFERROR(__xludf.DUMMYFUNCTION("""COMPUTED_VALUE"""),16.5)</f>
        <v>16.5</v>
      </c>
      <c r="S1428" s="112">
        <f ca="1">IFERROR(__xludf.DUMMYFUNCTION("""COMPUTED_VALUE"""),42373.7055555555)</f>
        <v>42373.705555555498</v>
      </c>
      <c r="T1428" s="111">
        <f ca="1">IFERROR(__xludf.DUMMYFUNCTION("""COMPUTED_VALUE"""),12.13)</f>
        <v>12.13</v>
      </c>
    </row>
    <row r="1429" spans="1:20" x14ac:dyDescent="0.3">
      <c r="A1429" s="112">
        <f ca="1">IFERROR(__xludf.DUMMYFUNCTION("""COMPUTED_VALUE"""),42367.7055555555)</f>
        <v>42367.705555555498</v>
      </c>
      <c r="B1429" s="111">
        <f ca="1">IFERROR(__xludf.DUMMYFUNCTION("""COMPUTED_VALUE"""),5.59)</f>
        <v>5.59</v>
      </c>
      <c r="C1429" s="112">
        <f ca="1">IFERROR(__xludf.DUMMYFUNCTION("""COMPUTED_VALUE"""),42376.7055555555)</f>
        <v>42376.705555555498</v>
      </c>
      <c r="D1429" s="111">
        <f ca="1">IFERROR(__xludf.DUMMYFUNCTION("""COMPUTED_VALUE"""),15.01)</f>
        <v>15.01</v>
      </c>
      <c r="E1429" s="112">
        <f ca="1">IFERROR(__xludf.DUMMYFUNCTION("""COMPUTED_VALUE"""),42377.7055555555)</f>
        <v>42377.705555555498</v>
      </c>
      <c r="F1429" s="111">
        <f ca="1">IFERROR(__xludf.DUMMYFUNCTION("""COMPUTED_VALUE"""),5.25)</f>
        <v>5.25</v>
      </c>
      <c r="G1429" s="112">
        <f ca="1">IFERROR(__xludf.DUMMYFUNCTION("""COMPUTED_VALUE"""),42368.7055555555)</f>
        <v>42368.705555555498</v>
      </c>
      <c r="H1429" s="111">
        <f ca="1">IFERROR(__xludf.DUMMYFUNCTION("""COMPUTED_VALUE"""),6.7)</f>
        <v>6.7</v>
      </c>
      <c r="K1429" s="112">
        <f ca="1">IFERROR(__xludf.DUMMYFUNCTION("""COMPUTED_VALUE"""),42818.7055555555)</f>
        <v>42818.705555555498</v>
      </c>
      <c r="L1429" s="111">
        <f ca="1">IFERROR(__xludf.DUMMYFUNCTION("""COMPUTED_VALUE"""),0.71)</f>
        <v>0.71</v>
      </c>
      <c r="M1429" s="112">
        <f ca="1">IFERROR(__xludf.DUMMYFUNCTION("""COMPUTED_VALUE"""),42279.7055555555)</f>
        <v>42279.705555555498</v>
      </c>
      <c r="N1429" s="111">
        <f ca="1">IFERROR(__xludf.DUMMYFUNCTION("""COMPUTED_VALUE"""),11.65)</f>
        <v>11.65</v>
      </c>
      <c r="O1429" s="112">
        <f ca="1">IFERROR(__xludf.DUMMYFUNCTION("""COMPUTED_VALUE"""),42359.7055555555)</f>
        <v>42359.705555555498</v>
      </c>
      <c r="P1429" s="111">
        <f ca="1">IFERROR(__xludf.DUMMYFUNCTION("""COMPUTED_VALUE"""),12.29)</f>
        <v>12.29</v>
      </c>
      <c r="Q1429" s="112">
        <f ca="1">IFERROR(__xludf.DUMMYFUNCTION("""COMPUTED_VALUE"""),42355.7055555555)</f>
        <v>42355.705555555498</v>
      </c>
      <c r="R1429" s="111">
        <f ca="1">IFERROR(__xludf.DUMMYFUNCTION("""COMPUTED_VALUE"""),16.39)</f>
        <v>16.39</v>
      </c>
      <c r="S1429" s="112">
        <f ca="1">IFERROR(__xludf.DUMMYFUNCTION("""COMPUTED_VALUE"""),42374.7055555555)</f>
        <v>42374.705555555498</v>
      </c>
      <c r="T1429" s="111">
        <f ca="1">IFERROR(__xludf.DUMMYFUNCTION("""COMPUTED_VALUE"""),13)</f>
        <v>13</v>
      </c>
    </row>
    <row r="1430" spans="1:20" x14ac:dyDescent="0.3">
      <c r="A1430" s="112">
        <f ca="1">IFERROR(__xludf.DUMMYFUNCTION("""COMPUTED_VALUE"""),42368.7055555555)</f>
        <v>42368.705555555498</v>
      </c>
      <c r="B1430" s="111">
        <f ca="1">IFERROR(__xludf.DUMMYFUNCTION("""COMPUTED_VALUE"""),5.7)</f>
        <v>5.7</v>
      </c>
      <c r="C1430" s="112">
        <f ca="1">IFERROR(__xludf.DUMMYFUNCTION("""COMPUTED_VALUE"""),42377.7055555555)</f>
        <v>42377.705555555498</v>
      </c>
      <c r="D1430" s="111">
        <f ca="1">IFERROR(__xludf.DUMMYFUNCTION("""COMPUTED_VALUE"""),15.01)</f>
        <v>15.01</v>
      </c>
      <c r="E1430" s="112">
        <f ca="1">IFERROR(__xludf.DUMMYFUNCTION("""COMPUTED_VALUE"""),42380.7055555555)</f>
        <v>42380.705555555498</v>
      </c>
      <c r="F1430" s="111">
        <f ca="1">IFERROR(__xludf.DUMMYFUNCTION("""COMPUTED_VALUE"""),5.19)</f>
        <v>5.19</v>
      </c>
      <c r="G1430" s="112">
        <f ca="1">IFERROR(__xludf.DUMMYFUNCTION("""COMPUTED_VALUE"""),42373.7055555555)</f>
        <v>42373.705555555498</v>
      </c>
      <c r="H1430" s="111">
        <f ca="1">IFERROR(__xludf.DUMMYFUNCTION("""COMPUTED_VALUE"""),6.87)</f>
        <v>6.87</v>
      </c>
      <c r="K1430" s="112">
        <f ca="1">IFERROR(__xludf.DUMMYFUNCTION("""COMPUTED_VALUE"""),42821.7055555555)</f>
        <v>42821.705555555498</v>
      </c>
      <c r="L1430" s="111">
        <f ca="1">IFERROR(__xludf.DUMMYFUNCTION("""COMPUTED_VALUE"""),0.71)</f>
        <v>0.71</v>
      </c>
      <c r="M1430" s="112">
        <f ca="1">IFERROR(__xludf.DUMMYFUNCTION("""COMPUTED_VALUE"""),42282.7055555555)</f>
        <v>42282.705555555498</v>
      </c>
      <c r="N1430" s="111">
        <f ca="1">IFERROR(__xludf.DUMMYFUNCTION("""COMPUTED_VALUE"""),11.99)</f>
        <v>11.99</v>
      </c>
      <c r="O1430" s="112">
        <f ca="1">IFERROR(__xludf.DUMMYFUNCTION("""COMPUTED_VALUE"""),42360.7055555555)</f>
        <v>42360.705555555498</v>
      </c>
      <c r="P1430" s="111">
        <f ca="1">IFERROR(__xludf.DUMMYFUNCTION("""COMPUTED_VALUE"""),12.55)</f>
        <v>12.55</v>
      </c>
      <c r="Q1430" s="112">
        <f ca="1">IFERROR(__xludf.DUMMYFUNCTION("""COMPUTED_VALUE"""),42356.7055555555)</f>
        <v>42356.705555555498</v>
      </c>
      <c r="R1430" s="111">
        <f ca="1">IFERROR(__xludf.DUMMYFUNCTION("""COMPUTED_VALUE"""),15.95)</f>
        <v>15.95</v>
      </c>
      <c r="S1430" s="112">
        <f ca="1">IFERROR(__xludf.DUMMYFUNCTION("""COMPUTED_VALUE"""),42375.7055555555)</f>
        <v>42375.705555555498</v>
      </c>
      <c r="T1430" s="111">
        <f ca="1">IFERROR(__xludf.DUMMYFUNCTION("""COMPUTED_VALUE"""),12.92)</f>
        <v>12.92</v>
      </c>
    </row>
    <row r="1431" spans="1:20" x14ac:dyDescent="0.3">
      <c r="A1431" s="112">
        <f ca="1">IFERROR(__xludf.DUMMYFUNCTION("""COMPUTED_VALUE"""),42373.7055555555)</f>
        <v>42373.705555555498</v>
      </c>
      <c r="B1431" s="111">
        <f ca="1">IFERROR(__xludf.DUMMYFUNCTION("""COMPUTED_VALUE"""),5.37)</f>
        <v>5.37</v>
      </c>
      <c r="C1431" s="112">
        <f ca="1">IFERROR(__xludf.DUMMYFUNCTION("""COMPUTED_VALUE"""),42380.7055555555)</f>
        <v>42380.705555555498</v>
      </c>
      <c r="D1431" s="111">
        <f ca="1">IFERROR(__xludf.DUMMYFUNCTION("""COMPUTED_VALUE"""),14.84)</f>
        <v>14.84</v>
      </c>
      <c r="E1431" s="112">
        <f ca="1">IFERROR(__xludf.DUMMYFUNCTION("""COMPUTED_VALUE"""),42381.7055555555)</f>
        <v>42381.705555555498</v>
      </c>
      <c r="F1431" s="111">
        <f ca="1">IFERROR(__xludf.DUMMYFUNCTION("""COMPUTED_VALUE"""),5.12)</f>
        <v>5.12</v>
      </c>
      <c r="G1431" s="112">
        <f ca="1">IFERROR(__xludf.DUMMYFUNCTION("""COMPUTED_VALUE"""),42374.7055555555)</f>
        <v>42374.705555555498</v>
      </c>
      <c r="H1431" s="111">
        <f ca="1">IFERROR(__xludf.DUMMYFUNCTION("""COMPUTED_VALUE"""),6.68)</f>
        <v>6.68</v>
      </c>
      <c r="K1431" s="112">
        <f ca="1">IFERROR(__xludf.DUMMYFUNCTION("""COMPUTED_VALUE"""),42822.7055555555)</f>
        <v>42822.705555555498</v>
      </c>
      <c r="L1431" s="111">
        <f ca="1">IFERROR(__xludf.DUMMYFUNCTION("""COMPUTED_VALUE"""),0.69)</f>
        <v>0.69</v>
      </c>
      <c r="M1431" s="112">
        <f ca="1">IFERROR(__xludf.DUMMYFUNCTION("""COMPUTED_VALUE"""),42283.7055555555)</f>
        <v>42283.705555555498</v>
      </c>
      <c r="N1431" s="111">
        <f ca="1">IFERROR(__xludf.DUMMYFUNCTION("""COMPUTED_VALUE"""),12.1)</f>
        <v>12.1</v>
      </c>
      <c r="O1431" s="112">
        <f ca="1">IFERROR(__xludf.DUMMYFUNCTION("""COMPUTED_VALUE"""),42361.7055555555)</f>
        <v>42361.705555555498</v>
      </c>
      <c r="P1431" s="111">
        <f ca="1">IFERROR(__xludf.DUMMYFUNCTION("""COMPUTED_VALUE"""),13.22)</f>
        <v>13.22</v>
      </c>
      <c r="Q1431" s="112">
        <f ca="1">IFERROR(__xludf.DUMMYFUNCTION("""COMPUTED_VALUE"""),42359.7055555555)</f>
        <v>42359.705555555498</v>
      </c>
      <c r="R1431" s="111">
        <f ca="1">IFERROR(__xludf.DUMMYFUNCTION("""COMPUTED_VALUE"""),14.91)</f>
        <v>14.91</v>
      </c>
      <c r="S1431" s="112">
        <f ca="1">IFERROR(__xludf.DUMMYFUNCTION("""COMPUTED_VALUE"""),42376.7055555555)</f>
        <v>42376.705555555498</v>
      </c>
      <c r="T1431" s="111">
        <f ca="1">IFERROR(__xludf.DUMMYFUNCTION("""COMPUTED_VALUE"""),12.71)</f>
        <v>12.71</v>
      </c>
    </row>
    <row r="1432" spans="1:20" x14ac:dyDescent="0.3">
      <c r="A1432" s="112">
        <f ca="1">IFERROR(__xludf.DUMMYFUNCTION("""COMPUTED_VALUE"""),42374.7055555555)</f>
        <v>42374.705555555498</v>
      </c>
      <c r="B1432" s="111">
        <f ca="1">IFERROR(__xludf.DUMMYFUNCTION("""COMPUTED_VALUE"""),5.49)</f>
        <v>5.49</v>
      </c>
      <c r="C1432" s="112">
        <f ca="1">IFERROR(__xludf.DUMMYFUNCTION("""COMPUTED_VALUE"""),42381.7055555555)</f>
        <v>42381.705555555498</v>
      </c>
      <c r="D1432" s="111">
        <f ca="1">IFERROR(__xludf.DUMMYFUNCTION("""COMPUTED_VALUE"""),14.9)</f>
        <v>14.9</v>
      </c>
      <c r="E1432" s="112">
        <f ca="1">IFERROR(__xludf.DUMMYFUNCTION("""COMPUTED_VALUE"""),42382.7055555555)</f>
        <v>42382.705555555498</v>
      </c>
      <c r="F1432" s="111">
        <f ca="1">IFERROR(__xludf.DUMMYFUNCTION("""COMPUTED_VALUE"""),5.14)</f>
        <v>5.14</v>
      </c>
      <c r="G1432" s="112">
        <f ca="1">IFERROR(__xludf.DUMMYFUNCTION("""COMPUTED_VALUE"""),42375.7055555555)</f>
        <v>42375.705555555498</v>
      </c>
      <c r="H1432" s="111">
        <f ca="1">IFERROR(__xludf.DUMMYFUNCTION("""COMPUTED_VALUE"""),6.4)</f>
        <v>6.4</v>
      </c>
      <c r="K1432" s="112">
        <f ca="1">IFERROR(__xludf.DUMMYFUNCTION("""COMPUTED_VALUE"""),42823.7055555555)</f>
        <v>42823.705555555498</v>
      </c>
      <c r="L1432" s="111">
        <f ca="1">IFERROR(__xludf.DUMMYFUNCTION("""COMPUTED_VALUE"""),0.7)</f>
        <v>0.7</v>
      </c>
      <c r="M1432" s="112">
        <f ca="1">IFERROR(__xludf.DUMMYFUNCTION("""COMPUTED_VALUE"""),42284.7055555555)</f>
        <v>42284.705555555498</v>
      </c>
      <c r="N1432" s="111">
        <f ca="1">IFERROR(__xludf.DUMMYFUNCTION("""COMPUTED_VALUE"""),12.54)</f>
        <v>12.54</v>
      </c>
      <c r="O1432" s="112">
        <f ca="1">IFERROR(__xludf.DUMMYFUNCTION("""COMPUTED_VALUE"""),42366.7055555555)</f>
        <v>42366.705555555498</v>
      </c>
      <c r="P1432" s="111">
        <f ca="1">IFERROR(__xludf.DUMMYFUNCTION("""COMPUTED_VALUE"""),12.64)</f>
        <v>12.64</v>
      </c>
      <c r="Q1432" s="112">
        <f ca="1">IFERROR(__xludf.DUMMYFUNCTION("""COMPUTED_VALUE"""),42360.7055555555)</f>
        <v>42360.705555555498</v>
      </c>
      <c r="R1432" s="111">
        <f ca="1">IFERROR(__xludf.DUMMYFUNCTION("""COMPUTED_VALUE"""),15)</f>
        <v>15</v>
      </c>
      <c r="S1432" s="112">
        <f ca="1">IFERROR(__xludf.DUMMYFUNCTION("""COMPUTED_VALUE"""),42377.7055555555)</f>
        <v>42377.705555555498</v>
      </c>
      <c r="T1432" s="111">
        <f ca="1">IFERROR(__xludf.DUMMYFUNCTION("""COMPUTED_VALUE"""),12.68)</f>
        <v>12.68</v>
      </c>
    </row>
    <row r="1433" spans="1:20" x14ac:dyDescent="0.3">
      <c r="A1433" s="112">
        <f ca="1">IFERROR(__xludf.DUMMYFUNCTION("""COMPUTED_VALUE"""),42375.7055555555)</f>
        <v>42375.705555555498</v>
      </c>
      <c r="B1433" s="111">
        <f ca="1">IFERROR(__xludf.DUMMYFUNCTION("""COMPUTED_VALUE"""),5.39)</f>
        <v>5.39</v>
      </c>
      <c r="C1433" s="112">
        <f ca="1">IFERROR(__xludf.DUMMYFUNCTION("""COMPUTED_VALUE"""),42382.7055555555)</f>
        <v>42382.705555555498</v>
      </c>
      <c r="D1433" s="111">
        <f ca="1">IFERROR(__xludf.DUMMYFUNCTION("""COMPUTED_VALUE"""),14.67)</f>
        <v>14.67</v>
      </c>
      <c r="E1433" s="112">
        <f ca="1">IFERROR(__xludf.DUMMYFUNCTION("""COMPUTED_VALUE"""),42383.7055555555)</f>
        <v>42383.705555555498</v>
      </c>
      <c r="F1433" s="111">
        <f ca="1">IFERROR(__xludf.DUMMYFUNCTION("""COMPUTED_VALUE"""),5.16)</f>
        <v>5.16</v>
      </c>
      <c r="G1433" s="112">
        <f ca="1">IFERROR(__xludf.DUMMYFUNCTION("""COMPUTED_VALUE"""),42376.7055555555)</f>
        <v>42376.705555555498</v>
      </c>
      <c r="H1433" s="111">
        <f ca="1">IFERROR(__xludf.DUMMYFUNCTION("""COMPUTED_VALUE"""),6.26)</f>
        <v>6.26</v>
      </c>
      <c r="K1433" s="112">
        <f ca="1">IFERROR(__xludf.DUMMYFUNCTION("""COMPUTED_VALUE"""),42824.7055555555)</f>
        <v>42824.705555555498</v>
      </c>
      <c r="L1433" s="111">
        <f ca="1">IFERROR(__xludf.DUMMYFUNCTION("""COMPUTED_VALUE"""),0.71)</f>
        <v>0.71</v>
      </c>
      <c r="M1433" s="112">
        <f ca="1">IFERROR(__xludf.DUMMYFUNCTION("""COMPUTED_VALUE"""),42285.7055555555)</f>
        <v>42285.705555555498</v>
      </c>
      <c r="N1433" s="111">
        <f ca="1">IFERROR(__xludf.DUMMYFUNCTION("""COMPUTED_VALUE"""),12.55)</f>
        <v>12.55</v>
      </c>
      <c r="O1433" s="112">
        <f ca="1">IFERROR(__xludf.DUMMYFUNCTION("""COMPUTED_VALUE"""),42367.7055555555)</f>
        <v>42367.705555555498</v>
      </c>
      <c r="P1433" s="111">
        <f ca="1">IFERROR(__xludf.DUMMYFUNCTION("""COMPUTED_VALUE"""),12.72)</f>
        <v>12.72</v>
      </c>
      <c r="Q1433" s="112">
        <f ca="1">IFERROR(__xludf.DUMMYFUNCTION("""COMPUTED_VALUE"""),42361.7055555555)</f>
        <v>42361.705555555498</v>
      </c>
      <c r="R1433" s="111">
        <f ca="1">IFERROR(__xludf.DUMMYFUNCTION("""COMPUTED_VALUE"""),14.85)</f>
        <v>14.85</v>
      </c>
      <c r="S1433" s="112">
        <f ca="1">IFERROR(__xludf.DUMMYFUNCTION("""COMPUTED_VALUE"""),42380.7055555555)</f>
        <v>42380.705555555498</v>
      </c>
      <c r="T1433" s="111">
        <f ca="1">IFERROR(__xludf.DUMMYFUNCTION("""COMPUTED_VALUE"""),12.32)</f>
        <v>12.32</v>
      </c>
    </row>
    <row r="1434" spans="1:20" x14ac:dyDescent="0.3">
      <c r="A1434" s="112">
        <f ca="1">IFERROR(__xludf.DUMMYFUNCTION("""COMPUTED_VALUE"""),42376.7055555555)</f>
        <v>42376.705555555498</v>
      </c>
      <c r="B1434" s="111">
        <f ca="1">IFERROR(__xludf.DUMMYFUNCTION("""COMPUTED_VALUE"""),5.12)</f>
        <v>5.12</v>
      </c>
      <c r="C1434" s="112">
        <f ca="1">IFERROR(__xludf.DUMMYFUNCTION("""COMPUTED_VALUE"""),42383.7055555555)</f>
        <v>42383.705555555498</v>
      </c>
      <c r="D1434" s="111">
        <f ca="1">IFERROR(__xludf.DUMMYFUNCTION("""COMPUTED_VALUE"""),14.88)</f>
        <v>14.88</v>
      </c>
      <c r="E1434" s="112">
        <f ca="1">IFERROR(__xludf.DUMMYFUNCTION("""COMPUTED_VALUE"""),42384.7055555555)</f>
        <v>42384.705555555498</v>
      </c>
      <c r="F1434" s="111">
        <f ca="1">IFERROR(__xludf.DUMMYFUNCTION("""COMPUTED_VALUE"""),5.08)</f>
        <v>5.08</v>
      </c>
      <c r="G1434" s="112">
        <f ca="1">IFERROR(__xludf.DUMMYFUNCTION("""COMPUTED_VALUE"""),42377.7055555555)</f>
        <v>42377.705555555498</v>
      </c>
      <c r="H1434" s="111">
        <f ca="1">IFERROR(__xludf.DUMMYFUNCTION("""COMPUTED_VALUE"""),6.27)</f>
        <v>6.27</v>
      </c>
      <c r="K1434" s="112">
        <f ca="1">IFERROR(__xludf.DUMMYFUNCTION("""COMPUTED_VALUE"""),42825.7055555555)</f>
        <v>42825.705555555498</v>
      </c>
      <c r="L1434" s="111">
        <f ca="1">IFERROR(__xludf.DUMMYFUNCTION("""COMPUTED_VALUE"""),0.69)</f>
        <v>0.69</v>
      </c>
      <c r="M1434" s="112">
        <f ca="1">IFERROR(__xludf.DUMMYFUNCTION("""COMPUTED_VALUE"""),42286.7055555555)</f>
        <v>42286.705555555498</v>
      </c>
      <c r="N1434" s="111">
        <f ca="1">IFERROR(__xludf.DUMMYFUNCTION("""COMPUTED_VALUE"""),12.41)</f>
        <v>12.41</v>
      </c>
      <c r="O1434" s="112">
        <f ca="1">IFERROR(__xludf.DUMMYFUNCTION("""COMPUTED_VALUE"""),42368.7055555555)</f>
        <v>42368.705555555498</v>
      </c>
      <c r="P1434" s="111">
        <f ca="1">IFERROR(__xludf.DUMMYFUNCTION("""COMPUTED_VALUE"""),13.03)</f>
        <v>13.03</v>
      </c>
      <c r="Q1434" s="112">
        <f ca="1">IFERROR(__xludf.DUMMYFUNCTION("""COMPUTED_VALUE"""),42366.7055555555)</f>
        <v>42366.705555555498</v>
      </c>
      <c r="R1434" s="111">
        <f ca="1">IFERROR(__xludf.DUMMYFUNCTION("""COMPUTED_VALUE"""),14.98)</f>
        <v>14.98</v>
      </c>
      <c r="S1434" s="112">
        <f ca="1">IFERROR(__xludf.DUMMYFUNCTION("""COMPUTED_VALUE"""),42381.7055555555)</f>
        <v>42381.705555555498</v>
      </c>
      <c r="T1434" s="111">
        <f ca="1">IFERROR(__xludf.DUMMYFUNCTION("""COMPUTED_VALUE"""),12.61)</f>
        <v>12.61</v>
      </c>
    </row>
    <row r="1435" spans="1:20" x14ac:dyDescent="0.3">
      <c r="A1435" s="112">
        <f ca="1">IFERROR(__xludf.DUMMYFUNCTION("""COMPUTED_VALUE"""),42377.7055555555)</f>
        <v>42377.705555555498</v>
      </c>
      <c r="B1435" s="111">
        <f ca="1">IFERROR(__xludf.DUMMYFUNCTION("""COMPUTED_VALUE"""),4.98)</f>
        <v>4.9800000000000004</v>
      </c>
      <c r="C1435" s="112">
        <f ca="1">IFERROR(__xludf.DUMMYFUNCTION("""COMPUTED_VALUE"""),42384.7055555555)</f>
        <v>42384.705555555498</v>
      </c>
      <c r="D1435" s="111">
        <f ca="1">IFERROR(__xludf.DUMMYFUNCTION("""COMPUTED_VALUE"""),14.5)</f>
        <v>14.5</v>
      </c>
      <c r="E1435" s="112">
        <f ca="1">IFERROR(__xludf.DUMMYFUNCTION("""COMPUTED_VALUE"""),42387.7055555555)</f>
        <v>42387.705555555498</v>
      </c>
      <c r="F1435" s="111">
        <f ca="1">IFERROR(__xludf.DUMMYFUNCTION("""COMPUTED_VALUE"""),5.05)</f>
        <v>5.05</v>
      </c>
      <c r="G1435" s="112">
        <f ca="1">IFERROR(__xludf.DUMMYFUNCTION("""COMPUTED_VALUE"""),42380.7055555555)</f>
        <v>42380.705555555498</v>
      </c>
      <c r="H1435" s="111">
        <f ca="1">IFERROR(__xludf.DUMMYFUNCTION("""COMPUTED_VALUE"""),6.09)</f>
        <v>6.09</v>
      </c>
      <c r="K1435" s="112">
        <f ca="1">IFERROR(__xludf.DUMMYFUNCTION("""COMPUTED_VALUE"""),42828.7055555555)</f>
        <v>42828.705555555498</v>
      </c>
      <c r="L1435" s="111">
        <f ca="1">IFERROR(__xludf.DUMMYFUNCTION("""COMPUTED_VALUE"""),0.72)</f>
        <v>0.72</v>
      </c>
      <c r="M1435" s="112">
        <f ca="1">IFERROR(__xludf.DUMMYFUNCTION("""COMPUTED_VALUE"""),42290.7055555555)</f>
        <v>42290.705555555498</v>
      </c>
      <c r="N1435" s="111">
        <f ca="1">IFERROR(__xludf.DUMMYFUNCTION("""COMPUTED_VALUE"""),11.74)</f>
        <v>11.74</v>
      </c>
      <c r="O1435" s="112">
        <f ca="1">IFERROR(__xludf.DUMMYFUNCTION("""COMPUTED_VALUE"""),42373.7055555555)</f>
        <v>42373.705555555498</v>
      </c>
      <c r="P1435" s="111">
        <f ca="1">IFERROR(__xludf.DUMMYFUNCTION("""COMPUTED_VALUE"""),12.69)</f>
        <v>12.69</v>
      </c>
      <c r="Q1435" s="112">
        <f ca="1">IFERROR(__xludf.DUMMYFUNCTION("""COMPUTED_VALUE"""),42367.7055555555)</f>
        <v>42367.705555555498</v>
      </c>
      <c r="R1435" s="111">
        <f ca="1">IFERROR(__xludf.DUMMYFUNCTION("""COMPUTED_VALUE"""),14.8)</f>
        <v>14.8</v>
      </c>
      <c r="S1435" s="112">
        <f ca="1">IFERROR(__xludf.DUMMYFUNCTION("""COMPUTED_VALUE"""),42382.7055555555)</f>
        <v>42382.705555555498</v>
      </c>
      <c r="T1435" s="111">
        <f ca="1">IFERROR(__xludf.DUMMYFUNCTION("""COMPUTED_VALUE"""),12.65)</f>
        <v>12.65</v>
      </c>
    </row>
    <row r="1436" spans="1:20" x14ac:dyDescent="0.3">
      <c r="A1436" s="112">
        <f ca="1">IFERROR(__xludf.DUMMYFUNCTION("""COMPUTED_VALUE"""),42380.7055555555)</f>
        <v>42380.705555555498</v>
      </c>
      <c r="B1436" s="111">
        <f ca="1">IFERROR(__xludf.DUMMYFUNCTION("""COMPUTED_VALUE"""),4.94)</f>
        <v>4.9400000000000004</v>
      </c>
      <c r="C1436" s="112">
        <f ca="1">IFERROR(__xludf.DUMMYFUNCTION("""COMPUTED_VALUE"""),42387.7055555555)</f>
        <v>42387.705555555498</v>
      </c>
      <c r="D1436" s="111">
        <f ca="1">IFERROR(__xludf.DUMMYFUNCTION("""COMPUTED_VALUE"""),14.33)</f>
        <v>14.33</v>
      </c>
      <c r="E1436" s="112">
        <f ca="1">IFERROR(__xludf.DUMMYFUNCTION("""COMPUTED_VALUE"""),42388.7055555555)</f>
        <v>42388.705555555498</v>
      </c>
      <c r="F1436" s="111">
        <f ca="1">IFERROR(__xludf.DUMMYFUNCTION("""COMPUTED_VALUE"""),5)</f>
        <v>5</v>
      </c>
      <c r="G1436" s="112">
        <f ca="1">IFERROR(__xludf.DUMMYFUNCTION("""COMPUTED_VALUE"""),42381.7055555555)</f>
        <v>42381.705555555498</v>
      </c>
      <c r="H1436" s="111">
        <f ca="1">IFERROR(__xludf.DUMMYFUNCTION("""COMPUTED_VALUE"""),5.53)</f>
        <v>5.53</v>
      </c>
      <c r="K1436" s="112">
        <f ca="1">IFERROR(__xludf.DUMMYFUNCTION("""COMPUTED_VALUE"""),42829.7055555555)</f>
        <v>42829.705555555498</v>
      </c>
      <c r="L1436" s="111">
        <f ca="1">IFERROR(__xludf.DUMMYFUNCTION("""COMPUTED_VALUE"""),0.72)</f>
        <v>0.72</v>
      </c>
      <c r="M1436" s="112">
        <f ca="1">IFERROR(__xludf.DUMMYFUNCTION("""COMPUTED_VALUE"""),42291.7055555555)</f>
        <v>42291.705555555498</v>
      </c>
      <c r="N1436" s="111">
        <f ca="1">IFERROR(__xludf.DUMMYFUNCTION("""COMPUTED_VALUE"""),11.67)</f>
        <v>11.67</v>
      </c>
      <c r="O1436" s="112">
        <f ca="1">IFERROR(__xludf.DUMMYFUNCTION("""COMPUTED_VALUE"""),42374.7055555555)</f>
        <v>42374.705555555498</v>
      </c>
      <c r="P1436" s="111">
        <f ca="1">IFERROR(__xludf.DUMMYFUNCTION("""COMPUTED_VALUE"""),12.52)</f>
        <v>12.52</v>
      </c>
      <c r="Q1436" s="112">
        <f ca="1">IFERROR(__xludf.DUMMYFUNCTION("""COMPUTED_VALUE"""),42368.7055555555)</f>
        <v>42368.705555555498</v>
      </c>
      <c r="R1436" s="111">
        <f ca="1">IFERROR(__xludf.DUMMYFUNCTION("""COMPUTED_VALUE"""),14.74)</f>
        <v>14.74</v>
      </c>
      <c r="S1436" s="112">
        <f ca="1">IFERROR(__xludf.DUMMYFUNCTION("""COMPUTED_VALUE"""),42383.7055555555)</f>
        <v>42383.705555555498</v>
      </c>
      <c r="T1436" s="111">
        <f ca="1">IFERROR(__xludf.DUMMYFUNCTION("""COMPUTED_VALUE"""),12.57)</f>
        <v>12.57</v>
      </c>
    </row>
    <row r="1437" spans="1:20" x14ac:dyDescent="0.3">
      <c r="A1437" s="112">
        <f ca="1">IFERROR(__xludf.DUMMYFUNCTION("""COMPUTED_VALUE"""),42381.7055555555)</f>
        <v>42381.705555555498</v>
      </c>
      <c r="B1437" s="111">
        <f ca="1">IFERROR(__xludf.DUMMYFUNCTION("""COMPUTED_VALUE"""),5.07)</f>
        <v>5.07</v>
      </c>
      <c r="C1437" s="112">
        <f ca="1">IFERROR(__xludf.DUMMYFUNCTION("""COMPUTED_VALUE"""),42388.7055555555)</f>
        <v>42388.705555555498</v>
      </c>
      <c r="D1437" s="111">
        <f ca="1">IFERROR(__xludf.DUMMYFUNCTION("""COMPUTED_VALUE"""),14.18)</f>
        <v>14.18</v>
      </c>
      <c r="E1437" s="112">
        <f ca="1">IFERROR(__xludf.DUMMYFUNCTION("""COMPUTED_VALUE"""),42389.7055555555)</f>
        <v>42389.705555555498</v>
      </c>
      <c r="F1437" s="111">
        <f ca="1">IFERROR(__xludf.DUMMYFUNCTION("""COMPUTED_VALUE"""),4.94)</f>
        <v>4.9400000000000004</v>
      </c>
      <c r="G1437" s="112">
        <f ca="1">IFERROR(__xludf.DUMMYFUNCTION("""COMPUTED_VALUE"""),42382.7055555555)</f>
        <v>42382.705555555498</v>
      </c>
      <c r="H1437" s="111">
        <f ca="1">IFERROR(__xludf.DUMMYFUNCTION("""COMPUTED_VALUE"""),5.27)</f>
        <v>5.27</v>
      </c>
      <c r="K1437" s="112">
        <f ca="1">IFERROR(__xludf.DUMMYFUNCTION("""COMPUTED_VALUE"""),42830.7055555555)</f>
        <v>42830.705555555498</v>
      </c>
      <c r="L1437" s="111">
        <f ca="1">IFERROR(__xludf.DUMMYFUNCTION("""COMPUTED_VALUE"""),0.73)</f>
        <v>0.73</v>
      </c>
      <c r="M1437" s="112">
        <f ca="1">IFERROR(__xludf.DUMMYFUNCTION("""COMPUTED_VALUE"""),42292.7055555555)</f>
        <v>42292.705555555498</v>
      </c>
      <c r="N1437" s="111">
        <f ca="1">IFERROR(__xludf.DUMMYFUNCTION("""COMPUTED_VALUE"""),11.63)</f>
        <v>11.63</v>
      </c>
      <c r="O1437" s="112">
        <f ca="1">IFERROR(__xludf.DUMMYFUNCTION("""COMPUTED_VALUE"""),42375.7055555555)</f>
        <v>42375.705555555498</v>
      </c>
      <c r="P1437" s="111">
        <f ca="1">IFERROR(__xludf.DUMMYFUNCTION("""COMPUTED_VALUE"""),11.6)</f>
        <v>11.6</v>
      </c>
      <c r="Q1437" s="112">
        <f ca="1">IFERROR(__xludf.DUMMYFUNCTION("""COMPUTED_VALUE"""),42373.7055555555)</f>
        <v>42373.705555555498</v>
      </c>
      <c r="R1437" s="111">
        <f ca="1">IFERROR(__xludf.DUMMYFUNCTION("""COMPUTED_VALUE"""),14.24)</f>
        <v>14.24</v>
      </c>
      <c r="S1437" s="112">
        <f ca="1">IFERROR(__xludf.DUMMYFUNCTION("""COMPUTED_VALUE"""),42384.7055555555)</f>
        <v>42384.705555555498</v>
      </c>
      <c r="T1437" s="111">
        <f ca="1">IFERROR(__xludf.DUMMYFUNCTION("""COMPUTED_VALUE"""),12.46)</f>
        <v>12.46</v>
      </c>
    </row>
    <row r="1438" spans="1:20" x14ac:dyDescent="0.3">
      <c r="A1438" s="112">
        <f ca="1">IFERROR(__xludf.DUMMYFUNCTION("""COMPUTED_VALUE"""),42382.7055555555)</f>
        <v>42382.705555555498</v>
      </c>
      <c r="B1438" s="111">
        <f ca="1">IFERROR(__xludf.DUMMYFUNCTION("""COMPUTED_VALUE"""),4.99)</f>
        <v>4.99</v>
      </c>
      <c r="C1438" s="112">
        <f ca="1">IFERROR(__xludf.DUMMYFUNCTION("""COMPUTED_VALUE"""),42389.7055555555)</f>
        <v>42389.705555555498</v>
      </c>
      <c r="D1438" s="111">
        <f ca="1">IFERROR(__xludf.DUMMYFUNCTION("""COMPUTED_VALUE"""),13.98)</f>
        <v>13.98</v>
      </c>
      <c r="E1438" s="112">
        <f ca="1">IFERROR(__xludf.DUMMYFUNCTION("""COMPUTED_VALUE"""),42390.7055555555)</f>
        <v>42390.705555555498</v>
      </c>
      <c r="F1438" s="111">
        <f ca="1">IFERROR(__xludf.DUMMYFUNCTION("""COMPUTED_VALUE"""),4.96)</f>
        <v>4.96</v>
      </c>
      <c r="G1438" s="112">
        <f ca="1">IFERROR(__xludf.DUMMYFUNCTION("""COMPUTED_VALUE"""),42383.7055555555)</f>
        <v>42383.705555555498</v>
      </c>
      <c r="H1438" s="111">
        <f ca="1">IFERROR(__xludf.DUMMYFUNCTION("""COMPUTED_VALUE"""),5.69)</f>
        <v>5.69</v>
      </c>
      <c r="K1438" s="112">
        <f ca="1">IFERROR(__xludf.DUMMYFUNCTION("""COMPUTED_VALUE"""),42831.7055555555)</f>
        <v>42831.705555555498</v>
      </c>
      <c r="L1438" s="111">
        <f ca="1">IFERROR(__xludf.DUMMYFUNCTION("""COMPUTED_VALUE"""),0.73)</f>
        <v>0.73</v>
      </c>
      <c r="M1438" s="112">
        <f ca="1">IFERROR(__xludf.DUMMYFUNCTION("""COMPUTED_VALUE"""),42293.7055555555)</f>
        <v>42293.705555555498</v>
      </c>
      <c r="N1438" s="111">
        <f ca="1">IFERROR(__xludf.DUMMYFUNCTION("""COMPUTED_VALUE"""),11.41)</f>
        <v>11.41</v>
      </c>
      <c r="O1438" s="112">
        <f ca="1">IFERROR(__xludf.DUMMYFUNCTION("""COMPUTED_VALUE"""),42376.7055555555)</f>
        <v>42376.705555555498</v>
      </c>
      <c r="P1438" s="111">
        <f ca="1">IFERROR(__xludf.DUMMYFUNCTION("""COMPUTED_VALUE"""),10.91)</f>
        <v>10.91</v>
      </c>
      <c r="Q1438" s="112">
        <f ca="1">IFERROR(__xludf.DUMMYFUNCTION("""COMPUTED_VALUE"""),42374.7055555555)</f>
        <v>42374.705555555498</v>
      </c>
      <c r="R1438" s="111">
        <f ca="1">IFERROR(__xludf.DUMMYFUNCTION("""COMPUTED_VALUE"""),14.29)</f>
        <v>14.29</v>
      </c>
      <c r="S1438" s="112">
        <f ca="1">IFERROR(__xludf.DUMMYFUNCTION("""COMPUTED_VALUE"""),42387.7055555555)</f>
        <v>42387.705555555498</v>
      </c>
      <c r="T1438" s="111">
        <f ca="1">IFERROR(__xludf.DUMMYFUNCTION("""COMPUTED_VALUE"""),12.07)</f>
        <v>12.07</v>
      </c>
    </row>
    <row r="1439" spans="1:20" x14ac:dyDescent="0.3">
      <c r="A1439" s="112">
        <f ca="1">IFERROR(__xludf.DUMMYFUNCTION("""COMPUTED_VALUE"""),42383.7055555555)</f>
        <v>42383.705555555498</v>
      </c>
      <c r="B1439" s="111">
        <f ca="1">IFERROR(__xludf.DUMMYFUNCTION("""COMPUTED_VALUE"""),4.9)</f>
        <v>4.9000000000000004</v>
      </c>
      <c r="C1439" s="112">
        <f ca="1">IFERROR(__xludf.DUMMYFUNCTION("""COMPUTED_VALUE"""),42390.7055555555)</f>
        <v>42390.705555555498</v>
      </c>
      <c r="D1439" s="111">
        <f ca="1">IFERROR(__xludf.DUMMYFUNCTION("""COMPUTED_VALUE"""),14.01)</f>
        <v>14.01</v>
      </c>
      <c r="E1439" s="112">
        <f ca="1">IFERROR(__xludf.DUMMYFUNCTION("""COMPUTED_VALUE"""),42391.7055555555)</f>
        <v>42391.705555555498</v>
      </c>
      <c r="F1439" s="111">
        <f ca="1">IFERROR(__xludf.DUMMYFUNCTION("""COMPUTED_VALUE"""),5.04)</f>
        <v>5.04</v>
      </c>
      <c r="G1439" s="112">
        <f ca="1">IFERROR(__xludf.DUMMYFUNCTION("""COMPUTED_VALUE"""),42384.7055555555)</f>
        <v>42384.705555555498</v>
      </c>
      <c r="H1439" s="111">
        <f ca="1">IFERROR(__xludf.DUMMYFUNCTION("""COMPUTED_VALUE"""),5.17)</f>
        <v>5.17</v>
      </c>
      <c r="K1439" s="112">
        <f ca="1">IFERROR(__xludf.DUMMYFUNCTION("""COMPUTED_VALUE"""),42832.7055555555)</f>
        <v>42832.705555555498</v>
      </c>
      <c r="L1439" s="111">
        <f ca="1">IFERROR(__xludf.DUMMYFUNCTION("""COMPUTED_VALUE"""),0.73)</f>
        <v>0.73</v>
      </c>
      <c r="M1439" s="112">
        <f ca="1">IFERROR(__xludf.DUMMYFUNCTION("""COMPUTED_VALUE"""),42296.7055555555)</f>
        <v>42296.705555555498</v>
      </c>
      <c r="N1439" s="111">
        <f ca="1">IFERROR(__xludf.DUMMYFUNCTION("""COMPUTED_VALUE"""),11.39)</f>
        <v>11.39</v>
      </c>
      <c r="O1439" s="112">
        <f ca="1">IFERROR(__xludf.DUMMYFUNCTION("""COMPUTED_VALUE"""),42377.7055555555)</f>
        <v>42377.705555555498</v>
      </c>
      <c r="P1439" s="111">
        <f ca="1">IFERROR(__xludf.DUMMYFUNCTION("""COMPUTED_VALUE"""),10.54)</f>
        <v>10.54</v>
      </c>
      <c r="Q1439" s="112">
        <f ca="1">IFERROR(__xludf.DUMMYFUNCTION("""COMPUTED_VALUE"""),42375.7055555555)</f>
        <v>42375.705555555498</v>
      </c>
      <c r="R1439" s="111">
        <f ca="1">IFERROR(__xludf.DUMMYFUNCTION("""COMPUTED_VALUE"""),14.29)</f>
        <v>14.29</v>
      </c>
      <c r="S1439" s="112">
        <f ca="1">IFERROR(__xludf.DUMMYFUNCTION("""COMPUTED_VALUE"""),42388.7055555555)</f>
        <v>42388.705555555498</v>
      </c>
      <c r="T1439" s="111">
        <f ca="1">IFERROR(__xludf.DUMMYFUNCTION("""COMPUTED_VALUE"""),12.35)</f>
        <v>12.35</v>
      </c>
    </row>
    <row r="1440" spans="1:20" x14ac:dyDescent="0.3">
      <c r="A1440" s="112">
        <f ca="1">IFERROR(__xludf.DUMMYFUNCTION("""COMPUTED_VALUE"""),42384.7055555555)</f>
        <v>42384.705555555498</v>
      </c>
      <c r="B1440" s="111">
        <f ca="1">IFERROR(__xludf.DUMMYFUNCTION("""COMPUTED_VALUE"""),4.95)</f>
        <v>4.95</v>
      </c>
      <c r="C1440" s="112">
        <f ca="1">IFERROR(__xludf.DUMMYFUNCTION("""COMPUTED_VALUE"""),42391.7055555555)</f>
        <v>42391.705555555498</v>
      </c>
      <c r="D1440" s="111">
        <f ca="1">IFERROR(__xludf.DUMMYFUNCTION("""COMPUTED_VALUE"""),14.15)</f>
        <v>14.15</v>
      </c>
      <c r="E1440" s="112">
        <f ca="1">IFERROR(__xludf.DUMMYFUNCTION("""COMPUTED_VALUE"""),42395.7055555555)</f>
        <v>42395.705555555498</v>
      </c>
      <c r="F1440" s="111">
        <f ca="1">IFERROR(__xludf.DUMMYFUNCTION("""COMPUTED_VALUE"""),5.12)</f>
        <v>5.12</v>
      </c>
      <c r="G1440" s="112">
        <f ca="1">IFERROR(__xludf.DUMMYFUNCTION("""COMPUTED_VALUE"""),42387.7055555555)</f>
        <v>42387.705555555498</v>
      </c>
      <c r="H1440" s="111">
        <f ca="1">IFERROR(__xludf.DUMMYFUNCTION("""COMPUTED_VALUE"""),4.8)</f>
        <v>4.8</v>
      </c>
      <c r="K1440" s="112">
        <f ca="1">IFERROR(__xludf.DUMMYFUNCTION("""COMPUTED_VALUE"""),42835.7055555555)</f>
        <v>42835.705555555498</v>
      </c>
      <c r="L1440" s="111">
        <f ca="1">IFERROR(__xludf.DUMMYFUNCTION("""COMPUTED_VALUE"""),0.72)</f>
        <v>0.72</v>
      </c>
      <c r="M1440" s="112">
        <f ca="1">IFERROR(__xludf.DUMMYFUNCTION("""COMPUTED_VALUE"""),42297.7055555555)</f>
        <v>42297.705555555498</v>
      </c>
      <c r="N1440" s="111">
        <f ca="1">IFERROR(__xludf.DUMMYFUNCTION("""COMPUTED_VALUE"""),11.12)</f>
        <v>11.12</v>
      </c>
      <c r="O1440" s="112">
        <f ca="1">IFERROR(__xludf.DUMMYFUNCTION("""COMPUTED_VALUE"""),42380.7055555555)</f>
        <v>42380.705555555498</v>
      </c>
      <c r="P1440" s="111">
        <f ca="1">IFERROR(__xludf.DUMMYFUNCTION("""COMPUTED_VALUE"""),10.24)</f>
        <v>10.24</v>
      </c>
      <c r="Q1440" s="112">
        <f ca="1">IFERROR(__xludf.DUMMYFUNCTION("""COMPUTED_VALUE"""),42376.7055555555)</f>
        <v>42376.705555555498</v>
      </c>
      <c r="R1440" s="111">
        <f ca="1">IFERROR(__xludf.DUMMYFUNCTION("""COMPUTED_VALUE"""),13.95)</f>
        <v>13.95</v>
      </c>
      <c r="S1440" s="112">
        <f ca="1">IFERROR(__xludf.DUMMYFUNCTION("""COMPUTED_VALUE"""),42389.7055555555)</f>
        <v>42389.705555555498</v>
      </c>
      <c r="T1440" s="111">
        <f ca="1">IFERROR(__xludf.DUMMYFUNCTION("""COMPUTED_VALUE"""),12.32)</f>
        <v>12.32</v>
      </c>
    </row>
    <row r="1441" spans="1:20" x14ac:dyDescent="0.3">
      <c r="A1441" s="112">
        <f ca="1">IFERROR(__xludf.DUMMYFUNCTION("""COMPUTED_VALUE"""),42387.7055555555)</f>
        <v>42387.705555555498</v>
      </c>
      <c r="B1441" s="111">
        <f ca="1">IFERROR(__xludf.DUMMYFUNCTION("""COMPUTED_VALUE"""),4.98)</f>
        <v>4.9800000000000004</v>
      </c>
      <c r="C1441" s="112">
        <f ca="1">IFERROR(__xludf.DUMMYFUNCTION("""COMPUTED_VALUE"""),42395.7055555555)</f>
        <v>42395.705555555498</v>
      </c>
      <c r="D1441" s="111">
        <f ca="1">IFERROR(__xludf.DUMMYFUNCTION("""COMPUTED_VALUE"""),14.3)</f>
        <v>14.3</v>
      </c>
      <c r="E1441" s="112">
        <f ca="1">IFERROR(__xludf.DUMMYFUNCTION("""COMPUTED_VALUE"""),42396.7055555555)</f>
        <v>42396.705555555498</v>
      </c>
      <c r="F1441" s="111">
        <f ca="1">IFERROR(__xludf.DUMMYFUNCTION("""COMPUTED_VALUE"""),5.12)</f>
        <v>5.12</v>
      </c>
      <c r="G1441" s="112">
        <f ca="1">IFERROR(__xludf.DUMMYFUNCTION("""COMPUTED_VALUE"""),42388.7055555555)</f>
        <v>42388.705555555498</v>
      </c>
      <c r="H1441" s="111">
        <f ca="1">IFERROR(__xludf.DUMMYFUNCTION("""COMPUTED_VALUE"""),4.66)</f>
        <v>4.66</v>
      </c>
      <c r="K1441" s="112">
        <f ca="1">IFERROR(__xludf.DUMMYFUNCTION("""COMPUTED_VALUE"""),42836.7055555555)</f>
        <v>42836.705555555498</v>
      </c>
      <c r="L1441" s="111">
        <f ca="1">IFERROR(__xludf.DUMMYFUNCTION("""COMPUTED_VALUE"""),0.73)</f>
        <v>0.73</v>
      </c>
      <c r="M1441" s="112">
        <f ca="1">IFERROR(__xludf.DUMMYFUNCTION("""COMPUTED_VALUE"""),42298.7055555555)</f>
        <v>42298.705555555498</v>
      </c>
      <c r="N1441" s="111">
        <f ca="1">IFERROR(__xludf.DUMMYFUNCTION("""COMPUTED_VALUE"""),11.14)</f>
        <v>11.14</v>
      </c>
      <c r="O1441" s="112">
        <f ca="1">IFERROR(__xludf.DUMMYFUNCTION("""COMPUTED_VALUE"""),42381.7055555555)</f>
        <v>42381.705555555498</v>
      </c>
      <c r="P1441" s="111">
        <f ca="1">IFERROR(__xludf.DUMMYFUNCTION("""COMPUTED_VALUE"""),9.41)</f>
        <v>9.41</v>
      </c>
      <c r="Q1441" s="112">
        <f ca="1">IFERROR(__xludf.DUMMYFUNCTION("""COMPUTED_VALUE"""),42377.7055555555)</f>
        <v>42377.705555555498</v>
      </c>
      <c r="R1441" s="111">
        <f ca="1">IFERROR(__xludf.DUMMYFUNCTION("""COMPUTED_VALUE"""),13.95)</f>
        <v>13.95</v>
      </c>
      <c r="S1441" s="112">
        <f ca="1">IFERROR(__xludf.DUMMYFUNCTION("""COMPUTED_VALUE"""),42390.7055555555)</f>
        <v>42390.705555555498</v>
      </c>
      <c r="T1441" s="111">
        <f ca="1">IFERROR(__xludf.DUMMYFUNCTION("""COMPUTED_VALUE"""),12.43)</f>
        <v>12.43</v>
      </c>
    </row>
    <row r="1442" spans="1:20" x14ac:dyDescent="0.3">
      <c r="A1442" s="112">
        <f ca="1">IFERROR(__xludf.DUMMYFUNCTION("""COMPUTED_VALUE"""),42388.7055555555)</f>
        <v>42388.705555555498</v>
      </c>
      <c r="B1442" s="111">
        <f ca="1">IFERROR(__xludf.DUMMYFUNCTION("""COMPUTED_VALUE"""),4.93)</f>
        <v>4.93</v>
      </c>
      <c r="C1442" s="112">
        <f ca="1">IFERROR(__xludf.DUMMYFUNCTION("""COMPUTED_VALUE"""),42396.7055555555)</f>
        <v>42396.705555555498</v>
      </c>
      <c r="D1442" s="111">
        <f ca="1">IFERROR(__xludf.DUMMYFUNCTION("""COMPUTED_VALUE"""),14.35)</f>
        <v>14.35</v>
      </c>
      <c r="E1442" s="112">
        <f ca="1">IFERROR(__xludf.DUMMYFUNCTION("""COMPUTED_VALUE"""),42397.7055555555)</f>
        <v>42397.705555555498</v>
      </c>
      <c r="F1442" s="111">
        <f ca="1">IFERROR(__xludf.DUMMYFUNCTION("""COMPUTED_VALUE"""),5.23)</f>
        <v>5.23</v>
      </c>
      <c r="G1442" s="112">
        <f ca="1">IFERROR(__xludf.DUMMYFUNCTION("""COMPUTED_VALUE"""),42389.7055555555)</f>
        <v>42389.705555555498</v>
      </c>
      <c r="H1442" s="111">
        <f ca="1">IFERROR(__xludf.DUMMYFUNCTION("""COMPUTED_VALUE"""),4.43)</f>
        <v>4.43</v>
      </c>
      <c r="K1442" s="112">
        <f ca="1">IFERROR(__xludf.DUMMYFUNCTION("""COMPUTED_VALUE"""),42837.7055555555)</f>
        <v>42837.705555555498</v>
      </c>
      <c r="L1442" s="111">
        <f ca="1">IFERROR(__xludf.DUMMYFUNCTION("""COMPUTED_VALUE"""),0.7)</f>
        <v>0.7</v>
      </c>
      <c r="M1442" s="112">
        <f ca="1">IFERROR(__xludf.DUMMYFUNCTION("""COMPUTED_VALUE"""),42299.7055555555)</f>
        <v>42299.705555555498</v>
      </c>
      <c r="N1442" s="111">
        <f ca="1">IFERROR(__xludf.DUMMYFUNCTION("""COMPUTED_VALUE"""),11.31)</f>
        <v>11.31</v>
      </c>
      <c r="O1442" s="112">
        <f ca="1">IFERROR(__xludf.DUMMYFUNCTION("""COMPUTED_VALUE"""),42382.7055555555)</f>
        <v>42382.705555555498</v>
      </c>
      <c r="P1442" s="111">
        <f ca="1">IFERROR(__xludf.DUMMYFUNCTION("""COMPUTED_VALUE"""),9)</f>
        <v>9</v>
      </c>
      <c r="Q1442" s="112">
        <f ca="1">IFERROR(__xludf.DUMMYFUNCTION("""COMPUTED_VALUE"""),42380.7055555555)</f>
        <v>42380.705555555498</v>
      </c>
      <c r="R1442" s="111">
        <f ca="1">IFERROR(__xludf.DUMMYFUNCTION("""COMPUTED_VALUE"""),13.55)</f>
        <v>13.55</v>
      </c>
      <c r="S1442" s="112">
        <f ca="1">IFERROR(__xludf.DUMMYFUNCTION("""COMPUTED_VALUE"""),42391.7055555555)</f>
        <v>42391.705555555498</v>
      </c>
      <c r="T1442" s="111">
        <f ca="1">IFERROR(__xludf.DUMMYFUNCTION("""COMPUTED_VALUE"""),12.55)</f>
        <v>12.55</v>
      </c>
    </row>
    <row r="1443" spans="1:20" x14ac:dyDescent="0.3">
      <c r="A1443" s="112">
        <f ca="1">IFERROR(__xludf.DUMMYFUNCTION("""COMPUTED_VALUE"""),42389.7055555555)</f>
        <v>42389.705555555498</v>
      </c>
      <c r="B1443" s="111">
        <f ca="1">IFERROR(__xludf.DUMMYFUNCTION("""COMPUTED_VALUE"""),4.93)</f>
        <v>4.93</v>
      </c>
      <c r="C1443" s="112">
        <f ca="1">IFERROR(__xludf.DUMMYFUNCTION("""COMPUTED_VALUE"""),42397.7055555555)</f>
        <v>42397.705555555498</v>
      </c>
      <c r="D1443" s="111">
        <f ca="1">IFERROR(__xludf.DUMMYFUNCTION("""COMPUTED_VALUE"""),14.45)</f>
        <v>14.45</v>
      </c>
      <c r="E1443" s="112">
        <f ca="1">IFERROR(__xludf.DUMMYFUNCTION("""COMPUTED_VALUE"""),42398.7055555555)</f>
        <v>42398.705555555498</v>
      </c>
      <c r="F1443" s="111">
        <f ca="1">IFERROR(__xludf.DUMMYFUNCTION("""COMPUTED_VALUE"""),5.42)</f>
        <v>5.42</v>
      </c>
      <c r="G1443" s="112">
        <f ca="1">IFERROR(__xludf.DUMMYFUNCTION("""COMPUTED_VALUE"""),42390.7055555555)</f>
        <v>42390.705555555498</v>
      </c>
      <c r="H1443" s="111">
        <f ca="1">IFERROR(__xludf.DUMMYFUNCTION("""COMPUTED_VALUE"""),4.5)</f>
        <v>4.5</v>
      </c>
      <c r="K1443" s="112">
        <f ca="1">IFERROR(__xludf.DUMMYFUNCTION("""COMPUTED_VALUE"""),42838.7055555555)</f>
        <v>42838.705555555498</v>
      </c>
      <c r="L1443" s="111">
        <f ca="1">IFERROR(__xludf.DUMMYFUNCTION("""COMPUTED_VALUE"""),0.67)</f>
        <v>0.67</v>
      </c>
      <c r="M1443" s="112">
        <f ca="1">IFERROR(__xludf.DUMMYFUNCTION("""COMPUTED_VALUE"""),42300.7055555555)</f>
        <v>42300.705555555498</v>
      </c>
      <c r="N1443" s="111">
        <f ca="1">IFERROR(__xludf.DUMMYFUNCTION("""COMPUTED_VALUE"""),11.15)</f>
        <v>11.15</v>
      </c>
      <c r="O1443" s="112">
        <f ca="1">IFERROR(__xludf.DUMMYFUNCTION("""COMPUTED_VALUE"""),42383.7055555555)</f>
        <v>42383.705555555498</v>
      </c>
      <c r="P1443" s="111">
        <f ca="1">IFERROR(__xludf.DUMMYFUNCTION("""COMPUTED_VALUE"""),9.65)</f>
        <v>9.65</v>
      </c>
      <c r="Q1443" s="112">
        <f ca="1">IFERROR(__xludf.DUMMYFUNCTION("""COMPUTED_VALUE"""),42381.7055555555)</f>
        <v>42381.705555555498</v>
      </c>
      <c r="R1443" s="111">
        <f ca="1">IFERROR(__xludf.DUMMYFUNCTION("""COMPUTED_VALUE"""),13.08)</f>
        <v>13.08</v>
      </c>
      <c r="S1443" s="112">
        <f ca="1">IFERROR(__xludf.DUMMYFUNCTION("""COMPUTED_VALUE"""),42395.7055555555)</f>
        <v>42395.705555555498</v>
      </c>
      <c r="T1443" s="111">
        <f ca="1">IFERROR(__xludf.DUMMYFUNCTION("""COMPUTED_VALUE"""),12.22)</f>
        <v>12.22</v>
      </c>
    </row>
    <row r="1444" spans="1:20" x14ac:dyDescent="0.3">
      <c r="A1444" s="112">
        <f ca="1">IFERROR(__xludf.DUMMYFUNCTION("""COMPUTED_VALUE"""),42390.7055555555)</f>
        <v>42390.705555555498</v>
      </c>
      <c r="B1444" s="111">
        <f ca="1">IFERROR(__xludf.DUMMYFUNCTION("""COMPUTED_VALUE"""),4.97)</f>
        <v>4.97</v>
      </c>
      <c r="C1444" s="112">
        <f ca="1">IFERROR(__xludf.DUMMYFUNCTION("""COMPUTED_VALUE"""),42398.7055555555)</f>
        <v>42398.705555555498</v>
      </c>
      <c r="D1444" s="111">
        <f ca="1">IFERROR(__xludf.DUMMYFUNCTION("""COMPUTED_VALUE"""),15.12)</f>
        <v>15.12</v>
      </c>
      <c r="E1444" s="112">
        <f ca="1">IFERROR(__xludf.DUMMYFUNCTION("""COMPUTED_VALUE"""),42401.7055555555)</f>
        <v>42401.705555555498</v>
      </c>
      <c r="F1444" s="111">
        <f ca="1">IFERROR(__xludf.DUMMYFUNCTION("""COMPUTED_VALUE"""),5.45)</f>
        <v>5.45</v>
      </c>
      <c r="G1444" s="112">
        <f ca="1">IFERROR(__xludf.DUMMYFUNCTION("""COMPUTED_VALUE"""),42391.7055555555)</f>
        <v>42391.705555555498</v>
      </c>
      <c r="H1444" s="111">
        <f ca="1">IFERROR(__xludf.DUMMYFUNCTION("""COMPUTED_VALUE"""),4.41)</f>
        <v>4.41</v>
      </c>
      <c r="K1444" s="112">
        <f ca="1">IFERROR(__xludf.DUMMYFUNCTION("""COMPUTED_VALUE"""),42842.7055555555)</f>
        <v>42842.705555555498</v>
      </c>
      <c r="L1444" s="111">
        <f ca="1">IFERROR(__xludf.DUMMYFUNCTION("""COMPUTED_VALUE"""),0.74)</f>
        <v>0.74</v>
      </c>
      <c r="M1444" s="112">
        <f ca="1">IFERROR(__xludf.DUMMYFUNCTION("""COMPUTED_VALUE"""),42303.7055555555)</f>
        <v>42303.705555555498</v>
      </c>
      <c r="N1444" s="111">
        <f ca="1">IFERROR(__xludf.DUMMYFUNCTION("""COMPUTED_VALUE"""),11.07)</f>
        <v>11.07</v>
      </c>
      <c r="O1444" s="112">
        <f ca="1">IFERROR(__xludf.DUMMYFUNCTION("""COMPUTED_VALUE"""),42384.7055555555)</f>
        <v>42384.705555555498</v>
      </c>
      <c r="P1444" s="111">
        <f ca="1">IFERROR(__xludf.DUMMYFUNCTION("""COMPUTED_VALUE"""),9.37)</f>
        <v>9.3699999999999992</v>
      </c>
      <c r="Q1444" s="112">
        <f ca="1">IFERROR(__xludf.DUMMYFUNCTION("""COMPUTED_VALUE"""),42382.7055555555)</f>
        <v>42382.705555555498</v>
      </c>
      <c r="R1444" s="111">
        <f ca="1">IFERROR(__xludf.DUMMYFUNCTION("""COMPUTED_VALUE"""),12.84)</f>
        <v>12.84</v>
      </c>
      <c r="S1444" s="112">
        <f ca="1">IFERROR(__xludf.DUMMYFUNCTION("""COMPUTED_VALUE"""),42396.7055555555)</f>
        <v>42396.705555555498</v>
      </c>
      <c r="T1444" s="111">
        <f ca="1">IFERROR(__xludf.DUMMYFUNCTION("""COMPUTED_VALUE"""),12.73)</f>
        <v>12.73</v>
      </c>
    </row>
    <row r="1445" spans="1:20" x14ac:dyDescent="0.3">
      <c r="A1445" s="112">
        <f ca="1">IFERROR(__xludf.DUMMYFUNCTION("""COMPUTED_VALUE"""),42391.7055555555)</f>
        <v>42391.705555555498</v>
      </c>
      <c r="B1445" s="111">
        <f ca="1">IFERROR(__xludf.DUMMYFUNCTION("""COMPUTED_VALUE"""),5.14)</f>
        <v>5.14</v>
      </c>
      <c r="C1445" s="112">
        <f ca="1">IFERROR(__xludf.DUMMYFUNCTION("""COMPUTED_VALUE"""),42401.7055555555)</f>
        <v>42401.705555555498</v>
      </c>
      <c r="D1445" s="111">
        <f ca="1">IFERROR(__xludf.DUMMYFUNCTION("""COMPUTED_VALUE"""),15.44)</f>
        <v>15.44</v>
      </c>
      <c r="E1445" s="112">
        <f ca="1">IFERROR(__xludf.DUMMYFUNCTION("""COMPUTED_VALUE"""),42402.7055555555)</f>
        <v>42402.705555555498</v>
      </c>
      <c r="F1445" s="111">
        <f ca="1">IFERROR(__xludf.DUMMYFUNCTION("""COMPUTED_VALUE"""),5)</f>
        <v>5</v>
      </c>
      <c r="G1445" s="112">
        <f ca="1">IFERROR(__xludf.DUMMYFUNCTION("""COMPUTED_VALUE"""),42395.7055555555)</f>
        <v>42395.705555555498</v>
      </c>
      <c r="H1445" s="111">
        <f ca="1">IFERROR(__xludf.DUMMYFUNCTION("""COMPUTED_VALUE"""),4.2)</f>
        <v>4.2</v>
      </c>
      <c r="K1445" s="112">
        <f ca="1">IFERROR(__xludf.DUMMYFUNCTION("""COMPUTED_VALUE"""),42843.7055555555)</f>
        <v>42843.705555555498</v>
      </c>
      <c r="L1445" s="111">
        <f ca="1">IFERROR(__xludf.DUMMYFUNCTION("""COMPUTED_VALUE"""),0.77)</f>
        <v>0.77</v>
      </c>
      <c r="M1445" s="112">
        <f ca="1">IFERROR(__xludf.DUMMYFUNCTION("""COMPUTED_VALUE"""),42304.7055555555)</f>
        <v>42304.705555555498</v>
      </c>
      <c r="N1445" s="111">
        <f ca="1">IFERROR(__xludf.DUMMYFUNCTION("""COMPUTED_VALUE"""),11.11)</f>
        <v>11.11</v>
      </c>
      <c r="O1445" s="112">
        <f ca="1">IFERROR(__xludf.DUMMYFUNCTION("""COMPUTED_VALUE"""),42387.7055555555)</f>
        <v>42387.705555555498</v>
      </c>
      <c r="P1445" s="111">
        <f ca="1">IFERROR(__xludf.DUMMYFUNCTION("""COMPUTED_VALUE"""),8.89)</f>
        <v>8.89</v>
      </c>
      <c r="Q1445" s="112">
        <f ca="1">IFERROR(__xludf.DUMMYFUNCTION("""COMPUTED_VALUE"""),42383.7055555555)</f>
        <v>42383.705555555498</v>
      </c>
      <c r="R1445" s="111">
        <f ca="1">IFERROR(__xludf.DUMMYFUNCTION("""COMPUTED_VALUE"""),13.56)</f>
        <v>13.56</v>
      </c>
      <c r="S1445" s="112">
        <f ca="1">IFERROR(__xludf.DUMMYFUNCTION("""COMPUTED_VALUE"""),42397.7055555555)</f>
        <v>42397.705555555498</v>
      </c>
      <c r="T1445" s="111">
        <f ca="1">IFERROR(__xludf.DUMMYFUNCTION("""COMPUTED_VALUE"""),12.73)</f>
        <v>12.73</v>
      </c>
    </row>
    <row r="1446" spans="1:20" x14ac:dyDescent="0.3">
      <c r="A1446" s="112">
        <f ca="1">IFERROR(__xludf.DUMMYFUNCTION("""COMPUTED_VALUE"""),42395.7055555555)</f>
        <v>42395.705555555498</v>
      </c>
      <c r="B1446" s="111">
        <f ca="1">IFERROR(__xludf.DUMMYFUNCTION("""COMPUTED_VALUE"""),4.83)</f>
        <v>4.83</v>
      </c>
      <c r="C1446" s="112">
        <f ca="1">IFERROR(__xludf.DUMMYFUNCTION("""COMPUTED_VALUE"""),42402.7055555555)</f>
        <v>42402.705555555498</v>
      </c>
      <c r="D1446" s="111">
        <f ca="1">IFERROR(__xludf.DUMMYFUNCTION("""COMPUTED_VALUE"""),14.33)</f>
        <v>14.33</v>
      </c>
      <c r="E1446" s="112">
        <f ca="1">IFERROR(__xludf.DUMMYFUNCTION("""COMPUTED_VALUE"""),42403.7055555555)</f>
        <v>42403.705555555498</v>
      </c>
      <c r="F1446" s="111">
        <f ca="1">IFERROR(__xludf.DUMMYFUNCTION("""COMPUTED_VALUE"""),5.26)</f>
        <v>5.26</v>
      </c>
      <c r="G1446" s="112">
        <f ca="1">IFERROR(__xludf.DUMMYFUNCTION("""COMPUTED_VALUE"""),42396.7055555555)</f>
        <v>42396.705555555498</v>
      </c>
      <c r="H1446" s="111">
        <f ca="1">IFERROR(__xludf.DUMMYFUNCTION("""COMPUTED_VALUE"""),4.57)</f>
        <v>4.57</v>
      </c>
      <c r="K1446" s="112">
        <f ca="1">IFERROR(__xludf.DUMMYFUNCTION("""COMPUTED_VALUE"""),42844.7055555555)</f>
        <v>42844.705555555498</v>
      </c>
      <c r="L1446" s="111">
        <f ca="1">IFERROR(__xludf.DUMMYFUNCTION("""COMPUTED_VALUE"""),0.8)</f>
        <v>0.8</v>
      </c>
      <c r="M1446" s="112">
        <f ca="1">IFERROR(__xludf.DUMMYFUNCTION("""COMPUTED_VALUE"""),42305.7055555555)</f>
        <v>42305.705555555498</v>
      </c>
      <c r="N1446" s="111">
        <f ca="1">IFERROR(__xludf.DUMMYFUNCTION("""COMPUTED_VALUE"""),11.6)</f>
        <v>11.6</v>
      </c>
      <c r="O1446" s="112">
        <f ca="1">IFERROR(__xludf.DUMMYFUNCTION("""COMPUTED_VALUE"""),42388.7055555555)</f>
        <v>42388.705555555498</v>
      </c>
      <c r="P1446" s="111">
        <f ca="1">IFERROR(__xludf.DUMMYFUNCTION("""COMPUTED_VALUE"""),9.18)</f>
        <v>9.18</v>
      </c>
      <c r="Q1446" s="112">
        <f ca="1">IFERROR(__xludf.DUMMYFUNCTION("""COMPUTED_VALUE"""),42384.7055555555)</f>
        <v>42384.705555555498</v>
      </c>
      <c r="R1446" s="111">
        <f ca="1">IFERROR(__xludf.DUMMYFUNCTION("""COMPUTED_VALUE"""),13.04)</f>
        <v>13.04</v>
      </c>
      <c r="S1446" s="112">
        <f ca="1">IFERROR(__xludf.DUMMYFUNCTION("""COMPUTED_VALUE"""),42398.7055555555)</f>
        <v>42398.705555555498</v>
      </c>
      <c r="T1446" s="111">
        <f ca="1">IFERROR(__xludf.DUMMYFUNCTION("""COMPUTED_VALUE"""),13.33)</f>
        <v>13.33</v>
      </c>
    </row>
    <row r="1447" spans="1:20" x14ac:dyDescent="0.3">
      <c r="A1447" s="112">
        <f ca="1">IFERROR(__xludf.DUMMYFUNCTION("""COMPUTED_VALUE"""),42396.7055555555)</f>
        <v>42396.705555555498</v>
      </c>
      <c r="B1447" s="111">
        <f ca="1">IFERROR(__xludf.DUMMYFUNCTION("""COMPUTED_VALUE"""),5.27)</f>
        <v>5.27</v>
      </c>
      <c r="C1447" s="112">
        <f ca="1">IFERROR(__xludf.DUMMYFUNCTION("""COMPUTED_VALUE"""),42403.7055555555)</f>
        <v>42403.705555555498</v>
      </c>
      <c r="D1447" s="111">
        <f ca="1">IFERROR(__xludf.DUMMYFUNCTION("""COMPUTED_VALUE"""),14.67)</f>
        <v>14.67</v>
      </c>
      <c r="E1447" s="112">
        <f ca="1">IFERROR(__xludf.DUMMYFUNCTION("""COMPUTED_VALUE"""),42404.7055555555)</f>
        <v>42404.705555555498</v>
      </c>
      <c r="F1447" s="111">
        <f ca="1">IFERROR(__xludf.DUMMYFUNCTION("""COMPUTED_VALUE"""),5.34)</f>
        <v>5.34</v>
      </c>
      <c r="G1447" s="112">
        <f ca="1">IFERROR(__xludf.DUMMYFUNCTION("""COMPUTED_VALUE"""),42397.7055555555)</f>
        <v>42397.705555555498</v>
      </c>
      <c r="H1447" s="111">
        <f ca="1">IFERROR(__xludf.DUMMYFUNCTION("""COMPUTED_VALUE"""),4.6)</f>
        <v>4.5999999999999996</v>
      </c>
      <c r="K1447" s="112">
        <f ca="1">IFERROR(__xludf.DUMMYFUNCTION("""COMPUTED_VALUE"""),42845.7055555555)</f>
        <v>42845.705555555498</v>
      </c>
      <c r="L1447" s="111">
        <f ca="1">IFERROR(__xludf.DUMMYFUNCTION("""COMPUTED_VALUE"""),0.84)</f>
        <v>0.84</v>
      </c>
      <c r="M1447" s="112">
        <f ca="1">IFERROR(__xludf.DUMMYFUNCTION("""COMPUTED_VALUE"""),42306.7055555555)</f>
        <v>42306.705555555498</v>
      </c>
      <c r="N1447" s="111">
        <f ca="1">IFERROR(__xludf.DUMMYFUNCTION("""COMPUTED_VALUE"""),10.89)</f>
        <v>10.89</v>
      </c>
      <c r="O1447" s="112">
        <f ca="1">IFERROR(__xludf.DUMMYFUNCTION("""COMPUTED_VALUE"""),42389.7055555555)</f>
        <v>42389.705555555498</v>
      </c>
      <c r="P1447" s="111">
        <f ca="1">IFERROR(__xludf.DUMMYFUNCTION("""COMPUTED_VALUE"""),9.21)</f>
        <v>9.2100000000000009</v>
      </c>
      <c r="Q1447" s="112">
        <f ca="1">IFERROR(__xludf.DUMMYFUNCTION("""COMPUTED_VALUE"""),42387.7055555555)</f>
        <v>42387.705555555498</v>
      </c>
      <c r="R1447" s="111">
        <f ca="1">IFERROR(__xludf.DUMMYFUNCTION("""COMPUTED_VALUE"""),12.96)</f>
        <v>12.96</v>
      </c>
      <c r="S1447" s="112">
        <f ca="1">IFERROR(__xludf.DUMMYFUNCTION("""COMPUTED_VALUE"""),42401.7055555555)</f>
        <v>42401.705555555498</v>
      </c>
      <c r="T1447" s="111">
        <f ca="1">IFERROR(__xludf.DUMMYFUNCTION("""COMPUTED_VALUE"""),13.57)</f>
        <v>13.57</v>
      </c>
    </row>
    <row r="1448" spans="1:20" x14ac:dyDescent="0.3">
      <c r="A1448" s="112">
        <f ca="1">IFERROR(__xludf.DUMMYFUNCTION("""COMPUTED_VALUE"""),42397.7055555555)</f>
        <v>42397.705555555498</v>
      </c>
      <c r="B1448" s="111">
        <f ca="1">IFERROR(__xludf.DUMMYFUNCTION("""COMPUTED_VALUE"""),5.45)</f>
        <v>5.45</v>
      </c>
      <c r="C1448" s="112">
        <f ca="1">IFERROR(__xludf.DUMMYFUNCTION("""COMPUTED_VALUE"""),42404.7055555555)</f>
        <v>42404.705555555498</v>
      </c>
      <c r="D1448" s="111">
        <f ca="1">IFERROR(__xludf.DUMMYFUNCTION("""COMPUTED_VALUE"""),14.88)</f>
        <v>14.88</v>
      </c>
      <c r="E1448" s="112">
        <f ca="1">IFERROR(__xludf.DUMMYFUNCTION("""COMPUTED_VALUE"""),42405.7055555555)</f>
        <v>42405.705555555498</v>
      </c>
      <c r="F1448" s="111">
        <f ca="1">IFERROR(__xludf.DUMMYFUNCTION("""COMPUTED_VALUE"""),5.34)</f>
        <v>5.34</v>
      </c>
      <c r="G1448" s="112">
        <f ca="1">IFERROR(__xludf.DUMMYFUNCTION("""COMPUTED_VALUE"""),42398.7055555555)</f>
        <v>42398.705555555498</v>
      </c>
      <c r="H1448" s="111">
        <f ca="1">IFERROR(__xludf.DUMMYFUNCTION("""COMPUTED_VALUE"""),4.84)</f>
        <v>4.84</v>
      </c>
      <c r="K1448" s="112">
        <f ca="1">IFERROR(__xludf.DUMMYFUNCTION("""COMPUTED_VALUE"""),42849.7055555555)</f>
        <v>42849.705555555498</v>
      </c>
      <c r="L1448" s="111">
        <f ca="1">IFERROR(__xludf.DUMMYFUNCTION("""COMPUTED_VALUE"""),0.82)</f>
        <v>0.82</v>
      </c>
      <c r="M1448" s="112">
        <f ca="1">IFERROR(__xludf.DUMMYFUNCTION("""COMPUTED_VALUE"""),42307.7055555555)</f>
        <v>42307.705555555498</v>
      </c>
      <c r="N1448" s="111">
        <f ca="1">IFERROR(__xludf.DUMMYFUNCTION("""COMPUTED_VALUE"""),10.87)</f>
        <v>10.87</v>
      </c>
      <c r="O1448" s="112">
        <f ca="1">IFERROR(__xludf.DUMMYFUNCTION("""COMPUTED_VALUE"""),42390.7055555555)</f>
        <v>42390.705555555498</v>
      </c>
      <c r="P1448" s="111">
        <f ca="1">IFERROR(__xludf.DUMMYFUNCTION("""COMPUTED_VALUE"""),9.14)</f>
        <v>9.14</v>
      </c>
      <c r="Q1448" s="112">
        <f ca="1">IFERROR(__xludf.DUMMYFUNCTION("""COMPUTED_VALUE"""),42388.7055555555)</f>
        <v>42388.705555555498</v>
      </c>
      <c r="R1448" s="111">
        <f ca="1">IFERROR(__xludf.DUMMYFUNCTION("""COMPUTED_VALUE"""),12.84)</f>
        <v>12.84</v>
      </c>
      <c r="S1448" s="112">
        <f ca="1">IFERROR(__xludf.DUMMYFUNCTION("""COMPUTED_VALUE"""),42402.7055555555)</f>
        <v>42402.705555555498</v>
      </c>
      <c r="T1448" s="111">
        <f ca="1">IFERROR(__xludf.DUMMYFUNCTION("""COMPUTED_VALUE"""),13.2)</f>
        <v>13.2</v>
      </c>
    </row>
    <row r="1449" spans="1:20" x14ac:dyDescent="0.3">
      <c r="A1449" s="112">
        <f ca="1">IFERROR(__xludf.DUMMYFUNCTION("""COMPUTED_VALUE"""),42398.7055555555)</f>
        <v>42398.705555555498</v>
      </c>
      <c r="B1449" s="111">
        <f ca="1">IFERROR(__xludf.DUMMYFUNCTION("""COMPUTED_VALUE"""),5.76)</f>
        <v>5.76</v>
      </c>
      <c r="C1449" s="112">
        <f ca="1">IFERROR(__xludf.DUMMYFUNCTION("""COMPUTED_VALUE"""),42405.7055555555)</f>
        <v>42405.705555555498</v>
      </c>
      <c r="D1449" s="111">
        <f ca="1">IFERROR(__xludf.DUMMYFUNCTION("""COMPUTED_VALUE"""),15.03)</f>
        <v>15.03</v>
      </c>
      <c r="E1449" s="112">
        <f ca="1">IFERROR(__xludf.DUMMYFUNCTION("""COMPUTED_VALUE"""),42410.7055555555)</f>
        <v>42410.705555555498</v>
      </c>
      <c r="F1449" s="111">
        <f ca="1">IFERROR(__xludf.DUMMYFUNCTION("""COMPUTED_VALUE"""),5.34)</f>
        <v>5.34</v>
      </c>
      <c r="G1449" s="112">
        <f ca="1">IFERROR(__xludf.DUMMYFUNCTION("""COMPUTED_VALUE"""),42401.7055555555)</f>
        <v>42401.705555555498</v>
      </c>
      <c r="H1449" s="111">
        <f ca="1">IFERROR(__xludf.DUMMYFUNCTION("""COMPUTED_VALUE"""),4.72)</f>
        <v>4.72</v>
      </c>
      <c r="K1449" s="112">
        <f ca="1">IFERROR(__xludf.DUMMYFUNCTION("""COMPUTED_VALUE"""),42850.7055555555)</f>
        <v>42850.705555555498</v>
      </c>
      <c r="L1449" s="111">
        <f ca="1">IFERROR(__xludf.DUMMYFUNCTION("""COMPUTED_VALUE"""),0.82)</f>
        <v>0.82</v>
      </c>
      <c r="M1449" s="112">
        <f ca="1">IFERROR(__xludf.DUMMYFUNCTION("""COMPUTED_VALUE"""),42311.7055555555)</f>
        <v>42311.705555555498</v>
      </c>
      <c r="N1449" s="111">
        <f ca="1">IFERROR(__xludf.DUMMYFUNCTION("""COMPUTED_VALUE"""),11.44)</f>
        <v>11.44</v>
      </c>
      <c r="O1449" s="112">
        <f ca="1">IFERROR(__xludf.DUMMYFUNCTION("""COMPUTED_VALUE"""),42391.7055555555)</f>
        <v>42391.705555555498</v>
      </c>
      <c r="P1449" s="111">
        <f ca="1">IFERROR(__xludf.DUMMYFUNCTION("""COMPUTED_VALUE"""),9.03)</f>
        <v>9.0299999999999994</v>
      </c>
      <c r="Q1449" s="112">
        <f ca="1">IFERROR(__xludf.DUMMYFUNCTION("""COMPUTED_VALUE"""),42389.7055555555)</f>
        <v>42389.705555555498</v>
      </c>
      <c r="R1449" s="111">
        <f ca="1">IFERROR(__xludf.DUMMYFUNCTION("""COMPUTED_VALUE"""),12.72)</f>
        <v>12.72</v>
      </c>
      <c r="S1449" s="112">
        <f ca="1">IFERROR(__xludf.DUMMYFUNCTION("""COMPUTED_VALUE"""),42403.7055555555)</f>
        <v>42403.705555555498</v>
      </c>
      <c r="T1449" s="111">
        <f ca="1">IFERROR(__xludf.DUMMYFUNCTION("""COMPUTED_VALUE"""),13.59)</f>
        <v>13.59</v>
      </c>
    </row>
    <row r="1450" spans="1:20" x14ac:dyDescent="0.3">
      <c r="A1450" s="112">
        <f ca="1">IFERROR(__xludf.DUMMYFUNCTION("""COMPUTED_VALUE"""),42401.7055555555)</f>
        <v>42401.705555555498</v>
      </c>
      <c r="B1450" s="111">
        <f ca="1">IFERROR(__xludf.DUMMYFUNCTION("""COMPUTED_VALUE"""),5.85)</f>
        <v>5.85</v>
      </c>
      <c r="C1450" s="112">
        <f ca="1">IFERROR(__xludf.DUMMYFUNCTION("""COMPUTED_VALUE"""),42410.7055555555)</f>
        <v>42410.705555555498</v>
      </c>
      <c r="D1450" s="111">
        <f ca="1">IFERROR(__xludf.DUMMYFUNCTION("""COMPUTED_VALUE"""),15.1)</f>
        <v>15.1</v>
      </c>
      <c r="E1450" s="112">
        <f ca="1">IFERROR(__xludf.DUMMYFUNCTION("""COMPUTED_VALUE"""),42411.7055555555)</f>
        <v>42411.705555555498</v>
      </c>
      <c r="F1450" s="111">
        <f ca="1">IFERROR(__xludf.DUMMYFUNCTION("""COMPUTED_VALUE"""),5.23)</f>
        <v>5.23</v>
      </c>
      <c r="G1450" s="112">
        <f ca="1">IFERROR(__xludf.DUMMYFUNCTION("""COMPUTED_VALUE"""),42402.7055555555)</f>
        <v>42402.705555555498</v>
      </c>
      <c r="H1450" s="111">
        <f ca="1">IFERROR(__xludf.DUMMYFUNCTION("""COMPUTED_VALUE"""),4.3)</f>
        <v>4.3</v>
      </c>
      <c r="K1450" s="112">
        <f ca="1">IFERROR(__xludf.DUMMYFUNCTION("""COMPUTED_VALUE"""),42851.7055555555)</f>
        <v>42851.705555555498</v>
      </c>
      <c r="L1450" s="111">
        <f ca="1">IFERROR(__xludf.DUMMYFUNCTION("""COMPUTED_VALUE"""),0.83)</f>
        <v>0.83</v>
      </c>
      <c r="M1450" s="112">
        <f ca="1">IFERROR(__xludf.DUMMYFUNCTION("""COMPUTED_VALUE"""),42312.7055555555)</f>
        <v>42312.705555555498</v>
      </c>
      <c r="N1450" s="111">
        <f ca="1">IFERROR(__xludf.DUMMYFUNCTION("""COMPUTED_VALUE"""),11.2)</f>
        <v>11.2</v>
      </c>
      <c r="O1450" s="112">
        <f ca="1">IFERROR(__xludf.DUMMYFUNCTION("""COMPUTED_VALUE"""),42395.7055555555)</f>
        <v>42395.705555555498</v>
      </c>
      <c r="P1450" s="111">
        <f ca="1">IFERROR(__xludf.DUMMYFUNCTION("""COMPUTED_VALUE"""),8.95)</f>
        <v>8.9499999999999993</v>
      </c>
      <c r="Q1450" s="112">
        <f ca="1">IFERROR(__xludf.DUMMYFUNCTION("""COMPUTED_VALUE"""),42390.7055555555)</f>
        <v>42390.705555555498</v>
      </c>
      <c r="R1450" s="111">
        <f ca="1">IFERROR(__xludf.DUMMYFUNCTION("""COMPUTED_VALUE"""),12.71)</f>
        <v>12.71</v>
      </c>
      <c r="S1450" s="112">
        <f ca="1">IFERROR(__xludf.DUMMYFUNCTION("""COMPUTED_VALUE"""),42404.7055555555)</f>
        <v>42404.705555555498</v>
      </c>
      <c r="T1450" s="111">
        <f ca="1">IFERROR(__xludf.DUMMYFUNCTION("""COMPUTED_VALUE"""),13.37)</f>
        <v>13.37</v>
      </c>
    </row>
    <row r="1451" spans="1:20" x14ac:dyDescent="0.3">
      <c r="A1451" s="112">
        <f ca="1">IFERROR(__xludf.DUMMYFUNCTION("""COMPUTED_VALUE"""),42402.7055555555)</f>
        <v>42402.705555555498</v>
      </c>
      <c r="B1451" s="111">
        <f ca="1">IFERROR(__xludf.DUMMYFUNCTION("""COMPUTED_VALUE"""),5.74)</f>
        <v>5.74</v>
      </c>
      <c r="C1451" s="112">
        <f ca="1">IFERROR(__xludf.DUMMYFUNCTION("""COMPUTED_VALUE"""),42411.7055555555)</f>
        <v>42411.705555555498</v>
      </c>
      <c r="D1451" s="111">
        <f ca="1">IFERROR(__xludf.DUMMYFUNCTION("""COMPUTED_VALUE"""),14.65)</f>
        <v>14.65</v>
      </c>
      <c r="E1451" s="112">
        <f ca="1">IFERROR(__xludf.DUMMYFUNCTION("""COMPUTED_VALUE"""),42412.7055555555)</f>
        <v>42412.705555555498</v>
      </c>
      <c r="F1451" s="111">
        <f ca="1">IFERROR(__xludf.DUMMYFUNCTION("""COMPUTED_VALUE"""),5.23)</f>
        <v>5.23</v>
      </c>
      <c r="G1451" s="112">
        <f ca="1">IFERROR(__xludf.DUMMYFUNCTION("""COMPUTED_VALUE"""),42403.7055555555)</f>
        <v>42403.705555555498</v>
      </c>
      <c r="H1451" s="111">
        <f ca="1">IFERROR(__xludf.DUMMYFUNCTION("""COMPUTED_VALUE"""),4.49)</f>
        <v>4.49</v>
      </c>
      <c r="K1451" s="112">
        <f ca="1">IFERROR(__xludf.DUMMYFUNCTION("""COMPUTED_VALUE"""),42852.7055555555)</f>
        <v>42852.705555555498</v>
      </c>
      <c r="L1451" s="111">
        <f ca="1">IFERROR(__xludf.DUMMYFUNCTION("""COMPUTED_VALUE"""),0.87)</f>
        <v>0.87</v>
      </c>
      <c r="M1451" s="112">
        <f ca="1">IFERROR(__xludf.DUMMYFUNCTION("""COMPUTED_VALUE"""),42313.7055555555)</f>
        <v>42313.705555555498</v>
      </c>
      <c r="N1451" s="111">
        <f ca="1">IFERROR(__xludf.DUMMYFUNCTION("""COMPUTED_VALUE"""),11.51)</f>
        <v>11.51</v>
      </c>
      <c r="O1451" s="112">
        <f ca="1">IFERROR(__xludf.DUMMYFUNCTION("""COMPUTED_VALUE"""),42396.7055555555)</f>
        <v>42396.705555555498</v>
      </c>
      <c r="P1451" s="111">
        <f ca="1">IFERROR(__xludf.DUMMYFUNCTION("""COMPUTED_VALUE"""),9.41)</f>
        <v>9.41</v>
      </c>
      <c r="Q1451" s="112">
        <f ca="1">IFERROR(__xludf.DUMMYFUNCTION("""COMPUTED_VALUE"""),42391.7055555555)</f>
        <v>42391.705555555498</v>
      </c>
      <c r="R1451" s="111">
        <f ca="1">IFERROR(__xludf.DUMMYFUNCTION("""COMPUTED_VALUE"""),13)</f>
        <v>13</v>
      </c>
      <c r="S1451" s="112">
        <f ca="1">IFERROR(__xludf.DUMMYFUNCTION("""COMPUTED_VALUE"""),42405.7055555555)</f>
        <v>42405.705555555498</v>
      </c>
      <c r="T1451" s="111">
        <f ca="1">IFERROR(__xludf.DUMMYFUNCTION("""COMPUTED_VALUE"""),12.62)</f>
        <v>12.62</v>
      </c>
    </row>
    <row r="1452" spans="1:20" x14ac:dyDescent="0.3">
      <c r="A1452" s="112">
        <f ca="1">IFERROR(__xludf.DUMMYFUNCTION("""COMPUTED_VALUE"""),42403.7055555555)</f>
        <v>42403.705555555498</v>
      </c>
      <c r="B1452" s="111">
        <f ca="1">IFERROR(__xludf.DUMMYFUNCTION("""COMPUTED_VALUE"""),5.73)</f>
        <v>5.73</v>
      </c>
      <c r="C1452" s="112">
        <f ca="1">IFERROR(__xludf.DUMMYFUNCTION("""COMPUTED_VALUE"""),42412.7055555555)</f>
        <v>42412.705555555498</v>
      </c>
      <c r="D1452" s="111">
        <f ca="1">IFERROR(__xludf.DUMMYFUNCTION("""COMPUTED_VALUE"""),14.77)</f>
        <v>14.77</v>
      </c>
      <c r="E1452" s="112">
        <f ca="1">IFERROR(__xludf.DUMMYFUNCTION("""COMPUTED_VALUE"""),42415.7055555555)</f>
        <v>42415.705555555498</v>
      </c>
      <c r="F1452" s="111">
        <f ca="1">IFERROR(__xludf.DUMMYFUNCTION("""COMPUTED_VALUE"""),5.24)</f>
        <v>5.24</v>
      </c>
      <c r="G1452" s="112">
        <f ca="1">IFERROR(__xludf.DUMMYFUNCTION("""COMPUTED_VALUE"""),42404.7055555555)</f>
        <v>42404.705555555498</v>
      </c>
      <c r="H1452" s="111">
        <f ca="1">IFERROR(__xludf.DUMMYFUNCTION("""COMPUTED_VALUE"""),4.73)</f>
        <v>4.7300000000000004</v>
      </c>
      <c r="K1452" s="112">
        <f ca="1">IFERROR(__xludf.DUMMYFUNCTION("""COMPUTED_VALUE"""),42853.7055555555)</f>
        <v>42853.705555555498</v>
      </c>
      <c r="L1452" s="111">
        <f ca="1">IFERROR(__xludf.DUMMYFUNCTION("""COMPUTED_VALUE"""),0.87)</f>
        <v>0.87</v>
      </c>
      <c r="M1452" s="112">
        <f ca="1">IFERROR(__xludf.DUMMYFUNCTION("""COMPUTED_VALUE"""),42314.7055555555)</f>
        <v>42314.705555555498</v>
      </c>
      <c r="N1452" s="111">
        <f ca="1">IFERROR(__xludf.DUMMYFUNCTION("""COMPUTED_VALUE"""),11.34)</f>
        <v>11.34</v>
      </c>
      <c r="O1452" s="112">
        <f ca="1">IFERROR(__xludf.DUMMYFUNCTION("""COMPUTED_VALUE"""),42397.7055555555)</f>
        <v>42397.705555555498</v>
      </c>
      <c r="P1452" s="111">
        <f ca="1">IFERROR(__xludf.DUMMYFUNCTION("""COMPUTED_VALUE"""),9.33)</f>
        <v>9.33</v>
      </c>
      <c r="Q1452" s="112">
        <f ca="1">IFERROR(__xludf.DUMMYFUNCTION("""COMPUTED_VALUE"""),42395.7055555555)</f>
        <v>42395.705555555498</v>
      </c>
      <c r="R1452" s="111">
        <f ca="1">IFERROR(__xludf.DUMMYFUNCTION("""COMPUTED_VALUE"""),12.89)</f>
        <v>12.89</v>
      </c>
      <c r="S1452" s="112">
        <f ca="1">IFERROR(__xludf.DUMMYFUNCTION("""COMPUTED_VALUE"""),42410.7055555555)</f>
        <v>42410.705555555498</v>
      </c>
      <c r="T1452" s="111">
        <f ca="1">IFERROR(__xludf.DUMMYFUNCTION("""COMPUTED_VALUE"""),12.21)</f>
        <v>12.21</v>
      </c>
    </row>
    <row r="1453" spans="1:20" x14ac:dyDescent="0.3">
      <c r="A1453" s="112">
        <f ca="1">IFERROR(__xludf.DUMMYFUNCTION("""COMPUTED_VALUE"""),42404.7055555555)</f>
        <v>42404.705555555498</v>
      </c>
      <c r="B1453" s="111">
        <f ca="1">IFERROR(__xludf.DUMMYFUNCTION("""COMPUTED_VALUE"""),5.98)</f>
        <v>5.98</v>
      </c>
      <c r="C1453" s="112">
        <f ca="1">IFERROR(__xludf.DUMMYFUNCTION("""COMPUTED_VALUE"""),42415.7055555555)</f>
        <v>42415.705555555498</v>
      </c>
      <c r="D1453" s="111">
        <f ca="1">IFERROR(__xludf.DUMMYFUNCTION("""COMPUTED_VALUE"""),14.72)</f>
        <v>14.72</v>
      </c>
      <c r="E1453" s="112">
        <f ca="1">IFERROR(__xludf.DUMMYFUNCTION("""COMPUTED_VALUE"""),42416.7055555555)</f>
        <v>42416.705555555498</v>
      </c>
      <c r="F1453" s="111">
        <f ca="1">IFERROR(__xludf.DUMMYFUNCTION("""COMPUTED_VALUE"""),5.32)</f>
        <v>5.32</v>
      </c>
      <c r="G1453" s="112">
        <f ca="1">IFERROR(__xludf.DUMMYFUNCTION("""COMPUTED_VALUE"""),42405.7055555555)</f>
        <v>42405.705555555498</v>
      </c>
      <c r="H1453" s="111">
        <f ca="1">IFERROR(__xludf.DUMMYFUNCTION("""COMPUTED_VALUE"""),4.54)</f>
        <v>4.54</v>
      </c>
      <c r="K1453" s="112">
        <f ca="1">IFERROR(__xludf.DUMMYFUNCTION("""COMPUTED_VALUE"""),42857.7055555555)</f>
        <v>42857.705555555498</v>
      </c>
      <c r="L1453" s="111">
        <f ca="1">IFERROR(__xludf.DUMMYFUNCTION("""COMPUTED_VALUE"""),0.89)</f>
        <v>0.89</v>
      </c>
      <c r="M1453" s="112">
        <f ca="1">IFERROR(__xludf.DUMMYFUNCTION("""COMPUTED_VALUE"""),42317.7055555555)</f>
        <v>42317.705555555498</v>
      </c>
      <c r="N1453" s="111">
        <f ca="1">IFERROR(__xludf.DUMMYFUNCTION("""COMPUTED_VALUE"""),11.09)</f>
        <v>11.09</v>
      </c>
      <c r="O1453" s="112">
        <f ca="1">IFERROR(__xludf.DUMMYFUNCTION("""COMPUTED_VALUE"""),42398.7055555555)</f>
        <v>42398.705555555498</v>
      </c>
      <c r="P1453" s="111">
        <f ca="1">IFERROR(__xludf.DUMMYFUNCTION("""COMPUTED_VALUE"""),9.72)</f>
        <v>9.7200000000000006</v>
      </c>
      <c r="Q1453" s="112">
        <f ca="1">IFERROR(__xludf.DUMMYFUNCTION("""COMPUTED_VALUE"""),42396.7055555555)</f>
        <v>42396.705555555498</v>
      </c>
      <c r="R1453" s="111">
        <f ca="1">IFERROR(__xludf.DUMMYFUNCTION("""COMPUTED_VALUE"""),12.7)</f>
        <v>12.7</v>
      </c>
      <c r="S1453" s="112">
        <f ca="1">IFERROR(__xludf.DUMMYFUNCTION("""COMPUTED_VALUE"""),42411.7055555555)</f>
        <v>42411.705555555498</v>
      </c>
      <c r="T1453" s="111">
        <f ca="1">IFERROR(__xludf.DUMMYFUNCTION("""COMPUTED_VALUE"""),12.04)</f>
        <v>12.04</v>
      </c>
    </row>
    <row r="1454" spans="1:20" x14ac:dyDescent="0.3">
      <c r="A1454" s="112">
        <f ca="1">IFERROR(__xludf.DUMMYFUNCTION("""COMPUTED_VALUE"""),42405.7055555555)</f>
        <v>42405.705555555498</v>
      </c>
      <c r="B1454" s="111">
        <f ca="1">IFERROR(__xludf.DUMMYFUNCTION("""COMPUTED_VALUE"""),5.95)</f>
        <v>5.95</v>
      </c>
      <c r="C1454" s="112">
        <f ca="1">IFERROR(__xludf.DUMMYFUNCTION("""COMPUTED_VALUE"""),42416.7055555555)</f>
        <v>42416.705555555498</v>
      </c>
      <c r="D1454" s="111">
        <f ca="1">IFERROR(__xludf.DUMMYFUNCTION("""COMPUTED_VALUE"""),15.08)</f>
        <v>15.08</v>
      </c>
      <c r="E1454" s="112">
        <f ca="1">IFERROR(__xludf.DUMMYFUNCTION("""COMPUTED_VALUE"""),42417.7055555555)</f>
        <v>42417.705555555498</v>
      </c>
      <c r="F1454" s="111">
        <f ca="1">IFERROR(__xludf.DUMMYFUNCTION("""COMPUTED_VALUE"""),5.34)</f>
        <v>5.34</v>
      </c>
      <c r="G1454" s="112">
        <f ca="1">IFERROR(__xludf.DUMMYFUNCTION("""COMPUTED_VALUE"""),42410.7055555555)</f>
        <v>42410.705555555498</v>
      </c>
      <c r="H1454" s="111">
        <f ca="1">IFERROR(__xludf.DUMMYFUNCTION("""COMPUTED_VALUE"""),4.31)</f>
        <v>4.3099999999999996</v>
      </c>
      <c r="K1454" s="112">
        <f ca="1">IFERROR(__xludf.DUMMYFUNCTION("""COMPUTED_VALUE"""),42858.7055555555)</f>
        <v>42858.705555555498</v>
      </c>
      <c r="L1454" s="111">
        <f ca="1">IFERROR(__xludf.DUMMYFUNCTION("""COMPUTED_VALUE"""),0.9)</f>
        <v>0.9</v>
      </c>
      <c r="M1454" s="112">
        <f ca="1">IFERROR(__xludf.DUMMYFUNCTION("""COMPUTED_VALUE"""),42318.7055555555)</f>
        <v>42318.705555555498</v>
      </c>
      <c r="N1454" s="111">
        <f ca="1">IFERROR(__xludf.DUMMYFUNCTION("""COMPUTED_VALUE"""),11.03)</f>
        <v>11.03</v>
      </c>
      <c r="O1454" s="112">
        <f ca="1">IFERROR(__xludf.DUMMYFUNCTION("""COMPUTED_VALUE"""),42401.7055555555)</f>
        <v>42401.705555555498</v>
      </c>
      <c r="P1454" s="111">
        <f ca="1">IFERROR(__xludf.DUMMYFUNCTION("""COMPUTED_VALUE"""),9.5)</f>
        <v>9.5</v>
      </c>
      <c r="Q1454" s="112">
        <f ca="1">IFERROR(__xludf.DUMMYFUNCTION("""COMPUTED_VALUE"""),42397.7055555555)</f>
        <v>42397.705555555498</v>
      </c>
      <c r="R1454" s="111">
        <f ca="1">IFERROR(__xludf.DUMMYFUNCTION("""COMPUTED_VALUE"""),12.98)</f>
        <v>12.98</v>
      </c>
      <c r="S1454" s="112">
        <f ca="1">IFERROR(__xludf.DUMMYFUNCTION("""COMPUTED_VALUE"""),42412.7055555555)</f>
        <v>42412.705555555498</v>
      </c>
      <c r="T1454" s="111">
        <f ca="1">IFERROR(__xludf.DUMMYFUNCTION("""COMPUTED_VALUE"""),12.17)</f>
        <v>12.17</v>
      </c>
    </row>
    <row r="1455" spans="1:20" x14ac:dyDescent="0.3">
      <c r="A1455" s="112">
        <f ca="1">IFERROR(__xludf.DUMMYFUNCTION("""COMPUTED_VALUE"""),42410.7055555555)</f>
        <v>42410.705555555498</v>
      </c>
      <c r="B1455" s="111">
        <f ca="1">IFERROR(__xludf.DUMMYFUNCTION("""COMPUTED_VALUE"""),5.81)</f>
        <v>5.81</v>
      </c>
      <c r="C1455" s="112">
        <f ca="1">IFERROR(__xludf.DUMMYFUNCTION("""COMPUTED_VALUE"""),42417.7055555555)</f>
        <v>42417.705555555498</v>
      </c>
      <c r="D1455" s="111">
        <f ca="1">IFERROR(__xludf.DUMMYFUNCTION("""COMPUTED_VALUE"""),15.24)</f>
        <v>15.24</v>
      </c>
      <c r="E1455" s="112">
        <f ca="1">IFERROR(__xludf.DUMMYFUNCTION("""COMPUTED_VALUE"""),42418.7055555555)</f>
        <v>42418.705555555498</v>
      </c>
      <c r="F1455" s="111">
        <f ca="1">IFERROR(__xludf.DUMMYFUNCTION("""COMPUTED_VALUE"""),5.25)</f>
        <v>5.25</v>
      </c>
      <c r="G1455" s="112">
        <f ca="1">IFERROR(__xludf.DUMMYFUNCTION("""COMPUTED_VALUE"""),42411.7055555555)</f>
        <v>42411.705555555498</v>
      </c>
      <c r="H1455" s="111">
        <f ca="1">IFERROR(__xludf.DUMMYFUNCTION("""COMPUTED_VALUE"""),4.23)</f>
        <v>4.2300000000000004</v>
      </c>
      <c r="K1455" s="112">
        <f ca="1">IFERROR(__xludf.DUMMYFUNCTION("""COMPUTED_VALUE"""),42859.7055555555)</f>
        <v>42859.705555555498</v>
      </c>
      <c r="L1455" s="111">
        <f ca="1">IFERROR(__xludf.DUMMYFUNCTION("""COMPUTED_VALUE"""),0.89)</f>
        <v>0.89</v>
      </c>
      <c r="M1455" s="112">
        <f ca="1">IFERROR(__xludf.DUMMYFUNCTION("""COMPUTED_VALUE"""),42319.7055555555)</f>
        <v>42319.705555555498</v>
      </c>
      <c r="N1455" s="111">
        <f ca="1">IFERROR(__xludf.DUMMYFUNCTION("""COMPUTED_VALUE"""),11.3)</f>
        <v>11.3</v>
      </c>
      <c r="O1455" s="112">
        <f ca="1">IFERROR(__xludf.DUMMYFUNCTION("""COMPUTED_VALUE"""),42402.7055555555)</f>
        <v>42402.705555555498</v>
      </c>
      <c r="P1455" s="111">
        <f ca="1">IFERROR(__xludf.DUMMYFUNCTION("""COMPUTED_VALUE"""),8.6)</f>
        <v>8.6</v>
      </c>
      <c r="Q1455" s="112">
        <f ca="1">IFERROR(__xludf.DUMMYFUNCTION("""COMPUTED_VALUE"""),42398.7055555555)</f>
        <v>42398.705555555498</v>
      </c>
      <c r="R1455" s="111">
        <f ca="1">IFERROR(__xludf.DUMMYFUNCTION("""COMPUTED_VALUE"""),13.85)</f>
        <v>13.85</v>
      </c>
      <c r="S1455" s="112">
        <f ca="1">IFERROR(__xludf.DUMMYFUNCTION("""COMPUTED_VALUE"""),42415.7055555555)</f>
        <v>42415.705555555498</v>
      </c>
      <c r="T1455" s="111">
        <f ca="1">IFERROR(__xludf.DUMMYFUNCTION("""COMPUTED_VALUE"""),12.28)</f>
        <v>12.28</v>
      </c>
    </row>
    <row r="1456" spans="1:20" x14ac:dyDescent="0.3">
      <c r="A1456" s="112">
        <f ca="1">IFERROR(__xludf.DUMMYFUNCTION("""COMPUTED_VALUE"""),42411.7055555555)</f>
        <v>42411.705555555498</v>
      </c>
      <c r="B1456" s="111">
        <f ca="1">IFERROR(__xludf.DUMMYFUNCTION("""COMPUTED_VALUE"""),5.85)</f>
        <v>5.85</v>
      </c>
      <c r="C1456" s="112">
        <f ca="1">IFERROR(__xludf.DUMMYFUNCTION("""COMPUTED_VALUE"""),42418.7055555555)</f>
        <v>42418.705555555498</v>
      </c>
      <c r="D1456" s="111">
        <f ca="1">IFERROR(__xludf.DUMMYFUNCTION("""COMPUTED_VALUE"""),14.93)</f>
        <v>14.93</v>
      </c>
      <c r="E1456" s="112">
        <f ca="1">IFERROR(__xludf.DUMMYFUNCTION("""COMPUTED_VALUE"""),42419.7055555555)</f>
        <v>42419.705555555498</v>
      </c>
      <c r="F1456" s="111">
        <f ca="1">IFERROR(__xludf.DUMMYFUNCTION("""COMPUTED_VALUE"""),5.12)</f>
        <v>5.12</v>
      </c>
      <c r="G1456" s="112">
        <f ca="1">IFERROR(__xludf.DUMMYFUNCTION("""COMPUTED_VALUE"""),42412.7055555555)</f>
        <v>42412.705555555498</v>
      </c>
      <c r="H1456" s="111">
        <f ca="1">IFERROR(__xludf.DUMMYFUNCTION("""COMPUTED_VALUE"""),4.45)</f>
        <v>4.45</v>
      </c>
      <c r="K1456" s="112">
        <f ca="1">IFERROR(__xludf.DUMMYFUNCTION("""COMPUTED_VALUE"""),42860.7055555555)</f>
        <v>42860.705555555498</v>
      </c>
      <c r="L1456" s="111">
        <f ca="1">IFERROR(__xludf.DUMMYFUNCTION("""COMPUTED_VALUE"""),1.01)</f>
        <v>1.01</v>
      </c>
      <c r="M1456" s="112">
        <f ca="1">IFERROR(__xludf.DUMMYFUNCTION("""COMPUTED_VALUE"""),42320.7055555555)</f>
        <v>42320.705555555498</v>
      </c>
      <c r="N1456" s="111">
        <f ca="1">IFERROR(__xludf.DUMMYFUNCTION("""COMPUTED_VALUE"""),11.3)</f>
        <v>11.3</v>
      </c>
      <c r="O1456" s="112">
        <f ca="1">IFERROR(__xludf.DUMMYFUNCTION("""COMPUTED_VALUE"""),42403.7055555555)</f>
        <v>42403.705555555498</v>
      </c>
      <c r="P1456" s="111">
        <f ca="1">IFERROR(__xludf.DUMMYFUNCTION("""COMPUTED_VALUE"""),9.01)</f>
        <v>9.01</v>
      </c>
      <c r="Q1456" s="112">
        <f ca="1">IFERROR(__xludf.DUMMYFUNCTION("""COMPUTED_VALUE"""),42401.7055555555)</f>
        <v>42401.705555555498</v>
      </c>
      <c r="R1456" s="111">
        <f ca="1">IFERROR(__xludf.DUMMYFUNCTION("""COMPUTED_VALUE"""),14.16)</f>
        <v>14.16</v>
      </c>
      <c r="S1456" s="112">
        <f ca="1">IFERROR(__xludf.DUMMYFUNCTION("""COMPUTED_VALUE"""),42416.7055555555)</f>
        <v>42416.705555555498</v>
      </c>
      <c r="T1456" s="111">
        <f ca="1">IFERROR(__xludf.DUMMYFUNCTION("""COMPUTED_VALUE"""),12.55)</f>
        <v>12.55</v>
      </c>
    </row>
    <row r="1457" spans="1:20" x14ac:dyDescent="0.3">
      <c r="A1457" s="112">
        <f ca="1">IFERROR(__xludf.DUMMYFUNCTION("""COMPUTED_VALUE"""),42412.7055555555)</f>
        <v>42412.705555555498</v>
      </c>
      <c r="B1457" s="111">
        <f ca="1">IFERROR(__xludf.DUMMYFUNCTION("""COMPUTED_VALUE"""),5.74)</f>
        <v>5.74</v>
      </c>
      <c r="C1457" s="112">
        <f ca="1">IFERROR(__xludf.DUMMYFUNCTION("""COMPUTED_VALUE"""),42419.7055555555)</f>
        <v>42419.705555555498</v>
      </c>
      <c r="D1457" s="111">
        <f ca="1">IFERROR(__xludf.DUMMYFUNCTION("""COMPUTED_VALUE"""),14.71)</f>
        <v>14.71</v>
      </c>
      <c r="E1457" s="112">
        <f ca="1">IFERROR(__xludf.DUMMYFUNCTION("""COMPUTED_VALUE"""),42422.7055555555)</f>
        <v>42422.705555555498</v>
      </c>
      <c r="F1457" s="111">
        <f ca="1">IFERROR(__xludf.DUMMYFUNCTION("""COMPUTED_VALUE"""),5.29)</f>
        <v>5.29</v>
      </c>
      <c r="G1457" s="112">
        <f ca="1">IFERROR(__xludf.DUMMYFUNCTION("""COMPUTED_VALUE"""),42415.7055555555)</f>
        <v>42415.705555555498</v>
      </c>
      <c r="H1457" s="111">
        <f ca="1">IFERROR(__xludf.DUMMYFUNCTION("""COMPUTED_VALUE"""),4.57)</f>
        <v>4.57</v>
      </c>
      <c r="K1457" s="112">
        <f ca="1">IFERROR(__xludf.DUMMYFUNCTION("""COMPUTED_VALUE"""),42863.7055555555)</f>
        <v>42863.705555555498</v>
      </c>
      <c r="L1457" s="111">
        <f ca="1">IFERROR(__xludf.DUMMYFUNCTION("""COMPUTED_VALUE"""),1.03)</f>
        <v>1.03</v>
      </c>
      <c r="M1457" s="112">
        <f ca="1">IFERROR(__xludf.DUMMYFUNCTION("""COMPUTED_VALUE"""),42321.7055555555)</f>
        <v>42321.705555555498</v>
      </c>
      <c r="N1457" s="111">
        <f ca="1">IFERROR(__xludf.DUMMYFUNCTION("""COMPUTED_VALUE"""),11.13)</f>
        <v>11.13</v>
      </c>
      <c r="O1457" s="112">
        <f ca="1">IFERROR(__xludf.DUMMYFUNCTION("""COMPUTED_VALUE"""),42404.7055555555)</f>
        <v>42404.705555555498</v>
      </c>
      <c r="P1457" s="111">
        <f ca="1">IFERROR(__xludf.DUMMYFUNCTION("""COMPUTED_VALUE"""),10.34)</f>
        <v>10.34</v>
      </c>
      <c r="Q1457" s="112">
        <f ca="1">IFERROR(__xludf.DUMMYFUNCTION("""COMPUTED_VALUE"""),42402.7055555555)</f>
        <v>42402.705555555498</v>
      </c>
      <c r="R1457" s="111">
        <f ca="1">IFERROR(__xludf.DUMMYFUNCTION("""COMPUTED_VALUE"""),13.1)</f>
        <v>13.1</v>
      </c>
      <c r="S1457" s="112">
        <f ca="1">IFERROR(__xludf.DUMMYFUNCTION("""COMPUTED_VALUE"""),42417.7055555555)</f>
        <v>42417.705555555498</v>
      </c>
      <c r="T1457" s="111">
        <f ca="1">IFERROR(__xludf.DUMMYFUNCTION("""COMPUTED_VALUE"""),12.95)</f>
        <v>12.95</v>
      </c>
    </row>
    <row r="1458" spans="1:20" x14ac:dyDescent="0.3">
      <c r="A1458" s="112">
        <f ca="1">IFERROR(__xludf.DUMMYFUNCTION("""COMPUTED_VALUE"""),42415.7055555555)</f>
        <v>42415.705555555498</v>
      </c>
      <c r="B1458" s="111">
        <f ca="1">IFERROR(__xludf.DUMMYFUNCTION("""COMPUTED_VALUE"""),5.77)</f>
        <v>5.77</v>
      </c>
      <c r="C1458" s="112">
        <f ca="1">IFERROR(__xludf.DUMMYFUNCTION("""COMPUTED_VALUE"""),42422.7055555555)</f>
        <v>42422.705555555498</v>
      </c>
      <c r="D1458" s="111">
        <f ca="1">IFERROR(__xludf.DUMMYFUNCTION("""COMPUTED_VALUE"""),15.3)</f>
        <v>15.3</v>
      </c>
      <c r="E1458" s="112">
        <f ca="1">IFERROR(__xludf.DUMMYFUNCTION("""COMPUTED_VALUE"""),42423.7055555555)</f>
        <v>42423.705555555498</v>
      </c>
      <c r="F1458" s="111">
        <f ca="1">IFERROR(__xludf.DUMMYFUNCTION("""COMPUTED_VALUE"""),5.28)</f>
        <v>5.28</v>
      </c>
      <c r="G1458" s="112">
        <f ca="1">IFERROR(__xludf.DUMMYFUNCTION("""COMPUTED_VALUE"""),42416.7055555555)</f>
        <v>42416.705555555498</v>
      </c>
      <c r="H1458" s="111">
        <f ca="1">IFERROR(__xludf.DUMMYFUNCTION("""COMPUTED_VALUE"""),4.44)</f>
        <v>4.4400000000000004</v>
      </c>
      <c r="K1458" s="112">
        <f ca="1">IFERROR(__xludf.DUMMYFUNCTION("""COMPUTED_VALUE"""),42864.7055555555)</f>
        <v>42864.705555555498</v>
      </c>
      <c r="L1458" s="111">
        <f ca="1">IFERROR(__xludf.DUMMYFUNCTION("""COMPUTED_VALUE"""),1.06)</f>
        <v>1.06</v>
      </c>
      <c r="M1458" s="112">
        <f ca="1">IFERROR(__xludf.DUMMYFUNCTION("""COMPUTED_VALUE"""),42324.7055555555)</f>
        <v>42324.705555555498</v>
      </c>
      <c r="N1458" s="111">
        <f ca="1">IFERROR(__xludf.DUMMYFUNCTION("""COMPUTED_VALUE"""),11.22)</f>
        <v>11.22</v>
      </c>
      <c r="O1458" s="112">
        <f ca="1">IFERROR(__xludf.DUMMYFUNCTION("""COMPUTED_VALUE"""),42405.7055555555)</f>
        <v>42405.705555555498</v>
      </c>
      <c r="P1458" s="111">
        <f ca="1">IFERROR(__xludf.DUMMYFUNCTION("""COMPUTED_VALUE"""),10.23)</f>
        <v>10.23</v>
      </c>
      <c r="Q1458" s="112">
        <f ca="1">IFERROR(__xludf.DUMMYFUNCTION("""COMPUTED_VALUE"""),42403.7055555555)</f>
        <v>42403.705555555498</v>
      </c>
      <c r="R1458" s="111">
        <f ca="1">IFERROR(__xludf.DUMMYFUNCTION("""COMPUTED_VALUE"""),13.27)</f>
        <v>13.27</v>
      </c>
      <c r="S1458" s="112">
        <f ca="1">IFERROR(__xludf.DUMMYFUNCTION("""COMPUTED_VALUE"""),42418.7055555555)</f>
        <v>42418.705555555498</v>
      </c>
      <c r="T1458" s="111">
        <f ca="1">IFERROR(__xludf.DUMMYFUNCTION("""COMPUTED_VALUE"""),13.08)</f>
        <v>13.08</v>
      </c>
    </row>
    <row r="1459" spans="1:20" x14ac:dyDescent="0.3">
      <c r="A1459" s="112">
        <f ca="1">IFERROR(__xludf.DUMMYFUNCTION("""COMPUTED_VALUE"""),42416.7055555555)</f>
        <v>42416.705555555498</v>
      </c>
      <c r="B1459" s="111">
        <f ca="1">IFERROR(__xludf.DUMMYFUNCTION("""COMPUTED_VALUE"""),5.77)</f>
        <v>5.77</v>
      </c>
      <c r="C1459" s="112">
        <f ca="1">IFERROR(__xludf.DUMMYFUNCTION("""COMPUTED_VALUE"""),42423.7055555555)</f>
        <v>42423.705555555498</v>
      </c>
      <c r="D1459" s="111">
        <f ca="1">IFERROR(__xludf.DUMMYFUNCTION("""COMPUTED_VALUE"""),15.08)</f>
        <v>15.08</v>
      </c>
      <c r="E1459" s="112">
        <f ca="1">IFERROR(__xludf.DUMMYFUNCTION("""COMPUTED_VALUE"""),42424.7055555555)</f>
        <v>42424.705555555498</v>
      </c>
      <c r="F1459" s="111">
        <f ca="1">IFERROR(__xludf.DUMMYFUNCTION("""COMPUTED_VALUE"""),5.24)</f>
        <v>5.24</v>
      </c>
      <c r="G1459" s="112">
        <f ca="1">IFERROR(__xludf.DUMMYFUNCTION("""COMPUTED_VALUE"""),42417.7055555555)</f>
        <v>42417.705555555498</v>
      </c>
      <c r="H1459" s="111">
        <f ca="1">IFERROR(__xludf.DUMMYFUNCTION("""COMPUTED_VALUE"""),4.68)</f>
        <v>4.68</v>
      </c>
      <c r="K1459" s="112">
        <f ca="1">IFERROR(__xludf.DUMMYFUNCTION("""COMPUTED_VALUE"""),42865.7055555555)</f>
        <v>42865.705555555498</v>
      </c>
      <c r="L1459" s="111">
        <f ca="1">IFERROR(__xludf.DUMMYFUNCTION("""COMPUTED_VALUE"""),1.09)</f>
        <v>1.0900000000000001</v>
      </c>
      <c r="M1459" s="112">
        <f ca="1">IFERROR(__xludf.DUMMYFUNCTION("""COMPUTED_VALUE"""),42325.7055555555)</f>
        <v>42325.705555555498</v>
      </c>
      <c r="N1459" s="111">
        <f ca="1">IFERROR(__xludf.DUMMYFUNCTION("""COMPUTED_VALUE"""),11.64)</f>
        <v>11.64</v>
      </c>
      <c r="O1459" s="112">
        <f ca="1">IFERROR(__xludf.DUMMYFUNCTION("""COMPUTED_VALUE"""),42410.7055555555)</f>
        <v>42410.705555555498</v>
      </c>
      <c r="P1459" s="111">
        <f ca="1">IFERROR(__xludf.DUMMYFUNCTION("""COMPUTED_VALUE"""),10.2)</f>
        <v>10.199999999999999</v>
      </c>
      <c r="Q1459" s="112">
        <f ca="1">IFERROR(__xludf.DUMMYFUNCTION("""COMPUTED_VALUE"""),42404.7055555555)</f>
        <v>42404.705555555498</v>
      </c>
      <c r="R1459" s="111">
        <f ca="1">IFERROR(__xludf.DUMMYFUNCTION("""COMPUTED_VALUE"""),13.8)</f>
        <v>13.8</v>
      </c>
      <c r="S1459" s="112">
        <f ca="1">IFERROR(__xludf.DUMMYFUNCTION("""COMPUTED_VALUE"""),42419.7055555555)</f>
        <v>42419.705555555498</v>
      </c>
      <c r="T1459" s="111">
        <f ca="1">IFERROR(__xludf.DUMMYFUNCTION("""COMPUTED_VALUE"""),13.15)</f>
        <v>13.15</v>
      </c>
    </row>
    <row r="1460" spans="1:20" x14ac:dyDescent="0.3">
      <c r="A1460" s="112">
        <f ca="1">IFERROR(__xludf.DUMMYFUNCTION("""COMPUTED_VALUE"""),42417.7055555555)</f>
        <v>42417.705555555498</v>
      </c>
      <c r="B1460" s="111">
        <f ca="1">IFERROR(__xludf.DUMMYFUNCTION("""COMPUTED_VALUE"""),6.03)</f>
        <v>6.03</v>
      </c>
      <c r="C1460" s="112">
        <f ca="1">IFERROR(__xludf.DUMMYFUNCTION("""COMPUTED_VALUE"""),42424.7055555555)</f>
        <v>42424.705555555498</v>
      </c>
      <c r="D1460" s="111">
        <f ca="1">IFERROR(__xludf.DUMMYFUNCTION("""COMPUTED_VALUE"""),14.96)</f>
        <v>14.96</v>
      </c>
      <c r="E1460" s="112">
        <f ca="1">IFERROR(__xludf.DUMMYFUNCTION("""COMPUTED_VALUE"""),42425.7055555555)</f>
        <v>42425.705555555498</v>
      </c>
      <c r="F1460" s="111">
        <f ca="1">IFERROR(__xludf.DUMMYFUNCTION("""COMPUTED_VALUE"""),5.28)</f>
        <v>5.28</v>
      </c>
      <c r="G1460" s="112">
        <f ca="1">IFERROR(__xludf.DUMMYFUNCTION("""COMPUTED_VALUE"""),42418.7055555555)</f>
        <v>42418.705555555498</v>
      </c>
      <c r="H1460" s="111">
        <f ca="1">IFERROR(__xludf.DUMMYFUNCTION("""COMPUTED_VALUE"""),4.59)</f>
        <v>4.59</v>
      </c>
      <c r="K1460" s="112">
        <f ca="1">IFERROR(__xludf.DUMMYFUNCTION("""COMPUTED_VALUE"""),42866.7055555555)</f>
        <v>42866.705555555498</v>
      </c>
      <c r="L1460" s="111">
        <f ca="1">IFERROR(__xludf.DUMMYFUNCTION("""COMPUTED_VALUE"""),1.03)</f>
        <v>1.03</v>
      </c>
      <c r="M1460" s="112">
        <f ca="1">IFERROR(__xludf.DUMMYFUNCTION("""COMPUTED_VALUE"""),42326.7055555555)</f>
        <v>42326.705555555498</v>
      </c>
      <c r="N1460" s="111">
        <f ca="1">IFERROR(__xludf.DUMMYFUNCTION("""COMPUTED_VALUE"""),11.74)</f>
        <v>11.74</v>
      </c>
      <c r="O1460" s="112">
        <f ca="1">IFERROR(__xludf.DUMMYFUNCTION("""COMPUTED_VALUE"""),42411.7055555555)</f>
        <v>42411.705555555498</v>
      </c>
      <c r="P1460" s="111">
        <f ca="1">IFERROR(__xludf.DUMMYFUNCTION("""COMPUTED_VALUE"""),9.87)</f>
        <v>9.8699999999999992</v>
      </c>
      <c r="Q1460" s="112">
        <f ca="1">IFERROR(__xludf.DUMMYFUNCTION("""COMPUTED_VALUE"""),42405.7055555555)</f>
        <v>42405.705555555498</v>
      </c>
      <c r="R1460" s="111">
        <f ca="1">IFERROR(__xludf.DUMMYFUNCTION("""COMPUTED_VALUE"""),13.69)</f>
        <v>13.69</v>
      </c>
      <c r="S1460" s="112">
        <f ca="1">IFERROR(__xludf.DUMMYFUNCTION("""COMPUTED_VALUE"""),42422.7055555555)</f>
        <v>42422.705555555498</v>
      </c>
      <c r="T1460" s="111">
        <f ca="1">IFERROR(__xludf.DUMMYFUNCTION("""COMPUTED_VALUE"""),13.52)</f>
        <v>13.52</v>
      </c>
    </row>
    <row r="1461" spans="1:20" x14ac:dyDescent="0.3">
      <c r="A1461" s="112">
        <f ca="1">IFERROR(__xludf.DUMMYFUNCTION("""COMPUTED_VALUE"""),42418.7055555555)</f>
        <v>42418.705555555498</v>
      </c>
      <c r="B1461" s="111">
        <f ca="1">IFERROR(__xludf.DUMMYFUNCTION("""COMPUTED_VALUE"""),5.98)</f>
        <v>5.98</v>
      </c>
      <c r="C1461" s="112">
        <f ca="1">IFERROR(__xludf.DUMMYFUNCTION("""COMPUTED_VALUE"""),42425.7055555555)</f>
        <v>42425.705555555498</v>
      </c>
      <c r="D1461" s="111">
        <f ca="1">IFERROR(__xludf.DUMMYFUNCTION("""COMPUTED_VALUE"""),14.97)</f>
        <v>14.97</v>
      </c>
      <c r="E1461" s="112">
        <f ca="1">IFERROR(__xludf.DUMMYFUNCTION("""COMPUTED_VALUE"""),42426.7055555555)</f>
        <v>42426.705555555498</v>
      </c>
      <c r="F1461" s="111">
        <f ca="1">IFERROR(__xludf.DUMMYFUNCTION("""COMPUTED_VALUE"""),5.23)</f>
        <v>5.23</v>
      </c>
      <c r="G1461" s="112">
        <f ca="1">IFERROR(__xludf.DUMMYFUNCTION("""COMPUTED_VALUE"""),42419.7055555555)</f>
        <v>42419.705555555498</v>
      </c>
      <c r="H1461" s="111">
        <f ca="1">IFERROR(__xludf.DUMMYFUNCTION("""COMPUTED_VALUE"""),4.46)</f>
        <v>4.46</v>
      </c>
      <c r="K1461" s="112">
        <f ca="1">IFERROR(__xludf.DUMMYFUNCTION("""COMPUTED_VALUE"""),42867.7055555555)</f>
        <v>42867.705555555498</v>
      </c>
      <c r="L1461" s="111">
        <f ca="1">IFERROR(__xludf.DUMMYFUNCTION("""COMPUTED_VALUE"""),1.04)</f>
        <v>1.04</v>
      </c>
      <c r="M1461" s="112">
        <f ca="1">IFERROR(__xludf.DUMMYFUNCTION("""COMPUTED_VALUE"""),42327.7055555555)</f>
        <v>42327.705555555498</v>
      </c>
      <c r="N1461" s="111">
        <f ca="1">IFERROR(__xludf.DUMMYFUNCTION("""COMPUTED_VALUE"""),12.11)</f>
        <v>12.11</v>
      </c>
      <c r="O1461" s="112">
        <f ca="1">IFERROR(__xludf.DUMMYFUNCTION("""COMPUTED_VALUE"""),42412.7055555555)</f>
        <v>42412.705555555498</v>
      </c>
      <c r="P1461" s="111">
        <f ca="1">IFERROR(__xludf.DUMMYFUNCTION("""COMPUTED_VALUE"""),10.25)</f>
        <v>10.25</v>
      </c>
      <c r="Q1461" s="112">
        <f ca="1">IFERROR(__xludf.DUMMYFUNCTION("""COMPUTED_VALUE"""),42410.7055555555)</f>
        <v>42410.705555555498</v>
      </c>
      <c r="R1461" s="111">
        <f ca="1">IFERROR(__xludf.DUMMYFUNCTION("""COMPUTED_VALUE"""),13.69)</f>
        <v>13.69</v>
      </c>
      <c r="S1461" s="112">
        <f ca="1">IFERROR(__xludf.DUMMYFUNCTION("""COMPUTED_VALUE"""),42423.7055555555)</f>
        <v>42423.705555555498</v>
      </c>
      <c r="T1461" s="111">
        <f ca="1">IFERROR(__xludf.DUMMYFUNCTION("""COMPUTED_VALUE"""),13.15)</f>
        <v>13.15</v>
      </c>
    </row>
    <row r="1462" spans="1:20" x14ac:dyDescent="0.3">
      <c r="A1462" s="112">
        <f ca="1">IFERROR(__xludf.DUMMYFUNCTION("""COMPUTED_VALUE"""),42419.7055555555)</f>
        <v>42419.705555555498</v>
      </c>
      <c r="B1462" s="111">
        <f ca="1">IFERROR(__xludf.DUMMYFUNCTION("""COMPUTED_VALUE"""),5.96)</f>
        <v>5.96</v>
      </c>
      <c r="C1462" s="112">
        <f ca="1">IFERROR(__xludf.DUMMYFUNCTION("""COMPUTED_VALUE"""),42426.7055555555)</f>
        <v>42426.705555555498</v>
      </c>
      <c r="D1462" s="111">
        <f ca="1">IFERROR(__xludf.DUMMYFUNCTION("""COMPUTED_VALUE"""),14.97)</f>
        <v>14.97</v>
      </c>
      <c r="E1462" s="112">
        <f ca="1">IFERROR(__xludf.DUMMYFUNCTION("""COMPUTED_VALUE"""),42429.7055555555)</f>
        <v>42429.705555555498</v>
      </c>
      <c r="F1462" s="111">
        <f ca="1">IFERROR(__xludf.DUMMYFUNCTION("""COMPUTED_VALUE"""),5.37)</f>
        <v>5.37</v>
      </c>
      <c r="G1462" s="112">
        <f ca="1">IFERROR(__xludf.DUMMYFUNCTION("""COMPUTED_VALUE"""),42422.7055555555)</f>
        <v>42422.705555555498</v>
      </c>
      <c r="H1462" s="111">
        <f ca="1">IFERROR(__xludf.DUMMYFUNCTION("""COMPUTED_VALUE"""),5.04)</f>
        <v>5.04</v>
      </c>
      <c r="K1462" s="112">
        <f ca="1">IFERROR(__xludf.DUMMYFUNCTION("""COMPUTED_VALUE"""),42870.7055555555)</f>
        <v>42870.705555555498</v>
      </c>
      <c r="L1462" s="111">
        <f ca="1">IFERROR(__xludf.DUMMYFUNCTION("""COMPUTED_VALUE"""),1.06)</f>
        <v>1.06</v>
      </c>
      <c r="M1462" s="112">
        <f ca="1">IFERROR(__xludf.DUMMYFUNCTION("""COMPUTED_VALUE"""),42331.7055555555)</f>
        <v>42331.705555555498</v>
      </c>
      <c r="N1462" s="111">
        <f ca="1">IFERROR(__xludf.DUMMYFUNCTION("""COMPUTED_VALUE"""),11.99)</f>
        <v>11.99</v>
      </c>
      <c r="O1462" s="112">
        <f ca="1">IFERROR(__xludf.DUMMYFUNCTION("""COMPUTED_VALUE"""),42415.7055555555)</f>
        <v>42415.705555555498</v>
      </c>
      <c r="P1462" s="111">
        <f ca="1">IFERROR(__xludf.DUMMYFUNCTION("""COMPUTED_VALUE"""),10.51)</f>
        <v>10.51</v>
      </c>
      <c r="Q1462" s="112">
        <f ca="1">IFERROR(__xludf.DUMMYFUNCTION("""COMPUTED_VALUE"""),42411.7055555555)</f>
        <v>42411.705555555498</v>
      </c>
      <c r="R1462" s="111">
        <f ca="1">IFERROR(__xludf.DUMMYFUNCTION("""COMPUTED_VALUE"""),13.06)</f>
        <v>13.06</v>
      </c>
      <c r="S1462" s="112">
        <f ca="1">IFERROR(__xludf.DUMMYFUNCTION("""COMPUTED_VALUE"""),42424.7055555555)</f>
        <v>42424.705555555498</v>
      </c>
      <c r="T1462" s="111">
        <f ca="1">IFERROR(__xludf.DUMMYFUNCTION("""COMPUTED_VALUE"""),13.09)</f>
        <v>13.09</v>
      </c>
    </row>
    <row r="1463" spans="1:20" x14ac:dyDescent="0.3">
      <c r="A1463" s="112">
        <f ca="1">IFERROR(__xludf.DUMMYFUNCTION("""COMPUTED_VALUE"""),42422.7055555555)</f>
        <v>42422.705555555498</v>
      </c>
      <c r="B1463" s="111">
        <f ca="1">IFERROR(__xludf.DUMMYFUNCTION("""COMPUTED_VALUE"""),6.26)</f>
        <v>6.26</v>
      </c>
      <c r="C1463" s="112">
        <f ca="1">IFERROR(__xludf.DUMMYFUNCTION("""COMPUTED_VALUE"""),42429.7055555555)</f>
        <v>42429.705555555498</v>
      </c>
      <c r="D1463" s="111">
        <f ca="1">IFERROR(__xludf.DUMMYFUNCTION("""COMPUTED_VALUE"""),15.39)</f>
        <v>15.39</v>
      </c>
      <c r="E1463" s="112">
        <f ca="1">IFERROR(__xludf.DUMMYFUNCTION("""COMPUTED_VALUE"""),42430.7055555555)</f>
        <v>42430.705555555498</v>
      </c>
      <c r="F1463" s="111">
        <f ca="1">IFERROR(__xludf.DUMMYFUNCTION("""COMPUTED_VALUE"""),5.59)</f>
        <v>5.59</v>
      </c>
      <c r="G1463" s="112">
        <f ca="1">IFERROR(__xludf.DUMMYFUNCTION("""COMPUTED_VALUE"""),42423.7055555555)</f>
        <v>42423.705555555498</v>
      </c>
      <c r="H1463" s="111">
        <f ca="1">IFERROR(__xludf.DUMMYFUNCTION("""COMPUTED_VALUE"""),4.92)</f>
        <v>4.92</v>
      </c>
      <c r="K1463" s="112">
        <f ca="1">IFERROR(__xludf.DUMMYFUNCTION("""COMPUTED_VALUE"""),42871.7055555555)</f>
        <v>42871.705555555498</v>
      </c>
      <c r="L1463" s="111">
        <f ca="1">IFERROR(__xludf.DUMMYFUNCTION("""COMPUTED_VALUE"""),1.1)</f>
        <v>1.1000000000000001</v>
      </c>
      <c r="M1463" s="112">
        <f ca="1">IFERROR(__xludf.DUMMYFUNCTION("""COMPUTED_VALUE"""),42332.7055555555)</f>
        <v>42332.705555555498</v>
      </c>
      <c r="N1463" s="111">
        <f ca="1">IFERROR(__xludf.DUMMYFUNCTION("""COMPUTED_VALUE"""),11.91)</f>
        <v>11.91</v>
      </c>
      <c r="O1463" s="112">
        <f ca="1">IFERROR(__xludf.DUMMYFUNCTION("""COMPUTED_VALUE"""),42416.7055555555)</f>
        <v>42416.705555555498</v>
      </c>
      <c r="P1463" s="111">
        <f ca="1">IFERROR(__xludf.DUMMYFUNCTION("""COMPUTED_VALUE"""),11.29)</f>
        <v>11.29</v>
      </c>
      <c r="Q1463" s="112">
        <f ca="1">IFERROR(__xludf.DUMMYFUNCTION("""COMPUTED_VALUE"""),42412.7055555555)</f>
        <v>42412.705555555498</v>
      </c>
      <c r="R1463" s="111">
        <f ca="1">IFERROR(__xludf.DUMMYFUNCTION("""COMPUTED_VALUE"""),13)</f>
        <v>13</v>
      </c>
      <c r="S1463" s="112">
        <f ca="1">IFERROR(__xludf.DUMMYFUNCTION("""COMPUTED_VALUE"""),42425.7055555555)</f>
        <v>42425.705555555498</v>
      </c>
      <c r="T1463" s="111">
        <f ca="1">IFERROR(__xludf.DUMMYFUNCTION("""COMPUTED_VALUE"""),13.34)</f>
        <v>13.34</v>
      </c>
    </row>
    <row r="1464" spans="1:20" x14ac:dyDescent="0.3">
      <c r="A1464" s="112">
        <f ca="1">IFERROR(__xludf.DUMMYFUNCTION("""COMPUTED_VALUE"""),42423.7055555555)</f>
        <v>42423.705555555498</v>
      </c>
      <c r="B1464" s="111">
        <f ca="1">IFERROR(__xludf.DUMMYFUNCTION("""COMPUTED_VALUE"""),5.94)</f>
        <v>5.94</v>
      </c>
      <c r="C1464" s="112">
        <f ca="1">IFERROR(__xludf.DUMMYFUNCTION("""COMPUTED_VALUE"""),42430.7055555555)</f>
        <v>42430.705555555498</v>
      </c>
      <c r="D1464" s="111">
        <f ca="1">IFERROR(__xludf.DUMMYFUNCTION("""COMPUTED_VALUE"""),16.11)</f>
        <v>16.11</v>
      </c>
      <c r="E1464" s="112">
        <f ca="1">IFERROR(__xludf.DUMMYFUNCTION("""COMPUTED_VALUE"""),42431.7055555555)</f>
        <v>42431.705555555498</v>
      </c>
      <c r="F1464" s="111">
        <f ca="1">IFERROR(__xludf.DUMMYFUNCTION("""COMPUTED_VALUE"""),5.67)</f>
        <v>5.67</v>
      </c>
      <c r="G1464" s="112">
        <f ca="1">IFERROR(__xludf.DUMMYFUNCTION("""COMPUTED_VALUE"""),42424.7055555555)</f>
        <v>42424.705555555498</v>
      </c>
      <c r="H1464" s="111">
        <f ca="1">IFERROR(__xludf.DUMMYFUNCTION("""COMPUTED_VALUE"""),4.87)</f>
        <v>4.87</v>
      </c>
      <c r="K1464" s="112">
        <f ca="1">IFERROR(__xludf.DUMMYFUNCTION("""COMPUTED_VALUE"""),42872.7055555555)</f>
        <v>42872.705555555498</v>
      </c>
      <c r="L1464" s="111">
        <f ca="1">IFERROR(__xludf.DUMMYFUNCTION("""COMPUTED_VALUE"""),1.1)</f>
        <v>1.1000000000000001</v>
      </c>
      <c r="M1464" s="112">
        <f ca="1">IFERROR(__xludf.DUMMYFUNCTION("""COMPUTED_VALUE"""),42333.7055555555)</f>
        <v>42333.705555555498</v>
      </c>
      <c r="N1464" s="111">
        <f ca="1">IFERROR(__xludf.DUMMYFUNCTION("""COMPUTED_VALUE"""),11.33)</f>
        <v>11.33</v>
      </c>
      <c r="O1464" s="112">
        <f ca="1">IFERROR(__xludf.DUMMYFUNCTION("""COMPUTED_VALUE"""),42417.7055555555)</f>
        <v>42417.705555555498</v>
      </c>
      <c r="P1464" s="111">
        <f ca="1">IFERROR(__xludf.DUMMYFUNCTION("""COMPUTED_VALUE"""),11.91)</f>
        <v>11.91</v>
      </c>
      <c r="Q1464" s="112">
        <f ca="1">IFERROR(__xludf.DUMMYFUNCTION("""COMPUTED_VALUE"""),42415.7055555555)</f>
        <v>42415.705555555498</v>
      </c>
      <c r="R1464" s="111">
        <f ca="1">IFERROR(__xludf.DUMMYFUNCTION("""COMPUTED_VALUE"""),13.14)</f>
        <v>13.14</v>
      </c>
      <c r="S1464" s="112">
        <f ca="1">IFERROR(__xludf.DUMMYFUNCTION("""COMPUTED_VALUE"""),42426.7055555555)</f>
        <v>42426.705555555498</v>
      </c>
      <c r="T1464" s="111">
        <f ca="1">IFERROR(__xludf.DUMMYFUNCTION("""COMPUTED_VALUE"""),13.04)</f>
        <v>13.04</v>
      </c>
    </row>
    <row r="1465" spans="1:20" x14ac:dyDescent="0.3">
      <c r="A1465" s="112">
        <f ca="1">IFERROR(__xludf.DUMMYFUNCTION("""COMPUTED_VALUE"""),42424.7055555555)</f>
        <v>42424.705555555498</v>
      </c>
      <c r="B1465" s="111">
        <f ca="1">IFERROR(__xludf.DUMMYFUNCTION("""COMPUTED_VALUE"""),5.65)</f>
        <v>5.65</v>
      </c>
      <c r="C1465" s="112">
        <f ca="1">IFERROR(__xludf.DUMMYFUNCTION("""COMPUTED_VALUE"""),42431.7055555555)</f>
        <v>42431.705555555498</v>
      </c>
      <c r="D1465" s="111">
        <f ca="1">IFERROR(__xludf.DUMMYFUNCTION("""COMPUTED_VALUE"""),16.48)</f>
        <v>16.48</v>
      </c>
      <c r="E1465" s="112">
        <f ca="1">IFERROR(__xludf.DUMMYFUNCTION("""COMPUTED_VALUE"""),42432.7055555555)</f>
        <v>42432.705555555498</v>
      </c>
      <c r="F1465" s="111">
        <f ca="1">IFERROR(__xludf.DUMMYFUNCTION("""COMPUTED_VALUE"""),6.14)</f>
        <v>6.14</v>
      </c>
      <c r="G1465" s="112">
        <f ca="1">IFERROR(__xludf.DUMMYFUNCTION("""COMPUTED_VALUE"""),42425.7055555555)</f>
        <v>42425.705555555498</v>
      </c>
      <c r="H1465" s="111">
        <f ca="1">IFERROR(__xludf.DUMMYFUNCTION("""COMPUTED_VALUE"""),4.89)</f>
        <v>4.8899999999999997</v>
      </c>
      <c r="K1465" s="112">
        <f ca="1">IFERROR(__xludf.DUMMYFUNCTION("""COMPUTED_VALUE"""),42873.7055555555)</f>
        <v>42873.705555555498</v>
      </c>
      <c r="L1465" s="111">
        <f ca="1">IFERROR(__xludf.DUMMYFUNCTION("""COMPUTED_VALUE"""),0.92)</f>
        <v>0.92</v>
      </c>
      <c r="M1465" s="112">
        <f ca="1">IFERROR(__xludf.DUMMYFUNCTION("""COMPUTED_VALUE"""),42334.7055555555)</f>
        <v>42334.705555555498</v>
      </c>
      <c r="N1465" s="111">
        <f ca="1">IFERROR(__xludf.DUMMYFUNCTION("""COMPUTED_VALUE"""),11.58)</f>
        <v>11.58</v>
      </c>
      <c r="O1465" s="112">
        <f ca="1">IFERROR(__xludf.DUMMYFUNCTION("""COMPUTED_VALUE"""),42418.7055555555)</f>
        <v>42418.705555555498</v>
      </c>
      <c r="P1465" s="111">
        <f ca="1">IFERROR(__xludf.DUMMYFUNCTION("""COMPUTED_VALUE"""),11.51)</f>
        <v>11.51</v>
      </c>
      <c r="Q1465" s="112">
        <f ca="1">IFERROR(__xludf.DUMMYFUNCTION("""COMPUTED_VALUE"""),42416.7055555555)</f>
        <v>42416.705555555498</v>
      </c>
      <c r="R1465" s="111">
        <f ca="1">IFERROR(__xludf.DUMMYFUNCTION("""COMPUTED_VALUE"""),13.4)</f>
        <v>13.4</v>
      </c>
      <c r="S1465" s="112">
        <f ca="1">IFERROR(__xludf.DUMMYFUNCTION("""COMPUTED_VALUE"""),42429.7055555555)</f>
        <v>42429.705555555498</v>
      </c>
      <c r="T1465" s="111">
        <f ca="1">IFERROR(__xludf.DUMMYFUNCTION("""COMPUTED_VALUE"""),13.52)</f>
        <v>13.52</v>
      </c>
    </row>
    <row r="1466" spans="1:20" x14ac:dyDescent="0.3">
      <c r="A1466" s="112">
        <f ca="1">IFERROR(__xludf.DUMMYFUNCTION("""COMPUTED_VALUE"""),42425.7055555555)</f>
        <v>42425.705555555498</v>
      </c>
      <c r="B1466" s="111">
        <f ca="1">IFERROR(__xludf.DUMMYFUNCTION("""COMPUTED_VALUE"""),5.71)</f>
        <v>5.71</v>
      </c>
      <c r="C1466" s="112">
        <f ca="1">IFERROR(__xludf.DUMMYFUNCTION("""COMPUTED_VALUE"""),42432.7055555555)</f>
        <v>42432.705555555498</v>
      </c>
      <c r="D1466" s="111">
        <f ca="1">IFERROR(__xludf.DUMMYFUNCTION("""COMPUTED_VALUE"""),18.12)</f>
        <v>18.12</v>
      </c>
      <c r="E1466" s="112">
        <f ca="1">IFERROR(__xludf.DUMMYFUNCTION("""COMPUTED_VALUE"""),42436.7055555555)</f>
        <v>42436.705555555498</v>
      </c>
      <c r="F1466" s="111">
        <f ca="1">IFERROR(__xludf.DUMMYFUNCTION("""COMPUTED_VALUE"""),6.3)</f>
        <v>6.3</v>
      </c>
      <c r="G1466" s="112">
        <f ca="1">IFERROR(__xludf.DUMMYFUNCTION("""COMPUTED_VALUE"""),42426.7055555555)</f>
        <v>42426.705555555498</v>
      </c>
      <c r="H1466" s="111">
        <f ca="1">IFERROR(__xludf.DUMMYFUNCTION("""COMPUTED_VALUE"""),4.87)</f>
        <v>4.87</v>
      </c>
      <c r="K1466" s="112">
        <f ca="1">IFERROR(__xludf.DUMMYFUNCTION("""COMPUTED_VALUE"""),42874.7055555555)</f>
        <v>42874.705555555498</v>
      </c>
      <c r="L1466" s="111">
        <f ca="1">IFERROR(__xludf.DUMMYFUNCTION("""COMPUTED_VALUE"""),0.97)</f>
        <v>0.97</v>
      </c>
      <c r="M1466" s="112">
        <f ca="1">IFERROR(__xludf.DUMMYFUNCTION("""COMPUTED_VALUE"""),42335.7055555555)</f>
        <v>42335.705555555498</v>
      </c>
      <c r="N1466" s="111">
        <f ca="1">IFERROR(__xludf.DUMMYFUNCTION("""COMPUTED_VALUE"""),11.15)</f>
        <v>11.15</v>
      </c>
      <c r="O1466" s="112">
        <f ca="1">IFERROR(__xludf.DUMMYFUNCTION("""COMPUTED_VALUE"""),42419.7055555555)</f>
        <v>42419.705555555498</v>
      </c>
      <c r="P1466" s="111">
        <f ca="1">IFERROR(__xludf.DUMMYFUNCTION("""COMPUTED_VALUE"""),11.83)</f>
        <v>11.83</v>
      </c>
      <c r="Q1466" s="112">
        <f ca="1">IFERROR(__xludf.DUMMYFUNCTION("""COMPUTED_VALUE"""),42417.7055555555)</f>
        <v>42417.705555555498</v>
      </c>
      <c r="R1466" s="111">
        <f ca="1">IFERROR(__xludf.DUMMYFUNCTION("""COMPUTED_VALUE"""),13.36)</f>
        <v>13.36</v>
      </c>
      <c r="S1466" s="112">
        <f ca="1">IFERROR(__xludf.DUMMYFUNCTION("""COMPUTED_VALUE"""),42430.7055555555)</f>
        <v>42430.705555555498</v>
      </c>
      <c r="T1466" s="111">
        <f ca="1">IFERROR(__xludf.DUMMYFUNCTION("""COMPUTED_VALUE"""),13.91)</f>
        <v>13.91</v>
      </c>
    </row>
    <row r="1467" spans="1:20" x14ac:dyDescent="0.3">
      <c r="A1467" s="112">
        <f ca="1">IFERROR(__xludf.DUMMYFUNCTION("""COMPUTED_VALUE"""),42426.7055555555)</f>
        <v>42426.705555555498</v>
      </c>
      <c r="B1467" s="111">
        <f ca="1">IFERROR(__xludf.DUMMYFUNCTION("""COMPUTED_VALUE"""),5.52)</f>
        <v>5.52</v>
      </c>
      <c r="C1467" s="112">
        <f ca="1">IFERROR(__xludf.DUMMYFUNCTION("""COMPUTED_VALUE"""),42436.7055555555)</f>
        <v>42436.705555555498</v>
      </c>
      <c r="D1467" s="111">
        <f ca="1">IFERROR(__xludf.DUMMYFUNCTION("""COMPUTED_VALUE"""),18.92)</f>
        <v>18.920000000000002</v>
      </c>
      <c r="E1467" s="112">
        <f ca="1">IFERROR(__xludf.DUMMYFUNCTION("""COMPUTED_VALUE"""),42437.7055555555)</f>
        <v>42437.705555555498</v>
      </c>
      <c r="F1467" s="111">
        <f ca="1">IFERROR(__xludf.DUMMYFUNCTION("""COMPUTED_VALUE"""),6.52)</f>
        <v>6.52</v>
      </c>
      <c r="G1467" s="112">
        <f ca="1">IFERROR(__xludf.DUMMYFUNCTION("""COMPUTED_VALUE"""),42429.7055555555)</f>
        <v>42429.705555555498</v>
      </c>
      <c r="H1467" s="111">
        <f ca="1">IFERROR(__xludf.DUMMYFUNCTION("""COMPUTED_VALUE"""),5.14)</f>
        <v>5.14</v>
      </c>
      <c r="K1467" s="112">
        <f ca="1">IFERROR(__xludf.DUMMYFUNCTION("""COMPUTED_VALUE"""),42877.7055555555)</f>
        <v>42877.705555555498</v>
      </c>
      <c r="L1467" s="111">
        <f ca="1">IFERROR(__xludf.DUMMYFUNCTION("""COMPUTED_VALUE"""),0.87)</f>
        <v>0.87</v>
      </c>
      <c r="M1467" s="112">
        <f ca="1">IFERROR(__xludf.DUMMYFUNCTION("""COMPUTED_VALUE"""),42338.7055555555)</f>
        <v>42338.705555555498</v>
      </c>
      <c r="N1467" s="111">
        <f ca="1">IFERROR(__xludf.DUMMYFUNCTION("""COMPUTED_VALUE"""),10.93)</f>
        <v>10.93</v>
      </c>
      <c r="O1467" s="112">
        <f ca="1">IFERROR(__xludf.DUMMYFUNCTION("""COMPUTED_VALUE"""),42422.7055555555)</f>
        <v>42422.705555555498</v>
      </c>
      <c r="P1467" s="111">
        <f ca="1">IFERROR(__xludf.DUMMYFUNCTION("""COMPUTED_VALUE"""),13.14)</f>
        <v>13.14</v>
      </c>
      <c r="Q1467" s="112">
        <f ca="1">IFERROR(__xludf.DUMMYFUNCTION("""COMPUTED_VALUE"""),42418.7055555555)</f>
        <v>42418.705555555498</v>
      </c>
      <c r="R1467" s="111">
        <f ca="1">IFERROR(__xludf.DUMMYFUNCTION("""COMPUTED_VALUE"""),12.87)</f>
        <v>12.87</v>
      </c>
      <c r="S1467" s="112">
        <f ca="1">IFERROR(__xludf.DUMMYFUNCTION("""COMPUTED_VALUE"""),42431.7055555555)</f>
        <v>42431.705555555498</v>
      </c>
      <c r="T1467" s="111">
        <f ca="1">IFERROR(__xludf.DUMMYFUNCTION("""COMPUTED_VALUE"""),14.37)</f>
        <v>14.37</v>
      </c>
    </row>
    <row r="1468" spans="1:20" x14ac:dyDescent="0.3">
      <c r="A1468" s="112">
        <f ca="1">IFERROR(__xludf.DUMMYFUNCTION("""COMPUTED_VALUE"""),42429.7055555555)</f>
        <v>42429.705555555498</v>
      </c>
      <c r="B1468" s="111">
        <f ca="1">IFERROR(__xludf.DUMMYFUNCTION("""COMPUTED_VALUE"""),5.62)</f>
        <v>5.62</v>
      </c>
      <c r="C1468" s="112">
        <f ca="1">IFERROR(__xludf.DUMMYFUNCTION("""COMPUTED_VALUE"""),42437.7055555555)</f>
        <v>42437.705555555498</v>
      </c>
      <c r="D1468" s="111">
        <f ca="1">IFERROR(__xludf.DUMMYFUNCTION("""COMPUTED_VALUE"""),19.34)</f>
        <v>19.34</v>
      </c>
      <c r="E1468" s="112">
        <f ca="1">IFERROR(__xludf.DUMMYFUNCTION("""COMPUTED_VALUE"""),42438.7055555555)</f>
        <v>42438.705555555498</v>
      </c>
      <c r="F1468" s="111">
        <f ca="1">IFERROR(__xludf.DUMMYFUNCTION("""COMPUTED_VALUE"""),6.37)</f>
        <v>6.37</v>
      </c>
      <c r="G1468" s="112">
        <f ca="1">IFERROR(__xludf.DUMMYFUNCTION("""COMPUTED_VALUE"""),42430.7055555555)</f>
        <v>42430.705555555498</v>
      </c>
      <c r="H1468" s="111">
        <f ca="1">IFERROR(__xludf.DUMMYFUNCTION("""COMPUTED_VALUE"""),5.31)</f>
        <v>5.31</v>
      </c>
      <c r="K1468" s="112">
        <f ca="1">IFERROR(__xludf.DUMMYFUNCTION("""COMPUTED_VALUE"""),42878.7055555555)</f>
        <v>42878.705555555498</v>
      </c>
      <c r="L1468" s="111">
        <f ca="1">IFERROR(__xludf.DUMMYFUNCTION("""COMPUTED_VALUE"""),0.95)</f>
        <v>0.95</v>
      </c>
      <c r="M1468" s="112">
        <f ca="1">IFERROR(__xludf.DUMMYFUNCTION("""COMPUTED_VALUE"""),42339.7055555555)</f>
        <v>42339.705555555498</v>
      </c>
      <c r="N1468" s="111">
        <f ca="1">IFERROR(__xludf.DUMMYFUNCTION("""COMPUTED_VALUE"""),10.87)</f>
        <v>10.87</v>
      </c>
      <c r="O1468" s="112">
        <f ca="1">IFERROR(__xludf.DUMMYFUNCTION("""COMPUTED_VALUE"""),42423.7055555555)</f>
        <v>42423.705555555498</v>
      </c>
      <c r="P1468" s="111">
        <f ca="1">IFERROR(__xludf.DUMMYFUNCTION("""COMPUTED_VALUE"""),12.38)</f>
        <v>12.38</v>
      </c>
      <c r="Q1468" s="112">
        <f ca="1">IFERROR(__xludf.DUMMYFUNCTION("""COMPUTED_VALUE"""),42419.7055555555)</f>
        <v>42419.705555555498</v>
      </c>
      <c r="R1468" s="111">
        <f ca="1">IFERROR(__xludf.DUMMYFUNCTION("""COMPUTED_VALUE"""),13.01)</f>
        <v>13.01</v>
      </c>
      <c r="S1468" s="112">
        <f ca="1">IFERROR(__xludf.DUMMYFUNCTION("""COMPUTED_VALUE"""),42432.7055555555)</f>
        <v>42432.705555555498</v>
      </c>
      <c r="T1468" s="111">
        <f ca="1">IFERROR(__xludf.DUMMYFUNCTION("""COMPUTED_VALUE"""),14.64)</f>
        <v>14.64</v>
      </c>
    </row>
    <row r="1469" spans="1:20" x14ac:dyDescent="0.3">
      <c r="A1469" s="112">
        <f ca="1">IFERROR(__xludf.DUMMYFUNCTION("""COMPUTED_VALUE"""),42430.7055555555)</f>
        <v>42430.705555555498</v>
      </c>
      <c r="B1469" s="111">
        <f ca="1">IFERROR(__xludf.DUMMYFUNCTION("""COMPUTED_VALUE"""),5.64)</f>
        <v>5.64</v>
      </c>
      <c r="C1469" s="112">
        <f ca="1">IFERROR(__xludf.DUMMYFUNCTION("""COMPUTED_VALUE"""),42438.7055555555)</f>
        <v>42438.705555555498</v>
      </c>
      <c r="D1469" s="111">
        <f ca="1">IFERROR(__xludf.DUMMYFUNCTION("""COMPUTED_VALUE"""),18.7)</f>
        <v>18.7</v>
      </c>
      <c r="E1469" s="112">
        <f ca="1">IFERROR(__xludf.DUMMYFUNCTION("""COMPUTED_VALUE"""),42439.7055555555)</f>
        <v>42439.705555555498</v>
      </c>
      <c r="F1469" s="111">
        <f ca="1">IFERROR(__xludf.DUMMYFUNCTION("""COMPUTED_VALUE"""),6.6)</f>
        <v>6.6</v>
      </c>
      <c r="G1469" s="112">
        <f ca="1">IFERROR(__xludf.DUMMYFUNCTION("""COMPUTED_VALUE"""),42431.7055555555)</f>
        <v>42431.705555555498</v>
      </c>
      <c r="H1469" s="111">
        <f ca="1">IFERROR(__xludf.DUMMYFUNCTION("""COMPUTED_VALUE"""),5.65)</f>
        <v>5.65</v>
      </c>
      <c r="K1469" s="112">
        <f ca="1">IFERROR(__xludf.DUMMYFUNCTION("""COMPUTED_VALUE"""),42879.7055555555)</f>
        <v>42879.705555555498</v>
      </c>
      <c r="L1469" s="111">
        <f ca="1">IFERROR(__xludf.DUMMYFUNCTION("""COMPUTED_VALUE"""),0.98)</f>
        <v>0.98</v>
      </c>
      <c r="M1469" s="112">
        <f ca="1">IFERROR(__xludf.DUMMYFUNCTION("""COMPUTED_VALUE"""),42340.7055555555)</f>
        <v>42340.705555555498</v>
      </c>
      <c r="N1469" s="111">
        <f ca="1">IFERROR(__xludf.DUMMYFUNCTION("""COMPUTED_VALUE"""),10.85)</f>
        <v>10.85</v>
      </c>
      <c r="O1469" s="112">
        <f ca="1">IFERROR(__xludf.DUMMYFUNCTION("""COMPUTED_VALUE"""),42424.7055555555)</f>
        <v>42424.705555555498</v>
      </c>
      <c r="P1469" s="111">
        <f ca="1">IFERROR(__xludf.DUMMYFUNCTION("""COMPUTED_VALUE"""),11.71)</f>
        <v>11.71</v>
      </c>
      <c r="Q1469" s="112">
        <f ca="1">IFERROR(__xludf.DUMMYFUNCTION("""COMPUTED_VALUE"""),42422.7055555555)</f>
        <v>42422.705555555498</v>
      </c>
      <c r="R1469" s="111">
        <f ca="1">IFERROR(__xludf.DUMMYFUNCTION("""COMPUTED_VALUE"""),13.61)</f>
        <v>13.61</v>
      </c>
      <c r="S1469" s="112">
        <f ca="1">IFERROR(__xludf.DUMMYFUNCTION("""COMPUTED_VALUE"""),42433.7055555555)</f>
        <v>42433.705555555498</v>
      </c>
      <c r="T1469" s="111">
        <f ca="1">IFERROR(__xludf.DUMMYFUNCTION("""COMPUTED_VALUE"""),15.32)</f>
        <v>15.32</v>
      </c>
    </row>
    <row r="1470" spans="1:20" x14ac:dyDescent="0.3">
      <c r="A1470" s="112">
        <f ca="1">IFERROR(__xludf.DUMMYFUNCTION("""COMPUTED_VALUE"""),42431.7055555555)</f>
        <v>42431.705555555498</v>
      </c>
      <c r="B1470" s="111">
        <f ca="1">IFERROR(__xludf.DUMMYFUNCTION("""COMPUTED_VALUE"""),5.82)</f>
        <v>5.82</v>
      </c>
      <c r="C1470" s="112">
        <f ca="1">IFERROR(__xludf.DUMMYFUNCTION("""COMPUTED_VALUE"""),42439.7055555555)</f>
        <v>42439.705555555498</v>
      </c>
      <c r="D1470" s="111">
        <f ca="1">IFERROR(__xludf.DUMMYFUNCTION("""COMPUTED_VALUE"""),19.43)</f>
        <v>19.43</v>
      </c>
      <c r="E1470" s="112">
        <f ca="1">IFERROR(__xludf.DUMMYFUNCTION("""COMPUTED_VALUE"""),42440.7055555555)</f>
        <v>42440.705555555498</v>
      </c>
      <c r="F1470" s="111">
        <f ca="1">IFERROR(__xludf.DUMMYFUNCTION("""COMPUTED_VALUE"""),6.72)</f>
        <v>6.72</v>
      </c>
      <c r="G1470" s="112">
        <f ca="1">IFERROR(__xludf.DUMMYFUNCTION("""COMPUTED_VALUE"""),42432.7055555555)</f>
        <v>42432.705555555498</v>
      </c>
      <c r="H1470" s="111">
        <f ca="1">IFERROR(__xludf.DUMMYFUNCTION("""COMPUTED_VALUE"""),6.57)</f>
        <v>6.57</v>
      </c>
      <c r="K1470" s="112">
        <f ca="1">IFERROR(__xludf.DUMMYFUNCTION("""COMPUTED_VALUE"""),42880.7055555555)</f>
        <v>42880.705555555498</v>
      </c>
      <c r="L1470" s="111">
        <f ca="1">IFERROR(__xludf.DUMMYFUNCTION("""COMPUTED_VALUE"""),0.97)</f>
        <v>0.97</v>
      </c>
      <c r="M1470" s="112">
        <f ca="1">IFERROR(__xludf.DUMMYFUNCTION("""COMPUTED_VALUE"""),42341.7055555555)</f>
        <v>42341.705555555498</v>
      </c>
      <c r="N1470" s="111">
        <f ca="1">IFERROR(__xludf.DUMMYFUNCTION("""COMPUTED_VALUE"""),11.33)</f>
        <v>11.33</v>
      </c>
      <c r="O1470" s="112">
        <f ca="1">IFERROR(__xludf.DUMMYFUNCTION("""COMPUTED_VALUE"""),42425.7055555555)</f>
        <v>42425.705555555498</v>
      </c>
      <c r="P1470" s="111">
        <f ca="1">IFERROR(__xludf.DUMMYFUNCTION("""COMPUTED_VALUE"""),11.02)</f>
        <v>11.02</v>
      </c>
      <c r="Q1470" s="112">
        <f ca="1">IFERROR(__xludf.DUMMYFUNCTION("""COMPUTED_VALUE"""),42423.7055555555)</f>
        <v>42423.705555555498</v>
      </c>
      <c r="R1470" s="111">
        <f ca="1">IFERROR(__xludf.DUMMYFUNCTION("""COMPUTED_VALUE"""),13.52)</f>
        <v>13.52</v>
      </c>
      <c r="S1470" s="112">
        <f ca="1">IFERROR(__xludf.DUMMYFUNCTION("""COMPUTED_VALUE"""),42436.7055555555)</f>
        <v>42436.705555555498</v>
      </c>
      <c r="T1470" s="111">
        <f ca="1">IFERROR(__xludf.DUMMYFUNCTION("""COMPUTED_VALUE"""),15.6)</f>
        <v>15.6</v>
      </c>
    </row>
    <row r="1471" spans="1:20" x14ac:dyDescent="0.3">
      <c r="A1471" s="112">
        <f ca="1">IFERROR(__xludf.DUMMYFUNCTION("""COMPUTED_VALUE"""),42432.7055555555)</f>
        <v>42432.705555555498</v>
      </c>
      <c r="B1471" s="111">
        <f ca="1">IFERROR(__xludf.DUMMYFUNCTION("""COMPUTED_VALUE"""),6.47)</f>
        <v>6.47</v>
      </c>
      <c r="C1471" s="112">
        <f ca="1">IFERROR(__xludf.DUMMYFUNCTION("""COMPUTED_VALUE"""),42440.7055555555)</f>
        <v>42440.705555555498</v>
      </c>
      <c r="D1471" s="111">
        <f ca="1">IFERROR(__xludf.DUMMYFUNCTION("""COMPUTED_VALUE"""),19.59)</f>
        <v>19.59</v>
      </c>
      <c r="E1471" s="112">
        <f ca="1">IFERROR(__xludf.DUMMYFUNCTION("""COMPUTED_VALUE"""),42443.7055555555)</f>
        <v>42443.705555555498</v>
      </c>
      <c r="F1471" s="111">
        <f ca="1">IFERROR(__xludf.DUMMYFUNCTION("""COMPUTED_VALUE"""),6.67)</f>
        <v>6.67</v>
      </c>
      <c r="G1471" s="112">
        <f ca="1">IFERROR(__xludf.DUMMYFUNCTION("""COMPUTED_VALUE"""),42436.7055555555)</f>
        <v>42436.705555555498</v>
      </c>
      <c r="H1471" s="111">
        <f ca="1">IFERROR(__xludf.DUMMYFUNCTION("""COMPUTED_VALUE"""),7.37)</f>
        <v>7.37</v>
      </c>
      <c r="K1471" s="112">
        <f ca="1">IFERROR(__xludf.DUMMYFUNCTION("""COMPUTED_VALUE"""),42881.7055555555)</f>
        <v>42881.705555555498</v>
      </c>
      <c r="L1471" s="111">
        <f ca="1">IFERROR(__xludf.DUMMYFUNCTION("""COMPUTED_VALUE"""),1)</f>
        <v>1</v>
      </c>
      <c r="M1471" s="112">
        <f ca="1">IFERROR(__xludf.DUMMYFUNCTION("""COMPUTED_VALUE"""),42342.7055555555)</f>
        <v>42342.705555555498</v>
      </c>
      <c r="N1471" s="111">
        <f ca="1">IFERROR(__xludf.DUMMYFUNCTION("""COMPUTED_VALUE"""),11.17)</f>
        <v>11.17</v>
      </c>
      <c r="O1471" s="112">
        <f ca="1">IFERROR(__xludf.DUMMYFUNCTION("""COMPUTED_VALUE"""),42426.7055555555)</f>
        <v>42426.705555555498</v>
      </c>
      <c r="P1471" s="111">
        <f ca="1">IFERROR(__xludf.DUMMYFUNCTION("""COMPUTED_VALUE"""),11)</f>
        <v>11</v>
      </c>
      <c r="Q1471" s="112">
        <f ca="1">IFERROR(__xludf.DUMMYFUNCTION("""COMPUTED_VALUE"""),42424.7055555555)</f>
        <v>42424.705555555498</v>
      </c>
      <c r="R1471" s="111">
        <f ca="1">IFERROR(__xludf.DUMMYFUNCTION("""COMPUTED_VALUE"""),13.07)</f>
        <v>13.07</v>
      </c>
      <c r="S1471" s="112">
        <f ca="1">IFERROR(__xludf.DUMMYFUNCTION("""COMPUTED_VALUE"""),42437.7055555555)</f>
        <v>42437.705555555498</v>
      </c>
      <c r="T1471" s="111">
        <f ca="1">IFERROR(__xludf.DUMMYFUNCTION("""COMPUTED_VALUE"""),15.63)</f>
        <v>15.63</v>
      </c>
    </row>
    <row r="1472" spans="1:20" x14ac:dyDescent="0.3">
      <c r="A1472" s="112">
        <f ca="1">IFERROR(__xludf.DUMMYFUNCTION("""COMPUTED_VALUE"""),42433.7055555555)</f>
        <v>42433.705555555498</v>
      </c>
      <c r="B1472" s="111">
        <f ca="1">IFERROR(__xludf.DUMMYFUNCTION("""COMPUTED_VALUE"""),6.65)</f>
        <v>6.65</v>
      </c>
      <c r="C1472" s="112">
        <f ca="1">IFERROR(__xludf.DUMMYFUNCTION("""COMPUTED_VALUE"""),42443.7055555555)</f>
        <v>42443.705555555498</v>
      </c>
      <c r="D1472" s="111">
        <f ca="1">IFERROR(__xludf.DUMMYFUNCTION("""COMPUTED_VALUE"""),19.5)</f>
        <v>19.5</v>
      </c>
      <c r="E1472" s="112">
        <f ca="1">IFERROR(__xludf.DUMMYFUNCTION("""COMPUTED_VALUE"""),42444.7055555555)</f>
        <v>42444.705555555498</v>
      </c>
      <c r="F1472" s="111">
        <f ca="1">IFERROR(__xludf.DUMMYFUNCTION("""COMPUTED_VALUE"""),6.29)</f>
        <v>6.29</v>
      </c>
      <c r="G1472" s="112">
        <f ca="1">IFERROR(__xludf.DUMMYFUNCTION("""COMPUTED_VALUE"""),42437.7055555555)</f>
        <v>42437.705555555498</v>
      </c>
      <c r="H1472" s="111">
        <f ca="1">IFERROR(__xludf.DUMMYFUNCTION("""COMPUTED_VALUE"""),7.47)</f>
        <v>7.47</v>
      </c>
      <c r="K1472" s="112">
        <f ca="1">IFERROR(__xludf.DUMMYFUNCTION("""COMPUTED_VALUE"""),42884.7055555555)</f>
        <v>42884.705555555498</v>
      </c>
      <c r="L1472" s="111">
        <f ca="1">IFERROR(__xludf.DUMMYFUNCTION("""COMPUTED_VALUE"""),1.01)</f>
        <v>1.01</v>
      </c>
      <c r="M1472" s="112">
        <f ca="1">IFERROR(__xludf.DUMMYFUNCTION("""COMPUTED_VALUE"""),42345.7055555555)</f>
        <v>42345.705555555498</v>
      </c>
      <c r="N1472" s="111">
        <f ca="1">IFERROR(__xludf.DUMMYFUNCTION("""COMPUTED_VALUE"""),11.06)</f>
        <v>11.06</v>
      </c>
      <c r="O1472" s="112">
        <f ca="1">IFERROR(__xludf.DUMMYFUNCTION("""COMPUTED_VALUE"""),42429.7055555555)</f>
        <v>42429.705555555498</v>
      </c>
      <c r="P1472" s="111">
        <f ca="1">IFERROR(__xludf.DUMMYFUNCTION("""COMPUTED_VALUE"""),11.81)</f>
        <v>11.81</v>
      </c>
      <c r="Q1472" s="112">
        <f ca="1">IFERROR(__xludf.DUMMYFUNCTION("""COMPUTED_VALUE"""),42425.7055555555)</f>
        <v>42425.705555555498</v>
      </c>
      <c r="R1472" s="111">
        <f ca="1">IFERROR(__xludf.DUMMYFUNCTION("""COMPUTED_VALUE"""),13.12)</f>
        <v>13.12</v>
      </c>
      <c r="S1472" s="112">
        <f ca="1">IFERROR(__xludf.DUMMYFUNCTION("""COMPUTED_VALUE"""),42438.7055555555)</f>
        <v>42438.705555555498</v>
      </c>
      <c r="T1472" s="111">
        <f ca="1">IFERROR(__xludf.DUMMYFUNCTION("""COMPUTED_VALUE"""),15.77)</f>
        <v>15.77</v>
      </c>
    </row>
    <row r="1473" spans="1:20" x14ac:dyDescent="0.3">
      <c r="A1473" s="112">
        <f ca="1">IFERROR(__xludf.DUMMYFUNCTION("""COMPUTED_VALUE"""),42436.7055555555)</f>
        <v>42436.705555555498</v>
      </c>
      <c r="B1473" s="111">
        <f ca="1">IFERROR(__xludf.DUMMYFUNCTION("""COMPUTED_VALUE"""),6.41)</f>
        <v>6.41</v>
      </c>
      <c r="C1473" s="112">
        <f ca="1">IFERROR(__xludf.DUMMYFUNCTION("""COMPUTED_VALUE"""),42444.7055555555)</f>
        <v>42444.705555555498</v>
      </c>
      <c r="D1473" s="111">
        <f ca="1">IFERROR(__xludf.DUMMYFUNCTION("""COMPUTED_VALUE"""),18.64)</f>
        <v>18.64</v>
      </c>
      <c r="E1473" s="112">
        <f ca="1">IFERROR(__xludf.DUMMYFUNCTION("""COMPUTED_VALUE"""),42445.7055555555)</f>
        <v>42445.705555555498</v>
      </c>
      <c r="F1473" s="111">
        <f ca="1">IFERROR(__xludf.DUMMYFUNCTION("""COMPUTED_VALUE"""),6.13)</f>
        <v>6.13</v>
      </c>
      <c r="G1473" s="112">
        <f ca="1">IFERROR(__xludf.DUMMYFUNCTION("""COMPUTED_VALUE"""),42438.7055555555)</f>
        <v>42438.705555555498</v>
      </c>
      <c r="H1473" s="111">
        <f ca="1">IFERROR(__xludf.DUMMYFUNCTION("""COMPUTED_VALUE"""),7.6)</f>
        <v>7.6</v>
      </c>
      <c r="K1473" s="112">
        <f ca="1">IFERROR(__xludf.DUMMYFUNCTION("""COMPUTED_VALUE"""),42885.7055555555)</f>
        <v>42885.705555555498</v>
      </c>
      <c r="L1473" s="111">
        <f ca="1">IFERROR(__xludf.DUMMYFUNCTION("""COMPUTED_VALUE"""),1.02)</f>
        <v>1.02</v>
      </c>
      <c r="M1473" s="112">
        <f ca="1">IFERROR(__xludf.DUMMYFUNCTION("""COMPUTED_VALUE"""),42346.7055555555)</f>
        <v>42346.705555555498</v>
      </c>
      <c r="N1473" s="111">
        <f ca="1">IFERROR(__xludf.DUMMYFUNCTION("""COMPUTED_VALUE"""),10.81)</f>
        <v>10.81</v>
      </c>
      <c r="O1473" s="112">
        <f ca="1">IFERROR(__xludf.DUMMYFUNCTION("""COMPUTED_VALUE"""),42430.7055555555)</f>
        <v>42430.705555555498</v>
      </c>
      <c r="P1473" s="111">
        <f ca="1">IFERROR(__xludf.DUMMYFUNCTION("""COMPUTED_VALUE"""),12.81)</f>
        <v>12.81</v>
      </c>
      <c r="Q1473" s="112">
        <f ca="1">IFERROR(__xludf.DUMMYFUNCTION("""COMPUTED_VALUE"""),42426.7055555555)</f>
        <v>42426.705555555498</v>
      </c>
      <c r="R1473" s="111">
        <f ca="1">IFERROR(__xludf.DUMMYFUNCTION("""COMPUTED_VALUE"""),13.2)</f>
        <v>13.2</v>
      </c>
      <c r="S1473" s="112">
        <f ca="1">IFERROR(__xludf.DUMMYFUNCTION("""COMPUTED_VALUE"""),42439.7055555555)</f>
        <v>42439.705555555498</v>
      </c>
      <c r="T1473" s="111">
        <f ca="1">IFERROR(__xludf.DUMMYFUNCTION("""COMPUTED_VALUE"""),15.98)</f>
        <v>15.98</v>
      </c>
    </row>
    <row r="1474" spans="1:20" x14ac:dyDescent="0.3">
      <c r="A1474" s="112">
        <f ca="1">IFERROR(__xludf.DUMMYFUNCTION("""COMPUTED_VALUE"""),42437.7055555555)</f>
        <v>42437.705555555498</v>
      </c>
      <c r="B1474" s="111">
        <f ca="1">IFERROR(__xludf.DUMMYFUNCTION("""COMPUTED_VALUE"""),6.7)</f>
        <v>6.7</v>
      </c>
      <c r="C1474" s="112">
        <f ca="1">IFERROR(__xludf.DUMMYFUNCTION("""COMPUTED_VALUE"""),42445.7055555555)</f>
        <v>42445.705555555498</v>
      </c>
      <c r="D1474" s="111">
        <f ca="1">IFERROR(__xludf.DUMMYFUNCTION("""COMPUTED_VALUE"""),18.08)</f>
        <v>18.079999999999998</v>
      </c>
      <c r="E1474" s="112">
        <f ca="1">IFERROR(__xludf.DUMMYFUNCTION("""COMPUTED_VALUE"""),42446.7055555555)</f>
        <v>42446.705555555498</v>
      </c>
      <c r="F1474" s="111">
        <f ca="1">IFERROR(__xludf.DUMMYFUNCTION("""COMPUTED_VALUE"""),6.76)</f>
        <v>6.76</v>
      </c>
      <c r="G1474" s="112">
        <f ca="1">IFERROR(__xludf.DUMMYFUNCTION("""COMPUTED_VALUE"""),42439.7055555555)</f>
        <v>42439.705555555498</v>
      </c>
      <c r="H1474" s="111">
        <f ca="1">IFERROR(__xludf.DUMMYFUNCTION("""COMPUTED_VALUE"""),7.95)</f>
        <v>7.95</v>
      </c>
      <c r="K1474" s="112">
        <f ca="1">IFERROR(__xludf.DUMMYFUNCTION("""COMPUTED_VALUE"""),42886.7055555555)</f>
        <v>42886.705555555498</v>
      </c>
      <c r="L1474" s="111">
        <f ca="1">IFERROR(__xludf.DUMMYFUNCTION("""COMPUTED_VALUE"""),0.98)</f>
        <v>0.98</v>
      </c>
      <c r="M1474" s="112">
        <f ca="1">IFERROR(__xludf.DUMMYFUNCTION("""COMPUTED_VALUE"""),42347.7055555555)</f>
        <v>42347.705555555498</v>
      </c>
      <c r="N1474" s="111">
        <f ca="1">IFERROR(__xludf.DUMMYFUNCTION("""COMPUTED_VALUE"""),11.36)</f>
        <v>11.36</v>
      </c>
      <c r="O1474" s="112">
        <f ca="1">IFERROR(__xludf.DUMMYFUNCTION("""COMPUTED_VALUE"""),42431.7055555555)</f>
        <v>42431.705555555498</v>
      </c>
      <c r="P1474" s="111">
        <f ca="1">IFERROR(__xludf.DUMMYFUNCTION("""COMPUTED_VALUE"""),14.22)</f>
        <v>14.22</v>
      </c>
      <c r="Q1474" s="112">
        <f ca="1">IFERROR(__xludf.DUMMYFUNCTION("""COMPUTED_VALUE"""),42429.7055555555)</f>
        <v>42429.705555555498</v>
      </c>
      <c r="R1474" s="111">
        <f ca="1">IFERROR(__xludf.DUMMYFUNCTION("""COMPUTED_VALUE"""),13.54)</f>
        <v>13.54</v>
      </c>
      <c r="S1474" s="112">
        <f ca="1">IFERROR(__xludf.DUMMYFUNCTION("""COMPUTED_VALUE"""),42440.7055555555)</f>
        <v>42440.705555555498</v>
      </c>
      <c r="T1474" s="111">
        <f ca="1">IFERROR(__xludf.DUMMYFUNCTION("""COMPUTED_VALUE"""),15.59)</f>
        <v>15.59</v>
      </c>
    </row>
    <row r="1475" spans="1:20" x14ac:dyDescent="0.3">
      <c r="A1475" s="112">
        <f ca="1">IFERROR(__xludf.DUMMYFUNCTION("""COMPUTED_VALUE"""),42438.7055555555)</f>
        <v>42438.705555555498</v>
      </c>
      <c r="B1475" s="111">
        <f ca="1">IFERROR(__xludf.DUMMYFUNCTION("""COMPUTED_VALUE"""),6.83)</f>
        <v>6.83</v>
      </c>
      <c r="C1475" s="112">
        <f ca="1">IFERROR(__xludf.DUMMYFUNCTION("""COMPUTED_VALUE"""),42446.7055555555)</f>
        <v>42446.705555555498</v>
      </c>
      <c r="D1475" s="111">
        <f ca="1">IFERROR(__xludf.DUMMYFUNCTION("""COMPUTED_VALUE"""),20.06)</f>
        <v>20.059999999999999</v>
      </c>
      <c r="E1475" s="112">
        <f ca="1">IFERROR(__xludf.DUMMYFUNCTION("""COMPUTED_VALUE"""),42447.7055555555)</f>
        <v>42447.705555555498</v>
      </c>
      <c r="F1475" s="111">
        <f ca="1">IFERROR(__xludf.DUMMYFUNCTION("""COMPUTED_VALUE"""),6.75)</f>
        <v>6.75</v>
      </c>
      <c r="G1475" s="112">
        <f ca="1">IFERROR(__xludf.DUMMYFUNCTION("""COMPUTED_VALUE"""),42440.7055555555)</f>
        <v>42440.705555555498</v>
      </c>
      <c r="H1475" s="111">
        <f ca="1">IFERROR(__xludf.DUMMYFUNCTION("""COMPUTED_VALUE"""),8.09)</f>
        <v>8.09</v>
      </c>
      <c r="K1475" s="112">
        <f ca="1">IFERROR(__xludf.DUMMYFUNCTION("""COMPUTED_VALUE"""),42887.7055555555)</f>
        <v>42887.705555555498</v>
      </c>
      <c r="L1475" s="111">
        <f ca="1">IFERROR(__xludf.DUMMYFUNCTION("""COMPUTED_VALUE"""),0.97)</f>
        <v>0.97</v>
      </c>
      <c r="M1475" s="112">
        <f ca="1">IFERROR(__xludf.DUMMYFUNCTION("""COMPUTED_VALUE"""),42348.7055555555)</f>
        <v>42348.705555555498</v>
      </c>
      <c r="N1475" s="111">
        <f ca="1">IFERROR(__xludf.DUMMYFUNCTION("""COMPUTED_VALUE"""),10.87)</f>
        <v>10.87</v>
      </c>
      <c r="O1475" s="112">
        <f ca="1">IFERROR(__xludf.DUMMYFUNCTION("""COMPUTED_VALUE"""),42432.7055555555)</f>
        <v>42432.705555555498</v>
      </c>
      <c r="P1475" s="111">
        <f ca="1">IFERROR(__xludf.DUMMYFUNCTION("""COMPUTED_VALUE"""),15.62)</f>
        <v>15.62</v>
      </c>
      <c r="Q1475" s="112">
        <f ca="1">IFERROR(__xludf.DUMMYFUNCTION("""COMPUTED_VALUE"""),42430.7055555555)</f>
        <v>42430.705555555498</v>
      </c>
      <c r="R1475" s="111">
        <f ca="1">IFERROR(__xludf.DUMMYFUNCTION("""COMPUTED_VALUE"""),14.32)</f>
        <v>14.32</v>
      </c>
      <c r="S1475" s="112">
        <f ca="1">IFERROR(__xludf.DUMMYFUNCTION("""COMPUTED_VALUE"""),42443.7055555555)</f>
        <v>42443.705555555498</v>
      </c>
      <c r="T1475" s="111">
        <f ca="1">IFERROR(__xludf.DUMMYFUNCTION("""COMPUTED_VALUE"""),15.69)</f>
        <v>15.69</v>
      </c>
    </row>
    <row r="1476" spans="1:20" x14ac:dyDescent="0.3">
      <c r="A1476" s="112">
        <f ca="1">IFERROR(__xludf.DUMMYFUNCTION("""COMPUTED_VALUE"""),42439.7055555555)</f>
        <v>42439.705555555498</v>
      </c>
      <c r="B1476" s="111">
        <f ca="1">IFERROR(__xludf.DUMMYFUNCTION("""COMPUTED_VALUE"""),7.07)</f>
        <v>7.07</v>
      </c>
      <c r="C1476" s="112">
        <f ca="1">IFERROR(__xludf.DUMMYFUNCTION("""COMPUTED_VALUE"""),42447.7055555555)</f>
        <v>42447.705555555498</v>
      </c>
      <c r="D1476" s="111">
        <f ca="1">IFERROR(__xludf.DUMMYFUNCTION("""COMPUTED_VALUE"""),20.12)</f>
        <v>20.12</v>
      </c>
      <c r="E1476" s="112">
        <f ca="1">IFERROR(__xludf.DUMMYFUNCTION("""COMPUTED_VALUE"""),42450.7055555555)</f>
        <v>42450.705555555498</v>
      </c>
      <c r="F1476" s="111">
        <f ca="1">IFERROR(__xludf.DUMMYFUNCTION("""COMPUTED_VALUE"""),6.84)</f>
        <v>6.84</v>
      </c>
      <c r="G1476" s="112">
        <f ca="1">IFERROR(__xludf.DUMMYFUNCTION("""COMPUTED_VALUE"""),42443.7055555555)</f>
        <v>42443.705555555498</v>
      </c>
      <c r="H1476" s="111">
        <f ca="1">IFERROR(__xludf.DUMMYFUNCTION("""COMPUTED_VALUE"""),7.4)</f>
        <v>7.4</v>
      </c>
      <c r="K1476" s="112">
        <f ca="1">IFERROR(__xludf.DUMMYFUNCTION("""COMPUTED_VALUE"""),42888.7055555555)</f>
        <v>42888.705555555498</v>
      </c>
      <c r="L1476" s="111">
        <f ca="1">IFERROR(__xludf.DUMMYFUNCTION("""COMPUTED_VALUE"""),0.94)</f>
        <v>0.94</v>
      </c>
      <c r="M1476" s="112">
        <f ca="1">IFERROR(__xludf.DUMMYFUNCTION("""COMPUTED_VALUE"""),42349.7055555555)</f>
        <v>42349.705555555498</v>
      </c>
      <c r="N1476" s="111">
        <f ca="1">IFERROR(__xludf.DUMMYFUNCTION("""COMPUTED_VALUE"""),10.77)</f>
        <v>10.77</v>
      </c>
      <c r="O1476" s="112">
        <f ca="1">IFERROR(__xludf.DUMMYFUNCTION("""COMPUTED_VALUE"""),42433.7055555555)</f>
        <v>42433.705555555498</v>
      </c>
      <c r="P1476" s="111">
        <f ca="1">IFERROR(__xludf.DUMMYFUNCTION("""COMPUTED_VALUE"""),16.55)</f>
        <v>16.55</v>
      </c>
      <c r="Q1476" s="112">
        <f ca="1">IFERROR(__xludf.DUMMYFUNCTION("""COMPUTED_VALUE"""),42431.7055555555)</f>
        <v>42431.705555555498</v>
      </c>
      <c r="R1476" s="111">
        <f ca="1">IFERROR(__xludf.DUMMYFUNCTION("""COMPUTED_VALUE"""),14.77)</f>
        <v>14.77</v>
      </c>
      <c r="S1476" s="112">
        <f ca="1">IFERROR(__xludf.DUMMYFUNCTION("""COMPUTED_VALUE"""),42444.7055555555)</f>
        <v>42444.705555555498</v>
      </c>
      <c r="T1476" s="111">
        <f ca="1">IFERROR(__xludf.DUMMYFUNCTION("""COMPUTED_VALUE"""),15.53)</f>
        <v>15.53</v>
      </c>
    </row>
    <row r="1477" spans="1:20" x14ac:dyDescent="0.3">
      <c r="A1477" s="112">
        <f ca="1">IFERROR(__xludf.DUMMYFUNCTION("""COMPUTED_VALUE"""),42440.7055555555)</f>
        <v>42440.705555555498</v>
      </c>
      <c r="B1477" s="111">
        <f ca="1">IFERROR(__xludf.DUMMYFUNCTION("""COMPUTED_VALUE"""),7.23)</f>
        <v>7.23</v>
      </c>
      <c r="C1477" s="112">
        <f ca="1">IFERROR(__xludf.DUMMYFUNCTION("""COMPUTED_VALUE"""),42450.7055555555)</f>
        <v>42450.705555555498</v>
      </c>
      <c r="D1477" s="111">
        <f ca="1">IFERROR(__xludf.DUMMYFUNCTION("""COMPUTED_VALUE"""),20.12)</f>
        <v>20.12</v>
      </c>
      <c r="E1477" s="112">
        <f ca="1">IFERROR(__xludf.DUMMYFUNCTION("""COMPUTED_VALUE"""),42451.7055555555)</f>
        <v>42451.705555555498</v>
      </c>
      <c r="F1477" s="111">
        <f ca="1">IFERROR(__xludf.DUMMYFUNCTION("""COMPUTED_VALUE"""),6.6)</f>
        <v>6.6</v>
      </c>
      <c r="G1477" s="112">
        <f ca="1">IFERROR(__xludf.DUMMYFUNCTION("""COMPUTED_VALUE"""),42444.7055555555)</f>
        <v>42444.705555555498</v>
      </c>
      <c r="H1477" s="111">
        <f ca="1">IFERROR(__xludf.DUMMYFUNCTION("""COMPUTED_VALUE"""),6.61)</f>
        <v>6.61</v>
      </c>
      <c r="K1477" s="112">
        <f ca="1">IFERROR(__xludf.DUMMYFUNCTION("""COMPUTED_VALUE"""),42891.7055555555)</f>
        <v>42891.705555555498</v>
      </c>
      <c r="L1477" s="111">
        <f ca="1">IFERROR(__xludf.DUMMYFUNCTION("""COMPUTED_VALUE"""),0.93)</f>
        <v>0.93</v>
      </c>
      <c r="M1477" s="112">
        <f ca="1">IFERROR(__xludf.DUMMYFUNCTION("""COMPUTED_VALUE"""),42352.7055555555)</f>
        <v>42352.705555555498</v>
      </c>
      <c r="N1477" s="111">
        <f ca="1">IFERROR(__xludf.DUMMYFUNCTION("""COMPUTED_VALUE"""),10.58)</f>
        <v>10.58</v>
      </c>
      <c r="O1477" s="112">
        <f ca="1">IFERROR(__xludf.DUMMYFUNCTION("""COMPUTED_VALUE"""),42436.7055555555)</f>
        <v>42436.705555555498</v>
      </c>
      <c r="P1477" s="111">
        <f ca="1">IFERROR(__xludf.DUMMYFUNCTION("""COMPUTED_VALUE"""),17.58)</f>
        <v>17.579999999999998</v>
      </c>
      <c r="Q1477" s="112">
        <f ca="1">IFERROR(__xludf.DUMMYFUNCTION("""COMPUTED_VALUE"""),42432.7055555555)</f>
        <v>42432.705555555498</v>
      </c>
      <c r="R1477" s="111">
        <f ca="1">IFERROR(__xludf.DUMMYFUNCTION("""COMPUTED_VALUE"""),16.61)</f>
        <v>16.61</v>
      </c>
      <c r="S1477" s="112">
        <f ca="1">IFERROR(__xludf.DUMMYFUNCTION("""COMPUTED_VALUE"""),42445.7055555555)</f>
        <v>42445.705555555498</v>
      </c>
      <c r="T1477" s="111">
        <f ca="1">IFERROR(__xludf.DUMMYFUNCTION("""COMPUTED_VALUE"""),15.67)</f>
        <v>15.67</v>
      </c>
    </row>
    <row r="1478" spans="1:20" x14ac:dyDescent="0.3">
      <c r="A1478" s="112">
        <f ca="1">IFERROR(__xludf.DUMMYFUNCTION("""COMPUTED_VALUE"""),42443.7055555555)</f>
        <v>42443.705555555498</v>
      </c>
      <c r="B1478" s="111">
        <f ca="1">IFERROR(__xludf.DUMMYFUNCTION("""COMPUTED_VALUE"""),7.02)</f>
        <v>7.02</v>
      </c>
      <c r="C1478" s="112">
        <f ca="1">IFERROR(__xludf.DUMMYFUNCTION("""COMPUTED_VALUE"""),42451.7055555555)</f>
        <v>42451.705555555498</v>
      </c>
      <c r="D1478" s="111">
        <f ca="1">IFERROR(__xludf.DUMMYFUNCTION("""COMPUTED_VALUE"""),19.61)</f>
        <v>19.61</v>
      </c>
      <c r="E1478" s="112">
        <f ca="1">IFERROR(__xludf.DUMMYFUNCTION("""COMPUTED_VALUE"""),42452.7055555555)</f>
        <v>42452.705555555498</v>
      </c>
      <c r="F1478" s="111">
        <f ca="1">IFERROR(__xludf.DUMMYFUNCTION("""COMPUTED_VALUE"""),6.4)</f>
        <v>6.4</v>
      </c>
      <c r="G1478" s="112">
        <f ca="1">IFERROR(__xludf.DUMMYFUNCTION("""COMPUTED_VALUE"""),42445.7055555555)</f>
        <v>42445.705555555498</v>
      </c>
      <c r="H1478" s="111">
        <f ca="1">IFERROR(__xludf.DUMMYFUNCTION("""COMPUTED_VALUE"""),7.23)</f>
        <v>7.23</v>
      </c>
      <c r="K1478" s="112">
        <f ca="1">IFERROR(__xludf.DUMMYFUNCTION("""COMPUTED_VALUE"""),42892.7055555555)</f>
        <v>42892.705555555498</v>
      </c>
      <c r="L1478" s="111">
        <f ca="1">IFERROR(__xludf.DUMMYFUNCTION("""COMPUTED_VALUE"""),0.93)</f>
        <v>0.93</v>
      </c>
      <c r="M1478" s="112">
        <f ca="1">IFERROR(__xludf.DUMMYFUNCTION("""COMPUTED_VALUE"""),42353.7055555555)</f>
        <v>42353.705555555498</v>
      </c>
      <c r="N1478" s="111">
        <f ca="1">IFERROR(__xludf.DUMMYFUNCTION("""COMPUTED_VALUE"""),10.75)</f>
        <v>10.75</v>
      </c>
      <c r="O1478" s="112">
        <f ca="1">IFERROR(__xludf.DUMMYFUNCTION("""COMPUTED_VALUE"""),42437.7055555555)</f>
        <v>42437.705555555498</v>
      </c>
      <c r="P1478" s="111">
        <f ca="1">IFERROR(__xludf.DUMMYFUNCTION("""COMPUTED_VALUE"""),15.03)</f>
        <v>15.03</v>
      </c>
      <c r="Q1478" s="112">
        <f ca="1">IFERROR(__xludf.DUMMYFUNCTION("""COMPUTED_VALUE"""),42436.7055555555)</f>
        <v>42436.705555555498</v>
      </c>
      <c r="R1478" s="111">
        <f ca="1">IFERROR(__xludf.DUMMYFUNCTION("""COMPUTED_VALUE"""),18.26)</f>
        <v>18.260000000000002</v>
      </c>
      <c r="S1478" s="112">
        <f ca="1">IFERROR(__xludf.DUMMYFUNCTION("""COMPUTED_VALUE"""),42446.7055555555)</f>
        <v>42446.705555555498</v>
      </c>
      <c r="T1478" s="111">
        <f ca="1">IFERROR(__xludf.DUMMYFUNCTION("""COMPUTED_VALUE"""),16.52)</f>
        <v>16.52</v>
      </c>
    </row>
    <row r="1479" spans="1:20" x14ac:dyDescent="0.3">
      <c r="A1479" s="112">
        <f ca="1">IFERROR(__xludf.DUMMYFUNCTION("""COMPUTED_VALUE"""),42444.7055555555)</f>
        <v>42444.705555555498</v>
      </c>
      <c r="B1479" s="111">
        <f ca="1">IFERROR(__xludf.DUMMYFUNCTION("""COMPUTED_VALUE"""),6.49)</f>
        <v>6.49</v>
      </c>
      <c r="C1479" s="112">
        <f ca="1">IFERROR(__xludf.DUMMYFUNCTION("""COMPUTED_VALUE"""),42452.7055555555)</f>
        <v>42452.705555555498</v>
      </c>
      <c r="D1479" s="111">
        <f ca="1">IFERROR(__xludf.DUMMYFUNCTION("""COMPUTED_VALUE"""),18.98)</f>
        <v>18.98</v>
      </c>
      <c r="E1479" s="112">
        <f ca="1">IFERROR(__xludf.DUMMYFUNCTION("""COMPUTED_VALUE"""),42453.7055555555)</f>
        <v>42453.705555555498</v>
      </c>
      <c r="F1479" s="111">
        <f ca="1">IFERROR(__xludf.DUMMYFUNCTION("""COMPUTED_VALUE"""),6.4)</f>
        <v>6.4</v>
      </c>
      <c r="G1479" s="112">
        <f ca="1">IFERROR(__xludf.DUMMYFUNCTION("""COMPUTED_VALUE"""),42446.7055555555)</f>
        <v>42446.705555555498</v>
      </c>
      <c r="H1479" s="111">
        <f ca="1">IFERROR(__xludf.DUMMYFUNCTION("""COMPUTED_VALUE"""),8.1)</f>
        <v>8.1</v>
      </c>
      <c r="K1479" s="112">
        <f ca="1">IFERROR(__xludf.DUMMYFUNCTION("""COMPUTED_VALUE"""),42893.7055555555)</f>
        <v>42893.705555555498</v>
      </c>
      <c r="L1479" s="111">
        <f ca="1">IFERROR(__xludf.DUMMYFUNCTION("""COMPUTED_VALUE"""),0.97)</f>
        <v>0.97</v>
      </c>
      <c r="M1479" s="112">
        <f ca="1">IFERROR(__xludf.DUMMYFUNCTION("""COMPUTED_VALUE"""),42354.7055555555)</f>
        <v>42354.705555555498</v>
      </c>
      <c r="N1479" s="111">
        <f ca="1">IFERROR(__xludf.DUMMYFUNCTION("""COMPUTED_VALUE"""),10.84)</f>
        <v>10.84</v>
      </c>
      <c r="O1479" s="112">
        <f ca="1">IFERROR(__xludf.DUMMYFUNCTION("""COMPUTED_VALUE"""),42438.7055555555)</f>
        <v>42438.705555555498</v>
      </c>
      <c r="P1479" s="111">
        <f ca="1">IFERROR(__xludf.DUMMYFUNCTION("""COMPUTED_VALUE"""),14.5)</f>
        <v>14.5</v>
      </c>
      <c r="Q1479" s="112">
        <f ca="1">IFERROR(__xludf.DUMMYFUNCTION("""COMPUTED_VALUE"""),42437.7055555555)</f>
        <v>42437.705555555498</v>
      </c>
      <c r="R1479" s="111">
        <f ca="1">IFERROR(__xludf.DUMMYFUNCTION("""COMPUTED_VALUE"""),20.25)</f>
        <v>20.25</v>
      </c>
      <c r="S1479" s="112">
        <f ca="1">IFERROR(__xludf.DUMMYFUNCTION("""COMPUTED_VALUE"""),42447.7055555555)</f>
        <v>42447.705555555498</v>
      </c>
      <c r="T1479" s="111">
        <f ca="1">IFERROR(__xludf.DUMMYFUNCTION("""COMPUTED_VALUE"""),16.22)</f>
        <v>16.22</v>
      </c>
    </row>
    <row r="1480" spans="1:20" x14ac:dyDescent="0.3">
      <c r="A1480" s="112">
        <f ca="1">IFERROR(__xludf.DUMMYFUNCTION("""COMPUTED_VALUE"""),42445.7055555555)</f>
        <v>42445.705555555498</v>
      </c>
      <c r="B1480" s="111">
        <f ca="1">IFERROR(__xludf.DUMMYFUNCTION("""COMPUTED_VALUE"""),6.48)</f>
        <v>6.48</v>
      </c>
      <c r="C1480" s="112">
        <f ca="1">IFERROR(__xludf.DUMMYFUNCTION("""COMPUTED_VALUE"""),42453.7055555555)</f>
        <v>42453.705555555498</v>
      </c>
      <c r="D1480" s="111">
        <f ca="1">IFERROR(__xludf.DUMMYFUNCTION("""COMPUTED_VALUE"""),18.78)</f>
        <v>18.78</v>
      </c>
      <c r="E1480" s="112">
        <f ca="1">IFERROR(__xludf.DUMMYFUNCTION("""COMPUTED_VALUE"""),42457.7055555555)</f>
        <v>42457.705555555498</v>
      </c>
      <c r="F1480" s="111">
        <f ca="1">IFERROR(__xludf.DUMMYFUNCTION("""COMPUTED_VALUE"""),6.65)</f>
        <v>6.65</v>
      </c>
      <c r="G1480" s="112">
        <f ca="1">IFERROR(__xludf.DUMMYFUNCTION("""COMPUTED_VALUE"""),42447.7055555555)</f>
        <v>42447.705555555498</v>
      </c>
      <c r="H1480" s="111">
        <f ca="1">IFERROR(__xludf.DUMMYFUNCTION("""COMPUTED_VALUE"""),8.12)</f>
        <v>8.1199999999999992</v>
      </c>
      <c r="K1480" s="112">
        <f ca="1">IFERROR(__xludf.DUMMYFUNCTION("""COMPUTED_VALUE"""),42894.7055555555)</f>
        <v>42894.705555555498</v>
      </c>
      <c r="L1480" s="111">
        <f ca="1">IFERROR(__xludf.DUMMYFUNCTION("""COMPUTED_VALUE"""),1.01)</f>
        <v>1.01</v>
      </c>
      <c r="M1480" s="112">
        <f ca="1">IFERROR(__xludf.DUMMYFUNCTION("""COMPUTED_VALUE"""),42355.7055555555)</f>
        <v>42355.705555555498</v>
      </c>
      <c r="N1480" s="111">
        <f ca="1">IFERROR(__xludf.DUMMYFUNCTION("""COMPUTED_VALUE"""),10.63)</f>
        <v>10.63</v>
      </c>
      <c r="O1480" s="112">
        <f ca="1">IFERROR(__xludf.DUMMYFUNCTION("""COMPUTED_VALUE"""),42439.7055555555)</f>
        <v>42439.705555555498</v>
      </c>
      <c r="P1480" s="111">
        <f ca="1">IFERROR(__xludf.DUMMYFUNCTION("""COMPUTED_VALUE"""),14)</f>
        <v>14</v>
      </c>
      <c r="Q1480" s="112">
        <f ca="1">IFERROR(__xludf.DUMMYFUNCTION("""COMPUTED_VALUE"""),42438.7055555555)</f>
        <v>42438.705555555498</v>
      </c>
      <c r="R1480" s="111">
        <f ca="1">IFERROR(__xludf.DUMMYFUNCTION("""COMPUTED_VALUE"""),20.3)</f>
        <v>20.3</v>
      </c>
      <c r="S1480" s="112">
        <f ca="1">IFERROR(__xludf.DUMMYFUNCTION("""COMPUTED_VALUE"""),42450.7055555555)</f>
        <v>42450.705555555498</v>
      </c>
      <c r="T1480" s="111">
        <f ca="1">IFERROR(__xludf.DUMMYFUNCTION("""COMPUTED_VALUE"""),16.44)</f>
        <v>16.440000000000001</v>
      </c>
    </row>
    <row r="1481" spans="1:20" x14ac:dyDescent="0.3">
      <c r="A1481" s="112">
        <f ca="1">IFERROR(__xludf.DUMMYFUNCTION("""COMPUTED_VALUE"""),42446.7055555555)</f>
        <v>42446.705555555498</v>
      </c>
      <c r="B1481" s="111">
        <f ca="1">IFERROR(__xludf.DUMMYFUNCTION("""COMPUTED_VALUE"""),7.15)</f>
        <v>7.15</v>
      </c>
      <c r="C1481" s="112">
        <f ca="1">IFERROR(__xludf.DUMMYFUNCTION("""COMPUTED_VALUE"""),42457.7055555555)</f>
        <v>42457.705555555498</v>
      </c>
      <c r="D1481" s="111">
        <f ca="1">IFERROR(__xludf.DUMMYFUNCTION("""COMPUTED_VALUE"""),19.25)</f>
        <v>19.25</v>
      </c>
      <c r="E1481" s="112">
        <f ca="1">IFERROR(__xludf.DUMMYFUNCTION("""COMPUTED_VALUE"""),42458.7055555555)</f>
        <v>42458.705555555498</v>
      </c>
      <c r="F1481" s="111">
        <f ca="1">IFERROR(__xludf.DUMMYFUNCTION("""COMPUTED_VALUE"""),6.72)</f>
        <v>6.72</v>
      </c>
      <c r="G1481" s="112">
        <f ca="1">IFERROR(__xludf.DUMMYFUNCTION("""COMPUTED_VALUE"""),42450.7055555555)</f>
        <v>42450.705555555498</v>
      </c>
      <c r="H1481" s="111">
        <f ca="1">IFERROR(__xludf.DUMMYFUNCTION("""COMPUTED_VALUE"""),8.06)</f>
        <v>8.06</v>
      </c>
      <c r="K1481" s="112">
        <f ca="1">IFERROR(__xludf.DUMMYFUNCTION("""COMPUTED_VALUE"""),42895.7055555555)</f>
        <v>42895.705555555498</v>
      </c>
      <c r="L1481" s="111">
        <f ca="1">IFERROR(__xludf.DUMMYFUNCTION("""COMPUTED_VALUE"""),0.98)</f>
        <v>0.98</v>
      </c>
      <c r="M1481" s="112">
        <f ca="1">IFERROR(__xludf.DUMMYFUNCTION("""COMPUTED_VALUE"""),42356.7055555555)</f>
        <v>42356.705555555498</v>
      </c>
      <c r="N1481" s="111">
        <f ca="1">IFERROR(__xludf.DUMMYFUNCTION("""COMPUTED_VALUE"""),10.17)</f>
        <v>10.17</v>
      </c>
      <c r="O1481" s="112">
        <f ca="1">IFERROR(__xludf.DUMMYFUNCTION("""COMPUTED_VALUE"""),42440.7055555555)</f>
        <v>42440.705555555498</v>
      </c>
      <c r="P1481" s="111">
        <f ca="1">IFERROR(__xludf.DUMMYFUNCTION("""COMPUTED_VALUE"""),13.87)</f>
        <v>13.87</v>
      </c>
      <c r="Q1481" s="112">
        <f ca="1">IFERROR(__xludf.DUMMYFUNCTION("""COMPUTED_VALUE"""),42439.7055555555)</f>
        <v>42439.705555555498</v>
      </c>
      <c r="R1481" s="111">
        <f ca="1">IFERROR(__xludf.DUMMYFUNCTION("""COMPUTED_VALUE"""),21.5)</f>
        <v>21.5</v>
      </c>
      <c r="S1481" s="112">
        <f ca="1">IFERROR(__xludf.DUMMYFUNCTION("""COMPUTED_VALUE"""),42451.7055555555)</f>
        <v>42451.705555555498</v>
      </c>
      <c r="T1481" s="111">
        <f ca="1">IFERROR(__xludf.DUMMYFUNCTION("""COMPUTED_VALUE"""),16.74)</f>
        <v>16.739999999999998</v>
      </c>
    </row>
    <row r="1482" spans="1:20" x14ac:dyDescent="0.3">
      <c r="A1482" s="112">
        <f ca="1">IFERROR(__xludf.DUMMYFUNCTION("""COMPUTED_VALUE"""),42447.7055555555)</f>
        <v>42447.705555555498</v>
      </c>
      <c r="B1482" s="111">
        <f ca="1">IFERROR(__xludf.DUMMYFUNCTION("""COMPUTED_VALUE"""),6.92)</f>
        <v>6.92</v>
      </c>
      <c r="C1482" s="112">
        <f ca="1">IFERROR(__xludf.DUMMYFUNCTION("""COMPUTED_VALUE"""),42458.7055555555)</f>
        <v>42458.705555555498</v>
      </c>
      <c r="D1482" s="111">
        <f ca="1">IFERROR(__xludf.DUMMYFUNCTION("""COMPUTED_VALUE"""),19.36)</f>
        <v>19.36</v>
      </c>
      <c r="E1482" s="112">
        <f ca="1">IFERROR(__xludf.DUMMYFUNCTION("""COMPUTED_VALUE"""),42459.7055555555)</f>
        <v>42459.705555555498</v>
      </c>
      <c r="F1482" s="111">
        <f ca="1">IFERROR(__xludf.DUMMYFUNCTION("""COMPUTED_VALUE"""),6.67)</f>
        <v>6.67</v>
      </c>
      <c r="G1482" s="112">
        <f ca="1">IFERROR(__xludf.DUMMYFUNCTION("""COMPUTED_VALUE"""),42451.7055555555)</f>
        <v>42451.705555555498</v>
      </c>
      <c r="H1482" s="111">
        <f ca="1">IFERROR(__xludf.DUMMYFUNCTION("""COMPUTED_VALUE"""),8.11)</f>
        <v>8.11</v>
      </c>
      <c r="K1482" s="112">
        <f ca="1">IFERROR(__xludf.DUMMYFUNCTION("""COMPUTED_VALUE"""),42898.7055555555)</f>
        <v>42898.705555555498</v>
      </c>
      <c r="L1482" s="111">
        <f ca="1">IFERROR(__xludf.DUMMYFUNCTION("""COMPUTED_VALUE"""),0.97)</f>
        <v>0.97</v>
      </c>
      <c r="M1482" s="112">
        <f ca="1">IFERROR(__xludf.DUMMYFUNCTION("""COMPUTED_VALUE"""),42359.7055555555)</f>
        <v>42359.705555555498</v>
      </c>
      <c r="N1482" s="111">
        <f ca="1">IFERROR(__xludf.DUMMYFUNCTION("""COMPUTED_VALUE"""),9.87)</f>
        <v>9.8699999999999992</v>
      </c>
      <c r="O1482" s="112">
        <f ca="1">IFERROR(__xludf.DUMMYFUNCTION("""COMPUTED_VALUE"""),42443.7055555555)</f>
        <v>42443.705555555498</v>
      </c>
      <c r="P1482" s="111">
        <f ca="1">IFERROR(__xludf.DUMMYFUNCTION("""COMPUTED_VALUE"""),13.44)</f>
        <v>13.44</v>
      </c>
      <c r="Q1482" s="112">
        <f ca="1">IFERROR(__xludf.DUMMYFUNCTION("""COMPUTED_VALUE"""),42440.7055555555)</f>
        <v>42440.705555555498</v>
      </c>
      <c r="R1482" s="111">
        <f ca="1">IFERROR(__xludf.DUMMYFUNCTION("""COMPUTED_VALUE"""),22.85)</f>
        <v>22.85</v>
      </c>
      <c r="S1482" s="112">
        <f ca="1">IFERROR(__xludf.DUMMYFUNCTION("""COMPUTED_VALUE"""),42452.7055555555)</f>
        <v>42452.705555555498</v>
      </c>
      <c r="T1482" s="111">
        <f ca="1">IFERROR(__xludf.DUMMYFUNCTION("""COMPUTED_VALUE"""),16.33)</f>
        <v>16.329999999999998</v>
      </c>
    </row>
    <row r="1483" spans="1:20" x14ac:dyDescent="0.3">
      <c r="A1483" s="112">
        <f ca="1">IFERROR(__xludf.DUMMYFUNCTION("""COMPUTED_VALUE"""),42450.7055555555)</f>
        <v>42450.705555555498</v>
      </c>
      <c r="B1483" s="111">
        <f ca="1">IFERROR(__xludf.DUMMYFUNCTION("""COMPUTED_VALUE"""),7.15)</f>
        <v>7.15</v>
      </c>
      <c r="C1483" s="112">
        <f ca="1">IFERROR(__xludf.DUMMYFUNCTION("""COMPUTED_VALUE"""),42459.7055555555)</f>
        <v>42459.705555555498</v>
      </c>
      <c r="D1483" s="111">
        <f ca="1">IFERROR(__xludf.DUMMYFUNCTION("""COMPUTED_VALUE"""),19.47)</f>
        <v>19.47</v>
      </c>
      <c r="E1483" s="112">
        <f ca="1">IFERROR(__xludf.DUMMYFUNCTION("""COMPUTED_VALUE"""),42460.7055555555)</f>
        <v>42460.705555555498</v>
      </c>
      <c r="F1483" s="111">
        <f ca="1">IFERROR(__xludf.DUMMYFUNCTION("""COMPUTED_VALUE"""),6.45)</f>
        <v>6.45</v>
      </c>
      <c r="G1483" s="112">
        <f ca="1">IFERROR(__xludf.DUMMYFUNCTION("""COMPUTED_VALUE"""),42452.7055555555)</f>
        <v>42452.705555555498</v>
      </c>
      <c r="H1483" s="111">
        <f ca="1">IFERROR(__xludf.DUMMYFUNCTION("""COMPUTED_VALUE"""),7.78)</f>
        <v>7.78</v>
      </c>
      <c r="K1483" s="112">
        <f ca="1">IFERROR(__xludf.DUMMYFUNCTION("""COMPUTED_VALUE"""),42899.7055555555)</f>
        <v>42899.705555555498</v>
      </c>
      <c r="L1483" s="111">
        <f ca="1">IFERROR(__xludf.DUMMYFUNCTION("""COMPUTED_VALUE"""),1)</f>
        <v>1</v>
      </c>
      <c r="M1483" s="112">
        <f ca="1">IFERROR(__xludf.DUMMYFUNCTION("""COMPUTED_VALUE"""),42360.7055555555)</f>
        <v>42360.705555555498</v>
      </c>
      <c r="N1483" s="111">
        <f ca="1">IFERROR(__xludf.DUMMYFUNCTION("""COMPUTED_VALUE"""),9.96)</f>
        <v>9.9600000000000009</v>
      </c>
      <c r="O1483" s="112">
        <f ca="1">IFERROR(__xludf.DUMMYFUNCTION("""COMPUTED_VALUE"""),42444.7055555555)</f>
        <v>42444.705555555498</v>
      </c>
      <c r="P1483" s="111">
        <f ca="1">IFERROR(__xludf.DUMMYFUNCTION("""COMPUTED_VALUE"""),13.48)</f>
        <v>13.48</v>
      </c>
      <c r="Q1483" s="112">
        <f ca="1">IFERROR(__xludf.DUMMYFUNCTION("""COMPUTED_VALUE"""),42443.7055555555)</f>
        <v>42443.705555555498</v>
      </c>
      <c r="R1483" s="111">
        <f ca="1">IFERROR(__xludf.DUMMYFUNCTION("""COMPUTED_VALUE"""),22.2)</f>
        <v>22.2</v>
      </c>
      <c r="S1483" s="112">
        <f ca="1">IFERROR(__xludf.DUMMYFUNCTION("""COMPUTED_VALUE"""),42453.7055555555)</f>
        <v>42453.705555555498</v>
      </c>
      <c r="T1483" s="111">
        <f ca="1">IFERROR(__xludf.DUMMYFUNCTION("""COMPUTED_VALUE"""),16.15)</f>
        <v>16.149999999999999</v>
      </c>
    </row>
    <row r="1484" spans="1:20" x14ac:dyDescent="0.3">
      <c r="A1484" s="112">
        <f ca="1">IFERROR(__xludf.DUMMYFUNCTION("""COMPUTED_VALUE"""),42451.7055555555)</f>
        <v>42451.705555555498</v>
      </c>
      <c r="B1484" s="111">
        <f ca="1">IFERROR(__xludf.DUMMYFUNCTION("""COMPUTED_VALUE"""),7.07)</f>
        <v>7.07</v>
      </c>
      <c r="C1484" s="112">
        <f ca="1">IFERROR(__xludf.DUMMYFUNCTION("""COMPUTED_VALUE"""),42460.7055555555)</f>
        <v>42460.705555555498</v>
      </c>
      <c r="D1484" s="111">
        <f ca="1">IFERROR(__xludf.DUMMYFUNCTION("""COMPUTED_VALUE"""),18.92)</f>
        <v>18.920000000000002</v>
      </c>
      <c r="E1484" s="112">
        <f ca="1">IFERROR(__xludf.DUMMYFUNCTION("""COMPUTED_VALUE"""),42461.7055555555)</f>
        <v>42461.705555555498</v>
      </c>
      <c r="F1484" s="111">
        <f ca="1">IFERROR(__xludf.DUMMYFUNCTION("""COMPUTED_VALUE"""),6.45)</f>
        <v>6.45</v>
      </c>
      <c r="G1484" s="112">
        <f ca="1">IFERROR(__xludf.DUMMYFUNCTION("""COMPUTED_VALUE"""),42453.7055555555)</f>
        <v>42453.705555555498</v>
      </c>
      <c r="H1484" s="111">
        <f ca="1">IFERROR(__xludf.DUMMYFUNCTION("""COMPUTED_VALUE"""),7.81)</f>
        <v>7.81</v>
      </c>
      <c r="K1484" s="112">
        <f ca="1">IFERROR(__xludf.DUMMYFUNCTION("""COMPUTED_VALUE"""),42900.7055555555)</f>
        <v>42900.705555555498</v>
      </c>
      <c r="L1484" s="111">
        <f ca="1">IFERROR(__xludf.DUMMYFUNCTION("""COMPUTED_VALUE"""),1)</f>
        <v>1</v>
      </c>
      <c r="M1484" s="112">
        <f ca="1">IFERROR(__xludf.DUMMYFUNCTION("""COMPUTED_VALUE"""),42361.7055555555)</f>
        <v>42361.705555555498</v>
      </c>
      <c r="N1484" s="111">
        <f ca="1">IFERROR(__xludf.DUMMYFUNCTION("""COMPUTED_VALUE"""),10.04)</f>
        <v>10.039999999999999</v>
      </c>
      <c r="O1484" s="112">
        <f ca="1">IFERROR(__xludf.DUMMYFUNCTION("""COMPUTED_VALUE"""),42445.7055555555)</f>
        <v>42445.705555555498</v>
      </c>
      <c r="P1484" s="111">
        <f ca="1">IFERROR(__xludf.DUMMYFUNCTION("""COMPUTED_VALUE"""),14.82)</f>
        <v>14.82</v>
      </c>
      <c r="Q1484" s="112">
        <f ca="1">IFERROR(__xludf.DUMMYFUNCTION("""COMPUTED_VALUE"""),42444.7055555555)</f>
        <v>42444.705555555498</v>
      </c>
      <c r="R1484" s="111">
        <f ca="1">IFERROR(__xludf.DUMMYFUNCTION("""COMPUTED_VALUE"""),17.5)</f>
        <v>17.5</v>
      </c>
      <c r="S1484" s="112">
        <f ca="1">IFERROR(__xludf.DUMMYFUNCTION("""COMPUTED_VALUE"""),42457.7055555555)</f>
        <v>42457.705555555498</v>
      </c>
      <c r="T1484" s="111">
        <f ca="1">IFERROR(__xludf.DUMMYFUNCTION("""COMPUTED_VALUE"""),16.41)</f>
        <v>16.41</v>
      </c>
    </row>
    <row r="1485" spans="1:20" x14ac:dyDescent="0.3">
      <c r="A1485" s="112">
        <f ca="1">IFERROR(__xludf.DUMMYFUNCTION("""COMPUTED_VALUE"""),42452.7055555555)</f>
        <v>42452.705555555498</v>
      </c>
      <c r="B1485" s="111">
        <f ca="1">IFERROR(__xludf.DUMMYFUNCTION("""COMPUTED_VALUE"""),6.86)</f>
        <v>6.86</v>
      </c>
      <c r="C1485" s="112">
        <f ca="1">IFERROR(__xludf.DUMMYFUNCTION("""COMPUTED_VALUE"""),42461.7055555555)</f>
        <v>42461.705555555498</v>
      </c>
      <c r="D1485" s="111">
        <f ca="1">IFERROR(__xludf.DUMMYFUNCTION("""COMPUTED_VALUE"""),19.04)</f>
        <v>19.04</v>
      </c>
      <c r="E1485" s="112">
        <f ca="1">IFERROR(__xludf.DUMMYFUNCTION("""COMPUTED_VALUE"""),42464.7055555555)</f>
        <v>42464.705555555498</v>
      </c>
      <c r="F1485" s="111">
        <f ca="1">IFERROR(__xludf.DUMMYFUNCTION("""COMPUTED_VALUE"""),6.21)</f>
        <v>6.21</v>
      </c>
      <c r="G1485" s="112">
        <f ca="1">IFERROR(__xludf.DUMMYFUNCTION("""COMPUTED_VALUE"""),42457.7055555555)</f>
        <v>42457.705555555498</v>
      </c>
      <c r="H1485" s="111">
        <f ca="1">IFERROR(__xludf.DUMMYFUNCTION("""COMPUTED_VALUE"""),8.44)</f>
        <v>8.44</v>
      </c>
      <c r="K1485" s="112">
        <f ca="1">IFERROR(__xludf.DUMMYFUNCTION("""COMPUTED_VALUE"""),42902.7055555555)</f>
        <v>42902.705555555498</v>
      </c>
      <c r="L1485" s="111">
        <f ca="1">IFERROR(__xludf.DUMMYFUNCTION("""COMPUTED_VALUE"""),1.01)</f>
        <v>1.01</v>
      </c>
      <c r="M1485" s="112">
        <f ca="1">IFERROR(__xludf.DUMMYFUNCTION("""COMPUTED_VALUE"""),42366.7055555555)</f>
        <v>42366.705555555498</v>
      </c>
      <c r="N1485" s="111">
        <f ca="1">IFERROR(__xludf.DUMMYFUNCTION("""COMPUTED_VALUE"""),10.14)</f>
        <v>10.14</v>
      </c>
      <c r="O1485" s="112">
        <f ca="1">IFERROR(__xludf.DUMMYFUNCTION("""COMPUTED_VALUE"""),42446.7055555555)</f>
        <v>42446.705555555498</v>
      </c>
      <c r="P1485" s="111">
        <f ca="1">IFERROR(__xludf.DUMMYFUNCTION("""COMPUTED_VALUE"""),15.5)</f>
        <v>15.5</v>
      </c>
      <c r="Q1485" s="112">
        <f ca="1">IFERROR(__xludf.DUMMYFUNCTION("""COMPUTED_VALUE"""),42445.7055555555)</f>
        <v>42445.705555555498</v>
      </c>
      <c r="R1485" s="111">
        <f ca="1">IFERROR(__xludf.DUMMYFUNCTION("""COMPUTED_VALUE"""),18.09)</f>
        <v>18.09</v>
      </c>
      <c r="S1485" s="112">
        <f ca="1">IFERROR(__xludf.DUMMYFUNCTION("""COMPUTED_VALUE"""),42458.7055555555)</f>
        <v>42458.705555555498</v>
      </c>
      <c r="T1485" s="111">
        <f ca="1">IFERROR(__xludf.DUMMYFUNCTION("""COMPUTED_VALUE"""),16.16)</f>
        <v>16.16</v>
      </c>
    </row>
    <row r="1486" spans="1:20" x14ac:dyDescent="0.3">
      <c r="A1486" s="112">
        <f ca="1">IFERROR(__xludf.DUMMYFUNCTION("""COMPUTED_VALUE"""),42453.7055555555)</f>
        <v>42453.705555555498</v>
      </c>
      <c r="B1486" s="111">
        <f ca="1">IFERROR(__xludf.DUMMYFUNCTION("""COMPUTED_VALUE"""),6.86)</f>
        <v>6.86</v>
      </c>
      <c r="C1486" s="112">
        <f ca="1">IFERROR(__xludf.DUMMYFUNCTION("""COMPUTED_VALUE"""),42464.7055555555)</f>
        <v>42464.705555555498</v>
      </c>
      <c r="D1486" s="111">
        <f ca="1">IFERROR(__xludf.DUMMYFUNCTION("""COMPUTED_VALUE"""),18.3)</f>
        <v>18.3</v>
      </c>
      <c r="E1486" s="112">
        <f ca="1">IFERROR(__xludf.DUMMYFUNCTION("""COMPUTED_VALUE"""),42465.7055555555)</f>
        <v>42465.705555555498</v>
      </c>
      <c r="F1486" s="111">
        <f ca="1">IFERROR(__xludf.DUMMYFUNCTION("""COMPUTED_VALUE"""),6.16)</f>
        <v>6.16</v>
      </c>
      <c r="G1486" s="112">
        <f ca="1">IFERROR(__xludf.DUMMYFUNCTION("""COMPUTED_VALUE"""),42458.7055555555)</f>
        <v>42458.705555555498</v>
      </c>
      <c r="H1486" s="111">
        <f ca="1">IFERROR(__xludf.DUMMYFUNCTION("""COMPUTED_VALUE"""),8.49)</f>
        <v>8.49</v>
      </c>
      <c r="K1486" s="112">
        <f ca="1">IFERROR(__xludf.DUMMYFUNCTION("""COMPUTED_VALUE"""),42905.7055555555)</f>
        <v>42905.705555555498</v>
      </c>
      <c r="L1486" s="111">
        <f ca="1">IFERROR(__xludf.DUMMYFUNCTION("""COMPUTED_VALUE"""),1)</f>
        <v>1</v>
      </c>
      <c r="M1486" s="112">
        <f ca="1">IFERROR(__xludf.DUMMYFUNCTION("""COMPUTED_VALUE"""),42367.7055555555)</f>
        <v>42367.705555555498</v>
      </c>
      <c r="N1486" s="111">
        <f ca="1">IFERROR(__xludf.DUMMYFUNCTION("""COMPUTED_VALUE"""),10.19)</f>
        <v>10.19</v>
      </c>
      <c r="O1486" s="112">
        <f ca="1">IFERROR(__xludf.DUMMYFUNCTION("""COMPUTED_VALUE"""),42447.7055555555)</f>
        <v>42447.705555555498</v>
      </c>
      <c r="P1486" s="111">
        <f ca="1">IFERROR(__xludf.DUMMYFUNCTION("""COMPUTED_VALUE"""),15.33)</f>
        <v>15.33</v>
      </c>
      <c r="Q1486" s="112">
        <f ca="1">IFERROR(__xludf.DUMMYFUNCTION("""COMPUTED_VALUE"""),42446.7055555555)</f>
        <v>42446.705555555498</v>
      </c>
      <c r="R1486" s="111">
        <f ca="1">IFERROR(__xludf.DUMMYFUNCTION("""COMPUTED_VALUE"""),20.69)</f>
        <v>20.69</v>
      </c>
      <c r="S1486" s="112">
        <f ca="1">IFERROR(__xludf.DUMMYFUNCTION("""COMPUTED_VALUE"""),42459.7055555555)</f>
        <v>42459.705555555498</v>
      </c>
      <c r="T1486" s="111">
        <f ca="1">IFERROR(__xludf.DUMMYFUNCTION("""COMPUTED_VALUE"""),16.45)</f>
        <v>16.45</v>
      </c>
    </row>
    <row r="1487" spans="1:20" x14ac:dyDescent="0.3">
      <c r="A1487" s="112">
        <f ca="1">IFERROR(__xludf.DUMMYFUNCTION("""COMPUTED_VALUE"""),42457.7055555555)</f>
        <v>42457.705555555498</v>
      </c>
      <c r="B1487" s="111">
        <f ca="1">IFERROR(__xludf.DUMMYFUNCTION("""COMPUTED_VALUE"""),7.02)</f>
        <v>7.02</v>
      </c>
      <c r="C1487" s="112">
        <f ca="1">IFERROR(__xludf.DUMMYFUNCTION("""COMPUTED_VALUE"""),42465.7055555555)</f>
        <v>42465.705555555498</v>
      </c>
      <c r="D1487" s="111">
        <f ca="1">IFERROR(__xludf.DUMMYFUNCTION("""COMPUTED_VALUE"""),18.27)</f>
        <v>18.27</v>
      </c>
      <c r="E1487" s="112">
        <f ca="1">IFERROR(__xludf.DUMMYFUNCTION("""COMPUTED_VALUE"""),42466.7055555555)</f>
        <v>42466.705555555498</v>
      </c>
      <c r="F1487" s="111">
        <f ca="1">IFERROR(__xludf.DUMMYFUNCTION("""COMPUTED_VALUE"""),6.04)</f>
        <v>6.04</v>
      </c>
      <c r="G1487" s="112">
        <f ca="1">IFERROR(__xludf.DUMMYFUNCTION("""COMPUTED_VALUE"""),42459.7055555555)</f>
        <v>42459.705555555498</v>
      </c>
      <c r="H1487" s="111">
        <f ca="1">IFERROR(__xludf.DUMMYFUNCTION("""COMPUTED_VALUE"""),8.44)</f>
        <v>8.44</v>
      </c>
      <c r="K1487" s="112">
        <f ca="1">IFERROR(__xludf.DUMMYFUNCTION("""COMPUTED_VALUE"""),42906.7055555555)</f>
        <v>42906.705555555498</v>
      </c>
      <c r="L1487" s="111">
        <f ca="1">IFERROR(__xludf.DUMMYFUNCTION("""COMPUTED_VALUE"""),0.96)</f>
        <v>0.96</v>
      </c>
      <c r="M1487" s="112">
        <f ca="1">IFERROR(__xludf.DUMMYFUNCTION("""COMPUTED_VALUE"""),42368.7055555555)</f>
        <v>42368.705555555498</v>
      </c>
      <c r="N1487" s="111">
        <f ca="1">IFERROR(__xludf.DUMMYFUNCTION("""COMPUTED_VALUE"""),9.98)</f>
        <v>9.98</v>
      </c>
      <c r="O1487" s="112">
        <f ca="1">IFERROR(__xludf.DUMMYFUNCTION("""COMPUTED_VALUE"""),42450.7055555555)</f>
        <v>42450.705555555498</v>
      </c>
      <c r="P1487" s="111">
        <f ca="1">IFERROR(__xludf.DUMMYFUNCTION("""COMPUTED_VALUE"""),15.15)</f>
        <v>15.15</v>
      </c>
      <c r="Q1487" s="112">
        <f ca="1">IFERROR(__xludf.DUMMYFUNCTION("""COMPUTED_VALUE"""),42447.7055555555)</f>
        <v>42447.705555555498</v>
      </c>
      <c r="R1487" s="111">
        <f ca="1">IFERROR(__xludf.DUMMYFUNCTION("""COMPUTED_VALUE"""),20.36)</f>
        <v>20.36</v>
      </c>
      <c r="S1487" s="112">
        <f ca="1">IFERROR(__xludf.DUMMYFUNCTION("""COMPUTED_VALUE"""),42460.7055555555)</f>
        <v>42460.705555555498</v>
      </c>
      <c r="T1487" s="111">
        <f ca="1">IFERROR(__xludf.DUMMYFUNCTION("""COMPUTED_VALUE"""),15.69)</f>
        <v>15.69</v>
      </c>
    </row>
    <row r="1488" spans="1:20" x14ac:dyDescent="0.3">
      <c r="A1488" s="112">
        <f ca="1">IFERROR(__xludf.DUMMYFUNCTION("""COMPUTED_VALUE"""),42458.7055555555)</f>
        <v>42458.705555555498</v>
      </c>
      <c r="B1488" s="111">
        <f ca="1">IFERROR(__xludf.DUMMYFUNCTION("""COMPUTED_VALUE"""),6.87)</f>
        <v>6.87</v>
      </c>
      <c r="C1488" s="112">
        <f ca="1">IFERROR(__xludf.DUMMYFUNCTION("""COMPUTED_VALUE"""),42466.7055555555)</f>
        <v>42466.705555555498</v>
      </c>
      <c r="D1488" s="111">
        <f ca="1">IFERROR(__xludf.DUMMYFUNCTION("""COMPUTED_VALUE"""),17.92)</f>
        <v>17.920000000000002</v>
      </c>
      <c r="E1488" s="112">
        <f ca="1">IFERROR(__xludf.DUMMYFUNCTION("""COMPUTED_VALUE"""),42467.7055555555)</f>
        <v>42467.705555555498</v>
      </c>
      <c r="F1488" s="111">
        <f ca="1">IFERROR(__xludf.DUMMYFUNCTION("""COMPUTED_VALUE"""),6.12)</f>
        <v>6.12</v>
      </c>
      <c r="G1488" s="112">
        <f ca="1">IFERROR(__xludf.DUMMYFUNCTION("""COMPUTED_VALUE"""),42460.7055555555)</f>
        <v>42460.705555555498</v>
      </c>
      <c r="H1488" s="111">
        <f ca="1">IFERROR(__xludf.DUMMYFUNCTION("""COMPUTED_VALUE"""),8.31)</f>
        <v>8.31</v>
      </c>
      <c r="K1488" s="112">
        <f ca="1">IFERROR(__xludf.DUMMYFUNCTION("""COMPUTED_VALUE"""),42907.7055555555)</f>
        <v>42907.705555555498</v>
      </c>
      <c r="L1488" s="111">
        <f ca="1">IFERROR(__xludf.DUMMYFUNCTION("""COMPUTED_VALUE"""),0.96)</f>
        <v>0.96</v>
      </c>
      <c r="M1488" s="112">
        <f ca="1">IFERROR(__xludf.DUMMYFUNCTION("""COMPUTED_VALUE"""),42373.7055555555)</f>
        <v>42373.705555555498</v>
      </c>
      <c r="N1488" s="111">
        <f ca="1">IFERROR(__xludf.DUMMYFUNCTION("""COMPUTED_VALUE"""),9.83)</f>
        <v>9.83</v>
      </c>
      <c r="O1488" s="112">
        <f ca="1">IFERROR(__xludf.DUMMYFUNCTION("""COMPUTED_VALUE"""),42451.7055555555)</f>
        <v>42451.705555555498</v>
      </c>
      <c r="P1488" s="111">
        <f ca="1">IFERROR(__xludf.DUMMYFUNCTION("""COMPUTED_VALUE"""),15.43)</f>
        <v>15.43</v>
      </c>
      <c r="Q1488" s="112">
        <f ca="1">IFERROR(__xludf.DUMMYFUNCTION("""COMPUTED_VALUE"""),42450.7055555555)</f>
        <v>42450.705555555498</v>
      </c>
      <c r="R1488" s="111">
        <f ca="1">IFERROR(__xludf.DUMMYFUNCTION("""COMPUTED_VALUE"""),20.7)</f>
        <v>20.7</v>
      </c>
      <c r="S1488" s="112">
        <f ca="1">IFERROR(__xludf.DUMMYFUNCTION("""COMPUTED_VALUE"""),42461.7055555555)</f>
        <v>42461.705555555498</v>
      </c>
      <c r="T1488" s="111">
        <f ca="1">IFERROR(__xludf.DUMMYFUNCTION("""COMPUTED_VALUE"""),16)</f>
        <v>16</v>
      </c>
    </row>
    <row r="1489" spans="1:20" x14ac:dyDescent="0.3">
      <c r="A1489" s="112">
        <f ca="1">IFERROR(__xludf.DUMMYFUNCTION("""COMPUTED_VALUE"""),42459.7055555555)</f>
        <v>42459.705555555498</v>
      </c>
      <c r="B1489" s="111">
        <f ca="1">IFERROR(__xludf.DUMMYFUNCTION("""COMPUTED_VALUE"""),6.65)</f>
        <v>6.65</v>
      </c>
      <c r="C1489" s="112">
        <f ca="1">IFERROR(__xludf.DUMMYFUNCTION("""COMPUTED_VALUE"""),42467.7055555555)</f>
        <v>42467.705555555498</v>
      </c>
      <c r="D1489" s="111">
        <f ca="1">IFERROR(__xludf.DUMMYFUNCTION("""COMPUTED_VALUE"""),18.04)</f>
        <v>18.04</v>
      </c>
      <c r="E1489" s="112">
        <f ca="1">IFERROR(__xludf.DUMMYFUNCTION("""COMPUTED_VALUE"""),42468.7055555555)</f>
        <v>42468.705555555498</v>
      </c>
      <c r="F1489" s="111">
        <f ca="1">IFERROR(__xludf.DUMMYFUNCTION("""COMPUTED_VALUE"""),6.47)</f>
        <v>6.47</v>
      </c>
      <c r="G1489" s="112">
        <f ca="1">IFERROR(__xludf.DUMMYFUNCTION("""COMPUTED_VALUE"""),42461.7055555555)</f>
        <v>42461.705555555498</v>
      </c>
      <c r="H1489" s="111">
        <f ca="1">IFERROR(__xludf.DUMMYFUNCTION("""COMPUTED_VALUE"""),8.36)</f>
        <v>8.36</v>
      </c>
      <c r="K1489" s="112">
        <f ca="1">IFERROR(__xludf.DUMMYFUNCTION("""COMPUTED_VALUE"""),42908.7055555555)</f>
        <v>42908.705555555498</v>
      </c>
      <c r="L1489" s="111">
        <f ca="1">IFERROR(__xludf.DUMMYFUNCTION("""COMPUTED_VALUE"""),0.93)</f>
        <v>0.93</v>
      </c>
      <c r="M1489" s="112">
        <f ca="1">IFERROR(__xludf.DUMMYFUNCTION("""COMPUTED_VALUE"""),42374.7055555555)</f>
        <v>42374.705555555498</v>
      </c>
      <c r="N1489" s="111">
        <f ca="1">IFERROR(__xludf.DUMMYFUNCTION("""COMPUTED_VALUE"""),9.86)</f>
        <v>9.86</v>
      </c>
      <c r="O1489" s="112">
        <f ca="1">IFERROR(__xludf.DUMMYFUNCTION("""COMPUTED_VALUE"""),42452.7055555555)</f>
        <v>42452.705555555498</v>
      </c>
      <c r="P1489" s="111">
        <f ca="1">IFERROR(__xludf.DUMMYFUNCTION("""COMPUTED_VALUE"""),14.12)</f>
        <v>14.12</v>
      </c>
      <c r="Q1489" s="112">
        <f ca="1">IFERROR(__xludf.DUMMYFUNCTION("""COMPUTED_VALUE"""),42451.7055555555)</f>
        <v>42451.705555555498</v>
      </c>
      <c r="R1489" s="111">
        <f ca="1">IFERROR(__xludf.DUMMYFUNCTION("""COMPUTED_VALUE"""),20.4)</f>
        <v>20.399999999999999</v>
      </c>
      <c r="S1489" s="112">
        <f ca="1">IFERROR(__xludf.DUMMYFUNCTION("""COMPUTED_VALUE"""),42464.7055555555)</f>
        <v>42464.705555555498</v>
      </c>
      <c r="T1489" s="111">
        <f ca="1">IFERROR(__xludf.DUMMYFUNCTION("""COMPUTED_VALUE"""),15.27)</f>
        <v>15.27</v>
      </c>
    </row>
    <row r="1490" spans="1:20" x14ac:dyDescent="0.3">
      <c r="A1490" s="112">
        <f ca="1">IFERROR(__xludf.DUMMYFUNCTION("""COMPUTED_VALUE"""),42460.7055555555)</f>
        <v>42460.705555555498</v>
      </c>
      <c r="B1490" s="111">
        <f ca="1">IFERROR(__xludf.DUMMYFUNCTION("""COMPUTED_VALUE"""),6.58)</f>
        <v>6.58</v>
      </c>
      <c r="C1490" s="112">
        <f ca="1">IFERROR(__xludf.DUMMYFUNCTION("""COMPUTED_VALUE"""),42468.7055555555)</f>
        <v>42468.705555555498</v>
      </c>
      <c r="D1490" s="111">
        <f ca="1">IFERROR(__xludf.DUMMYFUNCTION("""COMPUTED_VALUE"""),19.21)</f>
        <v>19.21</v>
      </c>
      <c r="E1490" s="112">
        <f ca="1">IFERROR(__xludf.DUMMYFUNCTION("""COMPUTED_VALUE"""),42471.7055555555)</f>
        <v>42471.705555555498</v>
      </c>
      <c r="F1490" s="111">
        <f ca="1">IFERROR(__xludf.DUMMYFUNCTION("""COMPUTED_VALUE"""),6.49)</f>
        <v>6.49</v>
      </c>
      <c r="G1490" s="112">
        <f ca="1">IFERROR(__xludf.DUMMYFUNCTION("""COMPUTED_VALUE"""),42464.7055555555)</f>
        <v>42464.705555555498</v>
      </c>
      <c r="H1490" s="111">
        <f ca="1">IFERROR(__xludf.DUMMYFUNCTION("""COMPUTED_VALUE"""),7.54)</f>
        <v>7.54</v>
      </c>
      <c r="K1490" s="112">
        <f ca="1">IFERROR(__xludf.DUMMYFUNCTION("""COMPUTED_VALUE"""),42909.7055555555)</f>
        <v>42909.705555555498</v>
      </c>
      <c r="L1490" s="111">
        <f ca="1">IFERROR(__xludf.DUMMYFUNCTION("""COMPUTED_VALUE"""),0.96)</f>
        <v>0.96</v>
      </c>
      <c r="M1490" s="112">
        <f ca="1">IFERROR(__xludf.DUMMYFUNCTION("""COMPUTED_VALUE"""),42375.7055555555)</f>
        <v>42375.705555555498</v>
      </c>
      <c r="N1490" s="111">
        <f ca="1">IFERROR(__xludf.DUMMYFUNCTION("""COMPUTED_VALUE"""),9.72)</f>
        <v>9.7200000000000006</v>
      </c>
      <c r="O1490" s="112">
        <f ca="1">IFERROR(__xludf.DUMMYFUNCTION("""COMPUTED_VALUE"""),42453.7055555555)</f>
        <v>42453.705555555498</v>
      </c>
      <c r="P1490" s="111">
        <f ca="1">IFERROR(__xludf.DUMMYFUNCTION("""COMPUTED_VALUE"""),15.05)</f>
        <v>15.05</v>
      </c>
      <c r="Q1490" s="112">
        <f ca="1">IFERROR(__xludf.DUMMYFUNCTION("""COMPUTED_VALUE"""),42452.7055555555)</f>
        <v>42452.705555555498</v>
      </c>
      <c r="R1490" s="111">
        <f ca="1">IFERROR(__xludf.DUMMYFUNCTION("""COMPUTED_VALUE"""),19.64)</f>
        <v>19.64</v>
      </c>
      <c r="S1490" s="112">
        <f ca="1">IFERROR(__xludf.DUMMYFUNCTION("""COMPUTED_VALUE"""),42465.7055555555)</f>
        <v>42465.705555555498</v>
      </c>
      <c r="T1490" s="111">
        <f ca="1">IFERROR(__xludf.DUMMYFUNCTION("""COMPUTED_VALUE"""),15.23)</f>
        <v>15.23</v>
      </c>
    </row>
    <row r="1491" spans="1:20" x14ac:dyDescent="0.3">
      <c r="A1491" s="112">
        <f ca="1">IFERROR(__xludf.DUMMYFUNCTION("""COMPUTED_VALUE"""),42461.7055555555)</f>
        <v>42461.705555555498</v>
      </c>
      <c r="B1491" s="111">
        <f ca="1">IFERROR(__xludf.DUMMYFUNCTION("""COMPUTED_VALUE"""),6.72)</f>
        <v>6.72</v>
      </c>
      <c r="C1491" s="112">
        <f ca="1">IFERROR(__xludf.DUMMYFUNCTION("""COMPUTED_VALUE"""),42471.7055555555)</f>
        <v>42471.705555555498</v>
      </c>
      <c r="D1491" s="111">
        <f ca="1">IFERROR(__xludf.DUMMYFUNCTION("""COMPUTED_VALUE"""),19.28)</f>
        <v>19.28</v>
      </c>
      <c r="E1491" s="112">
        <f ca="1">IFERROR(__xludf.DUMMYFUNCTION("""COMPUTED_VALUE"""),42472.7055555555)</f>
        <v>42472.705555555498</v>
      </c>
      <c r="F1491" s="111">
        <f ca="1">IFERROR(__xludf.DUMMYFUNCTION("""COMPUTED_VALUE"""),6.75)</f>
        <v>6.75</v>
      </c>
      <c r="G1491" s="112">
        <f ca="1">IFERROR(__xludf.DUMMYFUNCTION("""COMPUTED_VALUE"""),42465.7055555555)</f>
        <v>42465.705555555498</v>
      </c>
      <c r="H1491" s="111">
        <f ca="1">IFERROR(__xludf.DUMMYFUNCTION("""COMPUTED_VALUE"""),7.8)</f>
        <v>7.8</v>
      </c>
      <c r="K1491" s="112">
        <f ca="1">IFERROR(__xludf.DUMMYFUNCTION("""COMPUTED_VALUE"""),42912.7055555555)</f>
        <v>42912.705555555498</v>
      </c>
      <c r="L1491" s="111">
        <f ca="1">IFERROR(__xludf.DUMMYFUNCTION("""COMPUTED_VALUE"""),0.98)</f>
        <v>0.98</v>
      </c>
      <c r="M1491" s="112">
        <f ca="1">IFERROR(__xludf.DUMMYFUNCTION("""COMPUTED_VALUE"""),42376.7055555555)</f>
        <v>42376.705555555498</v>
      </c>
      <c r="N1491" s="111">
        <f ca="1">IFERROR(__xludf.DUMMYFUNCTION("""COMPUTED_VALUE"""),9.52)</f>
        <v>9.52</v>
      </c>
      <c r="O1491" s="112">
        <f ca="1">IFERROR(__xludf.DUMMYFUNCTION("""COMPUTED_VALUE"""),42457.7055555555)</f>
        <v>42457.705555555498</v>
      </c>
      <c r="P1491" s="111">
        <f ca="1">IFERROR(__xludf.DUMMYFUNCTION("""COMPUTED_VALUE"""),15.17)</f>
        <v>15.17</v>
      </c>
      <c r="Q1491" s="112">
        <f ca="1">IFERROR(__xludf.DUMMYFUNCTION("""COMPUTED_VALUE"""),42453.7055555555)</f>
        <v>42453.705555555498</v>
      </c>
      <c r="R1491" s="111">
        <f ca="1">IFERROR(__xludf.DUMMYFUNCTION("""COMPUTED_VALUE"""),18.99)</f>
        <v>18.989999999999998</v>
      </c>
      <c r="S1491" s="112">
        <f ca="1">IFERROR(__xludf.DUMMYFUNCTION("""COMPUTED_VALUE"""),42466.7055555555)</f>
        <v>42466.705555555498</v>
      </c>
      <c r="T1491" s="111">
        <f ca="1">IFERROR(__xludf.DUMMYFUNCTION("""COMPUTED_VALUE"""),15.08)</f>
        <v>15.08</v>
      </c>
    </row>
    <row r="1492" spans="1:20" x14ac:dyDescent="0.3">
      <c r="A1492" s="112">
        <f ca="1">IFERROR(__xludf.DUMMYFUNCTION("""COMPUTED_VALUE"""),42464.7055555555)</f>
        <v>42464.705555555498</v>
      </c>
      <c r="B1492" s="111">
        <f ca="1">IFERROR(__xludf.DUMMYFUNCTION("""COMPUTED_VALUE"""),6.52)</f>
        <v>6.52</v>
      </c>
      <c r="C1492" s="112">
        <f ca="1">IFERROR(__xludf.DUMMYFUNCTION("""COMPUTED_VALUE"""),42472.7055555555)</f>
        <v>42472.705555555498</v>
      </c>
      <c r="D1492" s="111">
        <f ca="1">IFERROR(__xludf.DUMMYFUNCTION("""COMPUTED_VALUE"""),20.22)</f>
        <v>20.22</v>
      </c>
      <c r="E1492" s="112">
        <f ca="1">IFERROR(__xludf.DUMMYFUNCTION("""COMPUTED_VALUE"""),42473.7055555555)</f>
        <v>42473.705555555498</v>
      </c>
      <c r="F1492" s="111">
        <f ca="1">IFERROR(__xludf.DUMMYFUNCTION("""COMPUTED_VALUE"""),6.77)</f>
        <v>6.77</v>
      </c>
      <c r="G1492" s="112">
        <f ca="1">IFERROR(__xludf.DUMMYFUNCTION("""COMPUTED_VALUE"""),42466.7055555555)</f>
        <v>42466.705555555498</v>
      </c>
      <c r="H1492" s="111">
        <f ca="1">IFERROR(__xludf.DUMMYFUNCTION("""COMPUTED_VALUE"""),7.58)</f>
        <v>7.58</v>
      </c>
      <c r="K1492" s="112">
        <f ca="1">IFERROR(__xludf.DUMMYFUNCTION("""COMPUTED_VALUE"""),42913.7055555555)</f>
        <v>42913.705555555498</v>
      </c>
      <c r="L1492" s="111">
        <f ca="1">IFERROR(__xludf.DUMMYFUNCTION("""COMPUTED_VALUE"""),0.96)</f>
        <v>0.96</v>
      </c>
      <c r="M1492" s="112">
        <f ca="1">IFERROR(__xludf.DUMMYFUNCTION("""COMPUTED_VALUE"""),42377.7055555555)</f>
        <v>42377.705555555498</v>
      </c>
      <c r="N1492" s="111">
        <f ca="1">IFERROR(__xludf.DUMMYFUNCTION("""COMPUTED_VALUE"""),9.33)</f>
        <v>9.33</v>
      </c>
      <c r="O1492" s="112">
        <f ca="1">IFERROR(__xludf.DUMMYFUNCTION("""COMPUTED_VALUE"""),42458.7055555555)</f>
        <v>42458.705555555498</v>
      </c>
      <c r="P1492" s="111">
        <f ca="1">IFERROR(__xludf.DUMMYFUNCTION("""COMPUTED_VALUE"""),15.09)</f>
        <v>15.09</v>
      </c>
      <c r="Q1492" s="112">
        <f ca="1">IFERROR(__xludf.DUMMYFUNCTION("""COMPUTED_VALUE"""),42457.7055555555)</f>
        <v>42457.705555555498</v>
      </c>
      <c r="R1492" s="111">
        <f ca="1">IFERROR(__xludf.DUMMYFUNCTION("""COMPUTED_VALUE"""),20.1)</f>
        <v>20.100000000000001</v>
      </c>
      <c r="S1492" s="112">
        <f ca="1">IFERROR(__xludf.DUMMYFUNCTION("""COMPUTED_VALUE"""),42467.7055555555)</f>
        <v>42467.705555555498</v>
      </c>
      <c r="T1492" s="111">
        <f ca="1">IFERROR(__xludf.DUMMYFUNCTION("""COMPUTED_VALUE"""),15.22)</f>
        <v>15.22</v>
      </c>
    </row>
    <row r="1493" spans="1:20" x14ac:dyDescent="0.3">
      <c r="A1493" s="112">
        <f ca="1">IFERROR(__xludf.DUMMYFUNCTION("""COMPUTED_VALUE"""),42465.7055555555)</f>
        <v>42465.705555555498</v>
      </c>
      <c r="B1493" s="111">
        <f ca="1">IFERROR(__xludf.DUMMYFUNCTION("""COMPUTED_VALUE"""),6.47)</f>
        <v>6.47</v>
      </c>
      <c r="C1493" s="112">
        <f ca="1">IFERROR(__xludf.DUMMYFUNCTION("""COMPUTED_VALUE"""),42473.7055555555)</f>
        <v>42473.705555555498</v>
      </c>
      <c r="D1493" s="111">
        <f ca="1">IFERROR(__xludf.DUMMYFUNCTION("""COMPUTED_VALUE"""),20.27)</f>
        <v>20.27</v>
      </c>
      <c r="E1493" s="112">
        <f ca="1">IFERROR(__xludf.DUMMYFUNCTION("""COMPUTED_VALUE"""),42474.7055555555)</f>
        <v>42474.705555555498</v>
      </c>
      <c r="F1493" s="111">
        <f ca="1">IFERROR(__xludf.DUMMYFUNCTION("""COMPUTED_VALUE"""),6.67)</f>
        <v>6.67</v>
      </c>
      <c r="G1493" s="112">
        <f ca="1">IFERROR(__xludf.DUMMYFUNCTION("""COMPUTED_VALUE"""),42467.7055555555)</f>
        <v>42467.705555555498</v>
      </c>
      <c r="H1493" s="111">
        <f ca="1">IFERROR(__xludf.DUMMYFUNCTION("""COMPUTED_VALUE"""),7.7)</f>
        <v>7.7</v>
      </c>
      <c r="K1493" s="112">
        <f ca="1">IFERROR(__xludf.DUMMYFUNCTION("""COMPUTED_VALUE"""),42914.7055555555)</f>
        <v>42914.705555555498</v>
      </c>
      <c r="L1493" s="111">
        <f ca="1">IFERROR(__xludf.DUMMYFUNCTION("""COMPUTED_VALUE"""),0.94)</f>
        <v>0.94</v>
      </c>
      <c r="M1493" s="112">
        <f ca="1">IFERROR(__xludf.DUMMYFUNCTION("""COMPUTED_VALUE"""),42380.7055555555)</f>
        <v>42380.705555555498</v>
      </c>
      <c r="N1493" s="111">
        <f ca="1">IFERROR(__xludf.DUMMYFUNCTION("""COMPUTED_VALUE"""),9.07)</f>
        <v>9.07</v>
      </c>
      <c r="O1493" s="112">
        <f ca="1">IFERROR(__xludf.DUMMYFUNCTION("""COMPUTED_VALUE"""),42459.7055555555)</f>
        <v>42459.705555555498</v>
      </c>
      <c r="P1493" s="111">
        <f ca="1">IFERROR(__xludf.DUMMYFUNCTION("""COMPUTED_VALUE"""),15.54)</f>
        <v>15.54</v>
      </c>
      <c r="Q1493" s="112">
        <f ca="1">IFERROR(__xludf.DUMMYFUNCTION("""COMPUTED_VALUE"""),42458.7055555555)</f>
        <v>42458.705555555498</v>
      </c>
      <c r="R1493" s="111">
        <f ca="1">IFERROR(__xludf.DUMMYFUNCTION("""COMPUTED_VALUE"""),20.7)</f>
        <v>20.7</v>
      </c>
      <c r="S1493" s="112">
        <f ca="1">IFERROR(__xludf.DUMMYFUNCTION("""COMPUTED_VALUE"""),42468.7055555555)</f>
        <v>42468.705555555498</v>
      </c>
      <c r="T1493" s="111">
        <f ca="1">IFERROR(__xludf.DUMMYFUNCTION("""COMPUTED_VALUE"""),15.93)</f>
        <v>15.93</v>
      </c>
    </row>
    <row r="1494" spans="1:20" x14ac:dyDescent="0.3">
      <c r="A1494" s="112">
        <f ca="1">IFERROR(__xludf.DUMMYFUNCTION("""COMPUTED_VALUE"""),42466.7055555555)</f>
        <v>42466.705555555498</v>
      </c>
      <c r="B1494" s="111">
        <f ca="1">IFERROR(__xludf.DUMMYFUNCTION("""COMPUTED_VALUE"""),6.09)</f>
        <v>6.09</v>
      </c>
      <c r="C1494" s="112">
        <f ca="1">IFERROR(__xludf.DUMMYFUNCTION("""COMPUTED_VALUE"""),42474.7055555555)</f>
        <v>42474.705555555498</v>
      </c>
      <c r="D1494" s="111">
        <f ca="1">IFERROR(__xludf.DUMMYFUNCTION("""COMPUTED_VALUE"""),19.84)</f>
        <v>19.84</v>
      </c>
      <c r="E1494" s="112">
        <f ca="1">IFERROR(__xludf.DUMMYFUNCTION("""COMPUTED_VALUE"""),42475.7055555555)</f>
        <v>42475.705555555498</v>
      </c>
      <c r="F1494" s="111">
        <f ca="1">IFERROR(__xludf.DUMMYFUNCTION("""COMPUTED_VALUE"""),6.78)</f>
        <v>6.78</v>
      </c>
      <c r="G1494" s="112">
        <f ca="1">IFERROR(__xludf.DUMMYFUNCTION("""COMPUTED_VALUE"""),42468.7055555555)</f>
        <v>42468.705555555498</v>
      </c>
      <c r="H1494" s="111">
        <f ca="1">IFERROR(__xludf.DUMMYFUNCTION("""COMPUTED_VALUE"""),8.26)</f>
        <v>8.26</v>
      </c>
      <c r="K1494" s="112">
        <f ca="1">IFERROR(__xludf.DUMMYFUNCTION("""COMPUTED_VALUE"""),42915.7055555555)</f>
        <v>42915.705555555498</v>
      </c>
      <c r="L1494" s="111">
        <f ca="1">IFERROR(__xludf.DUMMYFUNCTION("""COMPUTED_VALUE"""),0.97)</f>
        <v>0.97</v>
      </c>
      <c r="M1494" s="112">
        <f ca="1">IFERROR(__xludf.DUMMYFUNCTION("""COMPUTED_VALUE"""),42381.7055555555)</f>
        <v>42381.705555555498</v>
      </c>
      <c r="N1494" s="111">
        <f ca="1">IFERROR(__xludf.DUMMYFUNCTION("""COMPUTED_VALUE"""),9.02)</f>
        <v>9.02</v>
      </c>
      <c r="O1494" s="112">
        <f ca="1">IFERROR(__xludf.DUMMYFUNCTION("""COMPUTED_VALUE"""),42460.7055555555)</f>
        <v>42460.705555555498</v>
      </c>
      <c r="P1494" s="111">
        <f ca="1">IFERROR(__xludf.DUMMYFUNCTION("""COMPUTED_VALUE"""),15.1)</f>
        <v>15.1</v>
      </c>
      <c r="Q1494" s="112">
        <f ca="1">IFERROR(__xludf.DUMMYFUNCTION("""COMPUTED_VALUE"""),42459.7055555555)</f>
        <v>42459.705555555498</v>
      </c>
      <c r="R1494" s="111">
        <f ca="1">IFERROR(__xludf.DUMMYFUNCTION("""COMPUTED_VALUE"""),20.27)</f>
        <v>20.27</v>
      </c>
      <c r="S1494" s="112">
        <f ca="1">IFERROR(__xludf.DUMMYFUNCTION("""COMPUTED_VALUE"""),42471.7055555555)</f>
        <v>42471.705555555498</v>
      </c>
      <c r="T1494" s="111">
        <f ca="1">IFERROR(__xludf.DUMMYFUNCTION("""COMPUTED_VALUE"""),15.27)</f>
        <v>15.27</v>
      </c>
    </row>
    <row r="1495" spans="1:20" x14ac:dyDescent="0.3">
      <c r="A1495" s="112">
        <f ca="1">IFERROR(__xludf.DUMMYFUNCTION("""COMPUTED_VALUE"""),42467.7055555555)</f>
        <v>42467.705555555498</v>
      </c>
      <c r="B1495" s="111">
        <f ca="1">IFERROR(__xludf.DUMMYFUNCTION("""COMPUTED_VALUE"""),6.13)</f>
        <v>6.13</v>
      </c>
      <c r="C1495" s="112">
        <f ca="1">IFERROR(__xludf.DUMMYFUNCTION("""COMPUTED_VALUE"""),42475.7055555555)</f>
        <v>42475.705555555498</v>
      </c>
      <c r="D1495" s="111">
        <f ca="1">IFERROR(__xludf.DUMMYFUNCTION("""COMPUTED_VALUE"""),19.96)</f>
        <v>19.96</v>
      </c>
      <c r="E1495" s="112">
        <f ca="1">IFERROR(__xludf.DUMMYFUNCTION("""COMPUTED_VALUE"""),42478.7055555555)</f>
        <v>42478.705555555498</v>
      </c>
      <c r="F1495" s="111">
        <f ca="1">IFERROR(__xludf.DUMMYFUNCTION("""COMPUTED_VALUE"""),6.73)</f>
        <v>6.73</v>
      </c>
      <c r="G1495" s="112">
        <f ca="1">IFERROR(__xludf.DUMMYFUNCTION("""COMPUTED_VALUE"""),42471.7055555555)</f>
        <v>42471.705555555498</v>
      </c>
      <c r="H1495" s="111">
        <f ca="1">IFERROR(__xludf.DUMMYFUNCTION("""COMPUTED_VALUE"""),8.39)</f>
        <v>8.39</v>
      </c>
      <c r="K1495" s="112">
        <f ca="1">IFERROR(__xludf.DUMMYFUNCTION("""COMPUTED_VALUE"""),42916.7055555555)</f>
        <v>42916.705555555498</v>
      </c>
      <c r="L1495" s="111">
        <f ca="1">IFERROR(__xludf.DUMMYFUNCTION("""COMPUTED_VALUE"""),1)</f>
        <v>1</v>
      </c>
      <c r="M1495" s="112">
        <f ca="1">IFERROR(__xludf.DUMMYFUNCTION("""COMPUTED_VALUE"""),42382.7055555555)</f>
        <v>42382.705555555498</v>
      </c>
      <c r="N1495" s="111">
        <f ca="1">IFERROR(__xludf.DUMMYFUNCTION("""COMPUTED_VALUE"""),8.89)</f>
        <v>8.89</v>
      </c>
      <c r="O1495" s="112">
        <f ca="1">IFERROR(__xludf.DUMMYFUNCTION("""COMPUTED_VALUE"""),42461.7055555555)</f>
        <v>42461.705555555498</v>
      </c>
      <c r="P1495" s="111">
        <f ca="1">IFERROR(__xludf.DUMMYFUNCTION("""COMPUTED_VALUE"""),15.55)</f>
        <v>15.55</v>
      </c>
      <c r="Q1495" s="112">
        <f ca="1">IFERROR(__xludf.DUMMYFUNCTION("""COMPUTED_VALUE"""),42460.7055555555)</f>
        <v>42460.705555555498</v>
      </c>
      <c r="R1495" s="111">
        <f ca="1">IFERROR(__xludf.DUMMYFUNCTION("""COMPUTED_VALUE"""),19.65)</f>
        <v>19.649999999999999</v>
      </c>
      <c r="S1495" s="112">
        <f ca="1">IFERROR(__xludf.DUMMYFUNCTION("""COMPUTED_VALUE"""),42472.7055555555)</f>
        <v>42472.705555555498</v>
      </c>
      <c r="T1495" s="111">
        <f ca="1">IFERROR(__xludf.DUMMYFUNCTION("""COMPUTED_VALUE"""),15.74)</f>
        <v>15.74</v>
      </c>
    </row>
    <row r="1496" spans="1:20" x14ac:dyDescent="0.3">
      <c r="A1496" s="112">
        <f ca="1">IFERROR(__xludf.DUMMYFUNCTION("""COMPUTED_VALUE"""),42468.7055555555)</f>
        <v>42468.705555555498</v>
      </c>
      <c r="B1496" s="111">
        <f ca="1">IFERROR(__xludf.DUMMYFUNCTION("""COMPUTED_VALUE"""),6.27)</f>
        <v>6.27</v>
      </c>
      <c r="C1496" s="112">
        <f ca="1">IFERROR(__xludf.DUMMYFUNCTION("""COMPUTED_VALUE"""),42478.7055555555)</f>
        <v>42478.705555555498</v>
      </c>
      <c r="D1496" s="111">
        <f ca="1">IFERROR(__xludf.DUMMYFUNCTION("""COMPUTED_VALUE"""),19.82)</f>
        <v>19.82</v>
      </c>
      <c r="E1496" s="112">
        <f ca="1">IFERROR(__xludf.DUMMYFUNCTION("""COMPUTED_VALUE"""),42479.7055555555)</f>
        <v>42479.705555555498</v>
      </c>
      <c r="F1496" s="111">
        <f ca="1">IFERROR(__xludf.DUMMYFUNCTION("""COMPUTED_VALUE"""),6.72)</f>
        <v>6.72</v>
      </c>
      <c r="G1496" s="112">
        <f ca="1">IFERROR(__xludf.DUMMYFUNCTION("""COMPUTED_VALUE"""),42472.7055555555)</f>
        <v>42472.705555555498</v>
      </c>
      <c r="H1496" s="111">
        <f ca="1">IFERROR(__xludf.DUMMYFUNCTION("""COMPUTED_VALUE"""),9.04)</f>
        <v>9.0399999999999991</v>
      </c>
      <c r="K1496" s="112">
        <f ca="1">IFERROR(__xludf.DUMMYFUNCTION("""COMPUTED_VALUE"""),42919.7055555555)</f>
        <v>42919.705555555498</v>
      </c>
      <c r="L1496" s="111">
        <f ca="1">IFERROR(__xludf.DUMMYFUNCTION("""COMPUTED_VALUE"""),1.02)</f>
        <v>1.02</v>
      </c>
      <c r="M1496" s="112">
        <f ca="1">IFERROR(__xludf.DUMMYFUNCTION("""COMPUTED_VALUE"""),42383.7055555555)</f>
        <v>42383.705555555498</v>
      </c>
      <c r="N1496" s="111">
        <f ca="1">IFERROR(__xludf.DUMMYFUNCTION("""COMPUTED_VALUE"""),9.16)</f>
        <v>9.16</v>
      </c>
      <c r="O1496" s="112">
        <f ca="1">IFERROR(__xludf.DUMMYFUNCTION("""COMPUTED_VALUE"""),42464.7055555555)</f>
        <v>42464.705555555498</v>
      </c>
      <c r="P1496" s="111">
        <f ca="1">IFERROR(__xludf.DUMMYFUNCTION("""COMPUTED_VALUE"""),14.76)</f>
        <v>14.76</v>
      </c>
      <c r="Q1496" s="112">
        <f ca="1">IFERROR(__xludf.DUMMYFUNCTION("""COMPUTED_VALUE"""),42461.7055555555)</f>
        <v>42461.705555555498</v>
      </c>
      <c r="R1496" s="111">
        <f ca="1">IFERROR(__xludf.DUMMYFUNCTION("""COMPUTED_VALUE"""),19.8)</f>
        <v>19.8</v>
      </c>
      <c r="S1496" s="112">
        <f ca="1">IFERROR(__xludf.DUMMYFUNCTION("""COMPUTED_VALUE"""),42473.7055555555)</f>
        <v>42473.705555555498</v>
      </c>
      <c r="T1496" s="111">
        <f ca="1">IFERROR(__xludf.DUMMYFUNCTION("""COMPUTED_VALUE"""),16.15)</f>
        <v>16.149999999999999</v>
      </c>
    </row>
    <row r="1497" spans="1:20" x14ac:dyDescent="0.3">
      <c r="A1497" s="112">
        <f ca="1">IFERROR(__xludf.DUMMYFUNCTION("""COMPUTED_VALUE"""),42471.7055555555)</f>
        <v>42471.705555555498</v>
      </c>
      <c r="B1497" s="111">
        <f ca="1">IFERROR(__xludf.DUMMYFUNCTION("""COMPUTED_VALUE"""),6.3)</f>
        <v>6.3</v>
      </c>
      <c r="C1497" s="112">
        <f ca="1">IFERROR(__xludf.DUMMYFUNCTION("""COMPUTED_VALUE"""),42479.7055555555)</f>
        <v>42479.705555555498</v>
      </c>
      <c r="D1497" s="111">
        <f ca="1">IFERROR(__xludf.DUMMYFUNCTION("""COMPUTED_VALUE"""),19.89)</f>
        <v>19.89</v>
      </c>
      <c r="E1497" s="112">
        <f ca="1">IFERROR(__xludf.DUMMYFUNCTION("""COMPUTED_VALUE"""),42480.7055555555)</f>
        <v>42480.705555555498</v>
      </c>
      <c r="F1497" s="111">
        <f ca="1">IFERROR(__xludf.DUMMYFUNCTION("""COMPUTED_VALUE"""),6.59)</f>
        <v>6.59</v>
      </c>
      <c r="G1497" s="112">
        <f ca="1">IFERROR(__xludf.DUMMYFUNCTION("""COMPUTED_VALUE"""),42473.7055555555)</f>
        <v>42473.705555555498</v>
      </c>
      <c r="H1497" s="111">
        <f ca="1">IFERROR(__xludf.DUMMYFUNCTION("""COMPUTED_VALUE"""),9.49)</f>
        <v>9.49</v>
      </c>
      <c r="K1497" s="112">
        <f ca="1">IFERROR(__xludf.DUMMYFUNCTION("""COMPUTED_VALUE"""),42920.7055555555)</f>
        <v>42920.705555555498</v>
      </c>
      <c r="L1497" s="111">
        <f ca="1">IFERROR(__xludf.DUMMYFUNCTION("""COMPUTED_VALUE"""),1.02)</f>
        <v>1.02</v>
      </c>
      <c r="M1497" s="112">
        <f ca="1">IFERROR(__xludf.DUMMYFUNCTION("""COMPUTED_VALUE"""),42384.7055555555)</f>
        <v>42384.705555555498</v>
      </c>
      <c r="N1497" s="111">
        <f ca="1">IFERROR(__xludf.DUMMYFUNCTION("""COMPUTED_VALUE"""),8.93)</f>
        <v>8.93</v>
      </c>
      <c r="O1497" s="112">
        <f ca="1">IFERROR(__xludf.DUMMYFUNCTION("""COMPUTED_VALUE"""),42465.7055555555)</f>
        <v>42465.705555555498</v>
      </c>
      <c r="P1497" s="111">
        <f ca="1">IFERROR(__xludf.DUMMYFUNCTION("""COMPUTED_VALUE"""),15.25)</f>
        <v>15.25</v>
      </c>
      <c r="Q1497" s="112">
        <f ca="1">IFERROR(__xludf.DUMMYFUNCTION("""COMPUTED_VALUE"""),42464.7055555555)</f>
        <v>42464.705555555498</v>
      </c>
      <c r="R1497" s="111">
        <f ca="1">IFERROR(__xludf.DUMMYFUNCTION("""COMPUTED_VALUE"""),18.59)</f>
        <v>18.59</v>
      </c>
      <c r="S1497" s="112">
        <f ca="1">IFERROR(__xludf.DUMMYFUNCTION("""COMPUTED_VALUE"""),42474.7055555555)</f>
        <v>42474.705555555498</v>
      </c>
      <c r="T1497" s="111">
        <f ca="1">IFERROR(__xludf.DUMMYFUNCTION("""COMPUTED_VALUE"""),16.28)</f>
        <v>16.28</v>
      </c>
    </row>
    <row r="1498" spans="1:20" x14ac:dyDescent="0.3">
      <c r="A1498" s="112">
        <f ca="1">IFERROR(__xludf.DUMMYFUNCTION("""COMPUTED_VALUE"""),42472.7055555555)</f>
        <v>42472.705555555498</v>
      </c>
      <c r="B1498" s="111">
        <f ca="1">IFERROR(__xludf.DUMMYFUNCTION("""COMPUTED_VALUE"""),6.72)</f>
        <v>6.72</v>
      </c>
      <c r="C1498" s="112">
        <f ca="1">IFERROR(__xludf.DUMMYFUNCTION("""COMPUTED_VALUE"""),42480.7055555555)</f>
        <v>42480.705555555498</v>
      </c>
      <c r="D1498" s="111">
        <f ca="1">IFERROR(__xludf.DUMMYFUNCTION("""COMPUTED_VALUE"""),19.56)</f>
        <v>19.559999999999999</v>
      </c>
      <c r="E1498" s="112">
        <f ca="1">IFERROR(__xludf.DUMMYFUNCTION("""COMPUTED_VALUE"""),42481.7055555555)</f>
        <v>42481.705555555498</v>
      </c>
      <c r="F1498" s="111">
        <f ca="1">IFERROR(__xludf.DUMMYFUNCTION("""COMPUTED_VALUE"""),6.58)</f>
        <v>6.58</v>
      </c>
      <c r="G1498" s="112">
        <f ca="1">IFERROR(__xludf.DUMMYFUNCTION("""COMPUTED_VALUE"""),42474.7055555555)</f>
        <v>42474.705555555498</v>
      </c>
      <c r="H1498" s="111">
        <f ca="1">IFERROR(__xludf.DUMMYFUNCTION("""COMPUTED_VALUE"""),9.16)</f>
        <v>9.16</v>
      </c>
      <c r="K1498" s="112">
        <f ca="1">IFERROR(__xludf.DUMMYFUNCTION("""COMPUTED_VALUE"""),42921.7055555555)</f>
        <v>42921.705555555498</v>
      </c>
      <c r="L1498" s="111">
        <f ca="1">IFERROR(__xludf.DUMMYFUNCTION("""COMPUTED_VALUE"""),1.02)</f>
        <v>1.02</v>
      </c>
      <c r="M1498" s="112">
        <f ca="1">IFERROR(__xludf.DUMMYFUNCTION("""COMPUTED_VALUE"""),42387.7055555555)</f>
        <v>42387.705555555498</v>
      </c>
      <c r="N1498" s="111">
        <f ca="1">IFERROR(__xludf.DUMMYFUNCTION("""COMPUTED_VALUE"""),8.85)</f>
        <v>8.85</v>
      </c>
      <c r="O1498" s="112">
        <f ca="1">IFERROR(__xludf.DUMMYFUNCTION("""COMPUTED_VALUE"""),42466.7055555555)</f>
        <v>42466.705555555498</v>
      </c>
      <c r="P1498" s="111">
        <f ca="1">IFERROR(__xludf.DUMMYFUNCTION("""COMPUTED_VALUE"""),15.1)</f>
        <v>15.1</v>
      </c>
      <c r="Q1498" s="112">
        <f ca="1">IFERROR(__xludf.DUMMYFUNCTION("""COMPUTED_VALUE"""),42465.7055555555)</f>
        <v>42465.705555555498</v>
      </c>
      <c r="R1498" s="111">
        <f ca="1">IFERROR(__xludf.DUMMYFUNCTION("""COMPUTED_VALUE"""),18.33)</f>
        <v>18.329999999999998</v>
      </c>
      <c r="S1498" s="112">
        <f ca="1">IFERROR(__xludf.DUMMYFUNCTION("""COMPUTED_VALUE"""),42475.7055555555)</f>
        <v>42475.705555555498</v>
      </c>
      <c r="T1498" s="111">
        <f ca="1">IFERROR(__xludf.DUMMYFUNCTION("""COMPUTED_VALUE"""),16.34)</f>
        <v>16.34</v>
      </c>
    </row>
    <row r="1499" spans="1:20" x14ac:dyDescent="0.3">
      <c r="A1499" s="112">
        <f ca="1">IFERROR(__xludf.DUMMYFUNCTION("""COMPUTED_VALUE"""),42473.7055555555)</f>
        <v>42473.705555555498</v>
      </c>
      <c r="B1499" s="111">
        <f ca="1">IFERROR(__xludf.DUMMYFUNCTION("""COMPUTED_VALUE"""),6.98)</f>
        <v>6.98</v>
      </c>
      <c r="C1499" s="112">
        <f ca="1">IFERROR(__xludf.DUMMYFUNCTION("""COMPUTED_VALUE"""),42481.7055555555)</f>
        <v>42481.705555555498</v>
      </c>
      <c r="D1499" s="111">
        <f ca="1">IFERROR(__xludf.DUMMYFUNCTION("""COMPUTED_VALUE"""),19.55)</f>
        <v>19.55</v>
      </c>
      <c r="E1499" s="112">
        <f ca="1">IFERROR(__xludf.DUMMYFUNCTION("""COMPUTED_VALUE"""),42482.7055555555)</f>
        <v>42482.705555555498</v>
      </c>
      <c r="F1499" s="111">
        <f ca="1">IFERROR(__xludf.DUMMYFUNCTION("""COMPUTED_VALUE"""),6.52)</f>
        <v>6.52</v>
      </c>
      <c r="G1499" s="112">
        <f ca="1">IFERROR(__xludf.DUMMYFUNCTION("""COMPUTED_VALUE"""),42475.7055555555)</f>
        <v>42475.705555555498</v>
      </c>
      <c r="H1499" s="111">
        <f ca="1">IFERROR(__xludf.DUMMYFUNCTION("""COMPUTED_VALUE"""),9.69)</f>
        <v>9.69</v>
      </c>
      <c r="K1499" s="112">
        <f ca="1">IFERROR(__xludf.DUMMYFUNCTION("""COMPUTED_VALUE"""),42922.7055555555)</f>
        <v>42922.705555555498</v>
      </c>
      <c r="L1499" s="111">
        <f ca="1">IFERROR(__xludf.DUMMYFUNCTION("""COMPUTED_VALUE"""),1.01)</f>
        <v>1.01</v>
      </c>
      <c r="M1499" s="112">
        <f ca="1">IFERROR(__xludf.DUMMYFUNCTION("""COMPUTED_VALUE"""),42388.7055555555)</f>
        <v>42388.705555555498</v>
      </c>
      <c r="N1499" s="111">
        <f ca="1">IFERROR(__xludf.DUMMYFUNCTION("""COMPUTED_VALUE"""),8.91)</f>
        <v>8.91</v>
      </c>
      <c r="O1499" s="112">
        <f ca="1">IFERROR(__xludf.DUMMYFUNCTION("""COMPUTED_VALUE"""),42467.7055555555)</f>
        <v>42467.705555555498</v>
      </c>
      <c r="P1499" s="111">
        <f ca="1">IFERROR(__xludf.DUMMYFUNCTION("""COMPUTED_VALUE"""),15.03)</f>
        <v>15.03</v>
      </c>
      <c r="Q1499" s="112">
        <f ca="1">IFERROR(__xludf.DUMMYFUNCTION("""COMPUTED_VALUE"""),42466.7055555555)</f>
        <v>42466.705555555498</v>
      </c>
      <c r="R1499" s="111">
        <f ca="1">IFERROR(__xludf.DUMMYFUNCTION("""COMPUTED_VALUE"""),18.12)</f>
        <v>18.12</v>
      </c>
      <c r="S1499" s="112">
        <f ca="1">IFERROR(__xludf.DUMMYFUNCTION("""COMPUTED_VALUE"""),42478.7055555555)</f>
        <v>42478.705555555498</v>
      </c>
      <c r="T1499" s="111">
        <f ca="1">IFERROR(__xludf.DUMMYFUNCTION("""COMPUTED_VALUE"""),16.08)</f>
        <v>16.079999999999998</v>
      </c>
    </row>
    <row r="1500" spans="1:20" x14ac:dyDescent="0.3">
      <c r="A1500" s="112">
        <f ca="1">IFERROR(__xludf.DUMMYFUNCTION("""COMPUTED_VALUE"""),42474.7055555555)</f>
        <v>42474.705555555498</v>
      </c>
      <c r="B1500" s="111">
        <f ca="1">IFERROR(__xludf.DUMMYFUNCTION("""COMPUTED_VALUE"""),6.62)</f>
        <v>6.62</v>
      </c>
      <c r="C1500" s="112">
        <f ca="1">IFERROR(__xludf.DUMMYFUNCTION("""COMPUTED_VALUE"""),42482.7055555555)</f>
        <v>42482.705555555498</v>
      </c>
      <c r="D1500" s="111">
        <f ca="1">IFERROR(__xludf.DUMMYFUNCTION("""COMPUTED_VALUE"""),19.2)</f>
        <v>19.2</v>
      </c>
      <c r="E1500" s="112">
        <f ca="1">IFERROR(__xludf.DUMMYFUNCTION("""COMPUTED_VALUE"""),42485.7055555555)</f>
        <v>42485.705555555498</v>
      </c>
      <c r="F1500" s="111">
        <f ca="1">IFERROR(__xludf.DUMMYFUNCTION("""COMPUTED_VALUE"""),6.45)</f>
        <v>6.45</v>
      </c>
      <c r="G1500" s="112">
        <f ca="1">IFERROR(__xludf.DUMMYFUNCTION("""COMPUTED_VALUE"""),42478.7055555555)</f>
        <v>42478.705555555498</v>
      </c>
      <c r="H1500" s="111">
        <f ca="1">IFERROR(__xludf.DUMMYFUNCTION("""COMPUTED_VALUE"""),9.24)</f>
        <v>9.24</v>
      </c>
      <c r="K1500" s="112">
        <f ca="1">IFERROR(__xludf.DUMMYFUNCTION("""COMPUTED_VALUE"""),42923.7055555555)</f>
        <v>42923.705555555498</v>
      </c>
      <c r="L1500" s="111">
        <f ca="1">IFERROR(__xludf.DUMMYFUNCTION("""COMPUTED_VALUE"""),1.12)</f>
        <v>1.1200000000000001</v>
      </c>
      <c r="M1500" s="112">
        <f ca="1">IFERROR(__xludf.DUMMYFUNCTION("""COMPUTED_VALUE"""),42389.7055555555)</f>
        <v>42389.705555555498</v>
      </c>
      <c r="N1500" s="111">
        <f ca="1">IFERROR(__xludf.DUMMYFUNCTION("""COMPUTED_VALUE"""),8.93)</f>
        <v>8.93</v>
      </c>
      <c r="O1500" s="112">
        <f ca="1">IFERROR(__xludf.DUMMYFUNCTION("""COMPUTED_VALUE"""),42468.7055555555)</f>
        <v>42468.705555555498</v>
      </c>
      <c r="P1500" s="111">
        <f ca="1">IFERROR(__xludf.DUMMYFUNCTION("""COMPUTED_VALUE"""),16.24)</f>
        <v>16.239999999999998</v>
      </c>
      <c r="Q1500" s="112">
        <f ca="1">IFERROR(__xludf.DUMMYFUNCTION("""COMPUTED_VALUE"""),42467.7055555555)</f>
        <v>42467.705555555498</v>
      </c>
      <c r="R1500" s="111">
        <f ca="1">IFERROR(__xludf.DUMMYFUNCTION("""COMPUTED_VALUE"""),18.74)</f>
        <v>18.739999999999998</v>
      </c>
      <c r="S1500" s="112">
        <f ca="1">IFERROR(__xludf.DUMMYFUNCTION("""COMPUTED_VALUE"""),42479.7055555555)</f>
        <v>42479.705555555498</v>
      </c>
      <c r="T1500" s="111">
        <f ca="1">IFERROR(__xludf.DUMMYFUNCTION("""COMPUTED_VALUE"""),16.03)</f>
        <v>16.03</v>
      </c>
    </row>
    <row r="1501" spans="1:20" x14ac:dyDescent="0.3">
      <c r="A1501" s="112">
        <f ca="1">IFERROR(__xludf.DUMMYFUNCTION("""COMPUTED_VALUE"""),42475.7055555555)</f>
        <v>42475.705555555498</v>
      </c>
      <c r="B1501" s="111">
        <f ca="1">IFERROR(__xludf.DUMMYFUNCTION("""COMPUTED_VALUE"""),6.82)</f>
        <v>6.82</v>
      </c>
      <c r="C1501" s="112">
        <f ca="1">IFERROR(__xludf.DUMMYFUNCTION("""COMPUTED_VALUE"""),42485.7055555555)</f>
        <v>42485.705555555498</v>
      </c>
      <c r="D1501" s="111">
        <f ca="1">IFERROR(__xludf.DUMMYFUNCTION("""COMPUTED_VALUE"""),19.03)</f>
        <v>19.03</v>
      </c>
      <c r="E1501" s="112">
        <f ca="1">IFERROR(__xludf.DUMMYFUNCTION("""COMPUTED_VALUE"""),42486.7055555555)</f>
        <v>42486.705555555498</v>
      </c>
      <c r="F1501" s="111">
        <f ca="1">IFERROR(__xludf.DUMMYFUNCTION("""COMPUTED_VALUE"""),6.69)</f>
        <v>6.69</v>
      </c>
      <c r="G1501" s="112">
        <f ca="1">IFERROR(__xludf.DUMMYFUNCTION("""COMPUTED_VALUE"""),42479.7055555555)</f>
        <v>42479.705555555498</v>
      </c>
      <c r="H1501" s="111">
        <f ca="1">IFERROR(__xludf.DUMMYFUNCTION("""COMPUTED_VALUE"""),9.61)</f>
        <v>9.61</v>
      </c>
      <c r="K1501" s="112">
        <f ca="1">IFERROR(__xludf.DUMMYFUNCTION("""COMPUTED_VALUE"""),42926.7055555555)</f>
        <v>42926.705555555498</v>
      </c>
      <c r="L1501" s="111">
        <f ca="1">IFERROR(__xludf.DUMMYFUNCTION("""COMPUTED_VALUE"""),1.16)</f>
        <v>1.1599999999999999</v>
      </c>
      <c r="M1501" s="112">
        <f ca="1">IFERROR(__xludf.DUMMYFUNCTION("""COMPUTED_VALUE"""),42390.7055555555)</f>
        <v>42390.705555555498</v>
      </c>
      <c r="N1501" s="111">
        <f ca="1">IFERROR(__xludf.DUMMYFUNCTION("""COMPUTED_VALUE"""),8.8)</f>
        <v>8.8000000000000007</v>
      </c>
      <c r="O1501" s="112">
        <f ca="1">IFERROR(__xludf.DUMMYFUNCTION("""COMPUTED_VALUE"""),42471.7055555555)</f>
        <v>42471.705555555498</v>
      </c>
      <c r="P1501" s="111">
        <f ca="1">IFERROR(__xludf.DUMMYFUNCTION("""COMPUTED_VALUE"""),16.99)</f>
        <v>16.989999999999998</v>
      </c>
      <c r="Q1501" s="112">
        <f ca="1">IFERROR(__xludf.DUMMYFUNCTION("""COMPUTED_VALUE"""),42468.7055555555)</f>
        <v>42468.705555555498</v>
      </c>
      <c r="R1501" s="111">
        <f ca="1">IFERROR(__xludf.DUMMYFUNCTION("""COMPUTED_VALUE"""),20.9)</f>
        <v>20.9</v>
      </c>
      <c r="S1501" s="112">
        <f ca="1">IFERROR(__xludf.DUMMYFUNCTION("""COMPUTED_VALUE"""),42480.7055555555)</f>
        <v>42480.705555555498</v>
      </c>
      <c r="T1501" s="111">
        <f ca="1">IFERROR(__xludf.DUMMYFUNCTION("""COMPUTED_VALUE"""),15.66)</f>
        <v>15.66</v>
      </c>
    </row>
    <row r="1502" spans="1:20" x14ac:dyDescent="0.3">
      <c r="A1502" s="112">
        <f ca="1">IFERROR(__xludf.DUMMYFUNCTION("""COMPUTED_VALUE"""),42478.7055555555)</f>
        <v>42478.705555555498</v>
      </c>
      <c r="B1502" s="111">
        <f ca="1">IFERROR(__xludf.DUMMYFUNCTION("""COMPUTED_VALUE"""),6.74)</f>
        <v>6.74</v>
      </c>
      <c r="C1502" s="112">
        <f ca="1">IFERROR(__xludf.DUMMYFUNCTION("""COMPUTED_VALUE"""),42486.7055555555)</f>
        <v>42486.705555555498</v>
      </c>
      <c r="D1502" s="111">
        <f ca="1">IFERROR(__xludf.DUMMYFUNCTION("""COMPUTED_VALUE"""),19.69)</f>
        <v>19.690000000000001</v>
      </c>
      <c r="E1502" s="112">
        <f ca="1">IFERROR(__xludf.DUMMYFUNCTION("""COMPUTED_VALUE"""),42487.7055555555)</f>
        <v>42487.705555555498</v>
      </c>
      <c r="F1502" s="111">
        <f ca="1">IFERROR(__xludf.DUMMYFUNCTION("""COMPUTED_VALUE"""),6.86)</f>
        <v>6.86</v>
      </c>
      <c r="G1502" s="112">
        <f ca="1">IFERROR(__xludf.DUMMYFUNCTION("""COMPUTED_VALUE"""),42480.7055555555)</f>
        <v>42480.705555555498</v>
      </c>
      <c r="H1502" s="111">
        <f ca="1">IFERROR(__xludf.DUMMYFUNCTION("""COMPUTED_VALUE"""),9.48)</f>
        <v>9.48</v>
      </c>
      <c r="K1502" s="112">
        <f ca="1">IFERROR(__xludf.DUMMYFUNCTION("""COMPUTED_VALUE"""),42927.7055555555)</f>
        <v>42927.705555555498</v>
      </c>
      <c r="L1502" s="111">
        <f ca="1">IFERROR(__xludf.DUMMYFUNCTION("""COMPUTED_VALUE"""),1.19)</f>
        <v>1.19</v>
      </c>
      <c r="M1502" s="112">
        <f ca="1">IFERROR(__xludf.DUMMYFUNCTION("""COMPUTED_VALUE"""),42391.7055555555)</f>
        <v>42391.705555555498</v>
      </c>
      <c r="N1502" s="111">
        <f ca="1">IFERROR(__xludf.DUMMYFUNCTION("""COMPUTED_VALUE"""),8.98)</f>
        <v>8.98</v>
      </c>
      <c r="O1502" s="112">
        <f ca="1">IFERROR(__xludf.DUMMYFUNCTION("""COMPUTED_VALUE"""),42472.7055555555)</f>
        <v>42472.705555555498</v>
      </c>
      <c r="P1502" s="111">
        <f ca="1">IFERROR(__xludf.DUMMYFUNCTION("""COMPUTED_VALUE"""),18.86)</f>
        <v>18.86</v>
      </c>
      <c r="Q1502" s="112">
        <f ca="1">IFERROR(__xludf.DUMMYFUNCTION("""COMPUTED_VALUE"""),42471.7055555555)</f>
        <v>42471.705555555498</v>
      </c>
      <c r="R1502" s="111">
        <f ca="1">IFERROR(__xludf.DUMMYFUNCTION("""COMPUTED_VALUE"""),21.49)</f>
        <v>21.49</v>
      </c>
      <c r="S1502" s="112">
        <f ca="1">IFERROR(__xludf.DUMMYFUNCTION("""COMPUTED_VALUE"""),42481.7055555555)</f>
        <v>42481.705555555498</v>
      </c>
      <c r="T1502" s="111">
        <f ca="1">IFERROR(__xludf.DUMMYFUNCTION("""COMPUTED_VALUE"""),15.71)</f>
        <v>15.71</v>
      </c>
    </row>
    <row r="1503" spans="1:20" x14ac:dyDescent="0.3">
      <c r="A1503" s="112">
        <f ca="1">IFERROR(__xludf.DUMMYFUNCTION("""COMPUTED_VALUE"""),42479.7055555555)</f>
        <v>42479.705555555498</v>
      </c>
      <c r="B1503" s="111">
        <f ca="1">IFERROR(__xludf.DUMMYFUNCTION("""COMPUTED_VALUE"""),6.98)</f>
        <v>6.98</v>
      </c>
      <c r="C1503" s="112">
        <f ca="1">IFERROR(__xludf.DUMMYFUNCTION("""COMPUTED_VALUE"""),42487.7055555555)</f>
        <v>42487.705555555498</v>
      </c>
      <c r="D1503" s="111">
        <f ca="1">IFERROR(__xludf.DUMMYFUNCTION("""COMPUTED_VALUE"""),20.36)</f>
        <v>20.36</v>
      </c>
      <c r="E1503" s="112">
        <f ca="1">IFERROR(__xludf.DUMMYFUNCTION("""COMPUTED_VALUE"""),42488.7055555555)</f>
        <v>42488.705555555498</v>
      </c>
      <c r="F1503" s="111">
        <f ca="1">IFERROR(__xludf.DUMMYFUNCTION("""COMPUTED_VALUE"""),6.84)</f>
        <v>6.84</v>
      </c>
      <c r="G1503" s="112">
        <f ca="1">IFERROR(__xludf.DUMMYFUNCTION("""COMPUTED_VALUE"""),42481.7055555555)</f>
        <v>42481.705555555498</v>
      </c>
      <c r="H1503" s="111">
        <f ca="1">IFERROR(__xludf.DUMMYFUNCTION("""COMPUTED_VALUE"""),9.5)</f>
        <v>9.5</v>
      </c>
      <c r="K1503" s="112">
        <f ca="1">IFERROR(__xludf.DUMMYFUNCTION("""COMPUTED_VALUE"""),42928.7055555555)</f>
        <v>42928.705555555498</v>
      </c>
      <c r="L1503" s="111">
        <f ca="1">IFERROR(__xludf.DUMMYFUNCTION("""COMPUTED_VALUE"""),1.23)</f>
        <v>1.23</v>
      </c>
      <c r="M1503" s="112">
        <f ca="1">IFERROR(__xludf.DUMMYFUNCTION("""COMPUTED_VALUE"""),42395.7055555555)</f>
        <v>42395.705555555498</v>
      </c>
      <c r="N1503" s="111">
        <f ca="1">IFERROR(__xludf.DUMMYFUNCTION("""COMPUTED_VALUE"""),8.88)</f>
        <v>8.8800000000000008</v>
      </c>
      <c r="O1503" s="112">
        <f ca="1">IFERROR(__xludf.DUMMYFUNCTION("""COMPUTED_VALUE"""),42473.7055555555)</f>
        <v>42473.705555555498</v>
      </c>
      <c r="P1503" s="111">
        <f ca="1">IFERROR(__xludf.DUMMYFUNCTION("""COMPUTED_VALUE"""),19.43)</f>
        <v>19.43</v>
      </c>
      <c r="Q1503" s="112">
        <f ca="1">IFERROR(__xludf.DUMMYFUNCTION("""COMPUTED_VALUE"""),42472.7055555555)</f>
        <v>42472.705555555498</v>
      </c>
      <c r="R1503" s="111">
        <f ca="1">IFERROR(__xludf.DUMMYFUNCTION("""COMPUTED_VALUE"""),22.13)</f>
        <v>22.13</v>
      </c>
      <c r="S1503" s="112">
        <f ca="1">IFERROR(__xludf.DUMMYFUNCTION("""COMPUTED_VALUE"""),42482.7055555555)</f>
        <v>42482.705555555498</v>
      </c>
      <c r="T1503" s="111">
        <f ca="1">IFERROR(__xludf.DUMMYFUNCTION("""COMPUTED_VALUE"""),14.79)</f>
        <v>14.79</v>
      </c>
    </row>
    <row r="1504" spans="1:20" x14ac:dyDescent="0.3">
      <c r="A1504" s="112">
        <f ca="1">IFERROR(__xludf.DUMMYFUNCTION("""COMPUTED_VALUE"""),42480.7055555555)</f>
        <v>42480.705555555498</v>
      </c>
      <c r="B1504" s="111">
        <f ca="1">IFERROR(__xludf.DUMMYFUNCTION("""COMPUTED_VALUE"""),7.02)</f>
        <v>7.02</v>
      </c>
      <c r="C1504" s="112">
        <f ca="1">IFERROR(__xludf.DUMMYFUNCTION("""COMPUTED_VALUE"""),42488.7055555555)</f>
        <v>42488.705555555498</v>
      </c>
      <c r="D1504" s="111">
        <f ca="1">IFERROR(__xludf.DUMMYFUNCTION("""COMPUTED_VALUE"""),20.22)</f>
        <v>20.22</v>
      </c>
      <c r="E1504" s="112">
        <f ca="1">IFERROR(__xludf.DUMMYFUNCTION("""COMPUTED_VALUE"""),42489.7055555555)</f>
        <v>42489.705555555498</v>
      </c>
      <c r="F1504" s="111">
        <f ca="1">IFERROR(__xludf.DUMMYFUNCTION("""COMPUTED_VALUE"""),6.82)</f>
        <v>6.82</v>
      </c>
      <c r="G1504" s="112">
        <f ca="1">IFERROR(__xludf.DUMMYFUNCTION("""COMPUTED_VALUE"""),42482.7055555555)</f>
        <v>42482.705555555498</v>
      </c>
      <c r="H1504" s="111">
        <f ca="1">IFERROR(__xludf.DUMMYFUNCTION("""COMPUTED_VALUE"""),9.75)</f>
        <v>9.75</v>
      </c>
      <c r="K1504" s="112">
        <f ca="1">IFERROR(__xludf.DUMMYFUNCTION("""COMPUTED_VALUE"""),42929.7055555555)</f>
        <v>42929.705555555498</v>
      </c>
      <c r="L1504" s="111">
        <f ca="1">IFERROR(__xludf.DUMMYFUNCTION("""COMPUTED_VALUE"""),1.18)</f>
        <v>1.18</v>
      </c>
      <c r="M1504" s="112">
        <f ca="1">IFERROR(__xludf.DUMMYFUNCTION("""COMPUTED_VALUE"""),42396.7055555555)</f>
        <v>42396.705555555498</v>
      </c>
      <c r="N1504" s="111">
        <f ca="1">IFERROR(__xludf.DUMMYFUNCTION("""COMPUTED_VALUE"""),8.99)</f>
        <v>8.99</v>
      </c>
      <c r="O1504" s="112">
        <f ca="1">IFERROR(__xludf.DUMMYFUNCTION("""COMPUTED_VALUE"""),42474.7055555555)</f>
        <v>42474.705555555498</v>
      </c>
      <c r="P1504" s="111">
        <f ca="1">IFERROR(__xludf.DUMMYFUNCTION("""COMPUTED_VALUE"""),18.2)</f>
        <v>18.2</v>
      </c>
      <c r="Q1504" s="112">
        <f ca="1">IFERROR(__xludf.DUMMYFUNCTION("""COMPUTED_VALUE"""),42473.7055555555)</f>
        <v>42473.705555555498</v>
      </c>
      <c r="R1504" s="111">
        <f ca="1">IFERROR(__xludf.DUMMYFUNCTION("""COMPUTED_VALUE"""),22.37)</f>
        <v>22.37</v>
      </c>
      <c r="S1504" s="112">
        <f ca="1">IFERROR(__xludf.DUMMYFUNCTION("""COMPUTED_VALUE"""),42485.7055555555)</f>
        <v>42485.705555555498</v>
      </c>
      <c r="T1504" s="111">
        <f ca="1">IFERROR(__xludf.DUMMYFUNCTION("""COMPUTED_VALUE"""),14.61)</f>
        <v>14.61</v>
      </c>
    </row>
    <row r="1505" spans="1:20" x14ac:dyDescent="0.3">
      <c r="A1505" s="112">
        <f ca="1">IFERROR(__xludf.DUMMYFUNCTION("""COMPUTED_VALUE"""),42482.7055555555)</f>
        <v>42482.705555555498</v>
      </c>
      <c r="B1505" s="111">
        <f ca="1">IFERROR(__xludf.DUMMYFUNCTION("""COMPUTED_VALUE"""),7.71)</f>
        <v>7.71</v>
      </c>
      <c r="C1505" s="112">
        <f ca="1">IFERROR(__xludf.DUMMYFUNCTION("""COMPUTED_VALUE"""),42489.7055555555)</f>
        <v>42489.705555555498</v>
      </c>
      <c r="D1505" s="111">
        <f ca="1">IFERROR(__xludf.DUMMYFUNCTION("""COMPUTED_VALUE"""),19.92)</f>
        <v>19.920000000000002</v>
      </c>
      <c r="E1505" s="112">
        <f ca="1">IFERROR(__xludf.DUMMYFUNCTION("""COMPUTED_VALUE"""),42492.7055555555)</f>
        <v>42492.705555555498</v>
      </c>
      <c r="F1505" s="111">
        <f ca="1">IFERROR(__xludf.DUMMYFUNCTION("""COMPUTED_VALUE"""),6.67)</f>
        <v>6.67</v>
      </c>
      <c r="G1505" s="112">
        <f ca="1">IFERROR(__xludf.DUMMYFUNCTION("""COMPUTED_VALUE"""),42485.7055555555)</f>
        <v>42485.705555555498</v>
      </c>
      <c r="H1505" s="111">
        <f ca="1">IFERROR(__xludf.DUMMYFUNCTION("""COMPUTED_VALUE"""),9.33)</f>
        <v>9.33</v>
      </c>
      <c r="K1505" s="112">
        <f ca="1">IFERROR(__xludf.DUMMYFUNCTION("""COMPUTED_VALUE"""),42930.7055555555)</f>
        <v>42930.705555555498</v>
      </c>
      <c r="L1505" s="111">
        <f ca="1">IFERROR(__xludf.DUMMYFUNCTION("""COMPUTED_VALUE"""),1.23)</f>
        <v>1.23</v>
      </c>
      <c r="M1505" s="112">
        <f ca="1">IFERROR(__xludf.DUMMYFUNCTION("""COMPUTED_VALUE"""),42397.7055555555)</f>
        <v>42397.705555555498</v>
      </c>
      <c r="N1505" s="111">
        <f ca="1">IFERROR(__xludf.DUMMYFUNCTION("""COMPUTED_VALUE"""),9)</f>
        <v>9</v>
      </c>
      <c r="O1505" s="112">
        <f ca="1">IFERROR(__xludf.DUMMYFUNCTION("""COMPUTED_VALUE"""),42475.7055555555)</f>
        <v>42475.705555555498</v>
      </c>
      <c r="P1505" s="111">
        <f ca="1">IFERROR(__xludf.DUMMYFUNCTION("""COMPUTED_VALUE"""),18.6)</f>
        <v>18.600000000000001</v>
      </c>
      <c r="Q1505" s="112">
        <f ca="1">IFERROR(__xludf.DUMMYFUNCTION("""COMPUTED_VALUE"""),42474.7055555555)</f>
        <v>42474.705555555498</v>
      </c>
      <c r="R1505" s="111">
        <f ca="1">IFERROR(__xludf.DUMMYFUNCTION("""COMPUTED_VALUE"""),21.93)</f>
        <v>21.93</v>
      </c>
      <c r="S1505" s="112">
        <f ca="1">IFERROR(__xludf.DUMMYFUNCTION("""COMPUTED_VALUE"""),42486.7055555555)</f>
        <v>42486.705555555498</v>
      </c>
      <c r="T1505" s="111">
        <f ca="1">IFERROR(__xludf.DUMMYFUNCTION("""COMPUTED_VALUE"""),14.87)</f>
        <v>14.87</v>
      </c>
    </row>
    <row r="1506" spans="1:20" x14ac:dyDescent="0.3">
      <c r="A1506" s="112">
        <f ca="1">IFERROR(__xludf.DUMMYFUNCTION("""COMPUTED_VALUE"""),42485.7055555555)</f>
        <v>42485.705555555498</v>
      </c>
      <c r="B1506" s="111">
        <f ca="1">IFERROR(__xludf.DUMMYFUNCTION("""COMPUTED_VALUE"""),7.77)</f>
        <v>7.77</v>
      </c>
      <c r="C1506" s="112">
        <f ca="1">IFERROR(__xludf.DUMMYFUNCTION("""COMPUTED_VALUE"""),42492.7055555555)</f>
        <v>42492.705555555498</v>
      </c>
      <c r="D1506" s="111">
        <f ca="1">IFERROR(__xludf.DUMMYFUNCTION("""COMPUTED_VALUE"""),19.36)</f>
        <v>19.36</v>
      </c>
      <c r="E1506" s="112">
        <f ca="1">IFERROR(__xludf.DUMMYFUNCTION("""COMPUTED_VALUE"""),42493.7055555555)</f>
        <v>42493.705555555498</v>
      </c>
      <c r="F1506" s="111">
        <f ca="1">IFERROR(__xludf.DUMMYFUNCTION("""COMPUTED_VALUE"""),6.3)</f>
        <v>6.3</v>
      </c>
      <c r="G1506" s="112">
        <f ca="1">IFERROR(__xludf.DUMMYFUNCTION("""COMPUTED_VALUE"""),42486.7055555555)</f>
        <v>42486.705555555498</v>
      </c>
      <c r="H1506" s="111">
        <f ca="1">IFERROR(__xludf.DUMMYFUNCTION("""COMPUTED_VALUE"""),9.67)</f>
        <v>9.67</v>
      </c>
      <c r="K1506" s="112">
        <f ca="1">IFERROR(__xludf.DUMMYFUNCTION("""COMPUTED_VALUE"""),42933.7055555555)</f>
        <v>42933.705555555498</v>
      </c>
      <c r="L1506" s="111">
        <f ca="1">IFERROR(__xludf.DUMMYFUNCTION("""COMPUTED_VALUE"""),1.29)</f>
        <v>1.29</v>
      </c>
      <c r="M1506" s="112">
        <f ca="1">IFERROR(__xludf.DUMMYFUNCTION("""COMPUTED_VALUE"""),42398.7055555555)</f>
        <v>42398.705555555498</v>
      </c>
      <c r="N1506" s="111">
        <f ca="1">IFERROR(__xludf.DUMMYFUNCTION("""COMPUTED_VALUE"""),9.39)</f>
        <v>9.39</v>
      </c>
      <c r="O1506" s="112">
        <f ca="1">IFERROR(__xludf.DUMMYFUNCTION("""COMPUTED_VALUE"""),42478.7055555555)</f>
        <v>42478.705555555498</v>
      </c>
      <c r="P1506" s="111">
        <f ca="1">IFERROR(__xludf.DUMMYFUNCTION("""COMPUTED_VALUE"""),19.05)</f>
        <v>19.05</v>
      </c>
      <c r="Q1506" s="112">
        <f ca="1">IFERROR(__xludf.DUMMYFUNCTION("""COMPUTED_VALUE"""),42475.7055555555)</f>
        <v>42475.705555555498</v>
      </c>
      <c r="R1506" s="111">
        <f ca="1">IFERROR(__xludf.DUMMYFUNCTION("""COMPUTED_VALUE"""),22.7)</f>
        <v>22.7</v>
      </c>
      <c r="S1506" s="112">
        <f ca="1">IFERROR(__xludf.DUMMYFUNCTION("""COMPUTED_VALUE"""),42487.7055555555)</f>
        <v>42487.705555555498</v>
      </c>
      <c r="T1506" s="111">
        <f ca="1">IFERROR(__xludf.DUMMYFUNCTION("""COMPUTED_VALUE"""),15.43)</f>
        <v>15.43</v>
      </c>
    </row>
    <row r="1507" spans="1:20" x14ac:dyDescent="0.3">
      <c r="A1507" s="112">
        <f ca="1">IFERROR(__xludf.DUMMYFUNCTION("""COMPUTED_VALUE"""),42486.7055555555)</f>
        <v>42486.705555555498</v>
      </c>
      <c r="B1507" s="111">
        <f ca="1">IFERROR(__xludf.DUMMYFUNCTION("""COMPUTED_VALUE"""),7.65)</f>
        <v>7.65</v>
      </c>
      <c r="C1507" s="112">
        <f ca="1">IFERROR(__xludf.DUMMYFUNCTION("""COMPUTED_VALUE"""),42493.7055555555)</f>
        <v>42493.705555555498</v>
      </c>
      <c r="D1507" s="111">
        <f ca="1">IFERROR(__xludf.DUMMYFUNCTION("""COMPUTED_VALUE"""),18.25)</f>
        <v>18.25</v>
      </c>
      <c r="E1507" s="112">
        <f ca="1">IFERROR(__xludf.DUMMYFUNCTION("""COMPUTED_VALUE"""),42494.7055555555)</f>
        <v>42494.705555555498</v>
      </c>
      <c r="F1507" s="111">
        <f ca="1">IFERROR(__xludf.DUMMYFUNCTION("""COMPUTED_VALUE"""),6.41)</f>
        <v>6.41</v>
      </c>
      <c r="G1507" s="112">
        <f ca="1">IFERROR(__xludf.DUMMYFUNCTION("""COMPUTED_VALUE"""),42487.7055555555)</f>
        <v>42487.705555555498</v>
      </c>
      <c r="H1507" s="111">
        <f ca="1">IFERROR(__xludf.DUMMYFUNCTION("""COMPUTED_VALUE"""),10.25)</f>
        <v>10.25</v>
      </c>
      <c r="K1507" s="112">
        <f ca="1">IFERROR(__xludf.DUMMYFUNCTION("""COMPUTED_VALUE"""),42934.7055555555)</f>
        <v>42934.705555555498</v>
      </c>
      <c r="L1507" s="111">
        <f ca="1">IFERROR(__xludf.DUMMYFUNCTION("""COMPUTED_VALUE"""),1.34)</f>
        <v>1.34</v>
      </c>
      <c r="M1507" s="112">
        <f ca="1">IFERROR(__xludf.DUMMYFUNCTION("""COMPUTED_VALUE"""),42401.7055555555)</f>
        <v>42401.705555555498</v>
      </c>
      <c r="N1507" s="111">
        <f ca="1">IFERROR(__xludf.DUMMYFUNCTION("""COMPUTED_VALUE"""),9.63)</f>
        <v>9.6300000000000008</v>
      </c>
      <c r="O1507" s="112">
        <f ca="1">IFERROR(__xludf.DUMMYFUNCTION("""COMPUTED_VALUE"""),42479.7055555555)</f>
        <v>42479.705555555498</v>
      </c>
      <c r="P1507" s="111">
        <f ca="1">IFERROR(__xludf.DUMMYFUNCTION("""COMPUTED_VALUE"""),20.5)</f>
        <v>20.5</v>
      </c>
      <c r="Q1507" s="112">
        <f ca="1">IFERROR(__xludf.DUMMYFUNCTION("""COMPUTED_VALUE"""),42478.7055555555)</f>
        <v>42478.705555555498</v>
      </c>
      <c r="R1507" s="111">
        <f ca="1">IFERROR(__xludf.DUMMYFUNCTION("""COMPUTED_VALUE"""),22.08)</f>
        <v>22.08</v>
      </c>
      <c r="S1507" s="112">
        <f ca="1">IFERROR(__xludf.DUMMYFUNCTION("""COMPUTED_VALUE"""),42488.7055555555)</f>
        <v>42488.705555555498</v>
      </c>
      <c r="T1507" s="111">
        <f ca="1">IFERROR(__xludf.DUMMYFUNCTION("""COMPUTED_VALUE"""),15.62)</f>
        <v>15.62</v>
      </c>
    </row>
    <row r="1508" spans="1:20" x14ac:dyDescent="0.3">
      <c r="A1508" s="112">
        <f ca="1">IFERROR(__xludf.DUMMYFUNCTION("""COMPUTED_VALUE"""),42487.7055555555)</f>
        <v>42487.705555555498</v>
      </c>
      <c r="B1508" s="111">
        <f ca="1">IFERROR(__xludf.DUMMYFUNCTION("""COMPUTED_VALUE"""),7.76)</f>
        <v>7.76</v>
      </c>
      <c r="C1508" s="112">
        <f ca="1">IFERROR(__xludf.DUMMYFUNCTION("""COMPUTED_VALUE"""),42494.7055555555)</f>
        <v>42494.705555555498</v>
      </c>
      <c r="D1508" s="111">
        <f ca="1">IFERROR(__xludf.DUMMYFUNCTION("""COMPUTED_VALUE"""),18.7)</f>
        <v>18.7</v>
      </c>
      <c r="E1508" s="112">
        <f ca="1">IFERROR(__xludf.DUMMYFUNCTION("""COMPUTED_VALUE"""),42495.7055555555)</f>
        <v>42495.705555555498</v>
      </c>
      <c r="F1508" s="111">
        <f ca="1">IFERROR(__xludf.DUMMYFUNCTION("""COMPUTED_VALUE"""),6.34)</f>
        <v>6.34</v>
      </c>
      <c r="G1508" s="112">
        <f ca="1">IFERROR(__xludf.DUMMYFUNCTION("""COMPUTED_VALUE"""),42489.7055555555)</f>
        <v>42489.705555555498</v>
      </c>
      <c r="H1508" s="111">
        <f ca="1">IFERROR(__xludf.DUMMYFUNCTION("""COMPUTED_VALUE"""),10.23)</f>
        <v>10.23</v>
      </c>
      <c r="K1508" s="112">
        <f ca="1">IFERROR(__xludf.DUMMYFUNCTION("""COMPUTED_VALUE"""),42935.7055555555)</f>
        <v>42935.705555555498</v>
      </c>
      <c r="L1508" s="111">
        <f ca="1">IFERROR(__xludf.DUMMYFUNCTION("""COMPUTED_VALUE"""),1.35)</f>
        <v>1.35</v>
      </c>
      <c r="M1508" s="112">
        <f ca="1">IFERROR(__xludf.DUMMYFUNCTION("""COMPUTED_VALUE"""),42402.7055555555)</f>
        <v>42402.705555555498</v>
      </c>
      <c r="N1508" s="111">
        <f ca="1">IFERROR(__xludf.DUMMYFUNCTION("""COMPUTED_VALUE"""),9.24)</f>
        <v>9.24</v>
      </c>
      <c r="O1508" s="112">
        <f ca="1">IFERROR(__xludf.DUMMYFUNCTION("""COMPUTED_VALUE"""),42480.7055555555)</f>
        <v>42480.705555555498</v>
      </c>
      <c r="P1508" s="111">
        <f ca="1">IFERROR(__xludf.DUMMYFUNCTION("""COMPUTED_VALUE"""),21.76)</f>
        <v>21.76</v>
      </c>
      <c r="Q1508" s="112">
        <f ca="1">IFERROR(__xludf.DUMMYFUNCTION("""COMPUTED_VALUE"""),42479.7055555555)</f>
        <v>42479.705555555498</v>
      </c>
      <c r="R1508" s="111">
        <f ca="1">IFERROR(__xludf.DUMMYFUNCTION("""COMPUTED_VALUE"""),22.01)</f>
        <v>22.01</v>
      </c>
      <c r="S1508" s="112">
        <f ca="1">IFERROR(__xludf.DUMMYFUNCTION("""COMPUTED_VALUE"""),42489.7055555555)</f>
        <v>42489.705555555498</v>
      </c>
      <c r="T1508" s="111">
        <f ca="1">IFERROR(__xludf.DUMMYFUNCTION("""COMPUTED_VALUE"""),15.6)</f>
        <v>15.6</v>
      </c>
    </row>
    <row r="1509" spans="1:20" x14ac:dyDescent="0.3">
      <c r="A1509" s="112">
        <f ca="1">IFERROR(__xludf.DUMMYFUNCTION("""COMPUTED_VALUE"""),42488.7055555555)</f>
        <v>42488.705555555498</v>
      </c>
      <c r="B1509" s="111">
        <f ca="1">IFERROR(__xludf.DUMMYFUNCTION("""COMPUTED_VALUE"""),7.66)</f>
        <v>7.66</v>
      </c>
      <c r="C1509" s="112">
        <f ca="1">IFERROR(__xludf.DUMMYFUNCTION("""COMPUTED_VALUE"""),42495.7055555555)</f>
        <v>42495.705555555498</v>
      </c>
      <c r="D1509" s="111">
        <f ca="1">IFERROR(__xludf.DUMMYFUNCTION("""COMPUTED_VALUE"""),18.42)</f>
        <v>18.420000000000002</v>
      </c>
      <c r="E1509" s="112">
        <f ca="1">IFERROR(__xludf.DUMMYFUNCTION("""COMPUTED_VALUE"""),42496.7055555555)</f>
        <v>42496.705555555498</v>
      </c>
      <c r="F1509" s="111">
        <f ca="1">IFERROR(__xludf.DUMMYFUNCTION("""COMPUTED_VALUE"""),6.36)</f>
        <v>6.36</v>
      </c>
      <c r="G1509" s="112">
        <f ca="1">IFERROR(__xludf.DUMMYFUNCTION("""COMPUTED_VALUE"""),42492.7055555555)</f>
        <v>42492.705555555498</v>
      </c>
      <c r="H1509" s="111">
        <f ca="1">IFERROR(__xludf.DUMMYFUNCTION("""COMPUTED_VALUE"""),10.17)</f>
        <v>10.17</v>
      </c>
      <c r="K1509" s="112">
        <f ca="1">IFERROR(__xludf.DUMMYFUNCTION("""COMPUTED_VALUE"""),42936.7055555555)</f>
        <v>42936.705555555498</v>
      </c>
      <c r="L1509" s="111">
        <f ca="1">IFERROR(__xludf.DUMMYFUNCTION("""COMPUTED_VALUE"""),1.36)</f>
        <v>1.36</v>
      </c>
      <c r="M1509" s="112">
        <f ca="1">IFERROR(__xludf.DUMMYFUNCTION("""COMPUTED_VALUE"""),42403.7055555555)</f>
        <v>42403.705555555498</v>
      </c>
      <c r="N1509" s="111">
        <f ca="1">IFERROR(__xludf.DUMMYFUNCTION("""COMPUTED_VALUE"""),9.68)</f>
        <v>9.68</v>
      </c>
      <c r="O1509" s="112">
        <f ca="1">IFERROR(__xludf.DUMMYFUNCTION("""COMPUTED_VALUE"""),42481.7055555555)</f>
        <v>42481.705555555498</v>
      </c>
      <c r="P1509" s="111">
        <f ca="1">IFERROR(__xludf.DUMMYFUNCTION("""COMPUTED_VALUE"""),21.74)</f>
        <v>21.74</v>
      </c>
      <c r="Q1509" s="112">
        <f ca="1">IFERROR(__xludf.DUMMYFUNCTION("""COMPUTED_VALUE"""),42480.7055555555)</f>
        <v>42480.705555555498</v>
      </c>
      <c r="R1509" s="111">
        <f ca="1">IFERROR(__xludf.DUMMYFUNCTION("""COMPUTED_VALUE"""),21.83)</f>
        <v>21.83</v>
      </c>
      <c r="S1509" s="112">
        <f ca="1">IFERROR(__xludf.DUMMYFUNCTION("""COMPUTED_VALUE"""),42492.7055555555)</f>
        <v>42492.705555555498</v>
      </c>
      <c r="T1509" s="111">
        <f ca="1">IFERROR(__xludf.DUMMYFUNCTION("""COMPUTED_VALUE"""),15.83)</f>
        <v>15.83</v>
      </c>
    </row>
    <row r="1510" spans="1:20" x14ac:dyDescent="0.3">
      <c r="A1510" s="112">
        <f ca="1">IFERROR(__xludf.DUMMYFUNCTION("""COMPUTED_VALUE"""),42489.7055555555)</f>
        <v>42489.705555555498</v>
      </c>
      <c r="B1510" s="111">
        <f ca="1">IFERROR(__xludf.DUMMYFUNCTION("""COMPUTED_VALUE"""),7.7)</f>
        <v>7.7</v>
      </c>
      <c r="C1510" s="112">
        <f ca="1">IFERROR(__xludf.DUMMYFUNCTION("""COMPUTED_VALUE"""),42496.7055555555)</f>
        <v>42496.705555555498</v>
      </c>
      <c r="D1510" s="111">
        <f ca="1">IFERROR(__xludf.DUMMYFUNCTION("""COMPUTED_VALUE"""),18.42)</f>
        <v>18.420000000000002</v>
      </c>
      <c r="E1510" s="112">
        <f ca="1">IFERROR(__xludf.DUMMYFUNCTION("""COMPUTED_VALUE"""),42499.7055555555)</f>
        <v>42499.705555555498</v>
      </c>
      <c r="F1510" s="111">
        <f ca="1">IFERROR(__xludf.DUMMYFUNCTION("""COMPUTED_VALUE"""),6.45)</f>
        <v>6.45</v>
      </c>
      <c r="G1510" s="112">
        <f ca="1">IFERROR(__xludf.DUMMYFUNCTION("""COMPUTED_VALUE"""),42493.7055555555)</f>
        <v>42493.705555555498</v>
      </c>
      <c r="H1510" s="111">
        <f ca="1">IFERROR(__xludf.DUMMYFUNCTION("""COMPUTED_VALUE"""),9.78)</f>
        <v>9.7799999999999994</v>
      </c>
      <c r="K1510" s="112">
        <f ca="1">IFERROR(__xludf.DUMMYFUNCTION("""COMPUTED_VALUE"""),42937.7055555555)</f>
        <v>42937.705555555498</v>
      </c>
      <c r="L1510" s="111">
        <f ca="1">IFERROR(__xludf.DUMMYFUNCTION("""COMPUTED_VALUE"""),1.31)</f>
        <v>1.31</v>
      </c>
      <c r="M1510" s="112">
        <f ca="1">IFERROR(__xludf.DUMMYFUNCTION("""COMPUTED_VALUE"""),42404.7055555555)</f>
        <v>42404.705555555498</v>
      </c>
      <c r="N1510" s="111">
        <f ca="1">IFERROR(__xludf.DUMMYFUNCTION("""COMPUTED_VALUE"""),10.21)</f>
        <v>10.210000000000001</v>
      </c>
      <c r="O1510" s="112">
        <f ca="1">IFERROR(__xludf.DUMMYFUNCTION("""COMPUTED_VALUE"""),42482.7055555555)</f>
        <v>42482.705555555498</v>
      </c>
      <c r="P1510" s="111">
        <f ca="1">IFERROR(__xludf.DUMMYFUNCTION("""COMPUTED_VALUE"""),19.33)</f>
        <v>19.329999999999998</v>
      </c>
      <c r="Q1510" s="112">
        <f ca="1">IFERROR(__xludf.DUMMYFUNCTION("""COMPUTED_VALUE"""),42481.7055555555)</f>
        <v>42481.705555555498</v>
      </c>
      <c r="R1510" s="111">
        <f ca="1">IFERROR(__xludf.DUMMYFUNCTION("""COMPUTED_VALUE"""),21.74)</f>
        <v>21.74</v>
      </c>
      <c r="S1510" s="112">
        <f ca="1">IFERROR(__xludf.DUMMYFUNCTION("""COMPUTED_VALUE"""),42493.7055555555)</f>
        <v>42493.705555555498</v>
      </c>
      <c r="T1510" s="111">
        <f ca="1">IFERROR(__xludf.DUMMYFUNCTION("""COMPUTED_VALUE"""),15.78)</f>
        <v>15.78</v>
      </c>
    </row>
    <row r="1511" spans="1:20" x14ac:dyDescent="0.3">
      <c r="A1511" s="112">
        <f ca="1">IFERROR(__xludf.DUMMYFUNCTION("""COMPUTED_VALUE"""),42492.7055555555)</f>
        <v>42492.705555555498</v>
      </c>
      <c r="B1511" s="111">
        <f ca="1">IFERROR(__xludf.DUMMYFUNCTION("""COMPUTED_VALUE"""),7.86)</f>
        <v>7.86</v>
      </c>
      <c r="C1511" s="112">
        <f ca="1">IFERROR(__xludf.DUMMYFUNCTION("""COMPUTED_VALUE"""),42499.7055555555)</f>
        <v>42499.705555555498</v>
      </c>
      <c r="D1511" s="111">
        <f ca="1">IFERROR(__xludf.DUMMYFUNCTION("""COMPUTED_VALUE"""),18.54)</f>
        <v>18.54</v>
      </c>
      <c r="E1511" s="112">
        <f ca="1">IFERROR(__xludf.DUMMYFUNCTION("""COMPUTED_VALUE"""),42500.7055555555)</f>
        <v>42500.705555555498</v>
      </c>
      <c r="F1511" s="111">
        <f ca="1">IFERROR(__xludf.DUMMYFUNCTION("""COMPUTED_VALUE"""),6.75)</f>
        <v>6.75</v>
      </c>
      <c r="G1511" s="112">
        <f ca="1">IFERROR(__xludf.DUMMYFUNCTION("""COMPUTED_VALUE"""),42494.7055555555)</f>
        <v>42494.705555555498</v>
      </c>
      <c r="H1511" s="111">
        <f ca="1">IFERROR(__xludf.DUMMYFUNCTION("""COMPUTED_VALUE"""),9.92)</f>
        <v>9.92</v>
      </c>
      <c r="K1511" s="112">
        <f ca="1">IFERROR(__xludf.DUMMYFUNCTION("""COMPUTED_VALUE"""),42940.7055555555)</f>
        <v>42940.705555555498</v>
      </c>
      <c r="L1511" s="111">
        <f ca="1">IFERROR(__xludf.DUMMYFUNCTION("""COMPUTED_VALUE"""),1.31)</f>
        <v>1.31</v>
      </c>
      <c r="M1511" s="112">
        <f ca="1">IFERROR(__xludf.DUMMYFUNCTION("""COMPUTED_VALUE"""),42405.7055555555)</f>
        <v>42405.705555555498</v>
      </c>
      <c r="N1511" s="111">
        <f ca="1">IFERROR(__xludf.DUMMYFUNCTION("""COMPUTED_VALUE"""),10.11)</f>
        <v>10.11</v>
      </c>
      <c r="O1511" s="112">
        <f ca="1">IFERROR(__xludf.DUMMYFUNCTION("""COMPUTED_VALUE"""),42485.7055555555)</f>
        <v>42485.705555555498</v>
      </c>
      <c r="P1511" s="111">
        <f ca="1">IFERROR(__xludf.DUMMYFUNCTION("""COMPUTED_VALUE"""),18.06)</f>
        <v>18.059999999999999</v>
      </c>
      <c r="Q1511" s="112">
        <f ca="1">IFERROR(__xludf.DUMMYFUNCTION("""COMPUTED_VALUE"""),42482.7055555555)</f>
        <v>42482.705555555498</v>
      </c>
      <c r="R1511" s="111">
        <f ca="1">IFERROR(__xludf.DUMMYFUNCTION("""COMPUTED_VALUE"""),21.27)</f>
        <v>21.27</v>
      </c>
      <c r="S1511" s="112">
        <f ca="1">IFERROR(__xludf.DUMMYFUNCTION("""COMPUTED_VALUE"""),42494.7055555555)</f>
        <v>42494.705555555498</v>
      </c>
      <c r="T1511" s="111">
        <f ca="1">IFERROR(__xludf.DUMMYFUNCTION("""COMPUTED_VALUE"""),15.95)</f>
        <v>15.95</v>
      </c>
    </row>
    <row r="1512" spans="1:20" x14ac:dyDescent="0.3">
      <c r="A1512" s="112">
        <f ca="1">IFERROR(__xludf.DUMMYFUNCTION("""COMPUTED_VALUE"""),42493.7055555555)</f>
        <v>42493.705555555498</v>
      </c>
      <c r="B1512" s="111">
        <f ca="1">IFERROR(__xludf.DUMMYFUNCTION("""COMPUTED_VALUE"""),7.91)</f>
        <v>7.91</v>
      </c>
      <c r="C1512" s="112">
        <f ca="1">IFERROR(__xludf.DUMMYFUNCTION("""COMPUTED_VALUE"""),42500.7055555555)</f>
        <v>42500.705555555498</v>
      </c>
      <c r="D1512" s="111">
        <f ca="1">IFERROR(__xludf.DUMMYFUNCTION("""COMPUTED_VALUE"""),19.7)</f>
        <v>19.7</v>
      </c>
      <c r="E1512" s="112">
        <f ca="1">IFERROR(__xludf.DUMMYFUNCTION("""COMPUTED_VALUE"""),42501.7055555555)</f>
        <v>42501.705555555498</v>
      </c>
      <c r="F1512" s="111">
        <f ca="1">IFERROR(__xludf.DUMMYFUNCTION("""COMPUTED_VALUE"""),6.71)</f>
        <v>6.71</v>
      </c>
      <c r="G1512" s="112">
        <f ca="1">IFERROR(__xludf.DUMMYFUNCTION("""COMPUTED_VALUE"""),42495.7055555555)</f>
        <v>42495.705555555498</v>
      </c>
      <c r="H1512" s="111">
        <f ca="1">IFERROR(__xludf.DUMMYFUNCTION("""COMPUTED_VALUE"""),9.81)</f>
        <v>9.81</v>
      </c>
      <c r="K1512" s="112">
        <f ca="1">IFERROR(__xludf.DUMMYFUNCTION("""COMPUTED_VALUE"""),42941.7055555555)</f>
        <v>42941.705555555498</v>
      </c>
      <c r="L1512" s="111">
        <f ca="1">IFERROR(__xludf.DUMMYFUNCTION("""COMPUTED_VALUE"""),1.35)</f>
        <v>1.35</v>
      </c>
      <c r="M1512" s="112">
        <f ca="1">IFERROR(__xludf.DUMMYFUNCTION("""COMPUTED_VALUE"""),42410.7055555555)</f>
        <v>42410.705555555498</v>
      </c>
      <c r="N1512" s="111">
        <f ca="1">IFERROR(__xludf.DUMMYFUNCTION("""COMPUTED_VALUE"""),10.22)</f>
        <v>10.220000000000001</v>
      </c>
      <c r="O1512" s="112">
        <f ca="1">IFERROR(__xludf.DUMMYFUNCTION("""COMPUTED_VALUE"""),42486.7055555555)</f>
        <v>42486.705555555498</v>
      </c>
      <c r="P1512" s="111">
        <f ca="1">IFERROR(__xludf.DUMMYFUNCTION("""COMPUTED_VALUE"""),18.69)</f>
        <v>18.690000000000001</v>
      </c>
      <c r="Q1512" s="112">
        <f ca="1">IFERROR(__xludf.DUMMYFUNCTION("""COMPUTED_VALUE"""),42485.7055555555)</f>
        <v>42485.705555555498</v>
      </c>
      <c r="R1512" s="111">
        <f ca="1">IFERROR(__xludf.DUMMYFUNCTION("""COMPUTED_VALUE"""),20.8)</f>
        <v>20.8</v>
      </c>
      <c r="S1512" s="112">
        <f ca="1">IFERROR(__xludf.DUMMYFUNCTION("""COMPUTED_VALUE"""),42495.7055555555)</f>
        <v>42495.705555555498</v>
      </c>
      <c r="T1512" s="111">
        <f ca="1">IFERROR(__xludf.DUMMYFUNCTION("""COMPUTED_VALUE"""),15.62)</f>
        <v>15.62</v>
      </c>
    </row>
    <row r="1513" spans="1:20" x14ac:dyDescent="0.3">
      <c r="A1513" s="112">
        <f ca="1">IFERROR(__xludf.DUMMYFUNCTION("""COMPUTED_VALUE"""),42494.7055555555)</f>
        <v>42494.705555555498</v>
      </c>
      <c r="B1513" s="111">
        <f ca="1">IFERROR(__xludf.DUMMYFUNCTION("""COMPUTED_VALUE"""),8.11)</f>
        <v>8.11</v>
      </c>
      <c r="C1513" s="112">
        <f ca="1">IFERROR(__xludf.DUMMYFUNCTION("""COMPUTED_VALUE"""),42501.7055555555)</f>
        <v>42501.705555555498</v>
      </c>
      <c r="D1513" s="111">
        <f ca="1">IFERROR(__xludf.DUMMYFUNCTION("""COMPUTED_VALUE"""),19.58)</f>
        <v>19.579999999999998</v>
      </c>
      <c r="E1513" s="112">
        <f ca="1">IFERROR(__xludf.DUMMYFUNCTION("""COMPUTED_VALUE"""),42502.7055555555)</f>
        <v>42502.705555555498</v>
      </c>
      <c r="F1513" s="111">
        <f ca="1">IFERROR(__xludf.DUMMYFUNCTION("""COMPUTED_VALUE"""),6.79)</f>
        <v>6.79</v>
      </c>
      <c r="G1513" s="112">
        <f ca="1">IFERROR(__xludf.DUMMYFUNCTION("""COMPUTED_VALUE"""),42496.7055555555)</f>
        <v>42496.705555555498</v>
      </c>
      <c r="H1513" s="111">
        <f ca="1">IFERROR(__xludf.DUMMYFUNCTION("""COMPUTED_VALUE"""),10.08)</f>
        <v>10.08</v>
      </c>
      <c r="K1513" s="112">
        <f ca="1">IFERROR(__xludf.DUMMYFUNCTION("""COMPUTED_VALUE"""),42942.7055555555)</f>
        <v>42942.705555555498</v>
      </c>
      <c r="L1513" s="111">
        <f ca="1">IFERROR(__xludf.DUMMYFUNCTION("""COMPUTED_VALUE"""),1.34)</f>
        <v>1.34</v>
      </c>
      <c r="M1513" s="112">
        <f ca="1">IFERROR(__xludf.DUMMYFUNCTION("""COMPUTED_VALUE"""),42411.7055555555)</f>
        <v>42411.705555555498</v>
      </c>
      <c r="N1513" s="111">
        <f ca="1">IFERROR(__xludf.DUMMYFUNCTION("""COMPUTED_VALUE"""),9.96)</f>
        <v>9.9600000000000009</v>
      </c>
      <c r="O1513" s="112">
        <f ca="1">IFERROR(__xludf.DUMMYFUNCTION("""COMPUTED_VALUE"""),42487.7055555555)</f>
        <v>42487.705555555498</v>
      </c>
      <c r="P1513" s="111">
        <f ca="1">IFERROR(__xludf.DUMMYFUNCTION("""COMPUTED_VALUE"""),19.45)</f>
        <v>19.45</v>
      </c>
      <c r="Q1513" s="112">
        <f ca="1">IFERROR(__xludf.DUMMYFUNCTION("""COMPUTED_VALUE"""),42486.7055555555)</f>
        <v>42486.705555555498</v>
      </c>
      <c r="R1513" s="111">
        <f ca="1">IFERROR(__xludf.DUMMYFUNCTION("""COMPUTED_VALUE"""),21.75)</f>
        <v>21.75</v>
      </c>
      <c r="S1513" s="112">
        <f ca="1">IFERROR(__xludf.DUMMYFUNCTION("""COMPUTED_VALUE"""),42496.7055555555)</f>
        <v>42496.705555555498</v>
      </c>
      <c r="T1513" s="111">
        <f ca="1">IFERROR(__xludf.DUMMYFUNCTION("""COMPUTED_VALUE"""),15.44)</f>
        <v>15.44</v>
      </c>
    </row>
    <row r="1514" spans="1:20" x14ac:dyDescent="0.3">
      <c r="A1514" s="112">
        <f ca="1">IFERROR(__xludf.DUMMYFUNCTION("""COMPUTED_VALUE"""),42495.7055555555)</f>
        <v>42495.705555555498</v>
      </c>
      <c r="B1514" s="111">
        <f ca="1">IFERROR(__xludf.DUMMYFUNCTION("""COMPUTED_VALUE"""),7.73)</f>
        <v>7.73</v>
      </c>
      <c r="C1514" s="112">
        <f ca="1">IFERROR(__xludf.DUMMYFUNCTION("""COMPUTED_VALUE"""),42502.7055555555)</f>
        <v>42502.705555555498</v>
      </c>
      <c r="D1514" s="111">
        <f ca="1">IFERROR(__xludf.DUMMYFUNCTION("""COMPUTED_VALUE"""),19.78)</f>
        <v>19.78</v>
      </c>
      <c r="E1514" s="112">
        <f ca="1">IFERROR(__xludf.DUMMYFUNCTION("""COMPUTED_VALUE"""),42503.7055555555)</f>
        <v>42503.705555555498</v>
      </c>
      <c r="F1514" s="111">
        <f ca="1">IFERROR(__xludf.DUMMYFUNCTION("""COMPUTED_VALUE"""),6.63)</f>
        <v>6.63</v>
      </c>
      <c r="G1514" s="112">
        <f ca="1">IFERROR(__xludf.DUMMYFUNCTION("""COMPUTED_VALUE"""),42499.7055555555)</f>
        <v>42499.705555555498</v>
      </c>
      <c r="H1514" s="111">
        <f ca="1">IFERROR(__xludf.DUMMYFUNCTION("""COMPUTED_VALUE"""),9.48)</f>
        <v>9.48</v>
      </c>
      <c r="K1514" s="112">
        <f ca="1">IFERROR(__xludf.DUMMYFUNCTION("""COMPUTED_VALUE"""),42943.7055555555)</f>
        <v>42943.705555555498</v>
      </c>
      <c r="L1514" s="111">
        <f ca="1">IFERROR(__xludf.DUMMYFUNCTION("""COMPUTED_VALUE"""),1.36)</f>
        <v>1.36</v>
      </c>
      <c r="M1514" s="112">
        <f ca="1">IFERROR(__xludf.DUMMYFUNCTION("""COMPUTED_VALUE"""),42412.7055555555)</f>
        <v>42412.705555555498</v>
      </c>
      <c r="N1514" s="111">
        <f ca="1">IFERROR(__xludf.DUMMYFUNCTION("""COMPUTED_VALUE"""),9.99)</f>
        <v>9.99</v>
      </c>
      <c r="O1514" s="112">
        <f ca="1">IFERROR(__xludf.DUMMYFUNCTION("""COMPUTED_VALUE"""),42488.7055555555)</f>
        <v>42488.705555555498</v>
      </c>
      <c r="P1514" s="111">
        <f ca="1">IFERROR(__xludf.DUMMYFUNCTION("""COMPUTED_VALUE"""),19.79)</f>
        <v>19.79</v>
      </c>
      <c r="Q1514" s="112">
        <f ca="1">IFERROR(__xludf.DUMMYFUNCTION("""COMPUTED_VALUE"""),42487.7055555555)</f>
        <v>42487.705555555498</v>
      </c>
      <c r="R1514" s="111">
        <f ca="1">IFERROR(__xludf.DUMMYFUNCTION("""COMPUTED_VALUE"""),22.3)</f>
        <v>22.3</v>
      </c>
      <c r="S1514" s="112">
        <f ca="1">IFERROR(__xludf.DUMMYFUNCTION("""COMPUTED_VALUE"""),42499.7055555555)</f>
        <v>42499.705555555498</v>
      </c>
      <c r="T1514" s="111">
        <f ca="1">IFERROR(__xludf.DUMMYFUNCTION("""COMPUTED_VALUE"""),15.41)</f>
        <v>15.41</v>
      </c>
    </row>
    <row r="1515" spans="1:20" x14ac:dyDescent="0.3">
      <c r="A1515" s="112">
        <f ca="1">IFERROR(__xludf.DUMMYFUNCTION("""COMPUTED_VALUE"""),42496.7055555555)</f>
        <v>42496.705555555498</v>
      </c>
      <c r="B1515" s="111">
        <f ca="1">IFERROR(__xludf.DUMMYFUNCTION("""COMPUTED_VALUE"""),7.84)</f>
        <v>7.84</v>
      </c>
      <c r="C1515" s="112">
        <f ca="1">IFERROR(__xludf.DUMMYFUNCTION("""COMPUTED_VALUE"""),42503.7055555555)</f>
        <v>42503.705555555498</v>
      </c>
      <c r="D1515" s="111">
        <f ca="1">IFERROR(__xludf.DUMMYFUNCTION("""COMPUTED_VALUE"""),19.03)</f>
        <v>19.03</v>
      </c>
      <c r="E1515" s="112">
        <f ca="1">IFERROR(__xludf.DUMMYFUNCTION("""COMPUTED_VALUE"""),42506.7055555555)</f>
        <v>42506.705555555498</v>
      </c>
      <c r="F1515" s="111">
        <f ca="1">IFERROR(__xludf.DUMMYFUNCTION("""COMPUTED_VALUE"""),6.6)</f>
        <v>6.6</v>
      </c>
      <c r="G1515" s="112">
        <f ca="1">IFERROR(__xludf.DUMMYFUNCTION("""COMPUTED_VALUE"""),42500.7055555555)</f>
        <v>42500.705555555498</v>
      </c>
      <c r="H1515" s="111">
        <f ca="1">IFERROR(__xludf.DUMMYFUNCTION("""COMPUTED_VALUE"""),10.21)</f>
        <v>10.210000000000001</v>
      </c>
      <c r="K1515" s="112">
        <f ca="1">IFERROR(__xludf.DUMMYFUNCTION("""COMPUTED_VALUE"""),42944.7055555555)</f>
        <v>42944.705555555498</v>
      </c>
      <c r="L1515" s="111">
        <f ca="1">IFERROR(__xludf.DUMMYFUNCTION("""COMPUTED_VALUE"""),1.43)</f>
        <v>1.43</v>
      </c>
      <c r="M1515" s="112">
        <f ca="1">IFERROR(__xludf.DUMMYFUNCTION("""COMPUTED_VALUE"""),42415.7055555555)</f>
        <v>42415.705555555498</v>
      </c>
      <c r="N1515" s="111">
        <f ca="1">IFERROR(__xludf.DUMMYFUNCTION("""COMPUTED_VALUE"""),9.99)</f>
        <v>9.99</v>
      </c>
      <c r="O1515" s="112">
        <f ca="1">IFERROR(__xludf.DUMMYFUNCTION("""COMPUTED_VALUE"""),42489.7055555555)</f>
        <v>42489.705555555498</v>
      </c>
      <c r="P1515" s="111">
        <f ca="1">IFERROR(__xludf.DUMMYFUNCTION("""COMPUTED_VALUE"""),19.69)</f>
        <v>19.690000000000001</v>
      </c>
      <c r="Q1515" s="112">
        <f ca="1">IFERROR(__xludf.DUMMYFUNCTION("""COMPUTED_VALUE"""),42488.7055555555)</f>
        <v>42488.705555555498</v>
      </c>
      <c r="R1515" s="111">
        <f ca="1">IFERROR(__xludf.DUMMYFUNCTION("""COMPUTED_VALUE"""),21.75)</f>
        <v>21.75</v>
      </c>
      <c r="S1515" s="112">
        <f ca="1">IFERROR(__xludf.DUMMYFUNCTION("""COMPUTED_VALUE"""),42500.7055555555)</f>
        <v>42500.705555555498</v>
      </c>
      <c r="T1515" s="111">
        <f ca="1">IFERROR(__xludf.DUMMYFUNCTION("""COMPUTED_VALUE"""),15.97)</f>
        <v>15.97</v>
      </c>
    </row>
    <row r="1516" spans="1:20" x14ac:dyDescent="0.3">
      <c r="A1516" s="112">
        <f ca="1">IFERROR(__xludf.DUMMYFUNCTION("""COMPUTED_VALUE"""),42499.7055555555)</f>
        <v>42499.705555555498</v>
      </c>
      <c r="B1516" s="111">
        <f ca="1">IFERROR(__xludf.DUMMYFUNCTION("""COMPUTED_VALUE"""),7.61)</f>
        <v>7.61</v>
      </c>
      <c r="C1516" s="112">
        <f ca="1">IFERROR(__xludf.DUMMYFUNCTION("""COMPUTED_VALUE"""),42506.7055555555)</f>
        <v>42506.705555555498</v>
      </c>
      <c r="D1516" s="111">
        <f ca="1">IFERROR(__xludf.DUMMYFUNCTION("""COMPUTED_VALUE"""),18.74)</f>
        <v>18.739999999999998</v>
      </c>
      <c r="E1516" s="112">
        <f ca="1">IFERROR(__xludf.DUMMYFUNCTION("""COMPUTED_VALUE"""),42507.7055555555)</f>
        <v>42507.705555555498</v>
      </c>
      <c r="F1516" s="111">
        <f ca="1">IFERROR(__xludf.DUMMYFUNCTION("""COMPUTED_VALUE"""),6.39)</f>
        <v>6.39</v>
      </c>
      <c r="G1516" s="112">
        <f ca="1">IFERROR(__xludf.DUMMYFUNCTION("""COMPUTED_VALUE"""),42501.7055555555)</f>
        <v>42501.705555555498</v>
      </c>
      <c r="H1516" s="111">
        <f ca="1">IFERROR(__xludf.DUMMYFUNCTION("""COMPUTED_VALUE"""),10.25)</f>
        <v>10.25</v>
      </c>
      <c r="K1516" s="112">
        <f ca="1">IFERROR(__xludf.DUMMYFUNCTION("""COMPUTED_VALUE"""),42947.7055555555)</f>
        <v>42947.705555555498</v>
      </c>
      <c r="L1516" s="111">
        <f ca="1">IFERROR(__xludf.DUMMYFUNCTION("""COMPUTED_VALUE"""),1.43)</f>
        <v>1.43</v>
      </c>
      <c r="M1516" s="112">
        <f ca="1">IFERROR(__xludf.DUMMYFUNCTION("""COMPUTED_VALUE"""),42416.7055555555)</f>
        <v>42416.705555555498</v>
      </c>
      <c r="N1516" s="111">
        <f ca="1">IFERROR(__xludf.DUMMYFUNCTION("""COMPUTED_VALUE"""),10.34)</f>
        <v>10.34</v>
      </c>
      <c r="O1516" s="112">
        <f ca="1">IFERROR(__xludf.DUMMYFUNCTION("""COMPUTED_VALUE"""),42492.7055555555)</f>
        <v>42492.705555555498</v>
      </c>
      <c r="P1516" s="111">
        <f ca="1">IFERROR(__xludf.DUMMYFUNCTION("""COMPUTED_VALUE"""),19.87)</f>
        <v>19.87</v>
      </c>
      <c r="Q1516" s="112">
        <f ca="1">IFERROR(__xludf.DUMMYFUNCTION("""COMPUTED_VALUE"""),42489.7055555555)</f>
        <v>42489.705555555498</v>
      </c>
      <c r="R1516" s="111">
        <f ca="1">IFERROR(__xludf.DUMMYFUNCTION("""COMPUTED_VALUE"""),22.11)</f>
        <v>22.11</v>
      </c>
      <c r="S1516" s="112">
        <f ca="1">IFERROR(__xludf.DUMMYFUNCTION("""COMPUTED_VALUE"""),42501.7055555555)</f>
        <v>42501.705555555498</v>
      </c>
      <c r="T1516" s="111">
        <f ca="1">IFERROR(__xludf.DUMMYFUNCTION("""COMPUTED_VALUE"""),16)</f>
        <v>16</v>
      </c>
    </row>
    <row r="1517" spans="1:20" x14ac:dyDescent="0.3">
      <c r="A1517" s="112">
        <f ca="1">IFERROR(__xludf.DUMMYFUNCTION("""COMPUTED_VALUE"""),42500.7055555555)</f>
        <v>42500.705555555498</v>
      </c>
      <c r="B1517" s="111">
        <f ca="1">IFERROR(__xludf.DUMMYFUNCTION("""COMPUTED_VALUE"""),7.83)</f>
        <v>7.83</v>
      </c>
      <c r="C1517" s="112">
        <f ca="1">IFERROR(__xludf.DUMMYFUNCTION("""COMPUTED_VALUE"""),42507.7055555555)</f>
        <v>42507.705555555498</v>
      </c>
      <c r="D1517" s="111">
        <f ca="1">IFERROR(__xludf.DUMMYFUNCTION("""COMPUTED_VALUE"""),18.34)</f>
        <v>18.34</v>
      </c>
      <c r="E1517" s="112">
        <f ca="1">IFERROR(__xludf.DUMMYFUNCTION("""COMPUTED_VALUE"""),42508.7055555555)</f>
        <v>42508.705555555498</v>
      </c>
      <c r="F1517" s="111">
        <f ca="1">IFERROR(__xludf.DUMMYFUNCTION("""COMPUTED_VALUE"""),6.39)</f>
        <v>6.39</v>
      </c>
      <c r="G1517" s="112">
        <f ca="1">IFERROR(__xludf.DUMMYFUNCTION("""COMPUTED_VALUE"""),42502.7055555555)</f>
        <v>42502.705555555498</v>
      </c>
      <c r="H1517" s="111">
        <f ca="1">IFERROR(__xludf.DUMMYFUNCTION("""COMPUTED_VALUE"""),9.79)</f>
        <v>9.7899999999999991</v>
      </c>
      <c r="K1517" s="112">
        <f ca="1">IFERROR(__xludf.DUMMYFUNCTION("""COMPUTED_VALUE"""),42948.7055555555)</f>
        <v>42948.705555555498</v>
      </c>
      <c r="L1517" s="111">
        <f ca="1">IFERROR(__xludf.DUMMYFUNCTION("""COMPUTED_VALUE"""),1.45)</f>
        <v>1.45</v>
      </c>
      <c r="M1517" s="112">
        <f ca="1">IFERROR(__xludf.DUMMYFUNCTION("""COMPUTED_VALUE"""),42417.7055555555)</f>
        <v>42417.705555555498</v>
      </c>
      <c r="N1517" s="111">
        <f ca="1">IFERROR(__xludf.DUMMYFUNCTION("""COMPUTED_VALUE"""),10.46)</f>
        <v>10.46</v>
      </c>
      <c r="O1517" s="112">
        <f ca="1">IFERROR(__xludf.DUMMYFUNCTION("""COMPUTED_VALUE"""),42493.7055555555)</f>
        <v>42493.705555555498</v>
      </c>
      <c r="P1517" s="111">
        <f ca="1">IFERROR(__xludf.DUMMYFUNCTION("""COMPUTED_VALUE"""),18.66)</f>
        <v>18.66</v>
      </c>
      <c r="Q1517" s="112">
        <f ca="1">IFERROR(__xludf.DUMMYFUNCTION("""COMPUTED_VALUE"""),42492.7055555555)</f>
        <v>42492.705555555498</v>
      </c>
      <c r="R1517" s="111">
        <f ca="1">IFERROR(__xludf.DUMMYFUNCTION("""COMPUTED_VALUE"""),21.55)</f>
        <v>21.55</v>
      </c>
      <c r="S1517" s="112">
        <f ca="1">IFERROR(__xludf.DUMMYFUNCTION("""COMPUTED_VALUE"""),42502.7055555555)</f>
        <v>42502.705555555498</v>
      </c>
      <c r="T1517" s="111">
        <f ca="1">IFERROR(__xludf.DUMMYFUNCTION("""COMPUTED_VALUE"""),16.68)</f>
        <v>16.68</v>
      </c>
    </row>
    <row r="1518" spans="1:20" x14ac:dyDescent="0.3">
      <c r="A1518" s="112">
        <f ca="1">IFERROR(__xludf.DUMMYFUNCTION("""COMPUTED_VALUE"""),42501.7055555555)</f>
        <v>42501.705555555498</v>
      </c>
      <c r="B1518" s="111">
        <f ca="1">IFERROR(__xludf.DUMMYFUNCTION("""COMPUTED_VALUE"""),7.89)</f>
        <v>7.89</v>
      </c>
      <c r="C1518" s="112">
        <f ca="1">IFERROR(__xludf.DUMMYFUNCTION("""COMPUTED_VALUE"""),42508.7055555555)</f>
        <v>42508.705555555498</v>
      </c>
      <c r="D1518" s="111">
        <f ca="1">IFERROR(__xludf.DUMMYFUNCTION("""COMPUTED_VALUE"""),18.62)</f>
        <v>18.62</v>
      </c>
      <c r="E1518" s="112">
        <f ca="1">IFERROR(__xludf.DUMMYFUNCTION("""COMPUTED_VALUE"""),42509.7055555555)</f>
        <v>42509.705555555498</v>
      </c>
      <c r="F1518" s="111">
        <f ca="1">IFERROR(__xludf.DUMMYFUNCTION("""COMPUTED_VALUE"""),6.42)</f>
        <v>6.42</v>
      </c>
      <c r="G1518" s="112">
        <f ca="1">IFERROR(__xludf.DUMMYFUNCTION("""COMPUTED_VALUE"""),42503.7055555555)</f>
        <v>42503.705555555498</v>
      </c>
      <c r="H1518" s="111">
        <f ca="1">IFERROR(__xludf.DUMMYFUNCTION("""COMPUTED_VALUE"""),9.46)</f>
        <v>9.4600000000000009</v>
      </c>
      <c r="K1518" s="112">
        <f ca="1">IFERROR(__xludf.DUMMYFUNCTION("""COMPUTED_VALUE"""),42949.7055555555)</f>
        <v>42949.705555555498</v>
      </c>
      <c r="L1518" s="111">
        <f ca="1">IFERROR(__xludf.DUMMYFUNCTION("""COMPUTED_VALUE"""),1.45)</f>
        <v>1.45</v>
      </c>
      <c r="M1518" s="112">
        <f ca="1">IFERROR(__xludf.DUMMYFUNCTION("""COMPUTED_VALUE"""),42418.7055555555)</f>
        <v>42418.705555555498</v>
      </c>
      <c r="N1518" s="111">
        <f ca="1">IFERROR(__xludf.DUMMYFUNCTION("""COMPUTED_VALUE"""),10.25)</f>
        <v>10.25</v>
      </c>
      <c r="O1518" s="112">
        <f ca="1">IFERROR(__xludf.DUMMYFUNCTION("""COMPUTED_VALUE"""),42494.7055555555)</f>
        <v>42494.705555555498</v>
      </c>
      <c r="P1518" s="111">
        <f ca="1">IFERROR(__xludf.DUMMYFUNCTION("""COMPUTED_VALUE"""),17.4)</f>
        <v>17.399999999999999</v>
      </c>
      <c r="Q1518" s="112">
        <f ca="1">IFERROR(__xludf.DUMMYFUNCTION("""COMPUTED_VALUE"""),42493.7055555555)</f>
        <v>42493.705555555498</v>
      </c>
      <c r="R1518" s="111">
        <f ca="1">IFERROR(__xludf.DUMMYFUNCTION("""COMPUTED_VALUE"""),20.44)</f>
        <v>20.440000000000001</v>
      </c>
      <c r="S1518" s="112">
        <f ca="1">IFERROR(__xludf.DUMMYFUNCTION("""COMPUTED_VALUE"""),42503.7055555555)</f>
        <v>42503.705555555498</v>
      </c>
      <c r="T1518" s="111">
        <f ca="1">IFERROR(__xludf.DUMMYFUNCTION("""COMPUTED_VALUE"""),16.73)</f>
        <v>16.73</v>
      </c>
    </row>
    <row r="1519" spans="1:20" x14ac:dyDescent="0.3">
      <c r="A1519" s="112">
        <f ca="1">IFERROR(__xludf.DUMMYFUNCTION("""COMPUTED_VALUE"""),42502.7055555555)</f>
        <v>42502.705555555498</v>
      </c>
      <c r="B1519" s="111">
        <f ca="1">IFERROR(__xludf.DUMMYFUNCTION("""COMPUTED_VALUE"""),7.91)</f>
        <v>7.91</v>
      </c>
      <c r="C1519" s="112">
        <f ca="1">IFERROR(__xludf.DUMMYFUNCTION("""COMPUTED_VALUE"""),42509.7055555555)</f>
        <v>42509.705555555498</v>
      </c>
      <c r="D1519" s="111">
        <f ca="1">IFERROR(__xludf.DUMMYFUNCTION("""COMPUTED_VALUE"""),18.47)</f>
        <v>18.47</v>
      </c>
      <c r="E1519" s="112">
        <f ca="1">IFERROR(__xludf.DUMMYFUNCTION("""COMPUTED_VALUE"""),42510.7055555555)</f>
        <v>42510.705555555498</v>
      </c>
      <c r="F1519" s="111">
        <f ca="1">IFERROR(__xludf.DUMMYFUNCTION("""COMPUTED_VALUE"""),6.35)</f>
        <v>6.35</v>
      </c>
      <c r="G1519" s="112">
        <f ca="1">IFERROR(__xludf.DUMMYFUNCTION("""COMPUTED_VALUE"""),42506.7055555555)</f>
        <v>42506.705555555498</v>
      </c>
      <c r="H1519" s="111">
        <f ca="1">IFERROR(__xludf.DUMMYFUNCTION("""COMPUTED_VALUE"""),9.75)</f>
        <v>9.75</v>
      </c>
      <c r="K1519" s="112">
        <f ca="1">IFERROR(__xludf.DUMMYFUNCTION("""COMPUTED_VALUE"""),42950.7055555555)</f>
        <v>42950.705555555498</v>
      </c>
      <c r="L1519" s="111">
        <f ca="1">IFERROR(__xludf.DUMMYFUNCTION("""COMPUTED_VALUE"""),1.46)</f>
        <v>1.46</v>
      </c>
      <c r="M1519" s="112">
        <f ca="1">IFERROR(__xludf.DUMMYFUNCTION("""COMPUTED_VALUE"""),42419.7055555555)</f>
        <v>42419.705555555498</v>
      </c>
      <c r="N1519" s="111">
        <f ca="1">IFERROR(__xludf.DUMMYFUNCTION("""COMPUTED_VALUE"""),10.29)</f>
        <v>10.29</v>
      </c>
      <c r="O1519" s="112">
        <f ca="1">IFERROR(__xludf.DUMMYFUNCTION("""COMPUTED_VALUE"""),42495.7055555555)</f>
        <v>42495.705555555498</v>
      </c>
      <c r="P1519" s="111">
        <f ca="1">IFERROR(__xludf.DUMMYFUNCTION("""COMPUTED_VALUE"""),16.66)</f>
        <v>16.66</v>
      </c>
      <c r="Q1519" s="112">
        <f ca="1">IFERROR(__xludf.DUMMYFUNCTION("""COMPUTED_VALUE"""),42494.7055555555)</f>
        <v>42494.705555555498</v>
      </c>
      <c r="R1519" s="111">
        <f ca="1">IFERROR(__xludf.DUMMYFUNCTION("""COMPUTED_VALUE"""),20.88)</f>
        <v>20.88</v>
      </c>
      <c r="S1519" s="112">
        <f ca="1">IFERROR(__xludf.DUMMYFUNCTION("""COMPUTED_VALUE"""),42506.7055555555)</f>
        <v>42506.705555555498</v>
      </c>
      <c r="T1519" s="111">
        <f ca="1">IFERROR(__xludf.DUMMYFUNCTION("""COMPUTED_VALUE"""),16.72)</f>
        <v>16.72</v>
      </c>
    </row>
    <row r="1520" spans="1:20" x14ac:dyDescent="0.3">
      <c r="A1520" s="112">
        <f ca="1">IFERROR(__xludf.DUMMYFUNCTION("""COMPUTED_VALUE"""),42503.7055555555)</f>
        <v>42503.705555555498</v>
      </c>
      <c r="B1520" s="111">
        <f ca="1">IFERROR(__xludf.DUMMYFUNCTION("""COMPUTED_VALUE"""),7.9)</f>
        <v>7.9</v>
      </c>
      <c r="C1520" s="112">
        <f ca="1">IFERROR(__xludf.DUMMYFUNCTION("""COMPUTED_VALUE"""),42510.7055555555)</f>
        <v>42510.705555555498</v>
      </c>
      <c r="D1520" s="111">
        <f ca="1">IFERROR(__xludf.DUMMYFUNCTION("""COMPUTED_VALUE"""),18.23)</f>
        <v>18.23</v>
      </c>
      <c r="E1520" s="112">
        <f ca="1">IFERROR(__xludf.DUMMYFUNCTION("""COMPUTED_VALUE"""),42513.7055555555)</f>
        <v>42513.705555555498</v>
      </c>
      <c r="F1520" s="111">
        <f ca="1">IFERROR(__xludf.DUMMYFUNCTION("""COMPUTED_VALUE"""),6.36)</f>
        <v>6.36</v>
      </c>
      <c r="G1520" s="112">
        <f ca="1">IFERROR(__xludf.DUMMYFUNCTION("""COMPUTED_VALUE"""),42507.7055555555)</f>
        <v>42507.705555555498</v>
      </c>
      <c r="H1520" s="111">
        <f ca="1">IFERROR(__xludf.DUMMYFUNCTION("""COMPUTED_VALUE"""),9.5)</f>
        <v>9.5</v>
      </c>
      <c r="K1520" s="112">
        <f ca="1">IFERROR(__xludf.DUMMYFUNCTION("""COMPUTED_VALUE"""),42951.7055555555)</f>
        <v>42951.705555555498</v>
      </c>
      <c r="L1520" s="111">
        <f ca="1">IFERROR(__xludf.DUMMYFUNCTION("""COMPUTED_VALUE"""),1.54)</f>
        <v>1.54</v>
      </c>
      <c r="M1520" s="112">
        <f ca="1">IFERROR(__xludf.DUMMYFUNCTION("""COMPUTED_VALUE"""),42422.7055555555)</f>
        <v>42422.705555555498</v>
      </c>
      <c r="N1520" s="111">
        <f ca="1">IFERROR(__xludf.DUMMYFUNCTION("""COMPUTED_VALUE"""),10.82)</f>
        <v>10.82</v>
      </c>
      <c r="O1520" s="112">
        <f ca="1">IFERROR(__xludf.DUMMYFUNCTION("""COMPUTED_VALUE"""),42496.7055555555)</f>
        <v>42496.705555555498</v>
      </c>
      <c r="P1520" s="111">
        <f ca="1">IFERROR(__xludf.DUMMYFUNCTION("""COMPUTED_VALUE"""),16.88)</f>
        <v>16.88</v>
      </c>
      <c r="Q1520" s="112">
        <f ca="1">IFERROR(__xludf.DUMMYFUNCTION("""COMPUTED_VALUE"""),42495.7055555555)</f>
        <v>42495.705555555498</v>
      </c>
      <c r="R1520" s="111">
        <f ca="1">IFERROR(__xludf.DUMMYFUNCTION("""COMPUTED_VALUE"""),20.52)</f>
        <v>20.52</v>
      </c>
      <c r="S1520" s="112">
        <f ca="1">IFERROR(__xludf.DUMMYFUNCTION("""COMPUTED_VALUE"""),42507.7055555555)</f>
        <v>42507.705555555498</v>
      </c>
      <c r="T1520" s="111">
        <f ca="1">IFERROR(__xludf.DUMMYFUNCTION("""COMPUTED_VALUE"""),16.42)</f>
        <v>16.420000000000002</v>
      </c>
    </row>
    <row r="1521" spans="1:20" x14ac:dyDescent="0.3">
      <c r="A1521" s="112">
        <f ca="1">IFERROR(__xludf.DUMMYFUNCTION("""COMPUTED_VALUE"""),42506.7055555555)</f>
        <v>42506.705555555498</v>
      </c>
      <c r="B1521" s="111">
        <f ca="1">IFERROR(__xludf.DUMMYFUNCTION("""COMPUTED_VALUE"""),7.42)</f>
        <v>7.42</v>
      </c>
      <c r="C1521" s="112">
        <f ca="1">IFERROR(__xludf.DUMMYFUNCTION("""COMPUTED_VALUE"""),42513.7055555555)</f>
        <v>42513.705555555498</v>
      </c>
      <c r="D1521" s="111">
        <f ca="1">IFERROR(__xludf.DUMMYFUNCTION("""COMPUTED_VALUE"""),18.29)</f>
        <v>18.29</v>
      </c>
      <c r="E1521" s="112">
        <f ca="1">IFERROR(__xludf.DUMMYFUNCTION("""COMPUTED_VALUE"""),42514.7055555555)</f>
        <v>42514.705555555498</v>
      </c>
      <c r="F1521" s="111">
        <f ca="1">IFERROR(__xludf.DUMMYFUNCTION("""COMPUTED_VALUE"""),6.3)</f>
        <v>6.3</v>
      </c>
      <c r="G1521" s="112">
        <f ca="1">IFERROR(__xludf.DUMMYFUNCTION("""COMPUTED_VALUE"""),42508.7055555555)</f>
        <v>42508.705555555498</v>
      </c>
      <c r="H1521" s="111">
        <f ca="1">IFERROR(__xludf.DUMMYFUNCTION("""COMPUTED_VALUE"""),9.32)</f>
        <v>9.32</v>
      </c>
      <c r="K1521" s="112">
        <f ca="1">IFERROR(__xludf.DUMMYFUNCTION("""COMPUTED_VALUE"""),42954.7055555555)</f>
        <v>42954.705555555498</v>
      </c>
      <c r="L1521" s="111">
        <f ca="1">IFERROR(__xludf.DUMMYFUNCTION("""COMPUTED_VALUE"""),1.56)</f>
        <v>1.56</v>
      </c>
      <c r="M1521" s="112">
        <f ca="1">IFERROR(__xludf.DUMMYFUNCTION("""COMPUTED_VALUE"""),42423.7055555555)</f>
        <v>42423.705555555498</v>
      </c>
      <c r="N1521" s="111">
        <f ca="1">IFERROR(__xludf.DUMMYFUNCTION("""COMPUTED_VALUE"""),10.72)</f>
        <v>10.72</v>
      </c>
      <c r="O1521" s="112">
        <f ca="1">IFERROR(__xludf.DUMMYFUNCTION("""COMPUTED_VALUE"""),42499.7055555555)</f>
        <v>42499.705555555498</v>
      </c>
      <c r="P1521" s="111">
        <f ca="1">IFERROR(__xludf.DUMMYFUNCTION("""COMPUTED_VALUE"""),15.23)</f>
        <v>15.23</v>
      </c>
      <c r="Q1521" s="112">
        <f ca="1">IFERROR(__xludf.DUMMYFUNCTION("""COMPUTED_VALUE"""),42496.7055555555)</f>
        <v>42496.705555555498</v>
      </c>
      <c r="R1521" s="111">
        <f ca="1">IFERROR(__xludf.DUMMYFUNCTION("""COMPUTED_VALUE"""),20.69)</f>
        <v>20.69</v>
      </c>
      <c r="S1521" s="112">
        <f ca="1">IFERROR(__xludf.DUMMYFUNCTION("""COMPUTED_VALUE"""),42508.7055555555)</f>
        <v>42508.705555555498</v>
      </c>
      <c r="T1521" s="111">
        <f ca="1">IFERROR(__xludf.DUMMYFUNCTION("""COMPUTED_VALUE"""),16.21)</f>
        <v>16.21</v>
      </c>
    </row>
    <row r="1522" spans="1:20" x14ac:dyDescent="0.3">
      <c r="A1522" s="112">
        <f ca="1">IFERROR(__xludf.DUMMYFUNCTION("""COMPUTED_VALUE"""),42507.7055555555)</f>
        <v>42507.705555555498</v>
      </c>
      <c r="B1522" s="111">
        <f ca="1">IFERROR(__xludf.DUMMYFUNCTION("""COMPUTED_VALUE"""),6.92)</f>
        <v>6.92</v>
      </c>
      <c r="C1522" s="112">
        <f ca="1">IFERROR(__xludf.DUMMYFUNCTION("""COMPUTED_VALUE"""),42514.7055555555)</f>
        <v>42514.705555555498</v>
      </c>
      <c r="D1522" s="111">
        <f ca="1">IFERROR(__xludf.DUMMYFUNCTION("""COMPUTED_VALUE"""),18.27)</f>
        <v>18.27</v>
      </c>
      <c r="E1522" s="112">
        <f ca="1">IFERROR(__xludf.DUMMYFUNCTION("""COMPUTED_VALUE"""),42515.7055555555)</f>
        <v>42515.705555555498</v>
      </c>
      <c r="F1522" s="111">
        <f ca="1">IFERROR(__xludf.DUMMYFUNCTION("""COMPUTED_VALUE"""),6.29)</f>
        <v>6.29</v>
      </c>
      <c r="G1522" s="112">
        <f ca="1">IFERROR(__xludf.DUMMYFUNCTION("""COMPUTED_VALUE"""),42509.7055555555)</f>
        <v>42509.705555555498</v>
      </c>
      <c r="H1522" s="111">
        <f ca="1">IFERROR(__xludf.DUMMYFUNCTION("""COMPUTED_VALUE"""),8.96)</f>
        <v>8.9600000000000009</v>
      </c>
      <c r="K1522" s="112">
        <f ca="1">IFERROR(__xludf.DUMMYFUNCTION("""COMPUTED_VALUE"""),42955.7055555555)</f>
        <v>42955.705555555498</v>
      </c>
      <c r="L1522" s="111">
        <f ca="1">IFERROR(__xludf.DUMMYFUNCTION("""COMPUTED_VALUE"""),1.54)</f>
        <v>1.54</v>
      </c>
      <c r="M1522" s="112">
        <f ca="1">IFERROR(__xludf.DUMMYFUNCTION("""COMPUTED_VALUE"""),42424.7055555555)</f>
        <v>42424.705555555498</v>
      </c>
      <c r="N1522" s="111">
        <f ca="1">IFERROR(__xludf.DUMMYFUNCTION("""COMPUTED_VALUE"""),10.7)</f>
        <v>10.7</v>
      </c>
      <c r="O1522" s="112">
        <f ca="1">IFERROR(__xludf.DUMMYFUNCTION("""COMPUTED_VALUE"""),42500.7055555555)</f>
        <v>42500.705555555498</v>
      </c>
      <c r="P1522" s="111">
        <f ca="1">IFERROR(__xludf.DUMMYFUNCTION("""COMPUTED_VALUE"""),15.87)</f>
        <v>15.87</v>
      </c>
      <c r="Q1522" s="112">
        <f ca="1">IFERROR(__xludf.DUMMYFUNCTION("""COMPUTED_VALUE"""),42499.7055555555)</f>
        <v>42499.705555555498</v>
      </c>
      <c r="R1522" s="111">
        <f ca="1">IFERROR(__xludf.DUMMYFUNCTION("""COMPUTED_VALUE"""),20.25)</f>
        <v>20.25</v>
      </c>
      <c r="S1522" s="112">
        <f ca="1">IFERROR(__xludf.DUMMYFUNCTION("""COMPUTED_VALUE"""),42509.7055555555)</f>
        <v>42509.705555555498</v>
      </c>
      <c r="T1522" s="111">
        <f ca="1">IFERROR(__xludf.DUMMYFUNCTION("""COMPUTED_VALUE"""),15.95)</f>
        <v>15.95</v>
      </c>
    </row>
    <row r="1523" spans="1:20" x14ac:dyDescent="0.3">
      <c r="A1523" s="112">
        <f ca="1">IFERROR(__xludf.DUMMYFUNCTION("""COMPUTED_VALUE"""),42508.7055555555)</f>
        <v>42508.705555555498</v>
      </c>
      <c r="B1523" s="111">
        <f ca="1">IFERROR(__xludf.DUMMYFUNCTION("""COMPUTED_VALUE"""),6.87)</f>
        <v>6.87</v>
      </c>
      <c r="C1523" s="112">
        <f ca="1">IFERROR(__xludf.DUMMYFUNCTION("""COMPUTED_VALUE"""),42515.7055555555)</f>
        <v>42515.705555555498</v>
      </c>
      <c r="D1523" s="111">
        <f ca="1">IFERROR(__xludf.DUMMYFUNCTION("""COMPUTED_VALUE"""),18.19)</f>
        <v>18.190000000000001</v>
      </c>
      <c r="E1523" s="112">
        <f ca="1">IFERROR(__xludf.DUMMYFUNCTION("""COMPUTED_VALUE"""),42517.7055555555)</f>
        <v>42517.705555555498</v>
      </c>
      <c r="F1523" s="111">
        <f ca="1">IFERROR(__xludf.DUMMYFUNCTION("""COMPUTED_VALUE"""),6.29)</f>
        <v>6.29</v>
      </c>
      <c r="G1523" s="112">
        <f ca="1">IFERROR(__xludf.DUMMYFUNCTION("""COMPUTED_VALUE"""),42510.7055555555)</f>
        <v>42510.705555555498</v>
      </c>
      <c r="H1523" s="111">
        <f ca="1">IFERROR(__xludf.DUMMYFUNCTION("""COMPUTED_VALUE"""),8.9)</f>
        <v>8.9</v>
      </c>
      <c r="K1523" s="112">
        <f ca="1">IFERROR(__xludf.DUMMYFUNCTION("""COMPUTED_VALUE"""),42956.7055555555)</f>
        <v>42956.705555555498</v>
      </c>
      <c r="L1523" s="111">
        <f ca="1">IFERROR(__xludf.DUMMYFUNCTION("""COMPUTED_VALUE"""),1.58)</f>
        <v>1.58</v>
      </c>
      <c r="M1523" s="112">
        <f ca="1">IFERROR(__xludf.DUMMYFUNCTION("""COMPUTED_VALUE"""),42425.7055555555)</f>
        <v>42425.705555555498</v>
      </c>
      <c r="N1523" s="111">
        <f ca="1">IFERROR(__xludf.DUMMYFUNCTION("""COMPUTED_VALUE"""),10.67)</f>
        <v>10.67</v>
      </c>
      <c r="O1523" s="112">
        <f ca="1">IFERROR(__xludf.DUMMYFUNCTION("""COMPUTED_VALUE"""),42501.7055555555)</f>
        <v>42501.705555555498</v>
      </c>
      <c r="P1523" s="111">
        <f ca="1">IFERROR(__xludf.DUMMYFUNCTION("""COMPUTED_VALUE"""),15.94)</f>
        <v>15.94</v>
      </c>
      <c r="Q1523" s="112">
        <f ca="1">IFERROR(__xludf.DUMMYFUNCTION("""COMPUTED_VALUE"""),42500.7055555555)</f>
        <v>42500.705555555498</v>
      </c>
      <c r="R1523" s="111">
        <f ca="1">IFERROR(__xludf.DUMMYFUNCTION("""COMPUTED_VALUE"""),21.45)</f>
        <v>21.45</v>
      </c>
      <c r="S1523" s="112">
        <f ca="1">IFERROR(__xludf.DUMMYFUNCTION("""COMPUTED_VALUE"""),42510.7055555555)</f>
        <v>42510.705555555498</v>
      </c>
      <c r="T1523" s="111">
        <f ca="1">IFERROR(__xludf.DUMMYFUNCTION("""COMPUTED_VALUE"""),16.19)</f>
        <v>16.190000000000001</v>
      </c>
    </row>
    <row r="1524" spans="1:20" x14ac:dyDescent="0.3">
      <c r="A1524" s="112">
        <f ca="1">IFERROR(__xludf.DUMMYFUNCTION("""COMPUTED_VALUE"""),42509.7055555555)</f>
        <v>42509.705555555498</v>
      </c>
      <c r="B1524" s="111">
        <f ca="1">IFERROR(__xludf.DUMMYFUNCTION("""COMPUTED_VALUE"""),6.92)</f>
        <v>6.92</v>
      </c>
      <c r="C1524" s="112">
        <f ca="1">IFERROR(__xludf.DUMMYFUNCTION("""COMPUTED_VALUE"""),42517.7055555555)</f>
        <v>42517.705555555498</v>
      </c>
      <c r="D1524" s="111">
        <f ca="1">IFERROR(__xludf.DUMMYFUNCTION("""COMPUTED_VALUE"""),18.01)</f>
        <v>18.010000000000002</v>
      </c>
      <c r="E1524" s="112">
        <f ca="1">IFERROR(__xludf.DUMMYFUNCTION("""COMPUTED_VALUE"""),42520.7055555555)</f>
        <v>42520.705555555498</v>
      </c>
      <c r="F1524" s="111">
        <f ca="1">IFERROR(__xludf.DUMMYFUNCTION("""COMPUTED_VALUE"""),6.29)</f>
        <v>6.29</v>
      </c>
      <c r="G1524" s="112">
        <f ca="1">IFERROR(__xludf.DUMMYFUNCTION("""COMPUTED_VALUE"""),42513.7055555555)</f>
        <v>42513.705555555498</v>
      </c>
      <c r="H1524" s="111">
        <f ca="1">IFERROR(__xludf.DUMMYFUNCTION("""COMPUTED_VALUE"""),8.5)</f>
        <v>8.5</v>
      </c>
      <c r="K1524" s="112">
        <f ca="1">IFERROR(__xludf.DUMMYFUNCTION("""COMPUTED_VALUE"""),42957.7055555555)</f>
        <v>42957.705555555498</v>
      </c>
      <c r="L1524" s="111">
        <f ca="1">IFERROR(__xludf.DUMMYFUNCTION("""COMPUTED_VALUE"""),1.55)</f>
        <v>1.55</v>
      </c>
      <c r="M1524" s="112">
        <f ca="1">IFERROR(__xludf.DUMMYFUNCTION("""COMPUTED_VALUE"""),42426.7055555555)</f>
        <v>42426.705555555498</v>
      </c>
      <c r="N1524" s="111">
        <f ca="1">IFERROR(__xludf.DUMMYFUNCTION("""COMPUTED_VALUE"""),10.7)</f>
        <v>10.7</v>
      </c>
      <c r="O1524" s="112">
        <f ca="1">IFERROR(__xludf.DUMMYFUNCTION("""COMPUTED_VALUE"""),42502.7055555555)</f>
        <v>42502.705555555498</v>
      </c>
      <c r="P1524" s="111">
        <f ca="1">IFERROR(__xludf.DUMMYFUNCTION("""COMPUTED_VALUE"""),15.44)</f>
        <v>15.44</v>
      </c>
      <c r="Q1524" s="112">
        <f ca="1">IFERROR(__xludf.DUMMYFUNCTION("""COMPUTED_VALUE"""),42501.7055555555)</f>
        <v>42501.705555555498</v>
      </c>
      <c r="R1524" s="111">
        <f ca="1">IFERROR(__xludf.DUMMYFUNCTION("""COMPUTED_VALUE"""),20.48)</f>
        <v>20.48</v>
      </c>
      <c r="S1524" s="112">
        <f ca="1">IFERROR(__xludf.DUMMYFUNCTION("""COMPUTED_VALUE"""),42513.7055555555)</f>
        <v>42513.705555555498</v>
      </c>
      <c r="T1524" s="111">
        <f ca="1">IFERROR(__xludf.DUMMYFUNCTION("""COMPUTED_VALUE"""),16.15)</f>
        <v>16.149999999999999</v>
      </c>
    </row>
    <row r="1525" spans="1:20" x14ac:dyDescent="0.3">
      <c r="A1525" s="112">
        <f ca="1">IFERROR(__xludf.DUMMYFUNCTION("""COMPUTED_VALUE"""),42510.7055555555)</f>
        <v>42510.705555555498</v>
      </c>
      <c r="B1525" s="111">
        <f ca="1">IFERROR(__xludf.DUMMYFUNCTION("""COMPUTED_VALUE"""),7.47)</f>
        <v>7.47</v>
      </c>
      <c r="C1525" s="112">
        <f ca="1">IFERROR(__xludf.DUMMYFUNCTION("""COMPUTED_VALUE"""),42520.7055555555)</f>
        <v>42520.705555555498</v>
      </c>
      <c r="D1525" s="111">
        <f ca="1">IFERROR(__xludf.DUMMYFUNCTION("""COMPUTED_VALUE"""),18)</f>
        <v>18</v>
      </c>
      <c r="E1525" s="112">
        <f ca="1">IFERROR(__xludf.DUMMYFUNCTION("""COMPUTED_VALUE"""),42521.7055555555)</f>
        <v>42521.705555555498</v>
      </c>
      <c r="F1525" s="111">
        <f ca="1">IFERROR(__xludf.DUMMYFUNCTION("""COMPUTED_VALUE"""),6.18)</f>
        <v>6.18</v>
      </c>
      <c r="G1525" s="112">
        <f ca="1">IFERROR(__xludf.DUMMYFUNCTION("""COMPUTED_VALUE"""),42514.7055555555)</f>
        <v>42514.705555555498</v>
      </c>
      <c r="H1525" s="111">
        <f ca="1">IFERROR(__xludf.DUMMYFUNCTION("""COMPUTED_VALUE"""),8.53)</f>
        <v>8.5299999999999994</v>
      </c>
      <c r="K1525" s="112">
        <f ca="1">IFERROR(__xludf.DUMMYFUNCTION("""COMPUTED_VALUE"""),42958.7055555555)</f>
        <v>42958.705555555498</v>
      </c>
      <c r="L1525" s="111">
        <f ca="1">IFERROR(__xludf.DUMMYFUNCTION("""COMPUTED_VALUE"""),1.62)</f>
        <v>1.62</v>
      </c>
      <c r="M1525" s="112">
        <f ca="1">IFERROR(__xludf.DUMMYFUNCTION("""COMPUTED_VALUE"""),42429.7055555555)</f>
        <v>42429.705555555498</v>
      </c>
      <c r="N1525" s="111">
        <f ca="1">IFERROR(__xludf.DUMMYFUNCTION("""COMPUTED_VALUE"""),11.04)</f>
        <v>11.04</v>
      </c>
      <c r="O1525" s="112">
        <f ca="1">IFERROR(__xludf.DUMMYFUNCTION("""COMPUTED_VALUE"""),42503.7055555555)</f>
        <v>42503.705555555498</v>
      </c>
      <c r="P1525" s="111">
        <f ca="1">IFERROR(__xludf.DUMMYFUNCTION("""COMPUTED_VALUE"""),14.68)</f>
        <v>14.68</v>
      </c>
      <c r="Q1525" s="112">
        <f ca="1">IFERROR(__xludf.DUMMYFUNCTION("""COMPUTED_VALUE"""),42502.7055555555)</f>
        <v>42502.705555555498</v>
      </c>
      <c r="R1525" s="111">
        <f ca="1">IFERROR(__xludf.DUMMYFUNCTION("""COMPUTED_VALUE"""),19.9)</f>
        <v>19.899999999999999</v>
      </c>
      <c r="S1525" s="112">
        <f ca="1">IFERROR(__xludf.DUMMYFUNCTION("""COMPUTED_VALUE"""),42514.7055555555)</f>
        <v>42514.705555555498</v>
      </c>
      <c r="T1525" s="111">
        <f ca="1">IFERROR(__xludf.DUMMYFUNCTION("""COMPUTED_VALUE"""),16.08)</f>
        <v>16.079999999999998</v>
      </c>
    </row>
    <row r="1526" spans="1:20" x14ac:dyDescent="0.3">
      <c r="A1526" s="112">
        <f ca="1">IFERROR(__xludf.DUMMYFUNCTION("""COMPUTED_VALUE"""),42513.7055555555)</f>
        <v>42513.705555555498</v>
      </c>
      <c r="B1526" s="111">
        <f ca="1">IFERROR(__xludf.DUMMYFUNCTION("""COMPUTED_VALUE"""),7.55)</f>
        <v>7.55</v>
      </c>
      <c r="C1526" s="112">
        <f ca="1">IFERROR(__xludf.DUMMYFUNCTION("""COMPUTED_VALUE"""),42521.7055555555)</f>
        <v>42521.705555555498</v>
      </c>
      <c r="D1526" s="111">
        <f ca="1">IFERROR(__xludf.DUMMYFUNCTION("""COMPUTED_VALUE"""),17.61)</f>
        <v>17.61</v>
      </c>
      <c r="E1526" s="112">
        <f ca="1">IFERROR(__xludf.DUMMYFUNCTION("""COMPUTED_VALUE"""),42522.7055555555)</f>
        <v>42522.705555555498</v>
      </c>
      <c r="F1526" s="111">
        <f ca="1">IFERROR(__xludf.DUMMYFUNCTION("""COMPUTED_VALUE"""),6.3)</f>
        <v>6.3</v>
      </c>
      <c r="G1526" s="112">
        <f ca="1">IFERROR(__xludf.DUMMYFUNCTION("""COMPUTED_VALUE"""),42515.7055555555)</f>
        <v>42515.705555555498</v>
      </c>
      <c r="H1526" s="111">
        <f ca="1">IFERROR(__xludf.DUMMYFUNCTION("""COMPUTED_VALUE"""),8.67)</f>
        <v>8.67</v>
      </c>
      <c r="K1526" s="112">
        <f ca="1">IFERROR(__xludf.DUMMYFUNCTION("""COMPUTED_VALUE"""),42961.7055555555)</f>
        <v>42961.705555555498</v>
      </c>
      <c r="L1526" s="111">
        <f ca="1">IFERROR(__xludf.DUMMYFUNCTION("""COMPUTED_VALUE"""),1.74)</f>
        <v>1.74</v>
      </c>
      <c r="M1526" s="112">
        <f ca="1">IFERROR(__xludf.DUMMYFUNCTION("""COMPUTED_VALUE"""),42430.7055555555)</f>
        <v>42430.705555555498</v>
      </c>
      <c r="N1526" s="111">
        <f ca="1">IFERROR(__xludf.DUMMYFUNCTION("""COMPUTED_VALUE"""),11.35)</f>
        <v>11.35</v>
      </c>
      <c r="O1526" s="112">
        <f ca="1">IFERROR(__xludf.DUMMYFUNCTION("""COMPUTED_VALUE"""),42506.7055555555)</f>
        <v>42506.705555555498</v>
      </c>
      <c r="P1526" s="111">
        <f ca="1">IFERROR(__xludf.DUMMYFUNCTION("""COMPUTED_VALUE"""),14.93)</f>
        <v>14.93</v>
      </c>
      <c r="Q1526" s="112">
        <f ca="1">IFERROR(__xludf.DUMMYFUNCTION("""COMPUTED_VALUE"""),42503.7055555555)</f>
        <v>42503.705555555498</v>
      </c>
      <c r="R1526" s="111">
        <f ca="1">IFERROR(__xludf.DUMMYFUNCTION("""COMPUTED_VALUE"""),19.36)</f>
        <v>19.36</v>
      </c>
      <c r="S1526" s="112">
        <f ca="1">IFERROR(__xludf.DUMMYFUNCTION("""COMPUTED_VALUE"""),42515.7055555555)</f>
        <v>42515.705555555498</v>
      </c>
      <c r="T1526" s="111">
        <f ca="1">IFERROR(__xludf.DUMMYFUNCTION("""COMPUTED_VALUE"""),15.55)</f>
        <v>15.55</v>
      </c>
    </row>
    <row r="1527" spans="1:20" x14ac:dyDescent="0.3">
      <c r="A1527" s="112">
        <f ca="1">IFERROR(__xludf.DUMMYFUNCTION("""COMPUTED_VALUE"""),42514.7055555555)</f>
        <v>42514.705555555498</v>
      </c>
      <c r="B1527" s="111">
        <f ca="1">IFERROR(__xludf.DUMMYFUNCTION("""COMPUTED_VALUE"""),7.64)</f>
        <v>7.64</v>
      </c>
      <c r="C1527" s="112">
        <f ca="1">IFERROR(__xludf.DUMMYFUNCTION("""COMPUTED_VALUE"""),42522.7055555555)</f>
        <v>42522.705555555498</v>
      </c>
      <c r="D1527" s="111">
        <f ca="1">IFERROR(__xludf.DUMMYFUNCTION("""COMPUTED_VALUE"""),17.86)</f>
        <v>17.86</v>
      </c>
      <c r="E1527" s="112">
        <f ca="1">IFERROR(__xludf.DUMMYFUNCTION("""COMPUTED_VALUE"""),42523.7055555555)</f>
        <v>42523.705555555498</v>
      </c>
      <c r="F1527" s="111">
        <f ca="1">IFERROR(__xludf.DUMMYFUNCTION("""COMPUTED_VALUE"""),6.32)</f>
        <v>6.32</v>
      </c>
      <c r="G1527" s="112">
        <f ca="1">IFERROR(__xludf.DUMMYFUNCTION("""COMPUTED_VALUE"""),42517.7055555555)</f>
        <v>42517.705555555498</v>
      </c>
      <c r="H1527" s="111">
        <f ca="1">IFERROR(__xludf.DUMMYFUNCTION("""COMPUTED_VALUE"""),8.23)</f>
        <v>8.23</v>
      </c>
      <c r="K1527" s="112">
        <f ca="1">IFERROR(__xludf.DUMMYFUNCTION("""COMPUTED_VALUE"""),42962.7055555555)</f>
        <v>42962.705555555498</v>
      </c>
      <c r="L1527" s="111">
        <f ca="1">IFERROR(__xludf.DUMMYFUNCTION("""COMPUTED_VALUE"""),1.77)</f>
        <v>1.77</v>
      </c>
      <c r="M1527" s="112">
        <f ca="1">IFERROR(__xludf.DUMMYFUNCTION("""COMPUTED_VALUE"""),42431.7055555555)</f>
        <v>42431.705555555498</v>
      </c>
      <c r="N1527" s="111">
        <f ca="1">IFERROR(__xludf.DUMMYFUNCTION("""COMPUTED_VALUE"""),11.59)</f>
        <v>11.59</v>
      </c>
      <c r="O1527" s="112">
        <f ca="1">IFERROR(__xludf.DUMMYFUNCTION("""COMPUTED_VALUE"""),42507.7055555555)</f>
        <v>42507.705555555498</v>
      </c>
      <c r="P1527" s="111">
        <f ca="1">IFERROR(__xludf.DUMMYFUNCTION("""COMPUTED_VALUE"""),15.13)</f>
        <v>15.13</v>
      </c>
      <c r="Q1527" s="112">
        <f ca="1">IFERROR(__xludf.DUMMYFUNCTION("""COMPUTED_VALUE"""),42506.7055555555)</f>
        <v>42506.705555555498</v>
      </c>
      <c r="R1527" s="111">
        <f ca="1">IFERROR(__xludf.DUMMYFUNCTION("""COMPUTED_VALUE"""),19.06)</f>
        <v>19.059999999999999</v>
      </c>
      <c r="S1527" s="112">
        <f ca="1">IFERROR(__xludf.DUMMYFUNCTION("""COMPUTED_VALUE"""),42517.7055555555)</f>
        <v>42517.705555555498</v>
      </c>
      <c r="T1527" s="111">
        <f ca="1">IFERROR(__xludf.DUMMYFUNCTION("""COMPUTED_VALUE"""),15.45)</f>
        <v>15.45</v>
      </c>
    </row>
    <row r="1528" spans="1:20" x14ac:dyDescent="0.3">
      <c r="A1528" s="112">
        <f ca="1">IFERROR(__xludf.DUMMYFUNCTION("""COMPUTED_VALUE"""),42515.7055555555)</f>
        <v>42515.705555555498</v>
      </c>
      <c r="B1528" s="111">
        <f ca="1">IFERROR(__xludf.DUMMYFUNCTION("""COMPUTED_VALUE"""),7.78)</f>
        <v>7.78</v>
      </c>
      <c r="C1528" s="112">
        <f ca="1">IFERROR(__xludf.DUMMYFUNCTION("""COMPUTED_VALUE"""),42523.7055555555)</f>
        <v>42523.705555555498</v>
      </c>
      <c r="D1528" s="111">
        <f ca="1">IFERROR(__xludf.DUMMYFUNCTION("""COMPUTED_VALUE"""),18.13)</f>
        <v>18.13</v>
      </c>
      <c r="E1528" s="112">
        <f ca="1">IFERROR(__xludf.DUMMYFUNCTION("""COMPUTED_VALUE"""),42524.7055555555)</f>
        <v>42524.705555555498</v>
      </c>
      <c r="F1528" s="111">
        <f ca="1">IFERROR(__xludf.DUMMYFUNCTION("""COMPUTED_VALUE"""),6.36)</f>
        <v>6.36</v>
      </c>
      <c r="G1528" s="112">
        <f ca="1">IFERROR(__xludf.DUMMYFUNCTION("""COMPUTED_VALUE"""),42520.7055555555)</f>
        <v>42520.705555555498</v>
      </c>
      <c r="H1528" s="111">
        <f ca="1">IFERROR(__xludf.DUMMYFUNCTION("""COMPUTED_VALUE"""),8.38)</f>
        <v>8.3800000000000008</v>
      </c>
      <c r="K1528" s="112">
        <f ca="1">IFERROR(__xludf.DUMMYFUNCTION("""COMPUTED_VALUE"""),42963.7055555555)</f>
        <v>42963.705555555498</v>
      </c>
      <c r="L1528" s="111">
        <f ca="1">IFERROR(__xludf.DUMMYFUNCTION("""COMPUTED_VALUE"""),1.91)</f>
        <v>1.91</v>
      </c>
      <c r="M1528" s="112">
        <f ca="1">IFERROR(__xludf.DUMMYFUNCTION("""COMPUTED_VALUE"""),42432.7055555555)</f>
        <v>42432.705555555498</v>
      </c>
      <c r="N1528" s="111">
        <f ca="1">IFERROR(__xludf.DUMMYFUNCTION("""COMPUTED_VALUE"""),12.63)</f>
        <v>12.63</v>
      </c>
      <c r="O1528" s="112">
        <f ca="1">IFERROR(__xludf.DUMMYFUNCTION("""COMPUTED_VALUE"""),42508.7055555555)</f>
        <v>42508.705555555498</v>
      </c>
      <c r="P1528" s="111">
        <f ca="1">IFERROR(__xludf.DUMMYFUNCTION("""COMPUTED_VALUE"""),14.71)</f>
        <v>14.71</v>
      </c>
      <c r="Q1528" s="112">
        <f ca="1">IFERROR(__xludf.DUMMYFUNCTION("""COMPUTED_VALUE"""),42507.7055555555)</f>
        <v>42507.705555555498</v>
      </c>
      <c r="R1528" s="111">
        <f ca="1">IFERROR(__xludf.DUMMYFUNCTION("""COMPUTED_VALUE"""),18.14)</f>
        <v>18.14</v>
      </c>
      <c r="S1528" s="112">
        <f ca="1">IFERROR(__xludf.DUMMYFUNCTION("""COMPUTED_VALUE"""),42520.7055555555)</f>
        <v>42520.705555555498</v>
      </c>
      <c r="T1528" s="111">
        <f ca="1">IFERROR(__xludf.DUMMYFUNCTION("""COMPUTED_VALUE"""),15.4)</f>
        <v>15.4</v>
      </c>
    </row>
    <row r="1529" spans="1:20" x14ac:dyDescent="0.3">
      <c r="A1529" s="112">
        <f ca="1">IFERROR(__xludf.DUMMYFUNCTION("""COMPUTED_VALUE"""),42517.7055555555)</f>
        <v>42517.705555555498</v>
      </c>
      <c r="B1529" s="111">
        <f ca="1">IFERROR(__xludf.DUMMYFUNCTION("""COMPUTED_VALUE"""),7.87)</f>
        <v>7.87</v>
      </c>
      <c r="C1529" s="112">
        <f ca="1">IFERROR(__xludf.DUMMYFUNCTION("""COMPUTED_VALUE"""),42524.7055555555)</f>
        <v>42524.705555555498</v>
      </c>
      <c r="D1529" s="111">
        <f ca="1">IFERROR(__xludf.DUMMYFUNCTION("""COMPUTED_VALUE"""),18.11)</f>
        <v>18.11</v>
      </c>
      <c r="E1529" s="112">
        <f ca="1">IFERROR(__xludf.DUMMYFUNCTION("""COMPUTED_VALUE"""),42527.7055555555)</f>
        <v>42527.705555555498</v>
      </c>
      <c r="F1529" s="111">
        <f ca="1">IFERROR(__xludf.DUMMYFUNCTION("""COMPUTED_VALUE"""),6.28)</f>
        <v>6.28</v>
      </c>
      <c r="G1529" s="112">
        <f ca="1">IFERROR(__xludf.DUMMYFUNCTION("""COMPUTED_VALUE"""),42521.7055555555)</f>
        <v>42521.705555555498</v>
      </c>
      <c r="H1529" s="111">
        <f ca="1">IFERROR(__xludf.DUMMYFUNCTION("""COMPUTED_VALUE"""),8.04)</f>
        <v>8.0399999999999991</v>
      </c>
      <c r="K1529" s="112">
        <f ca="1">IFERROR(__xludf.DUMMYFUNCTION("""COMPUTED_VALUE"""),42964.7055555555)</f>
        <v>42964.705555555498</v>
      </c>
      <c r="L1529" s="111">
        <f ca="1">IFERROR(__xludf.DUMMYFUNCTION("""COMPUTED_VALUE"""),1.76)</f>
        <v>1.76</v>
      </c>
      <c r="M1529" s="112">
        <f ca="1">IFERROR(__xludf.DUMMYFUNCTION("""COMPUTED_VALUE"""),42436.7055555555)</f>
        <v>42436.705555555498</v>
      </c>
      <c r="N1529" s="111">
        <f ca="1">IFERROR(__xludf.DUMMYFUNCTION("""COMPUTED_VALUE"""),13.54)</f>
        <v>13.54</v>
      </c>
      <c r="O1529" s="112">
        <f ca="1">IFERROR(__xludf.DUMMYFUNCTION("""COMPUTED_VALUE"""),42509.7055555555)</f>
        <v>42509.705555555498</v>
      </c>
      <c r="P1529" s="111">
        <f ca="1">IFERROR(__xludf.DUMMYFUNCTION("""COMPUTED_VALUE"""),14.89)</f>
        <v>14.89</v>
      </c>
      <c r="Q1529" s="112">
        <f ca="1">IFERROR(__xludf.DUMMYFUNCTION("""COMPUTED_VALUE"""),42508.7055555555)</f>
        <v>42508.705555555498</v>
      </c>
      <c r="R1529" s="111">
        <f ca="1">IFERROR(__xludf.DUMMYFUNCTION("""COMPUTED_VALUE"""),18.16)</f>
        <v>18.16</v>
      </c>
      <c r="S1529" s="112">
        <f ca="1">IFERROR(__xludf.DUMMYFUNCTION("""COMPUTED_VALUE"""),42521.7055555555)</f>
        <v>42521.705555555498</v>
      </c>
      <c r="T1529" s="111">
        <f ca="1">IFERROR(__xludf.DUMMYFUNCTION("""COMPUTED_VALUE"""),15.7)</f>
        <v>15.7</v>
      </c>
    </row>
    <row r="1530" spans="1:20" x14ac:dyDescent="0.3">
      <c r="A1530" s="112">
        <f ca="1">IFERROR(__xludf.DUMMYFUNCTION("""COMPUTED_VALUE"""),42520.7055555555)</f>
        <v>42520.705555555498</v>
      </c>
      <c r="B1530" s="111">
        <f ca="1">IFERROR(__xludf.DUMMYFUNCTION("""COMPUTED_VALUE"""),7.82)</f>
        <v>7.82</v>
      </c>
      <c r="C1530" s="112">
        <f ca="1">IFERROR(__xludf.DUMMYFUNCTION("""COMPUTED_VALUE"""),42527.7055555555)</f>
        <v>42527.705555555498</v>
      </c>
      <c r="D1530" s="111">
        <f ca="1">IFERROR(__xludf.DUMMYFUNCTION("""COMPUTED_VALUE"""),17.93)</f>
        <v>17.93</v>
      </c>
      <c r="E1530" s="112">
        <f ca="1">IFERROR(__xludf.DUMMYFUNCTION("""COMPUTED_VALUE"""),42528.7055555555)</f>
        <v>42528.705555555498</v>
      </c>
      <c r="F1530" s="111">
        <f ca="1">IFERROR(__xludf.DUMMYFUNCTION("""COMPUTED_VALUE"""),6.39)</f>
        <v>6.39</v>
      </c>
      <c r="G1530" s="112">
        <f ca="1">IFERROR(__xludf.DUMMYFUNCTION("""COMPUTED_VALUE"""),42522.7055555555)</f>
        <v>42522.705555555498</v>
      </c>
      <c r="H1530" s="111">
        <f ca="1">IFERROR(__xludf.DUMMYFUNCTION("""COMPUTED_VALUE"""),8.18)</f>
        <v>8.18</v>
      </c>
      <c r="K1530" s="112">
        <f ca="1">IFERROR(__xludf.DUMMYFUNCTION("""COMPUTED_VALUE"""),42965.7055555555)</f>
        <v>42965.705555555498</v>
      </c>
      <c r="L1530" s="111">
        <f ca="1">IFERROR(__xludf.DUMMYFUNCTION("""COMPUTED_VALUE"""),1.79)</f>
        <v>1.79</v>
      </c>
      <c r="M1530" s="112">
        <f ca="1">IFERROR(__xludf.DUMMYFUNCTION("""COMPUTED_VALUE"""),42437.7055555555)</f>
        <v>42437.705555555498</v>
      </c>
      <c r="N1530" s="111">
        <f ca="1">IFERROR(__xludf.DUMMYFUNCTION("""COMPUTED_VALUE"""),13.6)</f>
        <v>13.6</v>
      </c>
      <c r="O1530" s="112">
        <f ca="1">IFERROR(__xludf.DUMMYFUNCTION("""COMPUTED_VALUE"""),42510.7055555555)</f>
        <v>42510.705555555498</v>
      </c>
      <c r="P1530" s="111">
        <f ca="1">IFERROR(__xludf.DUMMYFUNCTION("""COMPUTED_VALUE"""),14.13)</f>
        <v>14.13</v>
      </c>
      <c r="Q1530" s="112">
        <f ca="1">IFERROR(__xludf.DUMMYFUNCTION("""COMPUTED_VALUE"""),42509.7055555555)</f>
        <v>42509.705555555498</v>
      </c>
      <c r="R1530" s="111">
        <f ca="1">IFERROR(__xludf.DUMMYFUNCTION("""COMPUTED_VALUE"""),17.73)</f>
        <v>17.73</v>
      </c>
      <c r="S1530" s="112">
        <f ca="1">IFERROR(__xludf.DUMMYFUNCTION("""COMPUTED_VALUE"""),42522.7055555555)</f>
        <v>42522.705555555498</v>
      </c>
      <c r="T1530" s="111">
        <f ca="1">IFERROR(__xludf.DUMMYFUNCTION("""COMPUTED_VALUE"""),15.97)</f>
        <v>15.97</v>
      </c>
    </row>
    <row r="1531" spans="1:20" x14ac:dyDescent="0.3">
      <c r="A1531" s="112">
        <f ca="1">IFERROR(__xludf.DUMMYFUNCTION("""COMPUTED_VALUE"""),42521.7055555555)</f>
        <v>42521.705555555498</v>
      </c>
      <c r="B1531" s="111">
        <f ca="1">IFERROR(__xludf.DUMMYFUNCTION("""COMPUTED_VALUE"""),7.91)</f>
        <v>7.91</v>
      </c>
      <c r="C1531" s="112">
        <f ca="1">IFERROR(__xludf.DUMMYFUNCTION("""COMPUTED_VALUE"""),42528.7055555555)</f>
        <v>42528.705555555498</v>
      </c>
      <c r="D1531" s="111">
        <f ca="1">IFERROR(__xludf.DUMMYFUNCTION("""COMPUTED_VALUE"""),18.22)</f>
        <v>18.22</v>
      </c>
      <c r="E1531" s="112">
        <f ca="1">IFERROR(__xludf.DUMMYFUNCTION("""COMPUTED_VALUE"""),42529.7055555555)</f>
        <v>42529.705555555498</v>
      </c>
      <c r="F1531" s="111">
        <f ca="1">IFERROR(__xludf.DUMMYFUNCTION("""COMPUTED_VALUE"""),6.5)</f>
        <v>6.5</v>
      </c>
      <c r="G1531" s="112">
        <f ca="1">IFERROR(__xludf.DUMMYFUNCTION("""COMPUTED_VALUE"""),42523.7055555555)</f>
        <v>42523.705555555498</v>
      </c>
      <c r="H1531" s="111">
        <f ca="1">IFERROR(__xludf.DUMMYFUNCTION("""COMPUTED_VALUE"""),8.32)</f>
        <v>8.32</v>
      </c>
      <c r="K1531" s="112">
        <f ca="1">IFERROR(__xludf.DUMMYFUNCTION("""COMPUTED_VALUE"""),42968.7055555555)</f>
        <v>42968.705555555498</v>
      </c>
      <c r="L1531" s="111">
        <f ca="1">IFERROR(__xludf.DUMMYFUNCTION("""COMPUTED_VALUE"""),1.85)</f>
        <v>1.85</v>
      </c>
      <c r="M1531" s="112">
        <f ca="1">IFERROR(__xludf.DUMMYFUNCTION("""COMPUTED_VALUE"""),42438.7055555555)</f>
        <v>42438.705555555498</v>
      </c>
      <c r="N1531" s="111">
        <f ca="1">IFERROR(__xludf.DUMMYFUNCTION("""COMPUTED_VALUE"""),12.99)</f>
        <v>12.99</v>
      </c>
      <c r="O1531" s="112">
        <f ca="1">IFERROR(__xludf.DUMMYFUNCTION("""COMPUTED_VALUE"""),42513.7055555555)</f>
        <v>42513.705555555498</v>
      </c>
      <c r="P1531" s="111">
        <f ca="1">IFERROR(__xludf.DUMMYFUNCTION("""COMPUTED_VALUE"""),14.44)</f>
        <v>14.44</v>
      </c>
      <c r="Q1531" s="112">
        <f ca="1">IFERROR(__xludf.DUMMYFUNCTION("""COMPUTED_VALUE"""),42510.7055555555)</f>
        <v>42510.705555555498</v>
      </c>
      <c r="R1531" s="111">
        <f ca="1">IFERROR(__xludf.DUMMYFUNCTION("""COMPUTED_VALUE"""),17.31)</f>
        <v>17.309999999999999</v>
      </c>
      <c r="S1531" s="112">
        <f ca="1">IFERROR(__xludf.DUMMYFUNCTION("""COMPUTED_VALUE"""),42523.7055555555)</f>
        <v>42523.705555555498</v>
      </c>
      <c r="T1531" s="111">
        <f ca="1">IFERROR(__xludf.DUMMYFUNCTION("""COMPUTED_VALUE"""),16.45)</f>
        <v>16.45</v>
      </c>
    </row>
    <row r="1532" spans="1:20" x14ac:dyDescent="0.3">
      <c r="A1532" s="112">
        <f ca="1">IFERROR(__xludf.DUMMYFUNCTION("""COMPUTED_VALUE"""),42522.7055555555)</f>
        <v>42522.705555555498</v>
      </c>
      <c r="B1532" s="111">
        <f ca="1">IFERROR(__xludf.DUMMYFUNCTION("""COMPUTED_VALUE"""),8.48)</f>
        <v>8.48</v>
      </c>
      <c r="C1532" s="112">
        <f ca="1">IFERROR(__xludf.DUMMYFUNCTION("""COMPUTED_VALUE"""),42529.7055555555)</f>
        <v>42529.705555555498</v>
      </c>
      <c r="D1532" s="111">
        <f ca="1">IFERROR(__xludf.DUMMYFUNCTION("""COMPUTED_VALUE"""),18.5)</f>
        <v>18.5</v>
      </c>
      <c r="E1532" s="112">
        <f ca="1">IFERROR(__xludf.DUMMYFUNCTION("""COMPUTED_VALUE"""),42530.7055555555)</f>
        <v>42530.705555555498</v>
      </c>
      <c r="F1532" s="111">
        <f ca="1">IFERROR(__xludf.DUMMYFUNCTION("""COMPUTED_VALUE"""),6.55)</f>
        <v>6.55</v>
      </c>
      <c r="G1532" s="112">
        <f ca="1">IFERROR(__xludf.DUMMYFUNCTION("""COMPUTED_VALUE"""),42524.7055555555)</f>
        <v>42524.705555555498</v>
      </c>
      <c r="H1532" s="111">
        <f ca="1">IFERROR(__xludf.DUMMYFUNCTION("""COMPUTED_VALUE"""),8.57)</f>
        <v>8.57</v>
      </c>
      <c r="K1532" s="112">
        <f ca="1">IFERROR(__xludf.DUMMYFUNCTION("""COMPUTED_VALUE"""),42969.7055555555)</f>
        <v>42969.705555555498</v>
      </c>
      <c r="L1532" s="111">
        <f ca="1">IFERROR(__xludf.DUMMYFUNCTION("""COMPUTED_VALUE"""),1.83)</f>
        <v>1.83</v>
      </c>
      <c r="M1532" s="112">
        <f ca="1">IFERROR(__xludf.DUMMYFUNCTION("""COMPUTED_VALUE"""),42439.7055555555)</f>
        <v>42439.705555555498</v>
      </c>
      <c r="N1532" s="111">
        <f ca="1">IFERROR(__xludf.DUMMYFUNCTION("""COMPUTED_VALUE"""),13.38)</f>
        <v>13.38</v>
      </c>
      <c r="O1532" s="112">
        <f ca="1">IFERROR(__xludf.DUMMYFUNCTION("""COMPUTED_VALUE"""),42514.7055555555)</f>
        <v>42514.705555555498</v>
      </c>
      <c r="P1532" s="111">
        <f ca="1">IFERROR(__xludf.DUMMYFUNCTION("""COMPUTED_VALUE"""),14.02)</f>
        <v>14.02</v>
      </c>
      <c r="Q1532" s="112">
        <f ca="1">IFERROR(__xludf.DUMMYFUNCTION("""COMPUTED_VALUE"""),42513.7055555555)</f>
        <v>42513.705555555498</v>
      </c>
      <c r="R1532" s="111">
        <f ca="1">IFERROR(__xludf.DUMMYFUNCTION("""COMPUTED_VALUE"""),17)</f>
        <v>17</v>
      </c>
      <c r="S1532" s="112">
        <f ca="1">IFERROR(__xludf.DUMMYFUNCTION("""COMPUTED_VALUE"""),42524.7055555555)</f>
        <v>42524.705555555498</v>
      </c>
      <c r="T1532" s="111">
        <f ca="1">IFERROR(__xludf.DUMMYFUNCTION("""COMPUTED_VALUE"""),16.57)</f>
        <v>16.57</v>
      </c>
    </row>
    <row r="1533" spans="1:20" x14ac:dyDescent="0.3">
      <c r="A1533" s="112">
        <f ca="1">IFERROR(__xludf.DUMMYFUNCTION("""COMPUTED_VALUE"""),42523.7055555555)</f>
        <v>42523.705555555498</v>
      </c>
      <c r="B1533" s="111">
        <f ca="1">IFERROR(__xludf.DUMMYFUNCTION("""COMPUTED_VALUE"""),8.48)</f>
        <v>8.48</v>
      </c>
      <c r="C1533" s="112">
        <f ca="1">IFERROR(__xludf.DUMMYFUNCTION("""COMPUTED_VALUE"""),42530.7055555555)</f>
        <v>42530.705555555498</v>
      </c>
      <c r="D1533" s="111">
        <f ca="1">IFERROR(__xludf.DUMMYFUNCTION("""COMPUTED_VALUE"""),18.46)</f>
        <v>18.46</v>
      </c>
      <c r="E1533" s="112">
        <f ca="1">IFERROR(__xludf.DUMMYFUNCTION("""COMPUTED_VALUE"""),42531.7055555555)</f>
        <v>42531.705555555498</v>
      </c>
      <c r="F1533" s="111">
        <f ca="1">IFERROR(__xludf.DUMMYFUNCTION("""COMPUTED_VALUE"""),6.2)</f>
        <v>6.2</v>
      </c>
      <c r="G1533" s="112">
        <f ca="1">IFERROR(__xludf.DUMMYFUNCTION("""COMPUTED_VALUE"""),42527.7055555555)</f>
        <v>42527.705555555498</v>
      </c>
      <c r="H1533" s="111">
        <f ca="1">IFERROR(__xludf.DUMMYFUNCTION("""COMPUTED_VALUE"""),8.46)</f>
        <v>8.4600000000000009</v>
      </c>
      <c r="K1533" s="112">
        <f ca="1">IFERROR(__xludf.DUMMYFUNCTION("""COMPUTED_VALUE"""),42970.7055555555)</f>
        <v>42970.705555555498</v>
      </c>
      <c r="L1533" s="111">
        <f ca="1">IFERROR(__xludf.DUMMYFUNCTION("""COMPUTED_VALUE"""),1.81)</f>
        <v>1.81</v>
      </c>
      <c r="M1533" s="112">
        <f ca="1">IFERROR(__xludf.DUMMYFUNCTION("""COMPUTED_VALUE"""),42440.7055555555)</f>
        <v>42440.705555555498</v>
      </c>
      <c r="N1533" s="111">
        <f ca="1">IFERROR(__xludf.DUMMYFUNCTION("""COMPUTED_VALUE"""),13.85)</f>
        <v>13.85</v>
      </c>
      <c r="O1533" s="112">
        <f ca="1">IFERROR(__xludf.DUMMYFUNCTION("""COMPUTED_VALUE"""),42515.7055555555)</f>
        <v>42515.705555555498</v>
      </c>
      <c r="P1533" s="111">
        <f ca="1">IFERROR(__xludf.DUMMYFUNCTION("""COMPUTED_VALUE"""),14.62)</f>
        <v>14.62</v>
      </c>
      <c r="Q1533" s="112">
        <f ca="1">IFERROR(__xludf.DUMMYFUNCTION("""COMPUTED_VALUE"""),42514.7055555555)</f>
        <v>42514.705555555498</v>
      </c>
      <c r="R1533" s="111">
        <f ca="1">IFERROR(__xludf.DUMMYFUNCTION("""COMPUTED_VALUE"""),15.98)</f>
        <v>15.98</v>
      </c>
      <c r="S1533" s="112">
        <f ca="1">IFERROR(__xludf.DUMMYFUNCTION("""COMPUTED_VALUE"""),42527.7055555555)</f>
        <v>42527.705555555498</v>
      </c>
      <c r="T1533" s="111">
        <f ca="1">IFERROR(__xludf.DUMMYFUNCTION("""COMPUTED_VALUE"""),16.68)</f>
        <v>16.68</v>
      </c>
    </row>
    <row r="1534" spans="1:20" x14ac:dyDescent="0.3">
      <c r="A1534" s="112">
        <f ca="1">IFERROR(__xludf.DUMMYFUNCTION("""COMPUTED_VALUE"""),42524.7055555555)</f>
        <v>42524.705555555498</v>
      </c>
      <c r="B1534" s="111">
        <f ca="1">IFERROR(__xludf.DUMMYFUNCTION("""COMPUTED_VALUE"""),8.66)</f>
        <v>8.66</v>
      </c>
      <c r="C1534" s="112">
        <f ca="1">IFERROR(__xludf.DUMMYFUNCTION("""COMPUTED_VALUE"""),42531.7055555555)</f>
        <v>42531.705555555498</v>
      </c>
      <c r="D1534" s="111">
        <f ca="1">IFERROR(__xludf.DUMMYFUNCTION("""COMPUTED_VALUE"""),17.52)</f>
        <v>17.52</v>
      </c>
      <c r="E1534" s="112">
        <f ca="1">IFERROR(__xludf.DUMMYFUNCTION("""COMPUTED_VALUE"""),42534.7055555555)</f>
        <v>42534.705555555498</v>
      </c>
      <c r="F1534" s="111">
        <f ca="1">IFERROR(__xludf.DUMMYFUNCTION("""COMPUTED_VALUE"""),6.26)</f>
        <v>6.26</v>
      </c>
      <c r="G1534" s="112">
        <f ca="1">IFERROR(__xludf.DUMMYFUNCTION("""COMPUTED_VALUE"""),42528.7055555555)</f>
        <v>42528.705555555498</v>
      </c>
      <c r="H1534" s="111">
        <f ca="1">IFERROR(__xludf.DUMMYFUNCTION("""COMPUTED_VALUE"""),8.62)</f>
        <v>8.6199999999999992</v>
      </c>
      <c r="K1534" s="112">
        <f ca="1">IFERROR(__xludf.DUMMYFUNCTION("""COMPUTED_VALUE"""),42971.7055555555)</f>
        <v>42971.705555555498</v>
      </c>
      <c r="L1534" s="111">
        <f ca="1">IFERROR(__xludf.DUMMYFUNCTION("""COMPUTED_VALUE"""),1.86)</f>
        <v>1.86</v>
      </c>
      <c r="M1534" s="112">
        <f ca="1">IFERROR(__xludf.DUMMYFUNCTION("""COMPUTED_VALUE"""),42443.7055555555)</f>
        <v>42443.705555555498</v>
      </c>
      <c r="N1534" s="111">
        <f ca="1">IFERROR(__xludf.DUMMYFUNCTION("""COMPUTED_VALUE"""),13.76)</f>
        <v>13.76</v>
      </c>
      <c r="O1534" s="112">
        <f ca="1">IFERROR(__xludf.DUMMYFUNCTION("""COMPUTED_VALUE"""),42517.7055555555)</f>
        <v>42517.705555555498</v>
      </c>
      <c r="P1534" s="111">
        <f ca="1">IFERROR(__xludf.DUMMYFUNCTION("""COMPUTED_VALUE"""),14.29)</f>
        <v>14.29</v>
      </c>
      <c r="Q1534" s="112">
        <f ca="1">IFERROR(__xludf.DUMMYFUNCTION("""COMPUTED_VALUE"""),42515.7055555555)</f>
        <v>42515.705555555498</v>
      </c>
      <c r="R1534" s="111">
        <f ca="1">IFERROR(__xludf.DUMMYFUNCTION("""COMPUTED_VALUE"""),16.45)</f>
        <v>16.45</v>
      </c>
      <c r="S1534" s="112">
        <f ca="1">IFERROR(__xludf.DUMMYFUNCTION("""COMPUTED_VALUE"""),42528.7055555555)</f>
        <v>42528.705555555498</v>
      </c>
      <c r="T1534" s="111">
        <f ca="1">IFERROR(__xludf.DUMMYFUNCTION("""COMPUTED_VALUE"""),16.9)</f>
        <v>16.899999999999999</v>
      </c>
    </row>
    <row r="1535" spans="1:20" x14ac:dyDescent="0.3">
      <c r="A1535" s="112">
        <f ca="1">IFERROR(__xludf.DUMMYFUNCTION("""COMPUTED_VALUE"""),42527.7055555555)</f>
        <v>42527.705555555498</v>
      </c>
      <c r="B1535" s="111">
        <f ca="1">IFERROR(__xludf.DUMMYFUNCTION("""COMPUTED_VALUE"""),8.81)</f>
        <v>8.81</v>
      </c>
      <c r="C1535" s="112">
        <f ca="1">IFERROR(__xludf.DUMMYFUNCTION("""COMPUTED_VALUE"""),42534.7055555555)</f>
        <v>42534.705555555498</v>
      </c>
      <c r="D1535" s="111">
        <f ca="1">IFERROR(__xludf.DUMMYFUNCTION("""COMPUTED_VALUE"""),17.59)</f>
        <v>17.59</v>
      </c>
      <c r="E1535" s="112">
        <f ca="1">IFERROR(__xludf.DUMMYFUNCTION("""COMPUTED_VALUE"""),42535.7055555555)</f>
        <v>42535.705555555498</v>
      </c>
      <c r="F1535" s="111">
        <f ca="1">IFERROR(__xludf.DUMMYFUNCTION("""COMPUTED_VALUE"""),6.14)</f>
        <v>6.14</v>
      </c>
      <c r="G1535" s="112">
        <f ca="1">IFERROR(__xludf.DUMMYFUNCTION("""COMPUTED_VALUE"""),42529.7055555555)</f>
        <v>42529.705555555498</v>
      </c>
      <c r="H1535" s="111">
        <f ca="1">IFERROR(__xludf.DUMMYFUNCTION("""COMPUTED_VALUE"""),9.39)</f>
        <v>9.39</v>
      </c>
      <c r="K1535" s="112">
        <f ca="1">IFERROR(__xludf.DUMMYFUNCTION("""COMPUTED_VALUE"""),42972.7055555555)</f>
        <v>42972.705555555498</v>
      </c>
      <c r="L1535" s="111">
        <f ca="1">IFERROR(__xludf.DUMMYFUNCTION("""COMPUTED_VALUE"""),1.87)</f>
        <v>1.87</v>
      </c>
      <c r="M1535" s="112">
        <f ca="1">IFERROR(__xludf.DUMMYFUNCTION("""COMPUTED_VALUE"""),42444.7055555555)</f>
        <v>42444.705555555498</v>
      </c>
      <c r="N1535" s="111">
        <f ca="1">IFERROR(__xludf.DUMMYFUNCTION("""COMPUTED_VALUE"""),13.04)</f>
        <v>13.04</v>
      </c>
      <c r="O1535" s="112">
        <f ca="1">IFERROR(__xludf.DUMMYFUNCTION("""COMPUTED_VALUE"""),42520.7055555555)</f>
        <v>42520.705555555498</v>
      </c>
      <c r="P1535" s="111">
        <f ca="1">IFERROR(__xludf.DUMMYFUNCTION("""COMPUTED_VALUE"""),14.28)</f>
        <v>14.28</v>
      </c>
      <c r="Q1535" s="112">
        <f ca="1">IFERROR(__xludf.DUMMYFUNCTION("""COMPUTED_VALUE"""),42517.7055555555)</f>
        <v>42517.705555555498</v>
      </c>
      <c r="R1535" s="111">
        <f ca="1">IFERROR(__xludf.DUMMYFUNCTION("""COMPUTED_VALUE"""),16.13)</f>
        <v>16.13</v>
      </c>
      <c r="S1535" s="112">
        <f ca="1">IFERROR(__xludf.DUMMYFUNCTION("""COMPUTED_VALUE"""),42529.7055555555)</f>
        <v>42529.705555555498</v>
      </c>
      <c r="T1535" s="111">
        <f ca="1">IFERROR(__xludf.DUMMYFUNCTION("""COMPUTED_VALUE"""),17.02)</f>
        <v>17.02</v>
      </c>
    </row>
    <row r="1536" spans="1:20" x14ac:dyDescent="0.3">
      <c r="A1536" s="112">
        <f ca="1">IFERROR(__xludf.DUMMYFUNCTION("""COMPUTED_VALUE"""),42528.7055555555)</f>
        <v>42528.705555555498</v>
      </c>
      <c r="B1536" s="111">
        <f ca="1">IFERROR(__xludf.DUMMYFUNCTION("""COMPUTED_VALUE"""),8.83)</f>
        <v>8.83</v>
      </c>
      <c r="C1536" s="112">
        <f ca="1">IFERROR(__xludf.DUMMYFUNCTION("""COMPUTED_VALUE"""),42535.7055555555)</f>
        <v>42535.705555555498</v>
      </c>
      <c r="D1536" s="111">
        <f ca="1">IFERROR(__xludf.DUMMYFUNCTION("""COMPUTED_VALUE"""),17.34)</f>
        <v>17.34</v>
      </c>
      <c r="E1536" s="112">
        <f ca="1">IFERROR(__xludf.DUMMYFUNCTION("""COMPUTED_VALUE"""),42536.7055555555)</f>
        <v>42536.705555555498</v>
      </c>
      <c r="F1536" s="111">
        <f ca="1">IFERROR(__xludf.DUMMYFUNCTION("""COMPUTED_VALUE"""),6.13)</f>
        <v>6.13</v>
      </c>
      <c r="G1536" s="112">
        <f ca="1">IFERROR(__xludf.DUMMYFUNCTION("""COMPUTED_VALUE"""),42530.7055555555)</f>
        <v>42530.705555555498</v>
      </c>
      <c r="H1536" s="111">
        <f ca="1">IFERROR(__xludf.DUMMYFUNCTION("""COMPUTED_VALUE"""),9.18)</f>
        <v>9.18</v>
      </c>
      <c r="K1536" s="112">
        <f ca="1">IFERROR(__xludf.DUMMYFUNCTION("""COMPUTED_VALUE"""),42975.7055555555)</f>
        <v>42975.705555555498</v>
      </c>
      <c r="L1536" s="111">
        <f ca="1">IFERROR(__xludf.DUMMYFUNCTION("""COMPUTED_VALUE"""),1.93)</f>
        <v>1.93</v>
      </c>
      <c r="M1536" s="112">
        <f ca="1">IFERROR(__xludf.DUMMYFUNCTION("""COMPUTED_VALUE"""),42445.7055555555)</f>
        <v>42445.705555555498</v>
      </c>
      <c r="N1536" s="111">
        <f ca="1">IFERROR(__xludf.DUMMYFUNCTION("""COMPUTED_VALUE"""),12.75)</f>
        <v>12.75</v>
      </c>
      <c r="O1536" s="112">
        <f ca="1">IFERROR(__xludf.DUMMYFUNCTION("""COMPUTED_VALUE"""),42521.7055555555)</f>
        <v>42521.705555555498</v>
      </c>
      <c r="P1536" s="111">
        <f ca="1">IFERROR(__xludf.DUMMYFUNCTION("""COMPUTED_VALUE"""),14.22)</f>
        <v>14.22</v>
      </c>
      <c r="Q1536" s="112">
        <f ca="1">IFERROR(__xludf.DUMMYFUNCTION("""COMPUTED_VALUE"""),42520.7055555555)</f>
        <v>42520.705555555498</v>
      </c>
      <c r="R1536" s="111">
        <f ca="1">IFERROR(__xludf.DUMMYFUNCTION("""COMPUTED_VALUE"""),16.41)</f>
        <v>16.41</v>
      </c>
      <c r="S1536" s="112">
        <f ca="1">IFERROR(__xludf.DUMMYFUNCTION("""COMPUTED_VALUE"""),42530.7055555555)</f>
        <v>42530.705555555498</v>
      </c>
      <c r="T1536" s="111">
        <f ca="1">IFERROR(__xludf.DUMMYFUNCTION("""COMPUTED_VALUE"""),16.99)</f>
        <v>16.989999999999998</v>
      </c>
    </row>
    <row r="1537" spans="1:20" x14ac:dyDescent="0.3">
      <c r="A1537" s="112">
        <f ca="1">IFERROR(__xludf.DUMMYFUNCTION("""COMPUTED_VALUE"""),42529.7055555555)</f>
        <v>42529.705555555498</v>
      </c>
      <c r="B1537" s="111">
        <f ca="1">IFERROR(__xludf.DUMMYFUNCTION("""COMPUTED_VALUE"""),8.96)</f>
        <v>8.9600000000000009</v>
      </c>
      <c r="C1537" s="112">
        <f ca="1">IFERROR(__xludf.DUMMYFUNCTION("""COMPUTED_VALUE"""),42536.7055555555)</f>
        <v>42536.705555555498</v>
      </c>
      <c r="D1537" s="111">
        <f ca="1">IFERROR(__xludf.DUMMYFUNCTION("""COMPUTED_VALUE"""),17.25)</f>
        <v>17.25</v>
      </c>
      <c r="E1537" s="112">
        <f ca="1">IFERROR(__xludf.DUMMYFUNCTION("""COMPUTED_VALUE"""),42537.7055555555)</f>
        <v>42537.705555555498</v>
      </c>
      <c r="F1537" s="111">
        <f ca="1">IFERROR(__xludf.DUMMYFUNCTION("""COMPUTED_VALUE"""),6.27)</f>
        <v>6.27</v>
      </c>
      <c r="G1537" s="112">
        <f ca="1">IFERROR(__xludf.DUMMYFUNCTION("""COMPUTED_VALUE"""),42531.7055555555)</f>
        <v>42531.705555555498</v>
      </c>
      <c r="H1537" s="111">
        <f ca="1">IFERROR(__xludf.DUMMYFUNCTION("""COMPUTED_VALUE"""),8.78)</f>
        <v>8.7799999999999994</v>
      </c>
      <c r="K1537" s="112">
        <f ca="1">IFERROR(__xludf.DUMMYFUNCTION("""COMPUTED_VALUE"""),42976.7055555555)</f>
        <v>42976.705555555498</v>
      </c>
      <c r="L1537" s="111">
        <f ca="1">IFERROR(__xludf.DUMMYFUNCTION("""COMPUTED_VALUE"""),1.94)</f>
        <v>1.94</v>
      </c>
      <c r="M1537" s="112">
        <f ca="1">IFERROR(__xludf.DUMMYFUNCTION("""COMPUTED_VALUE"""),42446.7055555555)</f>
        <v>42446.705555555498</v>
      </c>
      <c r="N1537" s="111">
        <f ca="1">IFERROR(__xludf.DUMMYFUNCTION("""COMPUTED_VALUE"""),14.41)</f>
        <v>14.41</v>
      </c>
      <c r="O1537" s="112">
        <f ca="1">IFERROR(__xludf.DUMMYFUNCTION("""COMPUTED_VALUE"""),42522.7055555555)</f>
        <v>42522.705555555498</v>
      </c>
      <c r="P1537" s="111">
        <f ca="1">IFERROR(__xludf.DUMMYFUNCTION("""COMPUTED_VALUE"""),14.43)</f>
        <v>14.43</v>
      </c>
      <c r="Q1537" s="112">
        <f ca="1">IFERROR(__xludf.DUMMYFUNCTION("""COMPUTED_VALUE"""),42521.7055555555)</f>
        <v>42521.705555555498</v>
      </c>
      <c r="R1537" s="111">
        <f ca="1">IFERROR(__xludf.DUMMYFUNCTION("""COMPUTED_VALUE"""),16.47)</f>
        <v>16.47</v>
      </c>
      <c r="S1537" s="112">
        <f ca="1">IFERROR(__xludf.DUMMYFUNCTION("""COMPUTED_VALUE"""),42531.7055555555)</f>
        <v>42531.705555555498</v>
      </c>
      <c r="T1537" s="111">
        <f ca="1">IFERROR(__xludf.DUMMYFUNCTION("""COMPUTED_VALUE"""),16.75)</f>
        <v>16.75</v>
      </c>
    </row>
    <row r="1538" spans="1:20" x14ac:dyDescent="0.3">
      <c r="A1538" s="112">
        <f ca="1">IFERROR(__xludf.DUMMYFUNCTION("""COMPUTED_VALUE"""),42530.7055555555)</f>
        <v>42530.705555555498</v>
      </c>
      <c r="B1538" s="111">
        <f ca="1">IFERROR(__xludf.DUMMYFUNCTION("""COMPUTED_VALUE"""),8.97)</f>
        <v>8.9700000000000006</v>
      </c>
      <c r="C1538" s="112">
        <f ca="1">IFERROR(__xludf.DUMMYFUNCTION("""COMPUTED_VALUE"""),42537.7055555555)</f>
        <v>42537.705555555498</v>
      </c>
      <c r="D1538" s="111">
        <f ca="1">IFERROR(__xludf.DUMMYFUNCTION("""COMPUTED_VALUE"""),17.57)</f>
        <v>17.57</v>
      </c>
      <c r="E1538" s="112">
        <f ca="1">IFERROR(__xludf.DUMMYFUNCTION("""COMPUTED_VALUE"""),42538.7055555555)</f>
        <v>42538.705555555498</v>
      </c>
      <c r="F1538" s="111">
        <f ca="1">IFERROR(__xludf.DUMMYFUNCTION("""COMPUTED_VALUE"""),6.18)</f>
        <v>6.18</v>
      </c>
      <c r="G1538" s="112">
        <f ca="1">IFERROR(__xludf.DUMMYFUNCTION("""COMPUTED_VALUE"""),42534.7055555555)</f>
        <v>42534.705555555498</v>
      </c>
      <c r="H1538" s="111">
        <f ca="1">IFERROR(__xludf.DUMMYFUNCTION("""COMPUTED_VALUE"""),8.62)</f>
        <v>8.6199999999999992</v>
      </c>
      <c r="K1538" s="112">
        <f ca="1">IFERROR(__xludf.DUMMYFUNCTION("""COMPUTED_VALUE"""),42977.7055555555)</f>
        <v>42977.705555555498</v>
      </c>
      <c r="L1538" s="111">
        <f ca="1">IFERROR(__xludf.DUMMYFUNCTION("""COMPUTED_VALUE"""),2.01)</f>
        <v>2.0099999999999998</v>
      </c>
      <c r="M1538" s="112">
        <f ca="1">IFERROR(__xludf.DUMMYFUNCTION("""COMPUTED_VALUE"""),42447.7055555555)</f>
        <v>42447.705555555498</v>
      </c>
      <c r="N1538" s="111">
        <f ca="1">IFERROR(__xludf.DUMMYFUNCTION("""COMPUTED_VALUE"""),14.22)</f>
        <v>14.22</v>
      </c>
      <c r="O1538" s="112">
        <f ca="1">IFERROR(__xludf.DUMMYFUNCTION("""COMPUTED_VALUE"""),42523.7055555555)</f>
        <v>42523.705555555498</v>
      </c>
      <c r="P1538" s="111">
        <f ca="1">IFERROR(__xludf.DUMMYFUNCTION("""COMPUTED_VALUE"""),14.95)</f>
        <v>14.95</v>
      </c>
      <c r="Q1538" s="112">
        <f ca="1">IFERROR(__xludf.DUMMYFUNCTION("""COMPUTED_VALUE"""),42522.7055555555)</f>
        <v>42522.705555555498</v>
      </c>
      <c r="R1538" s="111">
        <f ca="1">IFERROR(__xludf.DUMMYFUNCTION("""COMPUTED_VALUE"""),16.57)</f>
        <v>16.57</v>
      </c>
      <c r="S1538" s="112">
        <f ca="1">IFERROR(__xludf.DUMMYFUNCTION("""COMPUTED_VALUE"""),42534.7055555555)</f>
        <v>42534.705555555498</v>
      </c>
      <c r="T1538" s="111">
        <f ca="1">IFERROR(__xludf.DUMMYFUNCTION("""COMPUTED_VALUE"""),16.72)</f>
        <v>16.72</v>
      </c>
    </row>
    <row r="1539" spans="1:20" x14ac:dyDescent="0.3">
      <c r="A1539" s="112">
        <f ca="1">IFERROR(__xludf.DUMMYFUNCTION("""COMPUTED_VALUE"""),42531.7055555555)</f>
        <v>42531.705555555498</v>
      </c>
      <c r="B1539" s="111">
        <f ca="1">IFERROR(__xludf.DUMMYFUNCTION("""COMPUTED_VALUE"""),8.7)</f>
        <v>8.6999999999999993</v>
      </c>
      <c r="C1539" s="112">
        <f ca="1">IFERROR(__xludf.DUMMYFUNCTION("""COMPUTED_VALUE"""),42538.7055555555)</f>
        <v>42538.705555555498</v>
      </c>
      <c r="D1539" s="111">
        <f ca="1">IFERROR(__xludf.DUMMYFUNCTION("""COMPUTED_VALUE"""),17.53)</f>
        <v>17.53</v>
      </c>
      <c r="E1539" s="112">
        <f ca="1">IFERROR(__xludf.DUMMYFUNCTION("""COMPUTED_VALUE"""),42541.7055555555)</f>
        <v>42541.705555555498</v>
      </c>
      <c r="F1539" s="111">
        <f ca="1">IFERROR(__xludf.DUMMYFUNCTION("""COMPUTED_VALUE"""),6.29)</f>
        <v>6.29</v>
      </c>
      <c r="G1539" s="112">
        <f ca="1">IFERROR(__xludf.DUMMYFUNCTION("""COMPUTED_VALUE"""),42535.7055555555)</f>
        <v>42535.705555555498</v>
      </c>
      <c r="H1539" s="111">
        <f ca="1">IFERROR(__xludf.DUMMYFUNCTION("""COMPUTED_VALUE"""),8.3)</f>
        <v>8.3000000000000007</v>
      </c>
      <c r="K1539" s="112">
        <f ca="1">IFERROR(__xludf.DUMMYFUNCTION("""COMPUTED_VALUE"""),42978.7055555555)</f>
        <v>42978.705555555498</v>
      </c>
      <c r="L1539" s="111">
        <f ca="1">IFERROR(__xludf.DUMMYFUNCTION("""COMPUTED_VALUE"""),2.22)</f>
        <v>2.2200000000000002</v>
      </c>
      <c r="M1539" s="112">
        <f ca="1">IFERROR(__xludf.DUMMYFUNCTION("""COMPUTED_VALUE"""),42450.7055555555)</f>
        <v>42450.705555555498</v>
      </c>
      <c r="N1539" s="111">
        <f ca="1">IFERROR(__xludf.DUMMYFUNCTION("""COMPUTED_VALUE"""),14.46)</f>
        <v>14.46</v>
      </c>
      <c r="O1539" s="112">
        <f ca="1">IFERROR(__xludf.DUMMYFUNCTION("""COMPUTED_VALUE"""),42524.7055555555)</f>
        <v>42524.705555555498</v>
      </c>
      <c r="P1539" s="111">
        <f ca="1">IFERROR(__xludf.DUMMYFUNCTION("""COMPUTED_VALUE"""),16.24)</f>
        <v>16.239999999999998</v>
      </c>
      <c r="Q1539" s="112">
        <f ca="1">IFERROR(__xludf.DUMMYFUNCTION("""COMPUTED_VALUE"""),42523.7055555555)</f>
        <v>42523.705555555498</v>
      </c>
      <c r="R1539" s="111">
        <f ca="1">IFERROR(__xludf.DUMMYFUNCTION("""COMPUTED_VALUE"""),16.9)</f>
        <v>16.899999999999999</v>
      </c>
      <c r="S1539" s="112">
        <f ca="1">IFERROR(__xludf.DUMMYFUNCTION("""COMPUTED_VALUE"""),42535.7055555555)</f>
        <v>42535.705555555498</v>
      </c>
      <c r="T1539" s="111">
        <f ca="1">IFERROR(__xludf.DUMMYFUNCTION("""COMPUTED_VALUE"""),16.42)</f>
        <v>16.420000000000002</v>
      </c>
    </row>
    <row r="1540" spans="1:20" x14ac:dyDescent="0.3">
      <c r="A1540" s="112">
        <f ca="1">IFERROR(__xludf.DUMMYFUNCTION("""COMPUTED_VALUE"""),42534.7055555555)</f>
        <v>42534.705555555498</v>
      </c>
      <c r="B1540" s="111">
        <f ca="1">IFERROR(__xludf.DUMMYFUNCTION("""COMPUTED_VALUE"""),8.89)</f>
        <v>8.89</v>
      </c>
      <c r="C1540" s="112">
        <f ca="1">IFERROR(__xludf.DUMMYFUNCTION("""COMPUTED_VALUE"""),42541.7055555555)</f>
        <v>42541.705555555498</v>
      </c>
      <c r="D1540" s="111">
        <f ca="1">IFERROR(__xludf.DUMMYFUNCTION("""COMPUTED_VALUE"""),17.82)</f>
        <v>17.82</v>
      </c>
      <c r="E1540" s="112">
        <f ca="1">IFERROR(__xludf.DUMMYFUNCTION("""COMPUTED_VALUE"""),42542.7055555555)</f>
        <v>42542.705555555498</v>
      </c>
      <c r="F1540" s="111">
        <f ca="1">IFERROR(__xludf.DUMMYFUNCTION("""COMPUTED_VALUE"""),6.23)</f>
        <v>6.23</v>
      </c>
      <c r="G1540" s="112">
        <f ca="1">IFERROR(__xludf.DUMMYFUNCTION("""COMPUTED_VALUE"""),42536.7055555555)</f>
        <v>42536.705555555498</v>
      </c>
      <c r="H1540" s="111">
        <f ca="1">IFERROR(__xludf.DUMMYFUNCTION("""COMPUTED_VALUE"""),8.51)</f>
        <v>8.51</v>
      </c>
      <c r="K1540" s="112">
        <f ca="1">IFERROR(__xludf.DUMMYFUNCTION("""COMPUTED_VALUE"""),42979.7055555555)</f>
        <v>42979.705555555498</v>
      </c>
      <c r="L1540" s="111">
        <f ca="1">IFERROR(__xludf.DUMMYFUNCTION("""COMPUTED_VALUE"""),2.2)</f>
        <v>2.2000000000000002</v>
      </c>
      <c r="M1540" s="112">
        <f ca="1">IFERROR(__xludf.DUMMYFUNCTION("""COMPUTED_VALUE"""),42451.7055555555)</f>
        <v>42451.705555555498</v>
      </c>
      <c r="N1540" s="111">
        <f ca="1">IFERROR(__xludf.DUMMYFUNCTION("""COMPUTED_VALUE"""),14.31)</f>
        <v>14.31</v>
      </c>
      <c r="O1540" s="112">
        <f ca="1">IFERROR(__xludf.DUMMYFUNCTION("""COMPUTED_VALUE"""),42527.7055555555)</f>
        <v>42527.705555555498</v>
      </c>
      <c r="P1540" s="111">
        <f ca="1">IFERROR(__xludf.DUMMYFUNCTION("""COMPUTED_VALUE"""),16.89)</f>
        <v>16.89</v>
      </c>
      <c r="Q1540" s="112">
        <f ca="1">IFERROR(__xludf.DUMMYFUNCTION("""COMPUTED_VALUE"""),42524.7055555555)</f>
        <v>42524.705555555498</v>
      </c>
      <c r="R1540" s="111">
        <f ca="1">IFERROR(__xludf.DUMMYFUNCTION("""COMPUTED_VALUE"""),17.3)</f>
        <v>17.3</v>
      </c>
      <c r="S1540" s="112">
        <f ca="1">IFERROR(__xludf.DUMMYFUNCTION("""COMPUTED_VALUE"""),42536.7055555555)</f>
        <v>42536.705555555498</v>
      </c>
      <c r="T1540" s="111">
        <f ca="1">IFERROR(__xludf.DUMMYFUNCTION("""COMPUTED_VALUE"""),16.66)</f>
        <v>16.66</v>
      </c>
    </row>
    <row r="1541" spans="1:20" x14ac:dyDescent="0.3">
      <c r="A1541" s="112">
        <f ca="1">IFERROR(__xludf.DUMMYFUNCTION("""COMPUTED_VALUE"""),42535.7055555555)</f>
        <v>42535.705555555498</v>
      </c>
      <c r="B1541" s="111">
        <f ca="1">IFERROR(__xludf.DUMMYFUNCTION("""COMPUTED_VALUE"""),8.35)</f>
        <v>8.35</v>
      </c>
      <c r="C1541" s="112">
        <f ca="1">IFERROR(__xludf.DUMMYFUNCTION("""COMPUTED_VALUE"""),42542.7055555555)</f>
        <v>42542.705555555498</v>
      </c>
      <c r="D1541" s="111">
        <f ca="1">IFERROR(__xludf.DUMMYFUNCTION("""COMPUTED_VALUE"""),17.81)</f>
        <v>17.809999999999999</v>
      </c>
      <c r="E1541" s="112">
        <f ca="1">IFERROR(__xludf.DUMMYFUNCTION("""COMPUTED_VALUE"""),42543.7055555555)</f>
        <v>42543.705555555498</v>
      </c>
      <c r="F1541" s="111">
        <f ca="1">IFERROR(__xludf.DUMMYFUNCTION("""COMPUTED_VALUE"""),6.17)</f>
        <v>6.17</v>
      </c>
      <c r="G1541" s="112">
        <f ca="1">IFERROR(__xludf.DUMMYFUNCTION("""COMPUTED_VALUE"""),42537.7055555555)</f>
        <v>42537.705555555498</v>
      </c>
      <c r="H1541" s="111">
        <f ca="1">IFERROR(__xludf.DUMMYFUNCTION("""COMPUTED_VALUE"""),8.5)</f>
        <v>8.5</v>
      </c>
      <c r="K1541" s="112">
        <f ca="1">IFERROR(__xludf.DUMMYFUNCTION("""COMPUTED_VALUE"""),42982.7055555555)</f>
        <v>42982.705555555498</v>
      </c>
      <c r="L1541" s="111">
        <f ca="1">IFERROR(__xludf.DUMMYFUNCTION("""COMPUTED_VALUE"""),2.43)</f>
        <v>2.4300000000000002</v>
      </c>
      <c r="M1541" s="112">
        <f ca="1">IFERROR(__xludf.DUMMYFUNCTION("""COMPUTED_VALUE"""),42452.7055555555)</f>
        <v>42452.705555555498</v>
      </c>
      <c r="N1541" s="111">
        <f ca="1">IFERROR(__xludf.DUMMYFUNCTION("""COMPUTED_VALUE"""),13.84)</f>
        <v>13.84</v>
      </c>
      <c r="O1541" s="112">
        <f ca="1">IFERROR(__xludf.DUMMYFUNCTION("""COMPUTED_VALUE"""),42528.7055555555)</f>
        <v>42528.705555555498</v>
      </c>
      <c r="P1541" s="111">
        <f ca="1">IFERROR(__xludf.DUMMYFUNCTION("""COMPUTED_VALUE"""),16.57)</f>
        <v>16.57</v>
      </c>
      <c r="Q1541" s="112">
        <f ca="1">IFERROR(__xludf.DUMMYFUNCTION("""COMPUTED_VALUE"""),42527.7055555555)</f>
        <v>42527.705555555498</v>
      </c>
      <c r="R1541" s="111">
        <f ca="1">IFERROR(__xludf.DUMMYFUNCTION("""COMPUTED_VALUE"""),17.12)</f>
        <v>17.12</v>
      </c>
      <c r="S1541" s="112">
        <f ca="1">IFERROR(__xludf.DUMMYFUNCTION("""COMPUTED_VALUE"""),42537.7055555555)</f>
        <v>42537.705555555498</v>
      </c>
      <c r="T1541" s="111">
        <f ca="1">IFERROR(__xludf.DUMMYFUNCTION("""COMPUTED_VALUE"""),16.86)</f>
        <v>16.86</v>
      </c>
    </row>
    <row r="1542" spans="1:20" x14ac:dyDescent="0.3">
      <c r="A1542" s="112">
        <f ca="1">IFERROR(__xludf.DUMMYFUNCTION("""COMPUTED_VALUE"""),42536.7055555555)</f>
        <v>42536.705555555498</v>
      </c>
      <c r="B1542" s="111">
        <f ca="1">IFERROR(__xludf.DUMMYFUNCTION("""COMPUTED_VALUE"""),8.13)</f>
        <v>8.1300000000000008</v>
      </c>
      <c r="C1542" s="112">
        <f ca="1">IFERROR(__xludf.DUMMYFUNCTION("""COMPUTED_VALUE"""),42543.7055555555)</f>
        <v>42543.705555555498</v>
      </c>
      <c r="D1542" s="111">
        <f ca="1">IFERROR(__xludf.DUMMYFUNCTION("""COMPUTED_VALUE"""),17.5)</f>
        <v>17.5</v>
      </c>
      <c r="E1542" s="112">
        <f ca="1">IFERROR(__xludf.DUMMYFUNCTION("""COMPUTED_VALUE"""),42544.7055555555)</f>
        <v>42544.705555555498</v>
      </c>
      <c r="F1542" s="111">
        <f ca="1">IFERROR(__xludf.DUMMYFUNCTION("""COMPUTED_VALUE"""),6.4)</f>
        <v>6.4</v>
      </c>
      <c r="G1542" s="112">
        <f ca="1">IFERROR(__xludf.DUMMYFUNCTION("""COMPUTED_VALUE"""),42538.7055555555)</f>
        <v>42538.705555555498</v>
      </c>
      <c r="H1542" s="111">
        <f ca="1">IFERROR(__xludf.DUMMYFUNCTION("""COMPUTED_VALUE"""),8.95)</f>
        <v>8.9499999999999993</v>
      </c>
      <c r="K1542" s="112">
        <f ca="1">IFERROR(__xludf.DUMMYFUNCTION("""COMPUTED_VALUE"""),42983.7055555555)</f>
        <v>42983.705555555498</v>
      </c>
      <c r="L1542" s="111">
        <f ca="1">IFERROR(__xludf.DUMMYFUNCTION("""COMPUTED_VALUE"""),2.56)</f>
        <v>2.56</v>
      </c>
      <c r="M1542" s="112">
        <f ca="1">IFERROR(__xludf.DUMMYFUNCTION("""COMPUTED_VALUE"""),42453.7055555555)</f>
        <v>42453.705555555498</v>
      </c>
      <c r="N1542" s="111">
        <f ca="1">IFERROR(__xludf.DUMMYFUNCTION("""COMPUTED_VALUE"""),13.59)</f>
        <v>13.59</v>
      </c>
      <c r="O1542" s="112">
        <f ca="1">IFERROR(__xludf.DUMMYFUNCTION("""COMPUTED_VALUE"""),42529.7055555555)</f>
        <v>42529.705555555498</v>
      </c>
      <c r="P1542" s="111">
        <f ca="1">IFERROR(__xludf.DUMMYFUNCTION("""COMPUTED_VALUE"""),17)</f>
        <v>17</v>
      </c>
      <c r="Q1542" s="112">
        <f ca="1">IFERROR(__xludf.DUMMYFUNCTION("""COMPUTED_VALUE"""),42528.7055555555)</f>
        <v>42528.705555555498</v>
      </c>
      <c r="R1542" s="111">
        <f ca="1">IFERROR(__xludf.DUMMYFUNCTION("""COMPUTED_VALUE"""),16.92)</f>
        <v>16.920000000000002</v>
      </c>
      <c r="S1542" s="112">
        <f ca="1">IFERROR(__xludf.DUMMYFUNCTION("""COMPUTED_VALUE"""),42538.7055555555)</f>
        <v>42538.705555555498</v>
      </c>
      <c r="T1542" s="111">
        <f ca="1">IFERROR(__xludf.DUMMYFUNCTION("""COMPUTED_VALUE"""),17.23)</f>
        <v>17.23</v>
      </c>
    </row>
    <row r="1543" spans="1:20" x14ac:dyDescent="0.3">
      <c r="A1543" s="112">
        <f ca="1">IFERROR(__xludf.DUMMYFUNCTION("""COMPUTED_VALUE"""),42537.7055555555)</f>
        <v>42537.705555555498</v>
      </c>
      <c r="B1543" s="111">
        <f ca="1">IFERROR(__xludf.DUMMYFUNCTION("""COMPUTED_VALUE"""),8.44)</f>
        <v>8.44</v>
      </c>
      <c r="C1543" s="112">
        <f ca="1">IFERROR(__xludf.DUMMYFUNCTION("""COMPUTED_VALUE"""),42544.7055555555)</f>
        <v>42544.705555555498</v>
      </c>
      <c r="D1543" s="111">
        <f ca="1">IFERROR(__xludf.DUMMYFUNCTION("""COMPUTED_VALUE"""),18.18)</f>
        <v>18.18</v>
      </c>
      <c r="E1543" s="112">
        <f ca="1">IFERROR(__xludf.DUMMYFUNCTION("""COMPUTED_VALUE"""),42545.7055555555)</f>
        <v>42545.705555555498</v>
      </c>
      <c r="F1543" s="111">
        <f ca="1">IFERROR(__xludf.DUMMYFUNCTION("""COMPUTED_VALUE"""),6.24)</f>
        <v>6.24</v>
      </c>
      <c r="G1543" s="112">
        <f ca="1">IFERROR(__xludf.DUMMYFUNCTION("""COMPUTED_VALUE"""),42541.7055555555)</f>
        <v>42541.705555555498</v>
      </c>
      <c r="H1543" s="111">
        <f ca="1">IFERROR(__xludf.DUMMYFUNCTION("""COMPUTED_VALUE"""),9.18)</f>
        <v>9.18</v>
      </c>
      <c r="K1543" s="112">
        <f ca="1">IFERROR(__xludf.DUMMYFUNCTION("""COMPUTED_VALUE"""),42984.7055555555)</f>
        <v>42984.705555555498</v>
      </c>
      <c r="L1543" s="111">
        <f ca="1">IFERROR(__xludf.DUMMYFUNCTION("""COMPUTED_VALUE"""),2.67)</f>
        <v>2.67</v>
      </c>
      <c r="M1543" s="112">
        <f ca="1">IFERROR(__xludf.DUMMYFUNCTION("""COMPUTED_VALUE"""),42457.7055555555)</f>
        <v>42457.705555555498</v>
      </c>
      <c r="N1543" s="111">
        <f ca="1">IFERROR(__xludf.DUMMYFUNCTION("""COMPUTED_VALUE"""),14.25)</f>
        <v>14.25</v>
      </c>
      <c r="O1543" s="112">
        <f ca="1">IFERROR(__xludf.DUMMYFUNCTION("""COMPUTED_VALUE"""),42530.7055555555)</f>
        <v>42530.705555555498</v>
      </c>
      <c r="P1543" s="111">
        <f ca="1">IFERROR(__xludf.DUMMYFUNCTION("""COMPUTED_VALUE"""),15.7)</f>
        <v>15.7</v>
      </c>
      <c r="Q1543" s="112">
        <f ca="1">IFERROR(__xludf.DUMMYFUNCTION("""COMPUTED_VALUE"""),42529.7055555555)</f>
        <v>42529.705555555498</v>
      </c>
      <c r="R1543" s="111">
        <f ca="1">IFERROR(__xludf.DUMMYFUNCTION("""COMPUTED_VALUE"""),17.45)</f>
        <v>17.45</v>
      </c>
      <c r="S1543" s="112">
        <f ca="1">IFERROR(__xludf.DUMMYFUNCTION("""COMPUTED_VALUE"""),42541.7055555555)</f>
        <v>42541.705555555498</v>
      </c>
      <c r="T1543" s="111">
        <f ca="1">IFERROR(__xludf.DUMMYFUNCTION("""COMPUTED_VALUE"""),17.34)</f>
        <v>17.34</v>
      </c>
    </row>
    <row r="1544" spans="1:20" x14ac:dyDescent="0.3">
      <c r="A1544" s="112">
        <f ca="1">IFERROR(__xludf.DUMMYFUNCTION("""COMPUTED_VALUE"""),42538.7055555555)</f>
        <v>42538.705555555498</v>
      </c>
      <c r="B1544" s="111">
        <f ca="1">IFERROR(__xludf.DUMMYFUNCTION("""COMPUTED_VALUE"""),8.21)</f>
        <v>8.2100000000000009</v>
      </c>
      <c r="C1544" s="112">
        <f ca="1">IFERROR(__xludf.DUMMYFUNCTION("""COMPUTED_VALUE"""),42545.7055555555)</f>
        <v>42545.705555555498</v>
      </c>
      <c r="D1544" s="111">
        <f ca="1">IFERROR(__xludf.DUMMYFUNCTION("""COMPUTED_VALUE"""),17.55)</f>
        <v>17.55</v>
      </c>
      <c r="E1544" s="112">
        <f ca="1">IFERROR(__xludf.DUMMYFUNCTION("""COMPUTED_VALUE"""),42548.7055555555)</f>
        <v>42548.705555555498</v>
      </c>
      <c r="F1544" s="111">
        <f ca="1">IFERROR(__xludf.DUMMYFUNCTION("""COMPUTED_VALUE"""),6.05)</f>
        <v>6.05</v>
      </c>
      <c r="G1544" s="112">
        <f ca="1">IFERROR(__xludf.DUMMYFUNCTION("""COMPUTED_VALUE"""),42542.7055555555)</f>
        <v>42542.705555555498</v>
      </c>
      <c r="H1544" s="111">
        <f ca="1">IFERROR(__xludf.DUMMYFUNCTION("""COMPUTED_VALUE"""),9.53)</f>
        <v>9.5299999999999994</v>
      </c>
      <c r="K1544" s="112">
        <f ca="1">IFERROR(__xludf.DUMMYFUNCTION("""COMPUTED_VALUE"""),42986.7055555555)</f>
        <v>42986.705555555498</v>
      </c>
      <c r="L1544" s="111">
        <f ca="1">IFERROR(__xludf.DUMMYFUNCTION("""COMPUTED_VALUE"""),2.47)</f>
        <v>2.4700000000000002</v>
      </c>
      <c r="M1544" s="112">
        <f ca="1">IFERROR(__xludf.DUMMYFUNCTION("""COMPUTED_VALUE"""),42458.7055555555)</f>
        <v>42458.705555555498</v>
      </c>
      <c r="N1544" s="111">
        <f ca="1">IFERROR(__xludf.DUMMYFUNCTION("""COMPUTED_VALUE"""),14.5)</f>
        <v>14.5</v>
      </c>
      <c r="O1544" s="112">
        <f ca="1">IFERROR(__xludf.DUMMYFUNCTION("""COMPUTED_VALUE"""),42531.7055555555)</f>
        <v>42531.705555555498</v>
      </c>
      <c r="P1544" s="111">
        <f ca="1">IFERROR(__xludf.DUMMYFUNCTION("""COMPUTED_VALUE"""),14.95)</f>
        <v>14.95</v>
      </c>
      <c r="Q1544" s="112">
        <f ca="1">IFERROR(__xludf.DUMMYFUNCTION("""COMPUTED_VALUE"""),42530.7055555555)</f>
        <v>42530.705555555498</v>
      </c>
      <c r="R1544" s="111">
        <f ca="1">IFERROR(__xludf.DUMMYFUNCTION("""COMPUTED_VALUE"""),17.4)</f>
        <v>17.399999999999999</v>
      </c>
      <c r="S1544" s="112">
        <f ca="1">IFERROR(__xludf.DUMMYFUNCTION("""COMPUTED_VALUE"""),42542.7055555555)</f>
        <v>42542.705555555498</v>
      </c>
      <c r="T1544" s="111">
        <f ca="1">IFERROR(__xludf.DUMMYFUNCTION("""COMPUTED_VALUE"""),17.84)</f>
        <v>17.84</v>
      </c>
    </row>
    <row r="1545" spans="1:20" x14ac:dyDescent="0.3">
      <c r="A1545" s="112">
        <f ca="1">IFERROR(__xludf.DUMMYFUNCTION("""COMPUTED_VALUE"""),42541.7055555555)</f>
        <v>42541.705555555498</v>
      </c>
      <c r="B1545" s="111">
        <f ca="1">IFERROR(__xludf.DUMMYFUNCTION("""COMPUTED_VALUE"""),8.47)</f>
        <v>8.4700000000000006</v>
      </c>
      <c r="C1545" s="112">
        <f ca="1">IFERROR(__xludf.DUMMYFUNCTION("""COMPUTED_VALUE"""),42548.7055555555)</f>
        <v>42548.705555555498</v>
      </c>
      <c r="D1545" s="111">
        <f ca="1">IFERROR(__xludf.DUMMYFUNCTION("""COMPUTED_VALUE"""),16.96)</f>
        <v>16.96</v>
      </c>
      <c r="E1545" s="112">
        <f ca="1">IFERROR(__xludf.DUMMYFUNCTION("""COMPUTED_VALUE"""),42549.7055555555)</f>
        <v>42549.705555555498</v>
      </c>
      <c r="F1545" s="111">
        <f ca="1">IFERROR(__xludf.DUMMYFUNCTION("""COMPUTED_VALUE"""),6.23)</f>
        <v>6.23</v>
      </c>
      <c r="G1545" s="112">
        <f ca="1">IFERROR(__xludf.DUMMYFUNCTION("""COMPUTED_VALUE"""),42543.7055555555)</f>
        <v>42543.705555555498</v>
      </c>
      <c r="H1545" s="111">
        <f ca="1">IFERROR(__xludf.DUMMYFUNCTION("""COMPUTED_VALUE"""),9.34)</f>
        <v>9.34</v>
      </c>
      <c r="K1545" s="112">
        <f ca="1">IFERROR(__xludf.DUMMYFUNCTION("""COMPUTED_VALUE"""),42989.7055555555)</f>
        <v>42989.705555555498</v>
      </c>
      <c r="L1545" s="111">
        <f ca="1">IFERROR(__xludf.DUMMYFUNCTION("""COMPUTED_VALUE"""),2.45)</f>
        <v>2.4500000000000002</v>
      </c>
      <c r="M1545" s="112">
        <f ca="1">IFERROR(__xludf.DUMMYFUNCTION("""COMPUTED_VALUE"""),42459.7055555555)</f>
        <v>42459.705555555498</v>
      </c>
      <c r="N1545" s="111">
        <f ca="1">IFERROR(__xludf.DUMMYFUNCTION("""COMPUTED_VALUE"""),14.52)</f>
        <v>14.52</v>
      </c>
      <c r="O1545" s="112">
        <f ca="1">IFERROR(__xludf.DUMMYFUNCTION("""COMPUTED_VALUE"""),42534.7055555555)</f>
        <v>42534.705555555498</v>
      </c>
      <c r="P1545" s="111">
        <f ca="1">IFERROR(__xludf.DUMMYFUNCTION("""COMPUTED_VALUE"""),15.2)</f>
        <v>15.2</v>
      </c>
      <c r="Q1545" s="112">
        <f ca="1">IFERROR(__xludf.DUMMYFUNCTION("""COMPUTED_VALUE"""),42531.7055555555)</f>
        <v>42531.705555555498</v>
      </c>
      <c r="R1545" s="111">
        <f ca="1">IFERROR(__xludf.DUMMYFUNCTION("""COMPUTED_VALUE"""),16.55)</f>
        <v>16.55</v>
      </c>
      <c r="S1545" s="112">
        <f ca="1">IFERROR(__xludf.DUMMYFUNCTION("""COMPUTED_VALUE"""),42543.7055555555)</f>
        <v>42543.705555555498</v>
      </c>
      <c r="T1545" s="111">
        <f ca="1">IFERROR(__xludf.DUMMYFUNCTION("""COMPUTED_VALUE"""),17.38)</f>
        <v>17.38</v>
      </c>
    </row>
    <row r="1546" spans="1:20" x14ac:dyDescent="0.3">
      <c r="A1546" s="112">
        <f ca="1">IFERROR(__xludf.DUMMYFUNCTION("""COMPUTED_VALUE"""),42542.7055555555)</f>
        <v>42542.705555555498</v>
      </c>
      <c r="B1546" s="111">
        <f ca="1">IFERROR(__xludf.DUMMYFUNCTION("""COMPUTED_VALUE"""),9)</f>
        <v>9</v>
      </c>
      <c r="C1546" s="112">
        <f ca="1">IFERROR(__xludf.DUMMYFUNCTION("""COMPUTED_VALUE"""),42549.7055555555)</f>
        <v>42549.705555555498</v>
      </c>
      <c r="D1546" s="111">
        <f ca="1">IFERROR(__xludf.DUMMYFUNCTION("""COMPUTED_VALUE"""),17.55)</f>
        <v>17.55</v>
      </c>
      <c r="E1546" s="112">
        <f ca="1">IFERROR(__xludf.DUMMYFUNCTION("""COMPUTED_VALUE"""),42550.7055555555)</f>
        <v>42550.705555555498</v>
      </c>
      <c r="F1546" s="111">
        <f ca="1">IFERROR(__xludf.DUMMYFUNCTION("""COMPUTED_VALUE"""),6.37)</f>
        <v>6.37</v>
      </c>
      <c r="G1546" s="112">
        <f ca="1">IFERROR(__xludf.DUMMYFUNCTION("""COMPUTED_VALUE"""),42544.7055555555)</f>
        <v>42544.705555555498</v>
      </c>
      <c r="H1546" s="111">
        <f ca="1">IFERROR(__xludf.DUMMYFUNCTION("""COMPUTED_VALUE"""),9.67)</f>
        <v>9.67</v>
      </c>
      <c r="K1546" s="112">
        <f ca="1">IFERROR(__xludf.DUMMYFUNCTION("""COMPUTED_VALUE"""),42990.7055555555)</f>
        <v>42990.705555555498</v>
      </c>
      <c r="L1546" s="111">
        <f ca="1">IFERROR(__xludf.DUMMYFUNCTION("""COMPUTED_VALUE"""),2.16)</f>
        <v>2.16</v>
      </c>
      <c r="M1546" s="112">
        <f ca="1">IFERROR(__xludf.DUMMYFUNCTION("""COMPUTED_VALUE"""),42460.7055555555)</f>
        <v>42460.705555555498</v>
      </c>
      <c r="N1546" s="111">
        <f ca="1">IFERROR(__xludf.DUMMYFUNCTION("""COMPUTED_VALUE"""),14)</f>
        <v>14</v>
      </c>
      <c r="O1546" s="112">
        <f ca="1">IFERROR(__xludf.DUMMYFUNCTION("""COMPUTED_VALUE"""),42535.7055555555)</f>
        <v>42535.705555555498</v>
      </c>
      <c r="P1546" s="111">
        <f ca="1">IFERROR(__xludf.DUMMYFUNCTION("""COMPUTED_VALUE"""),14.63)</f>
        <v>14.63</v>
      </c>
      <c r="Q1546" s="112">
        <f ca="1">IFERROR(__xludf.DUMMYFUNCTION("""COMPUTED_VALUE"""),42534.7055555555)</f>
        <v>42534.705555555498</v>
      </c>
      <c r="R1546" s="111">
        <f ca="1">IFERROR(__xludf.DUMMYFUNCTION("""COMPUTED_VALUE"""),16.69)</f>
        <v>16.690000000000001</v>
      </c>
      <c r="S1546" s="112">
        <f ca="1">IFERROR(__xludf.DUMMYFUNCTION("""COMPUTED_VALUE"""),42544.7055555555)</f>
        <v>42544.705555555498</v>
      </c>
      <c r="T1546" s="111">
        <f ca="1">IFERROR(__xludf.DUMMYFUNCTION("""COMPUTED_VALUE"""),17.66)</f>
        <v>17.66</v>
      </c>
    </row>
    <row r="1547" spans="1:20" x14ac:dyDescent="0.3">
      <c r="A1547" s="112">
        <f ca="1">IFERROR(__xludf.DUMMYFUNCTION("""COMPUTED_VALUE"""),42543.7055555555)</f>
        <v>42543.705555555498</v>
      </c>
      <c r="B1547" s="111">
        <f ca="1">IFERROR(__xludf.DUMMYFUNCTION("""COMPUTED_VALUE"""),10.09)</f>
        <v>10.09</v>
      </c>
      <c r="C1547" s="112">
        <f ca="1">IFERROR(__xludf.DUMMYFUNCTION("""COMPUTED_VALUE"""),42550.7055555555)</f>
        <v>42550.705555555498</v>
      </c>
      <c r="D1547" s="111">
        <f ca="1">IFERROR(__xludf.DUMMYFUNCTION("""COMPUTED_VALUE"""),17.95)</f>
        <v>17.95</v>
      </c>
      <c r="E1547" s="112">
        <f ca="1">IFERROR(__xludf.DUMMYFUNCTION("""COMPUTED_VALUE"""),42551.7055555555)</f>
        <v>42551.705555555498</v>
      </c>
      <c r="F1547" s="111">
        <f ca="1">IFERROR(__xludf.DUMMYFUNCTION("""COMPUTED_VALUE"""),6.57)</f>
        <v>6.57</v>
      </c>
      <c r="G1547" s="112">
        <f ca="1">IFERROR(__xludf.DUMMYFUNCTION("""COMPUTED_VALUE"""),42545.7055555555)</f>
        <v>42545.705555555498</v>
      </c>
      <c r="H1547" s="111">
        <f ca="1">IFERROR(__xludf.DUMMYFUNCTION("""COMPUTED_VALUE"""),9.25)</f>
        <v>9.25</v>
      </c>
      <c r="K1547" s="112">
        <f ca="1">IFERROR(__xludf.DUMMYFUNCTION("""COMPUTED_VALUE"""),42991.7055555555)</f>
        <v>42991.705555555498</v>
      </c>
      <c r="L1547" s="111">
        <f ca="1">IFERROR(__xludf.DUMMYFUNCTION("""COMPUTED_VALUE"""),2.26)</f>
        <v>2.2599999999999998</v>
      </c>
      <c r="M1547" s="112">
        <f ca="1">IFERROR(__xludf.DUMMYFUNCTION("""COMPUTED_VALUE"""),42461.7055555555)</f>
        <v>42461.705555555498</v>
      </c>
      <c r="N1547" s="111">
        <f ca="1">IFERROR(__xludf.DUMMYFUNCTION("""COMPUTED_VALUE"""),14.28)</f>
        <v>14.28</v>
      </c>
      <c r="O1547" s="112">
        <f ca="1">IFERROR(__xludf.DUMMYFUNCTION("""COMPUTED_VALUE"""),42536.7055555555)</f>
        <v>42536.705555555498</v>
      </c>
      <c r="P1547" s="111">
        <f ca="1">IFERROR(__xludf.DUMMYFUNCTION("""COMPUTED_VALUE"""),15)</f>
        <v>15</v>
      </c>
      <c r="Q1547" s="112">
        <f ca="1">IFERROR(__xludf.DUMMYFUNCTION("""COMPUTED_VALUE"""),42535.7055555555)</f>
        <v>42535.705555555498</v>
      </c>
      <c r="R1547" s="111">
        <f ca="1">IFERROR(__xludf.DUMMYFUNCTION("""COMPUTED_VALUE"""),16.11)</f>
        <v>16.11</v>
      </c>
      <c r="S1547" s="112">
        <f ca="1">IFERROR(__xludf.DUMMYFUNCTION("""COMPUTED_VALUE"""),42545.7055555555)</f>
        <v>42545.705555555498</v>
      </c>
      <c r="T1547" s="111">
        <f ca="1">IFERROR(__xludf.DUMMYFUNCTION("""COMPUTED_VALUE"""),17.26)</f>
        <v>17.260000000000002</v>
      </c>
    </row>
    <row r="1548" spans="1:20" x14ac:dyDescent="0.3">
      <c r="A1548" s="112">
        <f ca="1">IFERROR(__xludf.DUMMYFUNCTION("""COMPUTED_VALUE"""),42544.7055555555)</f>
        <v>42544.705555555498</v>
      </c>
      <c r="B1548" s="111">
        <f ca="1">IFERROR(__xludf.DUMMYFUNCTION("""COMPUTED_VALUE"""),11.34)</f>
        <v>11.34</v>
      </c>
      <c r="C1548" s="112">
        <f ca="1">IFERROR(__xludf.DUMMYFUNCTION("""COMPUTED_VALUE"""),42551.7055555555)</f>
        <v>42551.705555555498</v>
      </c>
      <c r="D1548" s="111">
        <f ca="1">IFERROR(__xludf.DUMMYFUNCTION("""COMPUTED_VALUE"""),18.36)</f>
        <v>18.36</v>
      </c>
      <c r="E1548" s="112">
        <f ca="1">IFERROR(__xludf.DUMMYFUNCTION("""COMPUTED_VALUE"""),42552.7055555555)</f>
        <v>42552.705555555498</v>
      </c>
      <c r="F1548" s="111">
        <f ca="1">IFERROR(__xludf.DUMMYFUNCTION("""COMPUTED_VALUE"""),6.63)</f>
        <v>6.63</v>
      </c>
      <c r="G1548" s="112">
        <f ca="1">IFERROR(__xludf.DUMMYFUNCTION("""COMPUTED_VALUE"""),42548.7055555555)</f>
        <v>42548.705555555498</v>
      </c>
      <c r="H1548" s="111">
        <f ca="1">IFERROR(__xludf.DUMMYFUNCTION("""COMPUTED_VALUE"""),8.78)</f>
        <v>8.7799999999999994</v>
      </c>
      <c r="K1548" s="112">
        <f ca="1">IFERROR(__xludf.DUMMYFUNCTION("""COMPUTED_VALUE"""),42992.7055555555)</f>
        <v>42992.705555555498</v>
      </c>
      <c r="L1548" s="111">
        <f ca="1">IFERROR(__xludf.DUMMYFUNCTION("""COMPUTED_VALUE"""),2.56)</f>
        <v>2.56</v>
      </c>
      <c r="M1548" s="112">
        <f ca="1">IFERROR(__xludf.DUMMYFUNCTION("""COMPUTED_VALUE"""),42464.7055555555)</f>
        <v>42464.705555555498</v>
      </c>
      <c r="N1548" s="111">
        <f ca="1">IFERROR(__xludf.DUMMYFUNCTION("""COMPUTED_VALUE"""),13.69)</f>
        <v>13.69</v>
      </c>
      <c r="O1548" s="112">
        <f ca="1">IFERROR(__xludf.DUMMYFUNCTION("""COMPUTED_VALUE"""),42537.7055555555)</f>
        <v>42537.705555555498</v>
      </c>
      <c r="P1548" s="111">
        <f ca="1">IFERROR(__xludf.DUMMYFUNCTION("""COMPUTED_VALUE"""),15.23)</f>
        <v>15.23</v>
      </c>
      <c r="Q1548" s="112">
        <f ca="1">IFERROR(__xludf.DUMMYFUNCTION("""COMPUTED_VALUE"""),42536.7055555555)</f>
        <v>42536.705555555498</v>
      </c>
      <c r="R1548" s="111">
        <f ca="1">IFERROR(__xludf.DUMMYFUNCTION("""COMPUTED_VALUE"""),16.1)</f>
        <v>16.100000000000001</v>
      </c>
      <c r="S1548" s="112">
        <f ca="1">IFERROR(__xludf.DUMMYFUNCTION("""COMPUTED_VALUE"""),42548.7055555555)</f>
        <v>42548.705555555498</v>
      </c>
      <c r="T1548" s="111">
        <f ca="1">IFERROR(__xludf.DUMMYFUNCTION("""COMPUTED_VALUE"""),16.92)</f>
        <v>16.920000000000002</v>
      </c>
    </row>
    <row r="1549" spans="1:20" x14ac:dyDescent="0.3">
      <c r="A1549" s="112">
        <f ca="1">IFERROR(__xludf.DUMMYFUNCTION("""COMPUTED_VALUE"""),42545.7055555555)</f>
        <v>42545.705555555498</v>
      </c>
      <c r="B1549" s="111">
        <f ca="1">IFERROR(__xludf.DUMMYFUNCTION("""COMPUTED_VALUE"""),11.57)</f>
        <v>11.57</v>
      </c>
      <c r="C1549" s="112">
        <f ca="1">IFERROR(__xludf.DUMMYFUNCTION("""COMPUTED_VALUE"""),42552.7055555555)</f>
        <v>42552.705555555498</v>
      </c>
      <c r="D1549" s="111">
        <f ca="1">IFERROR(__xludf.DUMMYFUNCTION("""COMPUTED_VALUE"""),18.73)</f>
        <v>18.73</v>
      </c>
      <c r="E1549" s="112">
        <f ca="1">IFERROR(__xludf.DUMMYFUNCTION("""COMPUTED_VALUE"""),42555.7055555555)</f>
        <v>42555.705555555498</v>
      </c>
      <c r="F1549" s="111">
        <f ca="1">IFERROR(__xludf.DUMMYFUNCTION("""COMPUTED_VALUE"""),6.62)</f>
        <v>6.62</v>
      </c>
      <c r="G1549" s="112">
        <f ca="1">IFERROR(__xludf.DUMMYFUNCTION("""COMPUTED_VALUE"""),42549.7055555555)</f>
        <v>42549.705555555498</v>
      </c>
      <c r="H1549" s="111">
        <f ca="1">IFERROR(__xludf.DUMMYFUNCTION("""COMPUTED_VALUE"""),9.2)</f>
        <v>9.1999999999999993</v>
      </c>
      <c r="K1549" s="112">
        <f ca="1">IFERROR(__xludf.DUMMYFUNCTION("""COMPUTED_VALUE"""),42993.7055555555)</f>
        <v>42993.705555555498</v>
      </c>
      <c r="L1549" s="111">
        <f ca="1">IFERROR(__xludf.DUMMYFUNCTION("""COMPUTED_VALUE"""),2.6)</f>
        <v>2.6</v>
      </c>
      <c r="M1549" s="112">
        <f ca="1">IFERROR(__xludf.DUMMYFUNCTION("""COMPUTED_VALUE"""),42465.7055555555)</f>
        <v>42465.705555555498</v>
      </c>
      <c r="N1549" s="111">
        <f ca="1">IFERROR(__xludf.DUMMYFUNCTION("""COMPUTED_VALUE"""),13.75)</f>
        <v>13.75</v>
      </c>
      <c r="O1549" s="112">
        <f ca="1">IFERROR(__xludf.DUMMYFUNCTION("""COMPUTED_VALUE"""),42538.7055555555)</f>
        <v>42538.705555555498</v>
      </c>
      <c r="P1549" s="111">
        <f ca="1">IFERROR(__xludf.DUMMYFUNCTION("""COMPUTED_VALUE"""),15.28)</f>
        <v>15.28</v>
      </c>
      <c r="Q1549" s="112">
        <f ca="1">IFERROR(__xludf.DUMMYFUNCTION("""COMPUTED_VALUE"""),42537.7055555555)</f>
        <v>42537.705555555498</v>
      </c>
      <c r="R1549" s="111">
        <f ca="1">IFERROR(__xludf.DUMMYFUNCTION("""COMPUTED_VALUE"""),16.19)</f>
        <v>16.190000000000001</v>
      </c>
      <c r="S1549" s="112">
        <f ca="1">IFERROR(__xludf.DUMMYFUNCTION("""COMPUTED_VALUE"""),42549.7055555555)</f>
        <v>42549.705555555498</v>
      </c>
      <c r="T1549" s="111">
        <f ca="1">IFERROR(__xludf.DUMMYFUNCTION("""COMPUTED_VALUE"""),17.11)</f>
        <v>17.11</v>
      </c>
    </row>
    <row r="1550" spans="1:20" x14ac:dyDescent="0.3">
      <c r="A1550" s="112">
        <f ca="1">IFERROR(__xludf.DUMMYFUNCTION("""COMPUTED_VALUE"""),42548.7055555555)</f>
        <v>42548.705555555498</v>
      </c>
      <c r="B1550" s="111">
        <f ca="1">IFERROR(__xludf.DUMMYFUNCTION("""COMPUTED_VALUE"""),11.93)</f>
        <v>11.93</v>
      </c>
      <c r="C1550" s="112">
        <f ca="1">IFERROR(__xludf.DUMMYFUNCTION("""COMPUTED_VALUE"""),42555.7055555555)</f>
        <v>42555.705555555498</v>
      </c>
      <c r="D1550" s="111">
        <f ca="1">IFERROR(__xludf.DUMMYFUNCTION("""COMPUTED_VALUE"""),18.72)</f>
        <v>18.72</v>
      </c>
      <c r="E1550" s="112">
        <f ca="1">IFERROR(__xludf.DUMMYFUNCTION("""COMPUTED_VALUE"""),42556.7055555555)</f>
        <v>42556.705555555498</v>
      </c>
      <c r="F1550" s="111">
        <f ca="1">IFERROR(__xludf.DUMMYFUNCTION("""COMPUTED_VALUE"""),6.55)</f>
        <v>6.55</v>
      </c>
      <c r="G1550" s="112">
        <f ca="1">IFERROR(__xludf.DUMMYFUNCTION("""COMPUTED_VALUE"""),42550.7055555555)</f>
        <v>42550.705555555498</v>
      </c>
      <c r="H1550" s="111">
        <f ca="1">IFERROR(__xludf.DUMMYFUNCTION("""COMPUTED_VALUE"""),9.5)</f>
        <v>9.5</v>
      </c>
      <c r="K1550" s="112">
        <f ca="1">IFERROR(__xludf.DUMMYFUNCTION("""COMPUTED_VALUE"""),42996.7055555555)</f>
        <v>42996.705555555498</v>
      </c>
      <c r="L1550" s="111">
        <f ca="1">IFERROR(__xludf.DUMMYFUNCTION("""COMPUTED_VALUE"""),2.54)</f>
        <v>2.54</v>
      </c>
      <c r="M1550" s="112">
        <f ca="1">IFERROR(__xludf.DUMMYFUNCTION("""COMPUTED_VALUE"""),42466.7055555555)</f>
        <v>42466.705555555498</v>
      </c>
      <c r="N1550" s="111">
        <f ca="1">IFERROR(__xludf.DUMMYFUNCTION("""COMPUTED_VALUE"""),13.39)</f>
        <v>13.39</v>
      </c>
      <c r="O1550" s="112">
        <f ca="1">IFERROR(__xludf.DUMMYFUNCTION("""COMPUTED_VALUE"""),42541.7055555555)</f>
        <v>42541.705555555498</v>
      </c>
      <c r="P1550" s="111">
        <f ca="1">IFERROR(__xludf.DUMMYFUNCTION("""COMPUTED_VALUE"""),15.57)</f>
        <v>15.57</v>
      </c>
      <c r="Q1550" s="112">
        <f ca="1">IFERROR(__xludf.DUMMYFUNCTION("""COMPUTED_VALUE"""),42538.7055555555)</f>
        <v>42538.705555555498</v>
      </c>
      <c r="R1550" s="111">
        <f ca="1">IFERROR(__xludf.DUMMYFUNCTION("""COMPUTED_VALUE"""),16)</f>
        <v>16</v>
      </c>
      <c r="S1550" s="112">
        <f ca="1">IFERROR(__xludf.DUMMYFUNCTION("""COMPUTED_VALUE"""),42550.7055555555)</f>
        <v>42550.705555555498</v>
      </c>
      <c r="T1550" s="111">
        <f ca="1">IFERROR(__xludf.DUMMYFUNCTION("""COMPUTED_VALUE"""),17.52)</f>
        <v>17.52</v>
      </c>
    </row>
    <row r="1551" spans="1:20" x14ac:dyDescent="0.3">
      <c r="A1551" s="112">
        <f ca="1">IFERROR(__xludf.DUMMYFUNCTION("""COMPUTED_VALUE"""),42549.7055555555)</f>
        <v>42549.705555555498</v>
      </c>
      <c r="B1551" s="111">
        <f ca="1">IFERROR(__xludf.DUMMYFUNCTION("""COMPUTED_VALUE"""),13.05)</f>
        <v>13.05</v>
      </c>
      <c r="C1551" s="112">
        <f ca="1">IFERROR(__xludf.DUMMYFUNCTION("""COMPUTED_VALUE"""),42556.7055555555)</f>
        <v>42556.705555555498</v>
      </c>
      <c r="D1551" s="111">
        <f ca="1">IFERROR(__xludf.DUMMYFUNCTION("""COMPUTED_VALUE"""),18.59)</f>
        <v>18.59</v>
      </c>
      <c r="E1551" s="112">
        <f ca="1">IFERROR(__xludf.DUMMYFUNCTION("""COMPUTED_VALUE"""),42557.7055555555)</f>
        <v>42557.705555555498</v>
      </c>
      <c r="F1551" s="111">
        <f ca="1">IFERROR(__xludf.DUMMYFUNCTION("""COMPUTED_VALUE"""),6.51)</f>
        <v>6.51</v>
      </c>
      <c r="G1551" s="112">
        <f ca="1">IFERROR(__xludf.DUMMYFUNCTION("""COMPUTED_VALUE"""),42551.7055555555)</f>
        <v>42551.705555555498</v>
      </c>
      <c r="H1551" s="111">
        <f ca="1">IFERROR(__xludf.DUMMYFUNCTION("""COMPUTED_VALUE"""),9.42)</f>
        <v>9.42</v>
      </c>
      <c r="K1551" s="112">
        <f ca="1">IFERROR(__xludf.DUMMYFUNCTION("""COMPUTED_VALUE"""),42997.7055555555)</f>
        <v>42997.705555555498</v>
      </c>
      <c r="L1551" s="111">
        <f ca="1">IFERROR(__xludf.DUMMYFUNCTION("""COMPUTED_VALUE"""),2.46)</f>
        <v>2.46</v>
      </c>
      <c r="M1551" s="112">
        <f ca="1">IFERROR(__xludf.DUMMYFUNCTION("""COMPUTED_VALUE"""),42467.7055555555)</f>
        <v>42467.705555555498</v>
      </c>
      <c r="N1551" s="111">
        <f ca="1">IFERROR(__xludf.DUMMYFUNCTION("""COMPUTED_VALUE"""),13.49)</f>
        <v>13.49</v>
      </c>
      <c r="O1551" s="112">
        <f ca="1">IFERROR(__xludf.DUMMYFUNCTION("""COMPUTED_VALUE"""),42542.7055555555)</f>
        <v>42542.705555555498</v>
      </c>
      <c r="P1551" s="111">
        <f ca="1">IFERROR(__xludf.DUMMYFUNCTION("""COMPUTED_VALUE"""),15.6)</f>
        <v>15.6</v>
      </c>
      <c r="Q1551" s="112">
        <f ca="1">IFERROR(__xludf.DUMMYFUNCTION("""COMPUTED_VALUE"""),42541.7055555555)</f>
        <v>42541.705555555498</v>
      </c>
      <c r="R1551" s="111">
        <f ca="1">IFERROR(__xludf.DUMMYFUNCTION("""COMPUTED_VALUE"""),16.59)</f>
        <v>16.59</v>
      </c>
      <c r="S1551" s="112">
        <f ca="1">IFERROR(__xludf.DUMMYFUNCTION("""COMPUTED_VALUE"""),42551.7055555555)</f>
        <v>42551.705555555498</v>
      </c>
      <c r="T1551" s="111">
        <f ca="1">IFERROR(__xludf.DUMMYFUNCTION("""COMPUTED_VALUE"""),17.8)</f>
        <v>17.8</v>
      </c>
    </row>
    <row r="1552" spans="1:20" x14ac:dyDescent="0.3">
      <c r="A1552" s="112">
        <f ca="1">IFERROR(__xludf.DUMMYFUNCTION("""COMPUTED_VALUE"""),42550.7055555555)</f>
        <v>42550.705555555498</v>
      </c>
      <c r="B1552" s="111">
        <f ca="1">IFERROR(__xludf.DUMMYFUNCTION("""COMPUTED_VALUE"""),12.68)</f>
        <v>12.68</v>
      </c>
      <c r="C1552" s="112">
        <f ca="1">IFERROR(__xludf.DUMMYFUNCTION("""COMPUTED_VALUE"""),42557.7055555555)</f>
        <v>42557.705555555498</v>
      </c>
      <c r="D1552" s="111">
        <f ca="1">IFERROR(__xludf.DUMMYFUNCTION("""COMPUTED_VALUE"""),18.66)</f>
        <v>18.66</v>
      </c>
      <c r="E1552" s="112">
        <f ca="1">IFERROR(__xludf.DUMMYFUNCTION("""COMPUTED_VALUE"""),42558.7055555555)</f>
        <v>42558.705555555498</v>
      </c>
      <c r="F1552" s="111">
        <f ca="1">IFERROR(__xludf.DUMMYFUNCTION("""COMPUTED_VALUE"""),6.56)</f>
        <v>6.56</v>
      </c>
      <c r="G1552" s="112">
        <f ca="1">IFERROR(__xludf.DUMMYFUNCTION("""COMPUTED_VALUE"""),42552.7055555555)</f>
        <v>42552.705555555498</v>
      </c>
      <c r="H1552" s="111">
        <f ca="1">IFERROR(__xludf.DUMMYFUNCTION("""COMPUTED_VALUE"""),9.82)</f>
        <v>9.82</v>
      </c>
      <c r="K1552" s="112">
        <f ca="1">IFERROR(__xludf.DUMMYFUNCTION("""COMPUTED_VALUE"""),42998.7055555555)</f>
        <v>42998.705555555498</v>
      </c>
      <c r="L1552" s="111">
        <f ca="1">IFERROR(__xludf.DUMMYFUNCTION("""COMPUTED_VALUE"""),2.36)</f>
        <v>2.36</v>
      </c>
      <c r="M1552" s="112">
        <f ca="1">IFERROR(__xludf.DUMMYFUNCTION("""COMPUTED_VALUE"""),42468.7055555555)</f>
        <v>42468.705555555498</v>
      </c>
      <c r="N1552" s="111">
        <f ca="1">IFERROR(__xludf.DUMMYFUNCTION("""COMPUTED_VALUE"""),14.18)</f>
        <v>14.18</v>
      </c>
      <c r="O1552" s="112">
        <f ca="1">IFERROR(__xludf.DUMMYFUNCTION("""COMPUTED_VALUE"""),42543.7055555555)</f>
        <v>42543.705555555498</v>
      </c>
      <c r="P1552" s="111">
        <f ca="1">IFERROR(__xludf.DUMMYFUNCTION("""COMPUTED_VALUE"""),15.85)</f>
        <v>15.85</v>
      </c>
      <c r="Q1552" s="112">
        <f ca="1">IFERROR(__xludf.DUMMYFUNCTION("""COMPUTED_VALUE"""),42542.7055555555)</f>
        <v>42542.705555555498</v>
      </c>
      <c r="R1552" s="111">
        <f ca="1">IFERROR(__xludf.DUMMYFUNCTION("""COMPUTED_VALUE"""),15.85)</f>
        <v>15.85</v>
      </c>
      <c r="S1552" s="112">
        <f ca="1">IFERROR(__xludf.DUMMYFUNCTION("""COMPUTED_VALUE"""),42552.7055555555)</f>
        <v>42552.705555555498</v>
      </c>
      <c r="T1552" s="111">
        <f ca="1">IFERROR(__xludf.DUMMYFUNCTION("""COMPUTED_VALUE"""),18.07)</f>
        <v>18.07</v>
      </c>
    </row>
    <row r="1553" spans="1:20" x14ac:dyDescent="0.3">
      <c r="A1553" s="112">
        <f ca="1">IFERROR(__xludf.DUMMYFUNCTION("""COMPUTED_VALUE"""),42551.7055555555)</f>
        <v>42551.705555555498</v>
      </c>
      <c r="B1553" s="111">
        <f ca="1">IFERROR(__xludf.DUMMYFUNCTION("""COMPUTED_VALUE"""),12.7)</f>
        <v>12.7</v>
      </c>
      <c r="C1553" s="112">
        <f ca="1">IFERROR(__xludf.DUMMYFUNCTION("""COMPUTED_VALUE"""),42558.7055555555)</f>
        <v>42558.705555555498</v>
      </c>
      <c r="D1553" s="111">
        <f ca="1">IFERROR(__xludf.DUMMYFUNCTION("""COMPUTED_VALUE"""),18.85)</f>
        <v>18.850000000000001</v>
      </c>
      <c r="E1553" s="112">
        <f ca="1">IFERROR(__xludf.DUMMYFUNCTION("""COMPUTED_VALUE"""),42559.7055555555)</f>
        <v>42559.705555555498</v>
      </c>
      <c r="F1553" s="111">
        <f ca="1">IFERROR(__xludf.DUMMYFUNCTION("""COMPUTED_VALUE"""),6.75)</f>
        <v>6.75</v>
      </c>
      <c r="G1553" s="112">
        <f ca="1">IFERROR(__xludf.DUMMYFUNCTION("""COMPUTED_VALUE"""),42555.7055555555)</f>
        <v>42555.705555555498</v>
      </c>
      <c r="H1553" s="111">
        <f ca="1">IFERROR(__xludf.DUMMYFUNCTION("""COMPUTED_VALUE"""),9.87)</f>
        <v>9.8699999999999992</v>
      </c>
      <c r="K1553" s="112">
        <f ca="1">IFERROR(__xludf.DUMMYFUNCTION("""COMPUTED_VALUE"""),42999.7055555555)</f>
        <v>42999.705555555498</v>
      </c>
      <c r="L1553" s="111">
        <f ca="1">IFERROR(__xludf.DUMMYFUNCTION("""COMPUTED_VALUE"""),2.38)</f>
        <v>2.38</v>
      </c>
      <c r="M1553" s="112">
        <f ca="1">IFERROR(__xludf.DUMMYFUNCTION("""COMPUTED_VALUE"""),42471.7055555555)</f>
        <v>42471.705555555498</v>
      </c>
      <c r="N1553" s="111">
        <f ca="1">IFERROR(__xludf.DUMMYFUNCTION("""COMPUTED_VALUE"""),14.42)</f>
        <v>14.42</v>
      </c>
      <c r="O1553" s="112">
        <f ca="1">IFERROR(__xludf.DUMMYFUNCTION("""COMPUTED_VALUE"""),42544.7055555555)</f>
        <v>42544.705555555498</v>
      </c>
      <c r="P1553" s="111">
        <f ca="1">IFERROR(__xludf.DUMMYFUNCTION("""COMPUTED_VALUE"""),16.59)</f>
        <v>16.59</v>
      </c>
      <c r="Q1553" s="112">
        <f ca="1">IFERROR(__xludf.DUMMYFUNCTION("""COMPUTED_VALUE"""),42543.7055555555)</f>
        <v>42543.705555555498</v>
      </c>
      <c r="R1553" s="111">
        <f ca="1">IFERROR(__xludf.DUMMYFUNCTION("""COMPUTED_VALUE"""),15.8)</f>
        <v>15.8</v>
      </c>
      <c r="S1553" s="112">
        <f ca="1">IFERROR(__xludf.DUMMYFUNCTION("""COMPUTED_VALUE"""),42555.7055555555)</f>
        <v>42555.705555555498</v>
      </c>
      <c r="T1553" s="111">
        <f ca="1">IFERROR(__xludf.DUMMYFUNCTION("""COMPUTED_VALUE"""),18.39)</f>
        <v>18.39</v>
      </c>
    </row>
    <row r="1554" spans="1:20" x14ac:dyDescent="0.3">
      <c r="A1554" s="112">
        <f ca="1">IFERROR(__xludf.DUMMYFUNCTION("""COMPUTED_VALUE"""),42552.7055555555)</f>
        <v>42552.705555555498</v>
      </c>
      <c r="B1554" s="111">
        <f ca="1">IFERROR(__xludf.DUMMYFUNCTION("""COMPUTED_VALUE"""),12.65)</f>
        <v>12.65</v>
      </c>
      <c r="C1554" s="112">
        <f ca="1">IFERROR(__xludf.DUMMYFUNCTION("""COMPUTED_VALUE"""),42559.7055555555)</f>
        <v>42559.705555555498</v>
      </c>
      <c r="D1554" s="111">
        <f ca="1">IFERROR(__xludf.DUMMYFUNCTION("""COMPUTED_VALUE"""),19.36)</f>
        <v>19.36</v>
      </c>
      <c r="E1554" s="112">
        <f ca="1">IFERROR(__xludf.DUMMYFUNCTION("""COMPUTED_VALUE"""),42562.7055555555)</f>
        <v>42562.705555555498</v>
      </c>
      <c r="F1554" s="111">
        <f ca="1">IFERROR(__xludf.DUMMYFUNCTION("""COMPUTED_VALUE"""),6.76)</f>
        <v>6.76</v>
      </c>
      <c r="G1554" s="112">
        <f ca="1">IFERROR(__xludf.DUMMYFUNCTION("""COMPUTED_VALUE"""),42556.7055555555)</f>
        <v>42556.705555555498</v>
      </c>
      <c r="H1554" s="111">
        <f ca="1">IFERROR(__xludf.DUMMYFUNCTION("""COMPUTED_VALUE"""),9.29)</f>
        <v>9.2899999999999991</v>
      </c>
      <c r="K1554" s="112">
        <f ca="1">IFERROR(__xludf.DUMMYFUNCTION("""COMPUTED_VALUE"""),43000.7055555555)</f>
        <v>43000.705555555498</v>
      </c>
      <c r="L1554" s="111">
        <f ca="1">IFERROR(__xludf.DUMMYFUNCTION("""COMPUTED_VALUE"""),2.35)</f>
        <v>2.35</v>
      </c>
      <c r="M1554" s="112">
        <f ca="1">IFERROR(__xludf.DUMMYFUNCTION("""COMPUTED_VALUE"""),42472.7055555555)</f>
        <v>42472.705555555498</v>
      </c>
      <c r="N1554" s="111">
        <f ca="1">IFERROR(__xludf.DUMMYFUNCTION("""COMPUTED_VALUE"""),15.1)</f>
        <v>15.1</v>
      </c>
      <c r="O1554" s="112">
        <f ca="1">IFERROR(__xludf.DUMMYFUNCTION("""COMPUTED_VALUE"""),42545.7055555555)</f>
        <v>42545.705555555498</v>
      </c>
      <c r="P1554" s="111">
        <f ca="1">IFERROR(__xludf.DUMMYFUNCTION("""COMPUTED_VALUE"""),15.21)</f>
        <v>15.21</v>
      </c>
      <c r="Q1554" s="112">
        <f ca="1">IFERROR(__xludf.DUMMYFUNCTION("""COMPUTED_VALUE"""),42544.7055555555)</f>
        <v>42544.705555555498</v>
      </c>
      <c r="R1554" s="111">
        <f ca="1">IFERROR(__xludf.DUMMYFUNCTION("""COMPUTED_VALUE"""),16.22)</f>
        <v>16.22</v>
      </c>
      <c r="S1554" s="112">
        <f ca="1">IFERROR(__xludf.DUMMYFUNCTION("""COMPUTED_VALUE"""),42556.7055555555)</f>
        <v>42556.705555555498</v>
      </c>
      <c r="T1554" s="111">
        <f ca="1">IFERROR(__xludf.DUMMYFUNCTION("""COMPUTED_VALUE"""),18.22)</f>
        <v>18.22</v>
      </c>
    </row>
    <row r="1555" spans="1:20" x14ac:dyDescent="0.3">
      <c r="A1555" s="112">
        <f ca="1">IFERROR(__xludf.DUMMYFUNCTION("""COMPUTED_VALUE"""),42555.7055555555)</f>
        <v>42555.705555555498</v>
      </c>
      <c r="B1555" s="111">
        <f ca="1">IFERROR(__xludf.DUMMYFUNCTION("""COMPUTED_VALUE"""),13.1)</f>
        <v>13.1</v>
      </c>
      <c r="C1555" s="112">
        <f ca="1">IFERROR(__xludf.DUMMYFUNCTION("""COMPUTED_VALUE"""),42562.7055555555)</f>
        <v>42562.705555555498</v>
      </c>
      <c r="D1555" s="111">
        <f ca="1">IFERROR(__xludf.DUMMYFUNCTION("""COMPUTED_VALUE"""),19.55)</f>
        <v>19.55</v>
      </c>
      <c r="E1555" s="112">
        <f ca="1">IFERROR(__xludf.DUMMYFUNCTION("""COMPUTED_VALUE"""),42563.7055555555)</f>
        <v>42563.705555555498</v>
      </c>
      <c r="F1555" s="111">
        <f ca="1">IFERROR(__xludf.DUMMYFUNCTION("""COMPUTED_VALUE"""),6.66)</f>
        <v>6.66</v>
      </c>
      <c r="G1555" s="112">
        <f ca="1">IFERROR(__xludf.DUMMYFUNCTION("""COMPUTED_VALUE"""),42557.7055555555)</f>
        <v>42557.705555555498</v>
      </c>
      <c r="H1555" s="111">
        <f ca="1">IFERROR(__xludf.DUMMYFUNCTION("""COMPUTED_VALUE"""),9.5)</f>
        <v>9.5</v>
      </c>
      <c r="K1555" s="112">
        <f ca="1">IFERROR(__xludf.DUMMYFUNCTION("""COMPUTED_VALUE"""),43003.7055555555)</f>
        <v>43003.705555555498</v>
      </c>
      <c r="L1555" s="111">
        <f ca="1">IFERROR(__xludf.DUMMYFUNCTION("""COMPUTED_VALUE"""),2.24)</f>
        <v>2.2400000000000002</v>
      </c>
      <c r="M1555" s="112">
        <f ca="1">IFERROR(__xludf.DUMMYFUNCTION("""COMPUTED_VALUE"""),42473.7055555555)</f>
        <v>42473.705555555498</v>
      </c>
      <c r="N1555" s="111">
        <f ca="1">IFERROR(__xludf.DUMMYFUNCTION("""COMPUTED_VALUE"""),16.61)</f>
        <v>16.61</v>
      </c>
      <c r="O1555" s="112">
        <f ca="1">IFERROR(__xludf.DUMMYFUNCTION("""COMPUTED_VALUE"""),42548.7055555555)</f>
        <v>42548.705555555498</v>
      </c>
      <c r="P1555" s="111">
        <f ca="1">IFERROR(__xludf.DUMMYFUNCTION("""COMPUTED_VALUE"""),14.8)</f>
        <v>14.8</v>
      </c>
      <c r="Q1555" s="112">
        <f ca="1">IFERROR(__xludf.DUMMYFUNCTION("""COMPUTED_VALUE"""),42545.7055555555)</f>
        <v>42545.705555555498</v>
      </c>
      <c r="R1555" s="111">
        <f ca="1">IFERROR(__xludf.DUMMYFUNCTION("""COMPUTED_VALUE"""),15.89)</f>
        <v>15.89</v>
      </c>
      <c r="S1555" s="112">
        <f ca="1">IFERROR(__xludf.DUMMYFUNCTION("""COMPUTED_VALUE"""),42557.7055555555)</f>
        <v>42557.705555555498</v>
      </c>
      <c r="T1555" s="111">
        <f ca="1">IFERROR(__xludf.DUMMYFUNCTION("""COMPUTED_VALUE"""),18.2)</f>
        <v>18.2</v>
      </c>
    </row>
    <row r="1556" spans="1:20" x14ac:dyDescent="0.3">
      <c r="A1556" s="112">
        <f ca="1">IFERROR(__xludf.DUMMYFUNCTION("""COMPUTED_VALUE"""),42556.7055555555)</f>
        <v>42556.705555555498</v>
      </c>
      <c r="B1556" s="111">
        <f ca="1">IFERROR(__xludf.DUMMYFUNCTION("""COMPUTED_VALUE"""),13.6)</f>
        <v>13.6</v>
      </c>
      <c r="C1556" s="112">
        <f ca="1">IFERROR(__xludf.DUMMYFUNCTION("""COMPUTED_VALUE"""),42563.7055555555)</f>
        <v>42563.705555555498</v>
      </c>
      <c r="D1556" s="111">
        <f ca="1">IFERROR(__xludf.DUMMYFUNCTION("""COMPUTED_VALUE"""),19.38)</f>
        <v>19.38</v>
      </c>
      <c r="E1556" s="112">
        <f ca="1">IFERROR(__xludf.DUMMYFUNCTION("""COMPUTED_VALUE"""),42564.7055555555)</f>
        <v>42564.705555555498</v>
      </c>
      <c r="F1556" s="111">
        <f ca="1">IFERROR(__xludf.DUMMYFUNCTION("""COMPUTED_VALUE"""),6.81)</f>
        <v>6.81</v>
      </c>
      <c r="G1556" s="112">
        <f ca="1">IFERROR(__xludf.DUMMYFUNCTION("""COMPUTED_VALUE"""),42558.7055555555)</f>
        <v>42558.705555555498</v>
      </c>
      <c r="H1556" s="111">
        <f ca="1">IFERROR(__xludf.DUMMYFUNCTION("""COMPUTED_VALUE"""),9.56)</f>
        <v>9.56</v>
      </c>
      <c r="K1556" s="112">
        <f ca="1">IFERROR(__xludf.DUMMYFUNCTION("""COMPUTED_VALUE"""),43004.7055555555)</f>
        <v>43004.705555555498</v>
      </c>
      <c r="L1556" s="111">
        <f ca="1">IFERROR(__xludf.DUMMYFUNCTION("""COMPUTED_VALUE"""),2.31)</f>
        <v>2.31</v>
      </c>
      <c r="M1556" s="112">
        <f ca="1">IFERROR(__xludf.DUMMYFUNCTION("""COMPUTED_VALUE"""),42474.7055555555)</f>
        <v>42474.705555555498</v>
      </c>
      <c r="N1556" s="111">
        <f ca="1">IFERROR(__xludf.DUMMYFUNCTION("""COMPUTED_VALUE"""),14.85)</f>
        <v>14.85</v>
      </c>
      <c r="O1556" s="112">
        <f ca="1">IFERROR(__xludf.DUMMYFUNCTION("""COMPUTED_VALUE"""),42549.7055555555)</f>
        <v>42549.705555555498</v>
      </c>
      <c r="P1556" s="111">
        <f ca="1">IFERROR(__xludf.DUMMYFUNCTION("""COMPUTED_VALUE"""),15.46)</f>
        <v>15.46</v>
      </c>
      <c r="Q1556" s="112">
        <f ca="1">IFERROR(__xludf.DUMMYFUNCTION("""COMPUTED_VALUE"""),42548.7055555555)</f>
        <v>42548.705555555498</v>
      </c>
      <c r="R1556" s="111">
        <f ca="1">IFERROR(__xludf.DUMMYFUNCTION("""COMPUTED_VALUE"""),15.64)</f>
        <v>15.64</v>
      </c>
      <c r="S1556" s="112">
        <f ca="1">IFERROR(__xludf.DUMMYFUNCTION("""COMPUTED_VALUE"""),42558.7055555555)</f>
        <v>42558.705555555498</v>
      </c>
      <c r="T1556" s="111">
        <f ca="1">IFERROR(__xludf.DUMMYFUNCTION("""COMPUTED_VALUE"""),18.37)</f>
        <v>18.37</v>
      </c>
    </row>
    <row r="1557" spans="1:20" x14ac:dyDescent="0.3">
      <c r="A1557" s="112">
        <f ca="1">IFERROR(__xludf.DUMMYFUNCTION("""COMPUTED_VALUE"""),42557.7055555555)</f>
        <v>42557.705555555498</v>
      </c>
      <c r="B1557" s="111">
        <f ca="1">IFERROR(__xludf.DUMMYFUNCTION("""COMPUTED_VALUE"""),13.4)</f>
        <v>13.4</v>
      </c>
      <c r="C1557" s="112">
        <f ca="1">IFERROR(__xludf.DUMMYFUNCTION("""COMPUTED_VALUE"""),42564.7055555555)</f>
        <v>42564.705555555498</v>
      </c>
      <c r="D1557" s="111">
        <f ca="1">IFERROR(__xludf.DUMMYFUNCTION("""COMPUTED_VALUE"""),19.78)</f>
        <v>19.78</v>
      </c>
      <c r="E1557" s="112">
        <f ca="1">IFERROR(__xludf.DUMMYFUNCTION("""COMPUTED_VALUE"""),42565.7055555555)</f>
        <v>42565.705555555498</v>
      </c>
      <c r="F1557" s="111">
        <f ca="1">IFERROR(__xludf.DUMMYFUNCTION("""COMPUTED_VALUE"""),7.12)</f>
        <v>7.12</v>
      </c>
      <c r="G1557" s="112">
        <f ca="1">IFERROR(__xludf.DUMMYFUNCTION("""COMPUTED_VALUE"""),42559.7055555555)</f>
        <v>42559.705555555498</v>
      </c>
      <c r="H1557" s="111">
        <f ca="1">IFERROR(__xludf.DUMMYFUNCTION("""COMPUTED_VALUE"""),9.84)</f>
        <v>9.84</v>
      </c>
      <c r="K1557" s="112">
        <f ca="1">IFERROR(__xludf.DUMMYFUNCTION("""COMPUTED_VALUE"""),43005.7055555555)</f>
        <v>43005.705555555498</v>
      </c>
      <c r="L1557" s="111">
        <f ca="1">IFERROR(__xludf.DUMMYFUNCTION("""COMPUTED_VALUE"""),2.14)</f>
        <v>2.14</v>
      </c>
      <c r="M1557" s="112">
        <f ca="1">IFERROR(__xludf.DUMMYFUNCTION("""COMPUTED_VALUE"""),42475.7055555555)</f>
        <v>42475.705555555498</v>
      </c>
      <c r="N1557" s="111">
        <f ca="1">IFERROR(__xludf.DUMMYFUNCTION("""COMPUTED_VALUE"""),14.92)</f>
        <v>14.92</v>
      </c>
      <c r="O1557" s="112">
        <f ca="1">IFERROR(__xludf.DUMMYFUNCTION("""COMPUTED_VALUE"""),42550.7055555555)</f>
        <v>42550.705555555498</v>
      </c>
      <c r="P1557" s="111">
        <f ca="1">IFERROR(__xludf.DUMMYFUNCTION("""COMPUTED_VALUE"""),15.71)</f>
        <v>15.71</v>
      </c>
      <c r="Q1557" s="112">
        <f ca="1">IFERROR(__xludf.DUMMYFUNCTION("""COMPUTED_VALUE"""),42549.7055555555)</f>
        <v>42549.705555555498</v>
      </c>
      <c r="R1557" s="111">
        <f ca="1">IFERROR(__xludf.DUMMYFUNCTION("""COMPUTED_VALUE"""),16.03)</f>
        <v>16.03</v>
      </c>
      <c r="S1557" s="112">
        <f ca="1">IFERROR(__xludf.DUMMYFUNCTION("""COMPUTED_VALUE"""),42559.7055555555)</f>
        <v>42559.705555555498</v>
      </c>
      <c r="T1557" s="111">
        <f ca="1">IFERROR(__xludf.DUMMYFUNCTION("""COMPUTED_VALUE"""),19.16)</f>
        <v>19.16</v>
      </c>
    </row>
    <row r="1558" spans="1:20" x14ac:dyDescent="0.3">
      <c r="A1558" s="112">
        <f ca="1">IFERROR(__xludf.DUMMYFUNCTION("""COMPUTED_VALUE"""),42558.7055555555)</f>
        <v>42558.705555555498</v>
      </c>
      <c r="B1558" s="111">
        <f ca="1">IFERROR(__xludf.DUMMYFUNCTION("""COMPUTED_VALUE"""),13.68)</f>
        <v>13.68</v>
      </c>
      <c r="C1558" s="112">
        <f ca="1">IFERROR(__xludf.DUMMYFUNCTION("""COMPUTED_VALUE"""),42565.7055555555)</f>
        <v>42565.705555555498</v>
      </c>
      <c r="D1558" s="111">
        <f ca="1">IFERROR(__xludf.DUMMYFUNCTION("""COMPUTED_VALUE"""),20.35)</f>
        <v>20.350000000000001</v>
      </c>
      <c r="E1558" s="112">
        <f ca="1">IFERROR(__xludf.DUMMYFUNCTION("""COMPUTED_VALUE"""),42566.7055555555)</f>
        <v>42566.705555555498</v>
      </c>
      <c r="F1558" s="111">
        <f ca="1">IFERROR(__xludf.DUMMYFUNCTION("""COMPUTED_VALUE"""),7.08)</f>
        <v>7.08</v>
      </c>
      <c r="G1558" s="112">
        <f ca="1">IFERROR(__xludf.DUMMYFUNCTION("""COMPUTED_VALUE"""),42562.7055555555)</f>
        <v>42562.705555555498</v>
      </c>
      <c r="H1558" s="111">
        <f ca="1">IFERROR(__xludf.DUMMYFUNCTION("""COMPUTED_VALUE"""),10.36)</f>
        <v>10.36</v>
      </c>
      <c r="K1558" s="112">
        <f ca="1">IFERROR(__xludf.DUMMYFUNCTION("""COMPUTED_VALUE"""),43006.7055555555)</f>
        <v>43006.705555555498</v>
      </c>
      <c r="L1558" s="111">
        <f ca="1">IFERROR(__xludf.DUMMYFUNCTION("""COMPUTED_VALUE"""),2.21)</f>
        <v>2.21</v>
      </c>
      <c r="M1558" s="112">
        <f ca="1">IFERROR(__xludf.DUMMYFUNCTION("""COMPUTED_VALUE"""),42478.7055555555)</f>
        <v>42478.705555555498</v>
      </c>
      <c r="N1558" s="111">
        <f ca="1">IFERROR(__xludf.DUMMYFUNCTION("""COMPUTED_VALUE"""),14.83)</f>
        <v>14.83</v>
      </c>
      <c r="O1558" s="112">
        <f ca="1">IFERROR(__xludf.DUMMYFUNCTION("""COMPUTED_VALUE"""),42551.7055555555)</f>
        <v>42551.705555555498</v>
      </c>
      <c r="P1558" s="111">
        <f ca="1">IFERROR(__xludf.DUMMYFUNCTION("""COMPUTED_VALUE"""),16.27)</f>
        <v>16.27</v>
      </c>
      <c r="Q1558" s="112">
        <f ca="1">IFERROR(__xludf.DUMMYFUNCTION("""COMPUTED_VALUE"""),42550.7055555555)</f>
        <v>42550.705555555498</v>
      </c>
      <c r="R1558" s="111">
        <f ca="1">IFERROR(__xludf.DUMMYFUNCTION("""COMPUTED_VALUE"""),16.49)</f>
        <v>16.489999999999998</v>
      </c>
      <c r="S1558" s="112">
        <f ca="1">IFERROR(__xludf.DUMMYFUNCTION("""COMPUTED_VALUE"""),42562.7055555555)</f>
        <v>42562.705555555498</v>
      </c>
      <c r="T1558" s="111">
        <f ca="1">IFERROR(__xludf.DUMMYFUNCTION("""COMPUTED_VALUE"""),19.53)</f>
        <v>19.53</v>
      </c>
    </row>
    <row r="1559" spans="1:20" x14ac:dyDescent="0.3">
      <c r="A1559" s="112">
        <f ca="1">IFERROR(__xludf.DUMMYFUNCTION("""COMPUTED_VALUE"""),42559.7055555555)</f>
        <v>42559.705555555498</v>
      </c>
      <c r="B1559" s="111">
        <f ca="1">IFERROR(__xludf.DUMMYFUNCTION("""COMPUTED_VALUE"""),13.85)</f>
        <v>13.85</v>
      </c>
      <c r="C1559" s="112">
        <f ca="1">IFERROR(__xludf.DUMMYFUNCTION("""COMPUTED_VALUE"""),42566.7055555555)</f>
        <v>42566.705555555498</v>
      </c>
      <c r="D1559" s="111">
        <f ca="1">IFERROR(__xludf.DUMMYFUNCTION("""COMPUTED_VALUE"""),20.28)</f>
        <v>20.28</v>
      </c>
      <c r="E1559" s="112">
        <f ca="1">IFERROR(__xludf.DUMMYFUNCTION("""COMPUTED_VALUE"""),42569.7055555555)</f>
        <v>42569.705555555498</v>
      </c>
      <c r="F1559" s="111">
        <f ca="1">IFERROR(__xludf.DUMMYFUNCTION("""COMPUTED_VALUE"""),7.24)</f>
        <v>7.24</v>
      </c>
      <c r="G1559" s="112">
        <f ca="1">IFERROR(__xludf.DUMMYFUNCTION("""COMPUTED_VALUE"""),42563.7055555555)</f>
        <v>42563.705555555498</v>
      </c>
      <c r="H1559" s="111">
        <f ca="1">IFERROR(__xludf.DUMMYFUNCTION("""COMPUTED_VALUE"""),10.65)</f>
        <v>10.65</v>
      </c>
      <c r="K1559" s="112">
        <f ca="1">IFERROR(__xludf.DUMMYFUNCTION("""COMPUTED_VALUE"""),43007.7055555555)</f>
        <v>43007.705555555498</v>
      </c>
      <c r="L1559" s="111">
        <f ca="1">IFERROR(__xludf.DUMMYFUNCTION("""COMPUTED_VALUE"""),2.32)</f>
        <v>2.3199999999999998</v>
      </c>
      <c r="M1559" s="112">
        <f ca="1">IFERROR(__xludf.DUMMYFUNCTION("""COMPUTED_VALUE"""),42479.7055555555)</f>
        <v>42479.705555555498</v>
      </c>
      <c r="N1559" s="111">
        <f ca="1">IFERROR(__xludf.DUMMYFUNCTION("""COMPUTED_VALUE"""),14.87)</f>
        <v>14.87</v>
      </c>
      <c r="O1559" s="112">
        <f ca="1">IFERROR(__xludf.DUMMYFUNCTION("""COMPUTED_VALUE"""),42552.7055555555)</f>
        <v>42552.705555555498</v>
      </c>
      <c r="P1559" s="111">
        <f ca="1">IFERROR(__xludf.DUMMYFUNCTION("""COMPUTED_VALUE"""),16.62)</f>
        <v>16.62</v>
      </c>
      <c r="Q1559" s="112">
        <f ca="1">IFERROR(__xludf.DUMMYFUNCTION("""COMPUTED_VALUE"""),42551.7055555555)</f>
        <v>42551.705555555498</v>
      </c>
      <c r="R1559" s="111">
        <f ca="1">IFERROR(__xludf.DUMMYFUNCTION("""COMPUTED_VALUE"""),17.18)</f>
        <v>17.18</v>
      </c>
      <c r="S1559" s="112">
        <f ca="1">IFERROR(__xludf.DUMMYFUNCTION("""COMPUTED_VALUE"""),42563.7055555555)</f>
        <v>42563.705555555498</v>
      </c>
      <c r="T1559" s="111">
        <f ca="1">IFERROR(__xludf.DUMMYFUNCTION("""COMPUTED_VALUE"""),19.61)</f>
        <v>19.61</v>
      </c>
    </row>
    <row r="1560" spans="1:20" x14ac:dyDescent="0.3">
      <c r="A1560" s="112">
        <f ca="1">IFERROR(__xludf.DUMMYFUNCTION("""COMPUTED_VALUE"""),42562.7055555555)</f>
        <v>42562.705555555498</v>
      </c>
      <c r="B1560" s="111">
        <f ca="1">IFERROR(__xludf.DUMMYFUNCTION("""COMPUTED_VALUE"""),15.01)</f>
        <v>15.01</v>
      </c>
      <c r="C1560" s="112">
        <f ca="1">IFERROR(__xludf.DUMMYFUNCTION("""COMPUTED_VALUE"""),42569.7055555555)</f>
        <v>42569.705555555498</v>
      </c>
      <c r="D1560" s="111">
        <f ca="1">IFERROR(__xludf.DUMMYFUNCTION("""COMPUTED_VALUE"""),20.62)</f>
        <v>20.62</v>
      </c>
      <c r="E1560" s="112">
        <f ca="1">IFERROR(__xludf.DUMMYFUNCTION("""COMPUTED_VALUE"""),42570.7055555555)</f>
        <v>42570.705555555498</v>
      </c>
      <c r="F1560" s="111">
        <f ca="1">IFERROR(__xludf.DUMMYFUNCTION("""COMPUTED_VALUE"""),7.28)</f>
        <v>7.28</v>
      </c>
      <c r="G1560" s="112">
        <f ca="1">IFERROR(__xludf.DUMMYFUNCTION("""COMPUTED_VALUE"""),42564.7055555555)</f>
        <v>42564.705555555498</v>
      </c>
      <c r="H1560" s="111">
        <f ca="1">IFERROR(__xludf.DUMMYFUNCTION("""COMPUTED_VALUE"""),10.63)</f>
        <v>10.63</v>
      </c>
      <c r="K1560" s="112">
        <f ca="1">IFERROR(__xludf.DUMMYFUNCTION("""COMPUTED_VALUE"""),43010.7055555555)</f>
        <v>43010.705555555498</v>
      </c>
      <c r="L1560" s="111">
        <f ca="1">IFERROR(__xludf.DUMMYFUNCTION("""COMPUTED_VALUE"""),2.43)</f>
        <v>2.4300000000000002</v>
      </c>
      <c r="M1560" s="112">
        <f ca="1">IFERROR(__xludf.DUMMYFUNCTION("""COMPUTED_VALUE"""),42480.7055555555)</f>
        <v>42480.705555555498</v>
      </c>
      <c r="N1560" s="111">
        <f ca="1">IFERROR(__xludf.DUMMYFUNCTION("""COMPUTED_VALUE"""),14.86)</f>
        <v>14.86</v>
      </c>
      <c r="O1560" s="112">
        <f ca="1">IFERROR(__xludf.DUMMYFUNCTION("""COMPUTED_VALUE"""),42555.7055555555)</f>
        <v>42555.705555555498</v>
      </c>
      <c r="P1560" s="111">
        <f ca="1">IFERROR(__xludf.DUMMYFUNCTION("""COMPUTED_VALUE"""),16.97)</f>
        <v>16.97</v>
      </c>
      <c r="Q1560" s="112">
        <f ca="1">IFERROR(__xludf.DUMMYFUNCTION("""COMPUTED_VALUE"""),42552.7055555555)</f>
        <v>42552.705555555498</v>
      </c>
      <c r="R1560" s="111">
        <f ca="1">IFERROR(__xludf.DUMMYFUNCTION("""COMPUTED_VALUE"""),17.05)</f>
        <v>17.05</v>
      </c>
      <c r="S1560" s="112">
        <f ca="1">IFERROR(__xludf.DUMMYFUNCTION("""COMPUTED_VALUE"""),42564.7055555555)</f>
        <v>42564.705555555498</v>
      </c>
      <c r="T1560" s="111">
        <f ca="1">IFERROR(__xludf.DUMMYFUNCTION("""COMPUTED_VALUE"""),19.53)</f>
        <v>19.53</v>
      </c>
    </row>
    <row r="1561" spans="1:20" x14ac:dyDescent="0.3">
      <c r="A1561" s="112">
        <f ca="1">IFERROR(__xludf.DUMMYFUNCTION("""COMPUTED_VALUE"""),42563.7055555555)</f>
        <v>42563.705555555498</v>
      </c>
      <c r="B1561" s="111">
        <f ca="1">IFERROR(__xludf.DUMMYFUNCTION("""COMPUTED_VALUE"""),15.29)</f>
        <v>15.29</v>
      </c>
      <c r="C1561" s="112">
        <f ca="1">IFERROR(__xludf.DUMMYFUNCTION("""COMPUTED_VALUE"""),42570.7055555555)</f>
        <v>42570.705555555498</v>
      </c>
      <c r="D1561" s="111">
        <f ca="1">IFERROR(__xludf.DUMMYFUNCTION("""COMPUTED_VALUE"""),20.5)</f>
        <v>20.5</v>
      </c>
      <c r="E1561" s="112">
        <f ca="1">IFERROR(__xludf.DUMMYFUNCTION("""COMPUTED_VALUE"""),42571.7055555555)</f>
        <v>42571.705555555498</v>
      </c>
      <c r="F1561" s="111">
        <f ca="1">IFERROR(__xludf.DUMMYFUNCTION("""COMPUTED_VALUE"""),7.26)</f>
        <v>7.26</v>
      </c>
      <c r="G1561" s="112">
        <f ca="1">IFERROR(__xludf.DUMMYFUNCTION("""COMPUTED_VALUE"""),42565.7055555555)</f>
        <v>42565.705555555498</v>
      </c>
      <c r="H1561" s="111">
        <f ca="1">IFERROR(__xludf.DUMMYFUNCTION("""COMPUTED_VALUE"""),10.93)</f>
        <v>10.93</v>
      </c>
      <c r="K1561" s="112">
        <f ca="1">IFERROR(__xludf.DUMMYFUNCTION("""COMPUTED_VALUE"""),43011.7055555555)</f>
        <v>43011.705555555498</v>
      </c>
      <c r="L1561" s="111">
        <f ca="1">IFERROR(__xludf.DUMMYFUNCTION("""COMPUTED_VALUE"""),2.47)</f>
        <v>2.4700000000000002</v>
      </c>
      <c r="M1561" s="112">
        <f ca="1">IFERROR(__xludf.DUMMYFUNCTION("""COMPUTED_VALUE"""),42481.7055555555)</f>
        <v>42481.705555555498</v>
      </c>
      <c r="N1561" s="111">
        <f ca="1">IFERROR(__xludf.DUMMYFUNCTION("""COMPUTED_VALUE"""),14.83)</f>
        <v>14.83</v>
      </c>
      <c r="O1561" s="112">
        <f ca="1">IFERROR(__xludf.DUMMYFUNCTION("""COMPUTED_VALUE"""),42556.7055555555)</f>
        <v>42556.705555555498</v>
      </c>
      <c r="P1561" s="111">
        <f ca="1">IFERROR(__xludf.DUMMYFUNCTION("""COMPUTED_VALUE"""),16.06)</f>
        <v>16.059999999999999</v>
      </c>
      <c r="Q1561" s="112">
        <f ca="1">IFERROR(__xludf.DUMMYFUNCTION("""COMPUTED_VALUE"""),42555.7055555555)</f>
        <v>42555.705555555498</v>
      </c>
      <c r="R1561" s="111">
        <f ca="1">IFERROR(__xludf.DUMMYFUNCTION("""COMPUTED_VALUE"""),17.13)</f>
        <v>17.13</v>
      </c>
      <c r="S1561" s="112">
        <f ca="1">IFERROR(__xludf.DUMMYFUNCTION("""COMPUTED_VALUE"""),42565.7055555555)</f>
        <v>42565.705555555498</v>
      </c>
      <c r="T1561" s="111">
        <f ca="1">IFERROR(__xludf.DUMMYFUNCTION("""COMPUTED_VALUE"""),19.38)</f>
        <v>19.38</v>
      </c>
    </row>
    <row r="1562" spans="1:20" x14ac:dyDescent="0.3">
      <c r="A1562" s="112">
        <f ca="1">IFERROR(__xludf.DUMMYFUNCTION("""COMPUTED_VALUE"""),42564.7055555555)</f>
        <v>42564.705555555498</v>
      </c>
      <c r="B1562" s="111">
        <f ca="1">IFERROR(__xludf.DUMMYFUNCTION("""COMPUTED_VALUE"""),15.05)</f>
        <v>15.05</v>
      </c>
      <c r="C1562" s="112">
        <f ca="1">IFERROR(__xludf.DUMMYFUNCTION("""COMPUTED_VALUE"""),42571.7055555555)</f>
        <v>42571.705555555498</v>
      </c>
      <c r="D1562" s="111">
        <f ca="1">IFERROR(__xludf.DUMMYFUNCTION("""COMPUTED_VALUE"""),20.82)</f>
        <v>20.82</v>
      </c>
      <c r="E1562" s="112">
        <f ca="1">IFERROR(__xludf.DUMMYFUNCTION("""COMPUTED_VALUE"""),42572.7055555555)</f>
        <v>42572.705555555498</v>
      </c>
      <c r="F1562" s="111">
        <f ca="1">IFERROR(__xludf.DUMMYFUNCTION("""COMPUTED_VALUE"""),7.19)</f>
        <v>7.19</v>
      </c>
      <c r="G1562" s="112">
        <f ca="1">IFERROR(__xludf.DUMMYFUNCTION("""COMPUTED_VALUE"""),42566.7055555555)</f>
        <v>42566.705555555498</v>
      </c>
      <c r="H1562" s="111">
        <f ca="1">IFERROR(__xludf.DUMMYFUNCTION("""COMPUTED_VALUE"""),11.02)</f>
        <v>11.02</v>
      </c>
      <c r="K1562" s="112">
        <f ca="1">IFERROR(__xludf.DUMMYFUNCTION("""COMPUTED_VALUE"""),43012.7055555555)</f>
        <v>43012.705555555498</v>
      </c>
      <c r="L1562" s="111">
        <f ca="1">IFERROR(__xludf.DUMMYFUNCTION("""COMPUTED_VALUE"""),2.49)</f>
        <v>2.4900000000000002</v>
      </c>
      <c r="M1562" s="112">
        <f ca="1">IFERROR(__xludf.DUMMYFUNCTION("""COMPUTED_VALUE"""),42482.7055555555)</f>
        <v>42482.705555555498</v>
      </c>
      <c r="N1562" s="111">
        <f ca="1">IFERROR(__xludf.DUMMYFUNCTION("""COMPUTED_VALUE"""),14.54)</f>
        <v>14.54</v>
      </c>
      <c r="O1562" s="112">
        <f ca="1">IFERROR(__xludf.DUMMYFUNCTION("""COMPUTED_VALUE"""),42557.7055555555)</f>
        <v>42557.705555555498</v>
      </c>
      <c r="P1562" s="111">
        <f ca="1">IFERROR(__xludf.DUMMYFUNCTION("""COMPUTED_VALUE"""),16.29)</f>
        <v>16.29</v>
      </c>
      <c r="Q1562" s="112">
        <f ca="1">IFERROR(__xludf.DUMMYFUNCTION("""COMPUTED_VALUE"""),42556.7055555555)</f>
        <v>42556.705555555498</v>
      </c>
      <c r="R1562" s="111">
        <f ca="1">IFERROR(__xludf.DUMMYFUNCTION("""COMPUTED_VALUE"""),17)</f>
        <v>17</v>
      </c>
      <c r="S1562" s="112">
        <f ca="1">IFERROR(__xludf.DUMMYFUNCTION("""COMPUTED_VALUE"""),42566.7055555555)</f>
        <v>42566.705555555498</v>
      </c>
      <c r="T1562" s="111">
        <f ca="1">IFERROR(__xludf.DUMMYFUNCTION("""COMPUTED_VALUE"""),19.57)</f>
        <v>19.57</v>
      </c>
    </row>
    <row r="1563" spans="1:20" x14ac:dyDescent="0.3">
      <c r="A1563" s="112">
        <f ca="1">IFERROR(__xludf.DUMMYFUNCTION("""COMPUTED_VALUE"""),42565.7055555555)</f>
        <v>42565.705555555498</v>
      </c>
      <c r="B1563" s="111">
        <f ca="1">IFERROR(__xludf.DUMMYFUNCTION("""COMPUTED_VALUE"""),15.72)</f>
        <v>15.72</v>
      </c>
      <c r="C1563" s="112">
        <f ca="1">IFERROR(__xludf.DUMMYFUNCTION("""COMPUTED_VALUE"""),42572.7055555555)</f>
        <v>42572.705555555498</v>
      </c>
      <c r="D1563" s="111">
        <f ca="1">IFERROR(__xludf.DUMMYFUNCTION("""COMPUTED_VALUE"""),20.55)</f>
        <v>20.55</v>
      </c>
      <c r="E1563" s="112">
        <f ca="1">IFERROR(__xludf.DUMMYFUNCTION("""COMPUTED_VALUE"""),42573.7055555555)</f>
        <v>42573.705555555498</v>
      </c>
      <c r="F1563" s="111">
        <f ca="1">IFERROR(__xludf.DUMMYFUNCTION("""COMPUTED_VALUE"""),7.2)</f>
        <v>7.2</v>
      </c>
      <c r="G1563" s="112">
        <f ca="1">IFERROR(__xludf.DUMMYFUNCTION("""COMPUTED_VALUE"""),42569.7055555555)</f>
        <v>42569.705555555498</v>
      </c>
      <c r="H1563" s="111">
        <f ca="1">IFERROR(__xludf.DUMMYFUNCTION("""COMPUTED_VALUE"""),11.55)</f>
        <v>11.55</v>
      </c>
      <c r="K1563" s="112">
        <f ca="1">IFERROR(__xludf.DUMMYFUNCTION("""COMPUTED_VALUE"""),43013.7055555555)</f>
        <v>43013.705555555498</v>
      </c>
      <c r="L1563" s="111">
        <f ca="1">IFERROR(__xludf.DUMMYFUNCTION("""COMPUTED_VALUE"""),2.45)</f>
        <v>2.4500000000000002</v>
      </c>
      <c r="M1563" s="112">
        <f ca="1">IFERROR(__xludf.DUMMYFUNCTION("""COMPUTED_VALUE"""),42485.7055555555)</f>
        <v>42485.705555555498</v>
      </c>
      <c r="N1563" s="111">
        <f ca="1">IFERROR(__xludf.DUMMYFUNCTION("""COMPUTED_VALUE"""),14.21)</f>
        <v>14.21</v>
      </c>
      <c r="O1563" s="112">
        <f ca="1">IFERROR(__xludf.DUMMYFUNCTION("""COMPUTED_VALUE"""),42558.7055555555)</f>
        <v>42558.705555555498</v>
      </c>
      <c r="P1563" s="111">
        <f ca="1">IFERROR(__xludf.DUMMYFUNCTION("""COMPUTED_VALUE"""),16.02)</f>
        <v>16.02</v>
      </c>
      <c r="Q1563" s="112">
        <f ca="1">IFERROR(__xludf.DUMMYFUNCTION("""COMPUTED_VALUE"""),42557.7055555555)</f>
        <v>42557.705555555498</v>
      </c>
      <c r="R1563" s="111">
        <f ca="1">IFERROR(__xludf.DUMMYFUNCTION("""COMPUTED_VALUE"""),16.96)</f>
        <v>16.96</v>
      </c>
      <c r="S1563" s="112">
        <f ca="1">IFERROR(__xludf.DUMMYFUNCTION("""COMPUTED_VALUE"""),42569.7055555555)</f>
        <v>42569.705555555498</v>
      </c>
      <c r="T1563" s="111">
        <f ca="1">IFERROR(__xludf.DUMMYFUNCTION("""COMPUTED_VALUE"""),19.95)</f>
        <v>19.95</v>
      </c>
    </row>
    <row r="1564" spans="1:20" x14ac:dyDescent="0.3">
      <c r="A1564" s="112">
        <f ca="1">IFERROR(__xludf.DUMMYFUNCTION("""COMPUTED_VALUE"""),42566.7055555555)</f>
        <v>42566.705555555498</v>
      </c>
      <c r="B1564" s="111">
        <f ca="1">IFERROR(__xludf.DUMMYFUNCTION("""COMPUTED_VALUE"""),15.93)</f>
        <v>15.93</v>
      </c>
      <c r="C1564" s="112">
        <f ca="1">IFERROR(__xludf.DUMMYFUNCTION("""COMPUTED_VALUE"""),42573.7055555555)</f>
        <v>42573.705555555498</v>
      </c>
      <c r="D1564" s="111">
        <f ca="1">IFERROR(__xludf.DUMMYFUNCTION("""COMPUTED_VALUE"""),20.67)</f>
        <v>20.67</v>
      </c>
      <c r="E1564" s="112">
        <f ca="1">IFERROR(__xludf.DUMMYFUNCTION("""COMPUTED_VALUE"""),42576.7055555555)</f>
        <v>42576.705555555498</v>
      </c>
      <c r="F1564" s="111">
        <f ca="1">IFERROR(__xludf.DUMMYFUNCTION("""COMPUTED_VALUE"""),7.17)</f>
        <v>7.17</v>
      </c>
      <c r="G1564" s="112">
        <f ca="1">IFERROR(__xludf.DUMMYFUNCTION("""COMPUTED_VALUE"""),42570.7055555555)</f>
        <v>42570.705555555498</v>
      </c>
      <c r="H1564" s="111">
        <f ca="1">IFERROR(__xludf.DUMMYFUNCTION("""COMPUTED_VALUE"""),11.78)</f>
        <v>11.78</v>
      </c>
      <c r="K1564" s="112">
        <f ca="1">IFERROR(__xludf.DUMMYFUNCTION("""COMPUTED_VALUE"""),43014.7055555555)</f>
        <v>43014.705555555498</v>
      </c>
      <c r="L1564" s="111">
        <f ca="1">IFERROR(__xludf.DUMMYFUNCTION("""COMPUTED_VALUE"""),2.49)</f>
        <v>2.4900000000000002</v>
      </c>
      <c r="M1564" s="112">
        <f ca="1">IFERROR(__xludf.DUMMYFUNCTION("""COMPUTED_VALUE"""),42486.7055555555)</f>
        <v>42486.705555555498</v>
      </c>
      <c r="N1564" s="111">
        <f ca="1">IFERROR(__xludf.DUMMYFUNCTION("""COMPUTED_VALUE"""),14.72)</f>
        <v>14.72</v>
      </c>
      <c r="O1564" s="112">
        <f ca="1">IFERROR(__xludf.DUMMYFUNCTION("""COMPUTED_VALUE"""),42559.7055555555)</f>
        <v>42559.705555555498</v>
      </c>
      <c r="P1564" s="111">
        <f ca="1">IFERROR(__xludf.DUMMYFUNCTION("""COMPUTED_VALUE"""),16.19)</f>
        <v>16.190000000000001</v>
      </c>
      <c r="Q1564" s="112">
        <f ca="1">IFERROR(__xludf.DUMMYFUNCTION("""COMPUTED_VALUE"""),42558.7055555555)</f>
        <v>42558.705555555498</v>
      </c>
      <c r="R1564" s="111">
        <f ca="1">IFERROR(__xludf.DUMMYFUNCTION("""COMPUTED_VALUE"""),16.75)</f>
        <v>16.75</v>
      </c>
      <c r="S1564" s="112">
        <f ca="1">IFERROR(__xludf.DUMMYFUNCTION("""COMPUTED_VALUE"""),42570.7055555555)</f>
        <v>42570.705555555498</v>
      </c>
      <c r="T1564" s="111">
        <f ca="1">IFERROR(__xludf.DUMMYFUNCTION("""COMPUTED_VALUE"""),19.91)</f>
        <v>19.91</v>
      </c>
    </row>
    <row r="1565" spans="1:20" x14ac:dyDescent="0.3">
      <c r="A1565" s="112">
        <f ca="1">IFERROR(__xludf.DUMMYFUNCTION("""COMPUTED_VALUE"""),42569.7055555555)</f>
        <v>42569.705555555498</v>
      </c>
      <c r="B1565" s="111">
        <f ca="1">IFERROR(__xludf.DUMMYFUNCTION("""COMPUTED_VALUE"""),16.18)</f>
        <v>16.18</v>
      </c>
      <c r="C1565" s="112">
        <f ca="1">IFERROR(__xludf.DUMMYFUNCTION("""COMPUTED_VALUE"""),42576.7055555555)</f>
        <v>42576.705555555498</v>
      </c>
      <c r="D1565" s="111">
        <f ca="1">IFERROR(__xludf.DUMMYFUNCTION("""COMPUTED_VALUE"""),20.52)</f>
        <v>20.52</v>
      </c>
      <c r="E1565" s="112">
        <f ca="1">IFERROR(__xludf.DUMMYFUNCTION("""COMPUTED_VALUE"""),42577.7055555555)</f>
        <v>42577.705555555498</v>
      </c>
      <c r="F1565" s="111">
        <f ca="1">IFERROR(__xludf.DUMMYFUNCTION("""COMPUTED_VALUE"""),7.1)</f>
        <v>7.1</v>
      </c>
      <c r="G1565" s="112">
        <f ca="1">IFERROR(__xludf.DUMMYFUNCTION("""COMPUTED_VALUE"""),42571.7055555555)</f>
        <v>42571.705555555498</v>
      </c>
      <c r="H1565" s="111">
        <f ca="1">IFERROR(__xludf.DUMMYFUNCTION("""COMPUTED_VALUE"""),11.82)</f>
        <v>11.82</v>
      </c>
      <c r="K1565" s="112">
        <f ca="1">IFERROR(__xludf.DUMMYFUNCTION("""COMPUTED_VALUE"""),43017.7055555555)</f>
        <v>43017.705555555498</v>
      </c>
      <c r="L1565" s="111">
        <f ca="1">IFERROR(__xludf.DUMMYFUNCTION("""COMPUTED_VALUE"""),2.43)</f>
        <v>2.4300000000000002</v>
      </c>
      <c r="M1565" s="112">
        <f ca="1">IFERROR(__xludf.DUMMYFUNCTION("""COMPUTED_VALUE"""),42487.7055555555)</f>
        <v>42487.705555555498</v>
      </c>
      <c r="N1565" s="111">
        <f ca="1">IFERROR(__xludf.DUMMYFUNCTION("""COMPUTED_VALUE"""),15.24)</f>
        <v>15.24</v>
      </c>
      <c r="O1565" s="112">
        <f ca="1">IFERROR(__xludf.DUMMYFUNCTION("""COMPUTED_VALUE"""),42562.7055555555)</f>
        <v>42562.705555555498</v>
      </c>
      <c r="P1565" s="111">
        <f ca="1">IFERROR(__xludf.DUMMYFUNCTION("""COMPUTED_VALUE"""),16.86)</f>
        <v>16.86</v>
      </c>
      <c r="Q1565" s="112">
        <f ca="1">IFERROR(__xludf.DUMMYFUNCTION("""COMPUTED_VALUE"""),42559.7055555555)</f>
        <v>42559.705555555498</v>
      </c>
      <c r="R1565" s="111">
        <f ca="1">IFERROR(__xludf.DUMMYFUNCTION("""COMPUTED_VALUE"""),17.23)</f>
        <v>17.23</v>
      </c>
      <c r="S1565" s="112">
        <f ca="1">IFERROR(__xludf.DUMMYFUNCTION("""COMPUTED_VALUE"""),42571.7055555555)</f>
        <v>42571.705555555498</v>
      </c>
      <c r="T1565" s="111">
        <f ca="1">IFERROR(__xludf.DUMMYFUNCTION("""COMPUTED_VALUE"""),20.11)</f>
        <v>20.11</v>
      </c>
    </row>
    <row r="1566" spans="1:20" x14ac:dyDescent="0.3">
      <c r="A1566" s="112">
        <f ca="1">IFERROR(__xludf.DUMMYFUNCTION("""COMPUTED_VALUE"""),42570.7055555555)</f>
        <v>42570.705555555498</v>
      </c>
      <c r="B1566" s="111">
        <f ca="1">IFERROR(__xludf.DUMMYFUNCTION("""COMPUTED_VALUE"""),15.41)</f>
        <v>15.41</v>
      </c>
      <c r="C1566" s="112">
        <f ca="1">IFERROR(__xludf.DUMMYFUNCTION("""COMPUTED_VALUE"""),42577.7055555555)</f>
        <v>42577.705555555498</v>
      </c>
      <c r="D1566" s="111">
        <f ca="1">IFERROR(__xludf.DUMMYFUNCTION("""COMPUTED_VALUE"""),20.25)</f>
        <v>20.25</v>
      </c>
      <c r="E1566" s="112">
        <f ca="1">IFERROR(__xludf.DUMMYFUNCTION("""COMPUTED_VALUE"""),42578.7055555555)</f>
        <v>42578.705555555498</v>
      </c>
      <c r="F1566" s="111">
        <f ca="1">IFERROR(__xludf.DUMMYFUNCTION("""COMPUTED_VALUE"""),7.21)</f>
        <v>7.21</v>
      </c>
      <c r="G1566" s="112">
        <f ca="1">IFERROR(__xludf.DUMMYFUNCTION("""COMPUTED_VALUE"""),42572.7055555555)</f>
        <v>42572.705555555498</v>
      </c>
      <c r="H1566" s="111">
        <f ca="1">IFERROR(__xludf.DUMMYFUNCTION("""COMPUTED_VALUE"""),11.85)</f>
        <v>11.85</v>
      </c>
      <c r="K1566" s="112">
        <f ca="1">IFERROR(__xludf.DUMMYFUNCTION("""COMPUTED_VALUE"""),43018.7055555555)</f>
        <v>43018.705555555498</v>
      </c>
      <c r="L1566" s="111">
        <f ca="1">IFERROR(__xludf.DUMMYFUNCTION("""COMPUTED_VALUE"""),2.49)</f>
        <v>2.4900000000000002</v>
      </c>
      <c r="M1566" s="112">
        <f ca="1">IFERROR(__xludf.DUMMYFUNCTION("""COMPUTED_VALUE"""),42488.7055555555)</f>
        <v>42488.705555555498</v>
      </c>
      <c r="N1566" s="111">
        <f ca="1">IFERROR(__xludf.DUMMYFUNCTION("""COMPUTED_VALUE"""),14.92)</f>
        <v>14.92</v>
      </c>
      <c r="O1566" s="112">
        <f ca="1">IFERROR(__xludf.DUMMYFUNCTION("""COMPUTED_VALUE"""),42563.7055555555)</f>
        <v>42563.705555555498</v>
      </c>
      <c r="P1566" s="111">
        <f ca="1">IFERROR(__xludf.DUMMYFUNCTION("""COMPUTED_VALUE"""),17.69)</f>
        <v>17.690000000000001</v>
      </c>
      <c r="Q1566" s="112">
        <f ca="1">IFERROR(__xludf.DUMMYFUNCTION("""COMPUTED_VALUE"""),42562.7055555555)</f>
        <v>42562.705555555498</v>
      </c>
      <c r="R1566" s="111">
        <f ca="1">IFERROR(__xludf.DUMMYFUNCTION("""COMPUTED_VALUE"""),18.02)</f>
        <v>18.02</v>
      </c>
      <c r="S1566" s="112">
        <f ca="1">IFERROR(__xludf.DUMMYFUNCTION("""COMPUTED_VALUE"""),42572.7055555555)</f>
        <v>42572.705555555498</v>
      </c>
      <c r="T1566" s="111">
        <f ca="1">IFERROR(__xludf.DUMMYFUNCTION("""COMPUTED_VALUE"""),19.95)</f>
        <v>19.95</v>
      </c>
    </row>
    <row r="1567" spans="1:20" x14ac:dyDescent="0.3">
      <c r="A1567" s="112">
        <f ca="1">IFERROR(__xludf.DUMMYFUNCTION("""COMPUTED_VALUE"""),42571.7055555555)</f>
        <v>42571.705555555498</v>
      </c>
      <c r="B1567" s="111">
        <f ca="1">IFERROR(__xludf.DUMMYFUNCTION("""COMPUTED_VALUE"""),15.13)</f>
        <v>15.13</v>
      </c>
      <c r="C1567" s="112">
        <f ca="1">IFERROR(__xludf.DUMMYFUNCTION("""COMPUTED_VALUE"""),42578.7055555555)</f>
        <v>42578.705555555498</v>
      </c>
      <c r="D1567" s="111">
        <f ca="1">IFERROR(__xludf.DUMMYFUNCTION("""COMPUTED_VALUE"""),20.33)</f>
        <v>20.329999999999998</v>
      </c>
      <c r="E1567" s="112">
        <f ca="1">IFERROR(__xludf.DUMMYFUNCTION("""COMPUTED_VALUE"""),42579.7055555555)</f>
        <v>42579.705555555498</v>
      </c>
      <c r="F1567" s="111">
        <f ca="1">IFERROR(__xludf.DUMMYFUNCTION("""COMPUTED_VALUE"""),7.13)</f>
        <v>7.13</v>
      </c>
      <c r="G1567" s="112">
        <f ca="1">IFERROR(__xludf.DUMMYFUNCTION("""COMPUTED_VALUE"""),42573.7055555555)</f>
        <v>42573.705555555498</v>
      </c>
      <c r="H1567" s="111">
        <f ca="1">IFERROR(__xludf.DUMMYFUNCTION("""COMPUTED_VALUE"""),11.94)</f>
        <v>11.94</v>
      </c>
      <c r="K1567" s="112">
        <f ca="1">IFERROR(__xludf.DUMMYFUNCTION("""COMPUTED_VALUE"""),43019.7055555555)</f>
        <v>43019.705555555498</v>
      </c>
      <c r="L1567" s="111">
        <f ca="1">IFERROR(__xludf.DUMMYFUNCTION("""COMPUTED_VALUE"""),2.41)</f>
        <v>2.41</v>
      </c>
      <c r="M1567" s="112">
        <f ca="1">IFERROR(__xludf.DUMMYFUNCTION("""COMPUTED_VALUE"""),42489.7055555555)</f>
        <v>42489.705555555498</v>
      </c>
      <c r="N1567" s="111">
        <f ca="1">IFERROR(__xludf.DUMMYFUNCTION("""COMPUTED_VALUE"""),14.74)</f>
        <v>14.74</v>
      </c>
      <c r="O1567" s="112">
        <f ca="1">IFERROR(__xludf.DUMMYFUNCTION("""COMPUTED_VALUE"""),42564.7055555555)</f>
        <v>42564.705555555498</v>
      </c>
      <c r="P1567" s="111">
        <f ca="1">IFERROR(__xludf.DUMMYFUNCTION("""COMPUTED_VALUE"""),17.82)</f>
        <v>17.82</v>
      </c>
      <c r="Q1567" s="112">
        <f ca="1">IFERROR(__xludf.DUMMYFUNCTION("""COMPUTED_VALUE"""),42563.7055555555)</f>
        <v>42563.705555555498</v>
      </c>
      <c r="R1567" s="111">
        <f ca="1">IFERROR(__xludf.DUMMYFUNCTION("""COMPUTED_VALUE"""),17.79)</f>
        <v>17.79</v>
      </c>
      <c r="S1567" s="112">
        <f ca="1">IFERROR(__xludf.DUMMYFUNCTION("""COMPUTED_VALUE"""),42573.7055555555)</f>
        <v>42573.705555555498</v>
      </c>
      <c r="T1567" s="111">
        <f ca="1">IFERROR(__xludf.DUMMYFUNCTION("""COMPUTED_VALUE"""),20.29)</f>
        <v>20.29</v>
      </c>
    </row>
    <row r="1568" spans="1:20" x14ac:dyDescent="0.3">
      <c r="A1568" s="112">
        <f ca="1">IFERROR(__xludf.DUMMYFUNCTION("""COMPUTED_VALUE"""),42572.7055555555)</f>
        <v>42572.705555555498</v>
      </c>
      <c r="B1568" s="111">
        <f ca="1">IFERROR(__xludf.DUMMYFUNCTION("""COMPUTED_VALUE"""),15.45)</f>
        <v>15.45</v>
      </c>
      <c r="C1568" s="112">
        <f ca="1">IFERROR(__xludf.DUMMYFUNCTION("""COMPUTED_VALUE"""),42579.7055555555)</f>
        <v>42579.705555555498</v>
      </c>
      <c r="D1568" s="111">
        <f ca="1">IFERROR(__xludf.DUMMYFUNCTION("""COMPUTED_VALUE"""),20.11)</f>
        <v>20.11</v>
      </c>
      <c r="E1568" s="112">
        <f ca="1">IFERROR(__xludf.DUMMYFUNCTION("""COMPUTED_VALUE"""),42580.7055555555)</f>
        <v>42580.705555555498</v>
      </c>
      <c r="F1568" s="111">
        <f ca="1">IFERROR(__xludf.DUMMYFUNCTION("""COMPUTED_VALUE"""),7.24)</f>
        <v>7.24</v>
      </c>
      <c r="G1568" s="112">
        <f ca="1">IFERROR(__xludf.DUMMYFUNCTION("""COMPUTED_VALUE"""),42576.7055555555)</f>
        <v>42576.705555555498</v>
      </c>
      <c r="H1568" s="111">
        <f ca="1">IFERROR(__xludf.DUMMYFUNCTION("""COMPUTED_VALUE"""),12.03)</f>
        <v>12.03</v>
      </c>
      <c r="K1568" s="112">
        <f ca="1">IFERROR(__xludf.DUMMYFUNCTION("""COMPUTED_VALUE"""),43021.7055555555)</f>
        <v>43021.705555555498</v>
      </c>
      <c r="L1568" s="111">
        <f ca="1">IFERROR(__xludf.DUMMYFUNCTION("""COMPUTED_VALUE"""),2.27)</f>
        <v>2.27</v>
      </c>
      <c r="M1568" s="112">
        <f ca="1">IFERROR(__xludf.DUMMYFUNCTION("""COMPUTED_VALUE"""),42492.7055555555)</f>
        <v>42492.705555555498</v>
      </c>
      <c r="N1568" s="111">
        <f ca="1">IFERROR(__xludf.DUMMYFUNCTION("""COMPUTED_VALUE"""),14.45)</f>
        <v>14.45</v>
      </c>
      <c r="O1568" s="112">
        <f ca="1">IFERROR(__xludf.DUMMYFUNCTION("""COMPUTED_VALUE"""),42565.7055555555)</f>
        <v>42565.705555555498</v>
      </c>
      <c r="P1568" s="111">
        <f ca="1">IFERROR(__xludf.DUMMYFUNCTION("""COMPUTED_VALUE"""),17.35)</f>
        <v>17.350000000000001</v>
      </c>
      <c r="Q1568" s="112">
        <f ca="1">IFERROR(__xludf.DUMMYFUNCTION("""COMPUTED_VALUE"""),42564.7055555555)</f>
        <v>42564.705555555498</v>
      </c>
      <c r="R1568" s="111">
        <f ca="1">IFERROR(__xludf.DUMMYFUNCTION("""COMPUTED_VALUE"""),18.05)</f>
        <v>18.05</v>
      </c>
      <c r="S1568" s="112">
        <f ca="1">IFERROR(__xludf.DUMMYFUNCTION("""COMPUTED_VALUE"""),42576.7055555555)</f>
        <v>42576.705555555498</v>
      </c>
      <c r="T1568" s="111">
        <f ca="1">IFERROR(__xludf.DUMMYFUNCTION("""COMPUTED_VALUE"""),19.57)</f>
        <v>19.57</v>
      </c>
    </row>
    <row r="1569" spans="1:20" x14ac:dyDescent="0.3">
      <c r="A1569" s="112">
        <f ca="1">IFERROR(__xludf.DUMMYFUNCTION("""COMPUTED_VALUE"""),42573.7055555555)</f>
        <v>42573.705555555498</v>
      </c>
      <c r="B1569" s="111">
        <f ca="1">IFERROR(__xludf.DUMMYFUNCTION("""COMPUTED_VALUE"""),16.34)</f>
        <v>16.34</v>
      </c>
      <c r="C1569" s="112">
        <f ca="1">IFERROR(__xludf.DUMMYFUNCTION("""COMPUTED_VALUE"""),42580.7055555555)</f>
        <v>42580.705555555498</v>
      </c>
      <c r="D1569" s="111">
        <f ca="1">IFERROR(__xludf.DUMMYFUNCTION("""COMPUTED_VALUE"""),20.48)</f>
        <v>20.48</v>
      </c>
      <c r="E1569" s="112">
        <f ca="1">IFERROR(__xludf.DUMMYFUNCTION("""COMPUTED_VALUE"""),42583.7055555555)</f>
        <v>42583.705555555498</v>
      </c>
      <c r="F1569" s="111">
        <f ca="1">IFERROR(__xludf.DUMMYFUNCTION("""COMPUTED_VALUE"""),7.15)</f>
        <v>7.15</v>
      </c>
      <c r="G1569" s="112">
        <f ca="1">IFERROR(__xludf.DUMMYFUNCTION("""COMPUTED_VALUE"""),42577.7055555555)</f>
        <v>42577.705555555498</v>
      </c>
      <c r="H1569" s="111">
        <f ca="1">IFERROR(__xludf.DUMMYFUNCTION("""COMPUTED_VALUE"""),11.88)</f>
        <v>11.88</v>
      </c>
      <c r="K1569" s="112">
        <f ca="1">IFERROR(__xludf.DUMMYFUNCTION("""COMPUTED_VALUE"""),43024.7055555555)</f>
        <v>43024.705555555498</v>
      </c>
      <c r="L1569" s="111">
        <f ca="1">IFERROR(__xludf.DUMMYFUNCTION("""COMPUTED_VALUE"""),2.17)</f>
        <v>2.17</v>
      </c>
      <c r="M1569" s="112">
        <f ca="1">IFERROR(__xludf.DUMMYFUNCTION("""COMPUTED_VALUE"""),42493.7055555555)</f>
        <v>42493.705555555498</v>
      </c>
      <c r="N1569" s="111">
        <f ca="1">IFERROR(__xludf.DUMMYFUNCTION("""COMPUTED_VALUE"""),14.14)</f>
        <v>14.14</v>
      </c>
      <c r="O1569" s="112">
        <f ca="1">IFERROR(__xludf.DUMMYFUNCTION("""COMPUTED_VALUE"""),42566.7055555555)</f>
        <v>42566.705555555498</v>
      </c>
      <c r="P1569" s="111">
        <f ca="1">IFERROR(__xludf.DUMMYFUNCTION("""COMPUTED_VALUE"""),17.34)</f>
        <v>17.34</v>
      </c>
      <c r="Q1569" s="112">
        <f ca="1">IFERROR(__xludf.DUMMYFUNCTION("""COMPUTED_VALUE"""),42565.7055555555)</f>
        <v>42565.705555555498</v>
      </c>
      <c r="R1569" s="111">
        <f ca="1">IFERROR(__xludf.DUMMYFUNCTION("""COMPUTED_VALUE"""),19.01)</f>
        <v>19.010000000000002</v>
      </c>
      <c r="S1569" s="112">
        <f ca="1">IFERROR(__xludf.DUMMYFUNCTION("""COMPUTED_VALUE"""),42577.7055555555)</f>
        <v>42577.705555555498</v>
      </c>
      <c r="T1569" s="111">
        <f ca="1">IFERROR(__xludf.DUMMYFUNCTION("""COMPUTED_VALUE"""),19.58)</f>
        <v>19.579999999999998</v>
      </c>
    </row>
    <row r="1570" spans="1:20" x14ac:dyDescent="0.3">
      <c r="A1570" s="112">
        <f ca="1">IFERROR(__xludf.DUMMYFUNCTION("""COMPUTED_VALUE"""),42576.7055555555)</f>
        <v>42576.705555555498</v>
      </c>
      <c r="B1570" s="111">
        <f ca="1">IFERROR(__xludf.DUMMYFUNCTION("""COMPUTED_VALUE"""),17.02)</f>
        <v>17.02</v>
      </c>
      <c r="C1570" s="112">
        <f ca="1">IFERROR(__xludf.DUMMYFUNCTION("""COMPUTED_VALUE"""),42583.7055555555)</f>
        <v>42583.705555555498</v>
      </c>
      <c r="D1570" s="111">
        <f ca="1">IFERROR(__xludf.DUMMYFUNCTION("""COMPUTED_VALUE"""),20.26)</f>
        <v>20.260000000000002</v>
      </c>
      <c r="E1570" s="112">
        <f ca="1">IFERROR(__xludf.DUMMYFUNCTION("""COMPUTED_VALUE"""),42584.7055555555)</f>
        <v>42584.705555555498</v>
      </c>
      <c r="F1570" s="111">
        <f ca="1">IFERROR(__xludf.DUMMYFUNCTION("""COMPUTED_VALUE"""),7.19)</f>
        <v>7.19</v>
      </c>
      <c r="G1570" s="112">
        <f ca="1">IFERROR(__xludf.DUMMYFUNCTION("""COMPUTED_VALUE"""),42578.7055555555)</f>
        <v>42578.705555555498</v>
      </c>
      <c r="H1570" s="111">
        <f ca="1">IFERROR(__xludf.DUMMYFUNCTION("""COMPUTED_VALUE"""),11.51)</f>
        <v>11.51</v>
      </c>
      <c r="K1570" s="112">
        <f ca="1">IFERROR(__xludf.DUMMYFUNCTION("""COMPUTED_VALUE"""),43025.7055555555)</f>
        <v>43025.705555555498</v>
      </c>
      <c r="L1570" s="111">
        <f ca="1">IFERROR(__xludf.DUMMYFUNCTION("""COMPUTED_VALUE"""),1.99)</f>
        <v>1.99</v>
      </c>
      <c r="M1570" s="112">
        <f ca="1">IFERROR(__xludf.DUMMYFUNCTION("""COMPUTED_VALUE"""),42494.7055555555)</f>
        <v>42494.705555555498</v>
      </c>
      <c r="N1570" s="111">
        <f ca="1">IFERROR(__xludf.DUMMYFUNCTION("""COMPUTED_VALUE"""),14.74)</f>
        <v>14.74</v>
      </c>
      <c r="O1570" s="112">
        <f ca="1">IFERROR(__xludf.DUMMYFUNCTION("""COMPUTED_VALUE"""),42569.7055555555)</f>
        <v>42569.705555555498</v>
      </c>
      <c r="P1570" s="111">
        <f ca="1">IFERROR(__xludf.DUMMYFUNCTION("""COMPUTED_VALUE"""),17.58)</f>
        <v>17.579999999999998</v>
      </c>
      <c r="Q1570" s="112">
        <f ca="1">IFERROR(__xludf.DUMMYFUNCTION("""COMPUTED_VALUE"""),42566.7055555555)</f>
        <v>42566.705555555498</v>
      </c>
      <c r="R1570" s="111">
        <f ca="1">IFERROR(__xludf.DUMMYFUNCTION("""COMPUTED_VALUE"""),19.26)</f>
        <v>19.260000000000002</v>
      </c>
      <c r="S1570" s="112">
        <f ca="1">IFERROR(__xludf.DUMMYFUNCTION("""COMPUTED_VALUE"""),42578.7055555555)</f>
        <v>42578.705555555498</v>
      </c>
      <c r="T1570" s="111">
        <f ca="1">IFERROR(__xludf.DUMMYFUNCTION("""COMPUTED_VALUE"""),20.02)</f>
        <v>20.02</v>
      </c>
    </row>
    <row r="1571" spans="1:20" x14ac:dyDescent="0.3">
      <c r="A1571" s="112">
        <f ca="1">IFERROR(__xludf.DUMMYFUNCTION("""COMPUTED_VALUE"""),42577.7055555555)</f>
        <v>42577.705555555498</v>
      </c>
      <c r="B1571" s="111">
        <f ca="1">IFERROR(__xludf.DUMMYFUNCTION("""COMPUTED_VALUE"""),16.62)</f>
        <v>16.62</v>
      </c>
      <c r="C1571" s="112">
        <f ca="1">IFERROR(__xludf.DUMMYFUNCTION("""COMPUTED_VALUE"""),42584.7055555555)</f>
        <v>42584.705555555498</v>
      </c>
      <c r="D1571" s="111">
        <f ca="1">IFERROR(__xludf.DUMMYFUNCTION("""COMPUTED_VALUE"""),20.5)</f>
        <v>20.5</v>
      </c>
      <c r="E1571" s="112">
        <f ca="1">IFERROR(__xludf.DUMMYFUNCTION("""COMPUTED_VALUE"""),42585.7055555555)</f>
        <v>42585.705555555498</v>
      </c>
      <c r="F1571" s="111">
        <f ca="1">IFERROR(__xludf.DUMMYFUNCTION("""COMPUTED_VALUE"""),7.48)</f>
        <v>7.48</v>
      </c>
      <c r="G1571" s="112">
        <f ca="1">IFERROR(__xludf.DUMMYFUNCTION("""COMPUTED_VALUE"""),42579.7055555555)</f>
        <v>42579.705555555498</v>
      </c>
      <c r="H1571" s="111">
        <f ca="1">IFERROR(__xludf.DUMMYFUNCTION("""COMPUTED_VALUE"""),11.44)</f>
        <v>11.44</v>
      </c>
      <c r="K1571" s="112">
        <f ca="1">IFERROR(__xludf.DUMMYFUNCTION("""COMPUTED_VALUE"""),43026.7055555555)</f>
        <v>43026.705555555498</v>
      </c>
      <c r="L1571" s="111">
        <f ca="1">IFERROR(__xludf.DUMMYFUNCTION("""COMPUTED_VALUE"""),2.21)</f>
        <v>2.21</v>
      </c>
      <c r="M1571" s="112">
        <f ca="1">IFERROR(__xludf.DUMMYFUNCTION("""COMPUTED_VALUE"""),42495.7055555555)</f>
        <v>42495.705555555498</v>
      </c>
      <c r="N1571" s="111">
        <f ca="1">IFERROR(__xludf.DUMMYFUNCTION("""COMPUTED_VALUE"""),14.37)</f>
        <v>14.37</v>
      </c>
      <c r="O1571" s="112">
        <f ca="1">IFERROR(__xludf.DUMMYFUNCTION("""COMPUTED_VALUE"""),42570.7055555555)</f>
        <v>42570.705555555498</v>
      </c>
      <c r="P1571" s="111">
        <f ca="1">IFERROR(__xludf.DUMMYFUNCTION("""COMPUTED_VALUE"""),16.84)</f>
        <v>16.84</v>
      </c>
      <c r="Q1571" s="112">
        <f ca="1">IFERROR(__xludf.DUMMYFUNCTION("""COMPUTED_VALUE"""),42569.7055555555)</f>
        <v>42569.705555555498</v>
      </c>
      <c r="R1571" s="111">
        <f ca="1">IFERROR(__xludf.DUMMYFUNCTION("""COMPUTED_VALUE"""),19.96)</f>
        <v>19.96</v>
      </c>
      <c r="S1571" s="112">
        <f ca="1">IFERROR(__xludf.DUMMYFUNCTION("""COMPUTED_VALUE"""),42579.7055555555)</f>
        <v>42579.705555555498</v>
      </c>
      <c r="T1571" s="111">
        <f ca="1">IFERROR(__xludf.DUMMYFUNCTION("""COMPUTED_VALUE"""),20.29)</f>
        <v>20.29</v>
      </c>
    </row>
    <row r="1572" spans="1:20" x14ac:dyDescent="0.3">
      <c r="A1572" s="112">
        <f ca="1">IFERROR(__xludf.DUMMYFUNCTION("""COMPUTED_VALUE"""),42578.7055555555)</f>
        <v>42578.705555555498</v>
      </c>
      <c r="B1572" s="111">
        <f ca="1">IFERROR(__xludf.DUMMYFUNCTION("""COMPUTED_VALUE"""),16.55)</f>
        <v>16.55</v>
      </c>
      <c r="C1572" s="112">
        <f ca="1">IFERROR(__xludf.DUMMYFUNCTION("""COMPUTED_VALUE"""),42585.7055555555)</f>
        <v>42585.705555555498</v>
      </c>
      <c r="D1572" s="111">
        <f ca="1">IFERROR(__xludf.DUMMYFUNCTION("""COMPUTED_VALUE"""),21.36)</f>
        <v>21.36</v>
      </c>
      <c r="E1572" s="112">
        <f ca="1">IFERROR(__xludf.DUMMYFUNCTION("""COMPUTED_VALUE"""),42586.7055555555)</f>
        <v>42586.705555555498</v>
      </c>
      <c r="F1572" s="111">
        <f ca="1">IFERROR(__xludf.DUMMYFUNCTION("""COMPUTED_VALUE"""),7.5)</f>
        <v>7.5</v>
      </c>
      <c r="G1572" s="112">
        <f ca="1">IFERROR(__xludf.DUMMYFUNCTION("""COMPUTED_VALUE"""),42580.7055555555)</f>
        <v>42580.705555555498</v>
      </c>
      <c r="H1572" s="111">
        <f ca="1">IFERROR(__xludf.DUMMYFUNCTION("""COMPUTED_VALUE"""),11.87)</f>
        <v>11.87</v>
      </c>
      <c r="K1572" s="112">
        <f ca="1">IFERROR(__xludf.DUMMYFUNCTION("""COMPUTED_VALUE"""),43027.7055555555)</f>
        <v>43027.705555555498</v>
      </c>
      <c r="L1572" s="111">
        <f ca="1">IFERROR(__xludf.DUMMYFUNCTION("""COMPUTED_VALUE"""),2.19)</f>
        <v>2.19</v>
      </c>
      <c r="M1572" s="112">
        <f ca="1">IFERROR(__xludf.DUMMYFUNCTION("""COMPUTED_VALUE"""),42496.7055555555)</f>
        <v>42496.705555555498</v>
      </c>
      <c r="N1572" s="111">
        <f ca="1">IFERROR(__xludf.DUMMYFUNCTION("""COMPUTED_VALUE"""),14.44)</f>
        <v>14.44</v>
      </c>
      <c r="O1572" s="112">
        <f ca="1">IFERROR(__xludf.DUMMYFUNCTION("""COMPUTED_VALUE"""),42571.7055555555)</f>
        <v>42571.705555555498</v>
      </c>
      <c r="P1572" s="111">
        <f ca="1">IFERROR(__xludf.DUMMYFUNCTION("""COMPUTED_VALUE"""),16.51)</f>
        <v>16.510000000000002</v>
      </c>
      <c r="Q1572" s="112">
        <f ca="1">IFERROR(__xludf.DUMMYFUNCTION("""COMPUTED_VALUE"""),42570.7055555555)</f>
        <v>42570.705555555498</v>
      </c>
      <c r="R1572" s="111">
        <f ca="1">IFERROR(__xludf.DUMMYFUNCTION("""COMPUTED_VALUE"""),20.93)</f>
        <v>20.93</v>
      </c>
      <c r="S1572" s="112">
        <f ca="1">IFERROR(__xludf.DUMMYFUNCTION("""COMPUTED_VALUE"""),42580.7055555555)</f>
        <v>42580.705555555498</v>
      </c>
      <c r="T1572" s="111">
        <f ca="1">IFERROR(__xludf.DUMMYFUNCTION("""COMPUTED_VALUE"""),20.48)</f>
        <v>20.48</v>
      </c>
    </row>
    <row r="1573" spans="1:20" x14ac:dyDescent="0.3">
      <c r="A1573" s="112">
        <f ca="1">IFERROR(__xludf.DUMMYFUNCTION("""COMPUTED_VALUE"""),42579.7055555555)</f>
        <v>42579.705555555498</v>
      </c>
      <c r="B1573" s="111">
        <f ca="1">IFERROR(__xludf.DUMMYFUNCTION("""COMPUTED_VALUE"""),17.05)</f>
        <v>17.05</v>
      </c>
      <c r="C1573" s="112">
        <f ca="1">IFERROR(__xludf.DUMMYFUNCTION("""COMPUTED_VALUE"""),42586.7055555555)</f>
        <v>42586.705555555498</v>
      </c>
      <c r="D1573" s="111">
        <f ca="1">IFERROR(__xludf.DUMMYFUNCTION("""COMPUTED_VALUE"""),21.48)</f>
        <v>21.48</v>
      </c>
      <c r="E1573" s="112">
        <f ca="1">IFERROR(__xludf.DUMMYFUNCTION("""COMPUTED_VALUE"""),42587.7055555555)</f>
        <v>42587.705555555498</v>
      </c>
      <c r="F1573" s="111">
        <f ca="1">IFERROR(__xludf.DUMMYFUNCTION("""COMPUTED_VALUE"""),7.47)</f>
        <v>7.47</v>
      </c>
      <c r="G1573" s="112">
        <f ca="1">IFERROR(__xludf.DUMMYFUNCTION("""COMPUTED_VALUE"""),42583.7055555555)</f>
        <v>42583.705555555498</v>
      </c>
      <c r="H1573" s="111">
        <f ca="1">IFERROR(__xludf.DUMMYFUNCTION("""COMPUTED_VALUE"""),11.25)</f>
        <v>11.25</v>
      </c>
      <c r="K1573" s="112">
        <f ca="1">IFERROR(__xludf.DUMMYFUNCTION("""COMPUTED_VALUE"""),43028.7055555555)</f>
        <v>43028.705555555498</v>
      </c>
      <c r="L1573" s="111">
        <f ca="1">IFERROR(__xludf.DUMMYFUNCTION("""COMPUTED_VALUE"""),2.26)</f>
        <v>2.2599999999999998</v>
      </c>
      <c r="M1573" s="112">
        <f ca="1">IFERROR(__xludf.DUMMYFUNCTION("""COMPUTED_VALUE"""),42499.7055555555)</f>
        <v>42499.705555555498</v>
      </c>
      <c r="N1573" s="111">
        <f ca="1">IFERROR(__xludf.DUMMYFUNCTION("""COMPUTED_VALUE"""),14.53)</f>
        <v>14.53</v>
      </c>
      <c r="O1573" s="112">
        <f ca="1">IFERROR(__xludf.DUMMYFUNCTION("""COMPUTED_VALUE"""),42572.7055555555)</f>
        <v>42572.705555555498</v>
      </c>
      <c r="P1573" s="111">
        <f ca="1">IFERROR(__xludf.DUMMYFUNCTION("""COMPUTED_VALUE"""),17.4)</f>
        <v>17.399999999999999</v>
      </c>
      <c r="Q1573" s="112">
        <f ca="1">IFERROR(__xludf.DUMMYFUNCTION("""COMPUTED_VALUE"""),42571.7055555555)</f>
        <v>42571.705555555498</v>
      </c>
      <c r="R1573" s="111">
        <f ca="1">IFERROR(__xludf.DUMMYFUNCTION("""COMPUTED_VALUE"""),21.35)</f>
        <v>21.35</v>
      </c>
      <c r="S1573" s="112">
        <f ca="1">IFERROR(__xludf.DUMMYFUNCTION("""COMPUTED_VALUE"""),42583.7055555555)</f>
        <v>42583.705555555498</v>
      </c>
      <c r="T1573" s="111">
        <f ca="1">IFERROR(__xludf.DUMMYFUNCTION("""COMPUTED_VALUE"""),20.64)</f>
        <v>20.64</v>
      </c>
    </row>
    <row r="1574" spans="1:20" x14ac:dyDescent="0.3">
      <c r="A1574" s="112">
        <f ca="1">IFERROR(__xludf.DUMMYFUNCTION("""COMPUTED_VALUE"""),42580.7055555555)</f>
        <v>42580.705555555498</v>
      </c>
      <c r="B1574" s="111">
        <f ca="1">IFERROR(__xludf.DUMMYFUNCTION("""COMPUTED_VALUE"""),17.43)</f>
        <v>17.43</v>
      </c>
      <c r="C1574" s="112">
        <f ca="1">IFERROR(__xludf.DUMMYFUNCTION("""COMPUTED_VALUE"""),42587.7055555555)</f>
        <v>42587.705555555498</v>
      </c>
      <c r="D1574" s="111">
        <f ca="1">IFERROR(__xludf.DUMMYFUNCTION("""COMPUTED_VALUE"""),21.35)</f>
        <v>21.35</v>
      </c>
      <c r="E1574" s="112">
        <f ca="1">IFERROR(__xludf.DUMMYFUNCTION("""COMPUTED_VALUE"""),42590.7055555555)</f>
        <v>42590.705555555498</v>
      </c>
      <c r="F1574" s="111">
        <f ca="1">IFERROR(__xludf.DUMMYFUNCTION("""COMPUTED_VALUE"""),7.42)</f>
        <v>7.42</v>
      </c>
      <c r="G1574" s="112">
        <f ca="1">IFERROR(__xludf.DUMMYFUNCTION("""COMPUTED_VALUE"""),42584.7055555555)</f>
        <v>42584.705555555498</v>
      </c>
      <c r="H1574" s="111">
        <f ca="1">IFERROR(__xludf.DUMMYFUNCTION("""COMPUTED_VALUE"""),11.36)</f>
        <v>11.36</v>
      </c>
      <c r="K1574" s="112">
        <f ca="1">IFERROR(__xludf.DUMMYFUNCTION("""COMPUTED_VALUE"""),43031.7055555555)</f>
        <v>43031.705555555498</v>
      </c>
      <c r="L1574" s="111">
        <f ca="1">IFERROR(__xludf.DUMMYFUNCTION("""COMPUTED_VALUE"""),2.16)</f>
        <v>2.16</v>
      </c>
      <c r="M1574" s="112">
        <f ca="1">IFERROR(__xludf.DUMMYFUNCTION("""COMPUTED_VALUE"""),42500.7055555555)</f>
        <v>42500.705555555498</v>
      </c>
      <c r="N1574" s="111">
        <f ca="1">IFERROR(__xludf.DUMMYFUNCTION("""COMPUTED_VALUE"""),15.16)</f>
        <v>15.16</v>
      </c>
      <c r="O1574" s="112">
        <f ca="1">IFERROR(__xludf.DUMMYFUNCTION("""COMPUTED_VALUE"""),42573.7055555555)</f>
        <v>42573.705555555498</v>
      </c>
      <c r="P1574" s="111">
        <f ca="1">IFERROR(__xludf.DUMMYFUNCTION("""COMPUTED_VALUE"""),17.15)</f>
        <v>17.149999999999999</v>
      </c>
      <c r="Q1574" s="112">
        <f ca="1">IFERROR(__xludf.DUMMYFUNCTION("""COMPUTED_VALUE"""),42572.7055555555)</f>
        <v>42572.705555555498</v>
      </c>
      <c r="R1574" s="111">
        <f ca="1">IFERROR(__xludf.DUMMYFUNCTION("""COMPUTED_VALUE"""),20.95)</f>
        <v>20.95</v>
      </c>
      <c r="S1574" s="112">
        <f ca="1">IFERROR(__xludf.DUMMYFUNCTION("""COMPUTED_VALUE"""),42584.7055555555)</f>
        <v>42584.705555555498</v>
      </c>
      <c r="T1574" s="111">
        <f ca="1">IFERROR(__xludf.DUMMYFUNCTION("""COMPUTED_VALUE"""),20.36)</f>
        <v>20.36</v>
      </c>
    </row>
    <row r="1575" spans="1:20" x14ac:dyDescent="0.3">
      <c r="A1575" s="112">
        <f ca="1">IFERROR(__xludf.DUMMYFUNCTION("""COMPUTED_VALUE"""),42583.7055555555)</f>
        <v>42583.705555555498</v>
      </c>
      <c r="B1575" s="111">
        <f ca="1">IFERROR(__xludf.DUMMYFUNCTION("""COMPUTED_VALUE"""),17.41)</f>
        <v>17.41</v>
      </c>
      <c r="C1575" s="112">
        <f ca="1">IFERROR(__xludf.DUMMYFUNCTION("""COMPUTED_VALUE"""),42590.7055555555)</f>
        <v>42590.705555555498</v>
      </c>
      <c r="D1575" s="111">
        <f ca="1">IFERROR(__xludf.DUMMYFUNCTION("""COMPUTED_VALUE"""),21.21)</f>
        <v>21.21</v>
      </c>
      <c r="E1575" s="112">
        <f ca="1">IFERROR(__xludf.DUMMYFUNCTION("""COMPUTED_VALUE"""),42591.7055555555)</f>
        <v>42591.705555555498</v>
      </c>
      <c r="F1575" s="111">
        <f ca="1">IFERROR(__xludf.DUMMYFUNCTION("""COMPUTED_VALUE"""),7.41)</f>
        <v>7.41</v>
      </c>
      <c r="G1575" s="112">
        <f ca="1">IFERROR(__xludf.DUMMYFUNCTION("""COMPUTED_VALUE"""),42585.7055555555)</f>
        <v>42585.705555555498</v>
      </c>
      <c r="H1575" s="111">
        <f ca="1">IFERROR(__xludf.DUMMYFUNCTION("""COMPUTED_VALUE"""),11.9)</f>
        <v>11.9</v>
      </c>
      <c r="K1575" s="112">
        <f ca="1">IFERROR(__xludf.DUMMYFUNCTION("""COMPUTED_VALUE"""),43032.7055555555)</f>
        <v>43032.705555555498</v>
      </c>
      <c r="L1575" s="111">
        <f ca="1">IFERROR(__xludf.DUMMYFUNCTION("""COMPUTED_VALUE"""),2.15)</f>
        <v>2.15</v>
      </c>
      <c r="M1575" s="112">
        <f ca="1">IFERROR(__xludf.DUMMYFUNCTION("""COMPUTED_VALUE"""),42501.7055555555)</f>
        <v>42501.705555555498</v>
      </c>
      <c r="N1575" s="111">
        <f ca="1">IFERROR(__xludf.DUMMYFUNCTION("""COMPUTED_VALUE"""),15.31)</f>
        <v>15.31</v>
      </c>
      <c r="O1575" s="112">
        <f ca="1">IFERROR(__xludf.DUMMYFUNCTION("""COMPUTED_VALUE"""),42576.7055555555)</f>
        <v>42576.705555555498</v>
      </c>
      <c r="P1575" s="111">
        <f ca="1">IFERROR(__xludf.DUMMYFUNCTION("""COMPUTED_VALUE"""),17.42)</f>
        <v>17.420000000000002</v>
      </c>
      <c r="Q1575" s="112">
        <f ca="1">IFERROR(__xludf.DUMMYFUNCTION("""COMPUTED_VALUE"""),42573.7055555555)</f>
        <v>42573.705555555498</v>
      </c>
      <c r="R1575" s="111">
        <f ca="1">IFERROR(__xludf.DUMMYFUNCTION("""COMPUTED_VALUE"""),20.61)</f>
        <v>20.61</v>
      </c>
      <c r="S1575" s="112">
        <f ca="1">IFERROR(__xludf.DUMMYFUNCTION("""COMPUTED_VALUE"""),42585.7055555555)</f>
        <v>42585.705555555498</v>
      </c>
      <c r="T1575" s="111">
        <f ca="1">IFERROR(__xludf.DUMMYFUNCTION("""COMPUTED_VALUE"""),20.12)</f>
        <v>20.12</v>
      </c>
    </row>
    <row r="1576" spans="1:20" x14ac:dyDescent="0.3">
      <c r="A1576" s="112">
        <f ca="1">IFERROR(__xludf.DUMMYFUNCTION("""COMPUTED_VALUE"""),42584.7055555555)</f>
        <v>42584.705555555498</v>
      </c>
      <c r="B1576" s="111">
        <f ca="1">IFERROR(__xludf.DUMMYFUNCTION("""COMPUTED_VALUE"""),17.5)</f>
        <v>17.5</v>
      </c>
      <c r="C1576" s="112">
        <f ca="1">IFERROR(__xludf.DUMMYFUNCTION("""COMPUTED_VALUE"""),42591.7055555555)</f>
        <v>42591.705555555498</v>
      </c>
      <c r="D1576" s="111">
        <f ca="1">IFERROR(__xludf.DUMMYFUNCTION("""COMPUTED_VALUE"""),21.25)</f>
        <v>21.25</v>
      </c>
      <c r="E1576" s="112">
        <f ca="1">IFERROR(__xludf.DUMMYFUNCTION("""COMPUTED_VALUE"""),42592.7055555555)</f>
        <v>42592.705555555498</v>
      </c>
      <c r="F1576" s="111">
        <f ca="1">IFERROR(__xludf.DUMMYFUNCTION("""COMPUTED_VALUE"""),7.32)</f>
        <v>7.32</v>
      </c>
      <c r="G1576" s="112">
        <f ca="1">IFERROR(__xludf.DUMMYFUNCTION("""COMPUTED_VALUE"""),42586.7055555555)</f>
        <v>42586.705555555498</v>
      </c>
      <c r="H1576" s="111">
        <f ca="1">IFERROR(__xludf.DUMMYFUNCTION("""COMPUTED_VALUE"""),12.01)</f>
        <v>12.01</v>
      </c>
      <c r="K1576" s="112">
        <f ca="1">IFERROR(__xludf.DUMMYFUNCTION("""COMPUTED_VALUE"""),43033.7055555555)</f>
        <v>43033.705555555498</v>
      </c>
      <c r="L1576" s="111">
        <f ca="1">IFERROR(__xludf.DUMMYFUNCTION("""COMPUTED_VALUE"""),2.15)</f>
        <v>2.15</v>
      </c>
      <c r="M1576" s="112">
        <f ca="1">IFERROR(__xludf.DUMMYFUNCTION("""COMPUTED_VALUE"""),42502.7055555555)</f>
        <v>42502.705555555498</v>
      </c>
      <c r="N1576" s="111">
        <f ca="1">IFERROR(__xludf.DUMMYFUNCTION("""COMPUTED_VALUE"""),15.64)</f>
        <v>15.64</v>
      </c>
      <c r="O1576" s="112">
        <f ca="1">IFERROR(__xludf.DUMMYFUNCTION("""COMPUTED_VALUE"""),42577.7055555555)</f>
        <v>42577.705555555498</v>
      </c>
      <c r="P1576" s="111">
        <f ca="1">IFERROR(__xludf.DUMMYFUNCTION("""COMPUTED_VALUE"""),18.42)</f>
        <v>18.420000000000002</v>
      </c>
      <c r="Q1576" s="112">
        <f ca="1">IFERROR(__xludf.DUMMYFUNCTION("""COMPUTED_VALUE"""),42576.7055555555)</f>
        <v>42576.705555555498</v>
      </c>
      <c r="R1576" s="111">
        <f ca="1">IFERROR(__xludf.DUMMYFUNCTION("""COMPUTED_VALUE"""),21.3)</f>
        <v>21.3</v>
      </c>
      <c r="S1576" s="112">
        <f ca="1">IFERROR(__xludf.DUMMYFUNCTION("""COMPUTED_VALUE"""),42586.7055555555)</f>
        <v>42586.705555555498</v>
      </c>
      <c r="T1576" s="111">
        <f ca="1">IFERROR(__xludf.DUMMYFUNCTION("""COMPUTED_VALUE"""),20.44)</f>
        <v>20.440000000000001</v>
      </c>
    </row>
    <row r="1577" spans="1:20" x14ac:dyDescent="0.3">
      <c r="A1577" s="112">
        <f ca="1">IFERROR(__xludf.DUMMYFUNCTION("""COMPUTED_VALUE"""),42585.7055555555)</f>
        <v>42585.705555555498</v>
      </c>
      <c r="B1577" s="111">
        <f ca="1">IFERROR(__xludf.DUMMYFUNCTION("""COMPUTED_VALUE"""),17.95)</f>
        <v>17.95</v>
      </c>
      <c r="C1577" s="112">
        <f ca="1">IFERROR(__xludf.DUMMYFUNCTION("""COMPUTED_VALUE"""),42592.7055555555)</f>
        <v>42592.705555555498</v>
      </c>
      <c r="D1577" s="111">
        <f ca="1">IFERROR(__xludf.DUMMYFUNCTION("""COMPUTED_VALUE"""),21.08)</f>
        <v>21.08</v>
      </c>
      <c r="E1577" s="112">
        <f ca="1">IFERROR(__xludf.DUMMYFUNCTION("""COMPUTED_VALUE"""),42593.7055555555)</f>
        <v>42593.705555555498</v>
      </c>
      <c r="F1577" s="111">
        <f ca="1">IFERROR(__xludf.DUMMYFUNCTION("""COMPUTED_VALUE"""),7.52)</f>
        <v>7.52</v>
      </c>
      <c r="G1577" s="112">
        <f ca="1">IFERROR(__xludf.DUMMYFUNCTION("""COMPUTED_VALUE"""),42587.7055555555)</f>
        <v>42587.705555555498</v>
      </c>
      <c r="H1577" s="111">
        <f ca="1">IFERROR(__xludf.DUMMYFUNCTION("""COMPUTED_VALUE"""),11.65)</f>
        <v>11.65</v>
      </c>
      <c r="K1577" s="112">
        <f ca="1">IFERROR(__xludf.DUMMYFUNCTION("""COMPUTED_VALUE"""),43034.7055555555)</f>
        <v>43034.705555555498</v>
      </c>
      <c r="L1577" s="111">
        <f ca="1">IFERROR(__xludf.DUMMYFUNCTION("""COMPUTED_VALUE"""),2.05)</f>
        <v>2.0499999999999998</v>
      </c>
      <c r="M1577" s="112">
        <f ca="1">IFERROR(__xludf.DUMMYFUNCTION("""COMPUTED_VALUE"""),42503.7055555555)</f>
        <v>42503.705555555498</v>
      </c>
      <c r="N1577" s="111">
        <f ca="1">IFERROR(__xludf.DUMMYFUNCTION("""COMPUTED_VALUE"""),15)</f>
        <v>15</v>
      </c>
      <c r="O1577" s="112">
        <f ca="1">IFERROR(__xludf.DUMMYFUNCTION("""COMPUTED_VALUE"""),42578.7055555555)</f>
        <v>42578.705555555498</v>
      </c>
      <c r="P1577" s="111">
        <f ca="1">IFERROR(__xludf.DUMMYFUNCTION("""COMPUTED_VALUE"""),18.92)</f>
        <v>18.920000000000002</v>
      </c>
      <c r="Q1577" s="112">
        <f ca="1">IFERROR(__xludf.DUMMYFUNCTION("""COMPUTED_VALUE"""),42577.7055555555)</f>
        <v>42577.705555555498</v>
      </c>
      <c r="R1577" s="111">
        <f ca="1">IFERROR(__xludf.DUMMYFUNCTION("""COMPUTED_VALUE"""),21.44)</f>
        <v>21.44</v>
      </c>
      <c r="S1577" s="112">
        <f ca="1">IFERROR(__xludf.DUMMYFUNCTION("""COMPUTED_VALUE"""),42587.7055555555)</f>
        <v>42587.705555555498</v>
      </c>
      <c r="T1577" s="111">
        <f ca="1">IFERROR(__xludf.DUMMYFUNCTION("""COMPUTED_VALUE"""),20.32)</f>
        <v>20.32</v>
      </c>
    </row>
    <row r="1578" spans="1:20" x14ac:dyDescent="0.3">
      <c r="A1578" s="112">
        <f ca="1">IFERROR(__xludf.DUMMYFUNCTION("""COMPUTED_VALUE"""),42586.7055555555)</f>
        <v>42586.705555555498</v>
      </c>
      <c r="B1578" s="111">
        <f ca="1">IFERROR(__xludf.DUMMYFUNCTION("""COMPUTED_VALUE"""),19.11)</f>
        <v>19.11</v>
      </c>
      <c r="C1578" s="112">
        <f ca="1">IFERROR(__xludf.DUMMYFUNCTION("""COMPUTED_VALUE"""),42593.7055555555)</f>
        <v>42593.705555555498</v>
      </c>
      <c r="D1578" s="111">
        <f ca="1">IFERROR(__xludf.DUMMYFUNCTION("""COMPUTED_VALUE"""),21.62)</f>
        <v>21.62</v>
      </c>
      <c r="E1578" s="112">
        <f ca="1">IFERROR(__xludf.DUMMYFUNCTION("""COMPUTED_VALUE"""),42594.7055555555)</f>
        <v>42594.705555555498</v>
      </c>
      <c r="F1578" s="111">
        <f ca="1">IFERROR(__xludf.DUMMYFUNCTION("""COMPUTED_VALUE"""),7.53)</f>
        <v>7.53</v>
      </c>
      <c r="G1578" s="112">
        <f ca="1">IFERROR(__xludf.DUMMYFUNCTION("""COMPUTED_VALUE"""),42590.7055555555)</f>
        <v>42590.705555555498</v>
      </c>
      <c r="H1578" s="111">
        <f ca="1">IFERROR(__xludf.DUMMYFUNCTION("""COMPUTED_VALUE"""),11.91)</f>
        <v>11.91</v>
      </c>
      <c r="K1578" s="112">
        <f ca="1">IFERROR(__xludf.DUMMYFUNCTION("""COMPUTED_VALUE"""),43035.7055555555)</f>
        <v>43035.705555555498</v>
      </c>
      <c r="L1578" s="111">
        <f ca="1">IFERROR(__xludf.DUMMYFUNCTION("""COMPUTED_VALUE"""),2)</f>
        <v>2</v>
      </c>
      <c r="M1578" s="112">
        <f ca="1">IFERROR(__xludf.DUMMYFUNCTION("""COMPUTED_VALUE"""),42506.7055555555)</f>
        <v>42506.705555555498</v>
      </c>
      <c r="N1578" s="111">
        <f ca="1">IFERROR(__xludf.DUMMYFUNCTION("""COMPUTED_VALUE"""),14.74)</f>
        <v>14.74</v>
      </c>
      <c r="O1578" s="112">
        <f ca="1">IFERROR(__xludf.DUMMYFUNCTION("""COMPUTED_VALUE"""),42579.7055555555)</f>
        <v>42579.705555555498</v>
      </c>
      <c r="P1578" s="111">
        <f ca="1">IFERROR(__xludf.DUMMYFUNCTION("""COMPUTED_VALUE"""),19.04)</f>
        <v>19.04</v>
      </c>
      <c r="Q1578" s="112">
        <f ca="1">IFERROR(__xludf.DUMMYFUNCTION("""COMPUTED_VALUE"""),42578.7055555555)</f>
        <v>42578.705555555498</v>
      </c>
      <c r="R1578" s="111">
        <f ca="1">IFERROR(__xludf.DUMMYFUNCTION("""COMPUTED_VALUE"""),21.48)</f>
        <v>21.48</v>
      </c>
      <c r="S1578" s="112">
        <f ca="1">IFERROR(__xludf.DUMMYFUNCTION("""COMPUTED_VALUE"""),42590.7055555555)</f>
        <v>42590.705555555498</v>
      </c>
      <c r="T1578" s="111">
        <f ca="1">IFERROR(__xludf.DUMMYFUNCTION("""COMPUTED_VALUE"""),20.21)</f>
        <v>20.21</v>
      </c>
    </row>
    <row r="1579" spans="1:20" x14ac:dyDescent="0.3">
      <c r="A1579" s="112">
        <f ca="1">IFERROR(__xludf.DUMMYFUNCTION("""COMPUTED_VALUE"""),42587.7055555555)</f>
        <v>42587.705555555498</v>
      </c>
      <c r="B1579" s="111">
        <f ca="1">IFERROR(__xludf.DUMMYFUNCTION("""COMPUTED_VALUE"""),19.58)</f>
        <v>19.579999999999998</v>
      </c>
      <c r="C1579" s="112">
        <f ca="1">IFERROR(__xludf.DUMMYFUNCTION("""COMPUTED_VALUE"""),42594.7055555555)</f>
        <v>42594.705555555498</v>
      </c>
      <c r="D1579" s="111">
        <f ca="1">IFERROR(__xludf.DUMMYFUNCTION("""COMPUTED_VALUE"""),21.78)</f>
        <v>21.78</v>
      </c>
      <c r="E1579" s="112">
        <f ca="1">IFERROR(__xludf.DUMMYFUNCTION("""COMPUTED_VALUE"""),42597.7055555555)</f>
        <v>42597.705555555498</v>
      </c>
      <c r="F1579" s="111">
        <f ca="1">IFERROR(__xludf.DUMMYFUNCTION("""COMPUTED_VALUE"""),7.59)</f>
        <v>7.59</v>
      </c>
      <c r="G1579" s="112">
        <f ca="1">IFERROR(__xludf.DUMMYFUNCTION("""COMPUTED_VALUE"""),42591.7055555555)</f>
        <v>42591.705555555498</v>
      </c>
      <c r="H1579" s="111">
        <f ca="1">IFERROR(__xludf.DUMMYFUNCTION("""COMPUTED_VALUE"""),11.88)</f>
        <v>11.88</v>
      </c>
      <c r="K1579" s="112">
        <f ca="1">IFERROR(__xludf.DUMMYFUNCTION("""COMPUTED_VALUE"""),43038.7055555555)</f>
        <v>43038.705555555498</v>
      </c>
      <c r="L1579" s="111">
        <f ca="1">IFERROR(__xludf.DUMMYFUNCTION("""COMPUTED_VALUE"""),1.98)</f>
        <v>1.98</v>
      </c>
      <c r="M1579" s="112">
        <f ca="1">IFERROR(__xludf.DUMMYFUNCTION("""COMPUTED_VALUE"""),42507.7055555555)</f>
        <v>42507.705555555498</v>
      </c>
      <c r="N1579" s="111">
        <f ca="1">IFERROR(__xludf.DUMMYFUNCTION("""COMPUTED_VALUE"""),14.26)</f>
        <v>14.26</v>
      </c>
      <c r="O1579" s="112">
        <f ca="1">IFERROR(__xludf.DUMMYFUNCTION("""COMPUTED_VALUE"""),42580.7055555555)</f>
        <v>42580.705555555498</v>
      </c>
      <c r="P1579" s="111">
        <f ca="1">IFERROR(__xludf.DUMMYFUNCTION("""COMPUTED_VALUE"""),18.5)</f>
        <v>18.5</v>
      </c>
      <c r="Q1579" s="112">
        <f ca="1">IFERROR(__xludf.DUMMYFUNCTION("""COMPUTED_VALUE"""),42579.7055555555)</f>
        <v>42579.705555555498</v>
      </c>
      <c r="R1579" s="111">
        <f ca="1">IFERROR(__xludf.DUMMYFUNCTION("""COMPUTED_VALUE"""),20.67)</f>
        <v>20.67</v>
      </c>
      <c r="S1579" s="112">
        <f ca="1">IFERROR(__xludf.DUMMYFUNCTION("""COMPUTED_VALUE"""),42591.7055555555)</f>
        <v>42591.705555555498</v>
      </c>
      <c r="T1579" s="111">
        <f ca="1">IFERROR(__xludf.DUMMYFUNCTION("""COMPUTED_VALUE"""),20.28)</f>
        <v>20.28</v>
      </c>
    </row>
    <row r="1580" spans="1:20" x14ac:dyDescent="0.3">
      <c r="A1580" s="112">
        <f ca="1">IFERROR(__xludf.DUMMYFUNCTION("""COMPUTED_VALUE"""),42590.7055555555)</f>
        <v>42590.705555555498</v>
      </c>
      <c r="B1580" s="111">
        <f ca="1">IFERROR(__xludf.DUMMYFUNCTION("""COMPUTED_VALUE"""),19.38)</f>
        <v>19.38</v>
      </c>
      <c r="C1580" s="112">
        <f ca="1">IFERROR(__xludf.DUMMYFUNCTION("""COMPUTED_VALUE"""),42597.7055555555)</f>
        <v>42597.705555555498</v>
      </c>
      <c r="D1580" s="111">
        <f ca="1">IFERROR(__xludf.DUMMYFUNCTION("""COMPUTED_VALUE"""),22.01)</f>
        <v>22.01</v>
      </c>
      <c r="E1580" s="112">
        <f ca="1">IFERROR(__xludf.DUMMYFUNCTION("""COMPUTED_VALUE"""),42598.7055555555)</f>
        <v>42598.705555555498</v>
      </c>
      <c r="F1580" s="111">
        <f ca="1">IFERROR(__xludf.DUMMYFUNCTION("""COMPUTED_VALUE"""),7.52)</f>
        <v>7.52</v>
      </c>
      <c r="G1580" s="112">
        <f ca="1">IFERROR(__xludf.DUMMYFUNCTION("""COMPUTED_VALUE"""),42592.7055555555)</f>
        <v>42592.705555555498</v>
      </c>
      <c r="H1580" s="111">
        <f ca="1">IFERROR(__xludf.DUMMYFUNCTION("""COMPUTED_VALUE"""),11.56)</f>
        <v>11.56</v>
      </c>
      <c r="K1580" s="112">
        <f ca="1">IFERROR(__xludf.DUMMYFUNCTION("""COMPUTED_VALUE"""),43039.7055555555)</f>
        <v>43039.705555555498</v>
      </c>
      <c r="L1580" s="111">
        <f ca="1">IFERROR(__xludf.DUMMYFUNCTION("""COMPUTED_VALUE"""),1.99)</f>
        <v>1.99</v>
      </c>
      <c r="M1580" s="112">
        <f ca="1">IFERROR(__xludf.DUMMYFUNCTION("""COMPUTED_VALUE"""),42508.7055555555)</f>
        <v>42508.705555555498</v>
      </c>
      <c r="N1580" s="111">
        <f ca="1">IFERROR(__xludf.DUMMYFUNCTION("""COMPUTED_VALUE"""),14.33)</f>
        <v>14.33</v>
      </c>
      <c r="O1580" s="112">
        <f ca="1">IFERROR(__xludf.DUMMYFUNCTION("""COMPUTED_VALUE"""),42583.7055555555)</f>
        <v>42583.705555555498</v>
      </c>
      <c r="P1580" s="111">
        <f ca="1">IFERROR(__xludf.DUMMYFUNCTION("""COMPUTED_VALUE"""),17.9)</f>
        <v>17.899999999999999</v>
      </c>
      <c r="Q1580" s="112">
        <f ca="1">IFERROR(__xludf.DUMMYFUNCTION("""COMPUTED_VALUE"""),42580.7055555555)</f>
        <v>42580.705555555498</v>
      </c>
      <c r="R1580" s="111">
        <f ca="1">IFERROR(__xludf.DUMMYFUNCTION("""COMPUTED_VALUE"""),21.05)</f>
        <v>21.05</v>
      </c>
      <c r="S1580" s="112">
        <f ca="1">IFERROR(__xludf.DUMMYFUNCTION("""COMPUTED_VALUE"""),42592.7055555555)</f>
        <v>42592.705555555498</v>
      </c>
      <c r="T1580" s="111">
        <f ca="1">IFERROR(__xludf.DUMMYFUNCTION("""COMPUTED_VALUE"""),20.04)</f>
        <v>20.04</v>
      </c>
    </row>
    <row r="1581" spans="1:20" x14ac:dyDescent="0.3">
      <c r="A1581" s="112">
        <f ca="1">IFERROR(__xludf.DUMMYFUNCTION("""COMPUTED_VALUE"""),42591.7055555555)</f>
        <v>42591.705555555498</v>
      </c>
      <c r="B1581" s="111">
        <f ca="1">IFERROR(__xludf.DUMMYFUNCTION("""COMPUTED_VALUE"""),18.79)</f>
        <v>18.79</v>
      </c>
      <c r="C1581" s="112">
        <f ca="1">IFERROR(__xludf.DUMMYFUNCTION("""COMPUTED_VALUE"""),42598.7055555555)</f>
        <v>42598.705555555498</v>
      </c>
      <c r="D1581" s="111">
        <f ca="1">IFERROR(__xludf.DUMMYFUNCTION("""COMPUTED_VALUE"""),21.92)</f>
        <v>21.92</v>
      </c>
      <c r="E1581" s="112">
        <f ca="1">IFERROR(__xludf.DUMMYFUNCTION("""COMPUTED_VALUE"""),42599.7055555555)</f>
        <v>42599.705555555498</v>
      </c>
      <c r="F1581" s="111">
        <f ca="1">IFERROR(__xludf.DUMMYFUNCTION("""COMPUTED_VALUE"""),7.64)</f>
        <v>7.64</v>
      </c>
      <c r="G1581" s="112">
        <f ca="1">IFERROR(__xludf.DUMMYFUNCTION("""COMPUTED_VALUE"""),42593.7055555555)</f>
        <v>42593.705555555498</v>
      </c>
      <c r="H1581" s="111">
        <f ca="1">IFERROR(__xludf.DUMMYFUNCTION("""COMPUTED_VALUE"""),12.1)</f>
        <v>12.1</v>
      </c>
      <c r="K1581" s="112">
        <f ca="1">IFERROR(__xludf.DUMMYFUNCTION("""COMPUTED_VALUE"""),43040.7055555555)</f>
        <v>43040.705555555498</v>
      </c>
      <c r="L1581" s="111">
        <f ca="1">IFERROR(__xludf.DUMMYFUNCTION("""COMPUTED_VALUE"""),2.09)</f>
        <v>2.09</v>
      </c>
      <c r="M1581" s="112">
        <f ca="1">IFERROR(__xludf.DUMMYFUNCTION("""COMPUTED_VALUE"""),42509.7055555555)</f>
        <v>42509.705555555498</v>
      </c>
      <c r="N1581" s="111">
        <f ca="1">IFERROR(__xludf.DUMMYFUNCTION("""COMPUTED_VALUE"""),14.03)</f>
        <v>14.03</v>
      </c>
      <c r="O1581" s="112">
        <f ca="1">IFERROR(__xludf.DUMMYFUNCTION("""COMPUTED_VALUE"""),42584.7055555555)</f>
        <v>42584.705555555498</v>
      </c>
      <c r="P1581" s="111">
        <f ca="1">IFERROR(__xludf.DUMMYFUNCTION("""COMPUTED_VALUE"""),17.99)</f>
        <v>17.989999999999998</v>
      </c>
      <c r="Q1581" s="112">
        <f ca="1">IFERROR(__xludf.DUMMYFUNCTION("""COMPUTED_VALUE"""),42583.7055555555)</f>
        <v>42583.705555555498</v>
      </c>
      <c r="R1581" s="111">
        <f ca="1">IFERROR(__xludf.DUMMYFUNCTION("""COMPUTED_VALUE"""),20.69)</f>
        <v>20.69</v>
      </c>
      <c r="S1581" s="112">
        <f ca="1">IFERROR(__xludf.DUMMYFUNCTION("""COMPUTED_VALUE"""),42593.7055555555)</f>
        <v>42593.705555555498</v>
      </c>
      <c r="T1581" s="111">
        <f ca="1">IFERROR(__xludf.DUMMYFUNCTION("""COMPUTED_VALUE"""),20.29)</f>
        <v>20.29</v>
      </c>
    </row>
    <row r="1582" spans="1:20" x14ac:dyDescent="0.3">
      <c r="A1582" s="112">
        <f ca="1">IFERROR(__xludf.DUMMYFUNCTION("""COMPUTED_VALUE"""),42592.7055555555)</f>
        <v>42592.705555555498</v>
      </c>
      <c r="B1582" s="111">
        <f ca="1">IFERROR(__xludf.DUMMYFUNCTION("""COMPUTED_VALUE"""),18.93)</f>
        <v>18.93</v>
      </c>
      <c r="C1582" s="112">
        <f ca="1">IFERROR(__xludf.DUMMYFUNCTION("""COMPUTED_VALUE"""),42599.7055555555)</f>
        <v>42599.705555555498</v>
      </c>
      <c r="D1582" s="111">
        <f ca="1">IFERROR(__xludf.DUMMYFUNCTION("""COMPUTED_VALUE"""),22.21)</f>
        <v>22.21</v>
      </c>
      <c r="E1582" s="112">
        <f ca="1">IFERROR(__xludf.DUMMYFUNCTION("""COMPUTED_VALUE"""),42600.7055555555)</f>
        <v>42600.705555555498</v>
      </c>
      <c r="F1582" s="111">
        <f ca="1">IFERROR(__xludf.DUMMYFUNCTION("""COMPUTED_VALUE"""),7.67)</f>
        <v>7.67</v>
      </c>
      <c r="G1582" s="112">
        <f ca="1">IFERROR(__xludf.DUMMYFUNCTION("""COMPUTED_VALUE"""),42594.7055555555)</f>
        <v>42594.705555555498</v>
      </c>
      <c r="H1582" s="111">
        <f ca="1">IFERROR(__xludf.DUMMYFUNCTION("""COMPUTED_VALUE"""),12)</f>
        <v>12</v>
      </c>
      <c r="K1582" s="112">
        <f ca="1">IFERROR(__xludf.DUMMYFUNCTION("""COMPUTED_VALUE"""),43042.7055555555)</f>
        <v>43042.705555555498</v>
      </c>
      <c r="L1582" s="111">
        <f ca="1">IFERROR(__xludf.DUMMYFUNCTION("""COMPUTED_VALUE"""),1.92)</f>
        <v>1.92</v>
      </c>
      <c r="M1582" s="112">
        <f ca="1">IFERROR(__xludf.DUMMYFUNCTION("""COMPUTED_VALUE"""),42510.7055555555)</f>
        <v>42510.705555555498</v>
      </c>
      <c r="N1582" s="111">
        <f ca="1">IFERROR(__xludf.DUMMYFUNCTION("""COMPUTED_VALUE"""),13.88)</f>
        <v>13.88</v>
      </c>
      <c r="O1582" s="112">
        <f ca="1">IFERROR(__xludf.DUMMYFUNCTION("""COMPUTED_VALUE"""),42585.7055555555)</f>
        <v>42585.705555555498</v>
      </c>
      <c r="P1582" s="111">
        <f ca="1">IFERROR(__xludf.DUMMYFUNCTION("""COMPUTED_VALUE"""),18.82)</f>
        <v>18.82</v>
      </c>
      <c r="Q1582" s="112">
        <f ca="1">IFERROR(__xludf.DUMMYFUNCTION("""COMPUTED_VALUE"""),42584.7055555555)</f>
        <v>42584.705555555498</v>
      </c>
      <c r="R1582" s="111">
        <f ca="1">IFERROR(__xludf.DUMMYFUNCTION("""COMPUTED_VALUE"""),20.2)</f>
        <v>20.2</v>
      </c>
      <c r="S1582" s="112">
        <f ca="1">IFERROR(__xludf.DUMMYFUNCTION("""COMPUTED_VALUE"""),42594.7055555555)</f>
        <v>42594.705555555498</v>
      </c>
      <c r="T1582" s="111">
        <f ca="1">IFERROR(__xludf.DUMMYFUNCTION("""COMPUTED_VALUE"""),20.29)</f>
        <v>20.29</v>
      </c>
    </row>
    <row r="1583" spans="1:20" x14ac:dyDescent="0.3">
      <c r="A1583" s="112">
        <f ca="1">IFERROR(__xludf.DUMMYFUNCTION("""COMPUTED_VALUE"""),42593.7055555555)</f>
        <v>42593.705555555498</v>
      </c>
      <c r="B1583" s="111">
        <f ca="1">IFERROR(__xludf.DUMMYFUNCTION("""COMPUTED_VALUE"""),19.48)</f>
        <v>19.48</v>
      </c>
      <c r="C1583" s="112">
        <f ca="1">IFERROR(__xludf.DUMMYFUNCTION("""COMPUTED_VALUE"""),42600.7055555555)</f>
        <v>42600.705555555498</v>
      </c>
      <c r="D1583" s="111">
        <f ca="1">IFERROR(__xludf.DUMMYFUNCTION("""COMPUTED_VALUE"""),22.17)</f>
        <v>22.17</v>
      </c>
      <c r="E1583" s="112">
        <f ca="1">IFERROR(__xludf.DUMMYFUNCTION("""COMPUTED_VALUE"""),42601.7055555555)</f>
        <v>42601.705555555498</v>
      </c>
      <c r="F1583" s="111">
        <f ca="1">IFERROR(__xludf.DUMMYFUNCTION("""COMPUTED_VALUE"""),7.6)</f>
        <v>7.6</v>
      </c>
      <c r="G1583" s="112">
        <f ca="1">IFERROR(__xludf.DUMMYFUNCTION("""COMPUTED_VALUE"""),42597.7055555555)</f>
        <v>42597.705555555498</v>
      </c>
      <c r="H1583" s="111">
        <f ca="1">IFERROR(__xludf.DUMMYFUNCTION("""COMPUTED_VALUE"""),12.31)</f>
        <v>12.31</v>
      </c>
      <c r="K1583" s="112">
        <f ca="1">IFERROR(__xludf.DUMMYFUNCTION("""COMPUTED_VALUE"""),43045.7055555555)</f>
        <v>43045.705555555498</v>
      </c>
      <c r="L1583" s="111">
        <f ca="1">IFERROR(__xludf.DUMMYFUNCTION("""COMPUTED_VALUE"""),1.78)</f>
        <v>1.78</v>
      </c>
      <c r="M1583" s="112">
        <f ca="1">IFERROR(__xludf.DUMMYFUNCTION("""COMPUTED_VALUE"""),42513.7055555555)</f>
        <v>42513.705555555498</v>
      </c>
      <c r="N1583" s="111">
        <f ca="1">IFERROR(__xludf.DUMMYFUNCTION("""COMPUTED_VALUE"""),13.92)</f>
        <v>13.92</v>
      </c>
      <c r="O1583" s="112">
        <f ca="1">IFERROR(__xludf.DUMMYFUNCTION("""COMPUTED_VALUE"""),42586.7055555555)</f>
        <v>42586.705555555498</v>
      </c>
      <c r="P1583" s="111">
        <f ca="1">IFERROR(__xludf.DUMMYFUNCTION("""COMPUTED_VALUE"""),18.76)</f>
        <v>18.760000000000002</v>
      </c>
      <c r="Q1583" s="112">
        <f ca="1">IFERROR(__xludf.DUMMYFUNCTION("""COMPUTED_VALUE"""),42585.7055555555)</f>
        <v>42585.705555555498</v>
      </c>
      <c r="R1583" s="111">
        <f ca="1">IFERROR(__xludf.DUMMYFUNCTION("""COMPUTED_VALUE"""),20.52)</f>
        <v>20.52</v>
      </c>
      <c r="S1583" s="112">
        <f ca="1">IFERROR(__xludf.DUMMYFUNCTION("""COMPUTED_VALUE"""),42597.7055555555)</f>
        <v>42597.705555555498</v>
      </c>
      <c r="T1583" s="111">
        <f ca="1">IFERROR(__xludf.DUMMYFUNCTION("""COMPUTED_VALUE"""),20.36)</f>
        <v>20.36</v>
      </c>
    </row>
    <row r="1584" spans="1:20" x14ac:dyDescent="0.3">
      <c r="A1584" s="112">
        <f ca="1">IFERROR(__xludf.DUMMYFUNCTION("""COMPUTED_VALUE"""),42594.7055555555)</f>
        <v>42594.705555555498</v>
      </c>
      <c r="B1584" s="111">
        <f ca="1">IFERROR(__xludf.DUMMYFUNCTION("""COMPUTED_VALUE"""),19.43)</f>
        <v>19.43</v>
      </c>
      <c r="C1584" s="112">
        <f ca="1">IFERROR(__xludf.DUMMYFUNCTION("""COMPUTED_VALUE"""),42601.7055555555)</f>
        <v>42601.705555555498</v>
      </c>
      <c r="D1584" s="111">
        <f ca="1">IFERROR(__xludf.DUMMYFUNCTION("""COMPUTED_VALUE"""),22.02)</f>
        <v>22.02</v>
      </c>
      <c r="E1584" s="112">
        <f ca="1">IFERROR(__xludf.DUMMYFUNCTION("""COMPUTED_VALUE"""),42604.7055555555)</f>
        <v>42604.705555555498</v>
      </c>
      <c r="F1584" s="111">
        <f ca="1">IFERROR(__xludf.DUMMYFUNCTION("""COMPUTED_VALUE"""),7.39)</f>
        <v>7.39</v>
      </c>
      <c r="G1584" s="112">
        <f ca="1">IFERROR(__xludf.DUMMYFUNCTION("""COMPUTED_VALUE"""),42598.7055555555)</f>
        <v>42598.705555555498</v>
      </c>
      <c r="H1584" s="111">
        <f ca="1">IFERROR(__xludf.DUMMYFUNCTION("""COMPUTED_VALUE"""),12.49)</f>
        <v>12.49</v>
      </c>
      <c r="K1584" s="112">
        <f ca="1">IFERROR(__xludf.DUMMYFUNCTION("""COMPUTED_VALUE"""),43046.7055555555)</f>
        <v>43046.705555555498</v>
      </c>
      <c r="L1584" s="111">
        <f ca="1">IFERROR(__xludf.DUMMYFUNCTION("""COMPUTED_VALUE"""),1.61)</f>
        <v>1.61</v>
      </c>
      <c r="M1584" s="112">
        <f ca="1">IFERROR(__xludf.DUMMYFUNCTION("""COMPUTED_VALUE"""),42514.7055555555)</f>
        <v>42514.705555555498</v>
      </c>
      <c r="N1584" s="111">
        <f ca="1">IFERROR(__xludf.DUMMYFUNCTION("""COMPUTED_VALUE"""),13.96)</f>
        <v>13.96</v>
      </c>
      <c r="O1584" s="112">
        <f ca="1">IFERROR(__xludf.DUMMYFUNCTION("""COMPUTED_VALUE"""),42587.7055555555)</f>
        <v>42587.705555555498</v>
      </c>
      <c r="P1584" s="111">
        <f ca="1">IFERROR(__xludf.DUMMYFUNCTION("""COMPUTED_VALUE"""),18.97)</f>
        <v>18.97</v>
      </c>
      <c r="Q1584" s="112">
        <f ca="1">IFERROR(__xludf.DUMMYFUNCTION("""COMPUTED_VALUE"""),42586.7055555555)</f>
        <v>42586.705555555498</v>
      </c>
      <c r="R1584" s="111">
        <f ca="1">IFERROR(__xludf.DUMMYFUNCTION("""COMPUTED_VALUE"""),21.07)</f>
        <v>21.07</v>
      </c>
      <c r="S1584" s="112">
        <f ca="1">IFERROR(__xludf.DUMMYFUNCTION("""COMPUTED_VALUE"""),42598.7055555555)</f>
        <v>42598.705555555498</v>
      </c>
      <c r="T1584" s="111">
        <f ca="1">IFERROR(__xludf.DUMMYFUNCTION("""COMPUTED_VALUE"""),20.12)</f>
        <v>20.12</v>
      </c>
    </row>
    <row r="1585" spans="1:20" x14ac:dyDescent="0.3">
      <c r="A1585" s="112">
        <f ca="1">IFERROR(__xludf.DUMMYFUNCTION("""COMPUTED_VALUE"""),42597.7055555555)</f>
        <v>42597.705555555498</v>
      </c>
      <c r="B1585" s="111">
        <f ca="1">IFERROR(__xludf.DUMMYFUNCTION("""COMPUTED_VALUE"""),19.53)</f>
        <v>19.53</v>
      </c>
      <c r="C1585" s="112">
        <f ca="1">IFERROR(__xludf.DUMMYFUNCTION("""COMPUTED_VALUE"""),42604.7055555555)</f>
        <v>42604.705555555498</v>
      </c>
      <c r="D1585" s="111">
        <f ca="1">IFERROR(__xludf.DUMMYFUNCTION("""COMPUTED_VALUE"""),21.6)</f>
        <v>21.6</v>
      </c>
      <c r="E1585" s="112">
        <f ca="1">IFERROR(__xludf.DUMMYFUNCTION("""COMPUTED_VALUE"""),42605.7055555555)</f>
        <v>42605.705555555498</v>
      </c>
      <c r="F1585" s="111">
        <f ca="1">IFERROR(__xludf.DUMMYFUNCTION("""COMPUTED_VALUE"""),7.4)</f>
        <v>7.4</v>
      </c>
      <c r="G1585" s="112">
        <f ca="1">IFERROR(__xludf.DUMMYFUNCTION("""COMPUTED_VALUE"""),42599.7055555555)</f>
        <v>42599.705555555498</v>
      </c>
      <c r="H1585" s="111">
        <f ca="1">IFERROR(__xludf.DUMMYFUNCTION("""COMPUTED_VALUE"""),12.76)</f>
        <v>12.76</v>
      </c>
      <c r="K1585" s="112">
        <f ca="1">IFERROR(__xludf.DUMMYFUNCTION("""COMPUTED_VALUE"""),43047.7055555555)</f>
        <v>43047.705555555498</v>
      </c>
      <c r="L1585" s="111">
        <f ca="1">IFERROR(__xludf.DUMMYFUNCTION("""COMPUTED_VALUE"""),1.72)</f>
        <v>1.72</v>
      </c>
      <c r="M1585" s="112">
        <f ca="1">IFERROR(__xludf.DUMMYFUNCTION("""COMPUTED_VALUE"""),42515.7055555555)</f>
        <v>42515.705555555498</v>
      </c>
      <c r="N1585" s="111">
        <f ca="1">IFERROR(__xludf.DUMMYFUNCTION("""COMPUTED_VALUE"""),13.9)</f>
        <v>13.9</v>
      </c>
      <c r="O1585" s="112">
        <f ca="1">IFERROR(__xludf.DUMMYFUNCTION("""COMPUTED_VALUE"""),42590.7055555555)</f>
        <v>42590.705555555498</v>
      </c>
      <c r="P1585" s="111">
        <f ca="1">IFERROR(__xludf.DUMMYFUNCTION("""COMPUTED_VALUE"""),18.98)</f>
        <v>18.98</v>
      </c>
      <c r="Q1585" s="112">
        <f ca="1">IFERROR(__xludf.DUMMYFUNCTION("""COMPUTED_VALUE"""),42587.7055555555)</f>
        <v>42587.705555555498</v>
      </c>
      <c r="R1585" s="111">
        <f ca="1">IFERROR(__xludf.DUMMYFUNCTION("""COMPUTED_VALUE"""),21.22)</f>
        <v>21.22</v>
      </c>
      <c r="S1585" s="112">
        <f ca="1">IFERROR(__xludf.DUMMYFUNCTION("""COMPUTED_VALUE"""),42599.7055555555)</f>
        <v>42599.705555555498</v>
      </c>
      <c r="T1585" s="111">
        <f ca="1">IFERROR(__xludf.DUMMYFUNCTION("""COMPUTED_VALUE"""),19.83)</f>
        <v>19.829999999999998</v>
      </c>
    </row>
    <row r="1586" spans="1:20" x14ac:dyDescent="0.3">
      <c r="A1586" s="112">
        <f ca="1">IFERROR(__xludf.DUMMYFUNCTION("""COMPUTED_VALUE"""),42598.7055555555)</f>
        <v>42598.705555555498</v>
      </c>
      <c r="B1586" s="111">
        <f ca="1">IFERROR(__xludf.DUMMYFUNCTION("""COMPUTED_VALUE"""),19.48)</f>
        <v>19.48</v>
      </c>
      <c r="C1586" s="112">
        <f ca="1">IFERROR(__xludf.DUMMYFUNCTION("""COMPUTED_VALUE"""),42605.7055555555)</f>
        <v>42605.705555555498</v>
      </c>
      <c r="D1586" s="111">
        <f ca="1">IFERROR(__xludf.DUMMYFUNCTION("""COMPUTED_VALUE"""),21.56)</f>
        <v>21.56</v>
      </c>
      <c r="E1586" s="112">
        <f ca="1">IFERROR(__xludf.DUMMYFUNCTION("""COMPUTED_VALUE"""),42606.7055555555)</f>
        <v>42606.705555555498</v>
      </c>
      <c r="F1586" s="111">
        <f ca="1">IFERROR(__xludf.DUMMYFUNCTION("""COMPUTED_VALUE"""),7.38)</f>
        <v>7.38</v>
      </c>
      <c r="G1586" s="112">
        <f ca="1">IFERROR(__xludf.DUMMYFUNCTION("""COMPUTED_VALUE"""),42600.7055555555)</f>
        <v>42600.705555555498</v>
      </c>
      <c r="H1586" s="111">
        <f ca="1">IFERROR(__xludf.DUMMYFUNCTION("""COMPUTED_VALUE"""),12.88)</f>
        <v>12.88</v>
      </c>
      <c r="K1586" s="112">
        <f ca="1">IFERROR(__xludf.DUMMYFUNCTION("""COMPUTED_VALUE"""),43048.7055555555)</f>
        <v>43048.705555555498</v>
      </c>
      <c r="L1586" s="111">
        <f ca="1">IFERROR(__xludf.DUMMYFUNCTION("""COMPUTED_VALUE"""),1.62)</f>
        <v>1.62</v>
      </c>
      <c r="M1586" s="112">
        <f ca="1">IFERROR(__xludf.DUMMYFUNCTION("""COMPUTED_VALUE"""),42517.7055555555)</f>
        <v>42517.705555555498</v>
      </c>
      <c r="N1586" s="111">
        <f ca="1">IFERROR(__xludf.DUMMYFUNCTION("""COMPUTED_VALUE"""),13.7)</f>
        <v>13.7</v>
      </c>
      <c r="O1586" s="112">
        <f ca="1">IFERROR(__xludf.DUMMYFUNCTION("""COMPUTED_VALUE"""),42591.7055555555)</f>
        <v>42591.705555555498</v>
      </c>
      <c r="P1586" s="111">
        <f ca="1">IFERROR(__xludf.DUMMYFUNCTION("""COMPUTED_VALUE"""),18.99)</f>
        <v>18.989999999999998</v>
      </c>
      <c r="Q1586" s="112">
        <f ca="1">IFERROR(__xludf.DUMMYFUNCTION("""COMPUTED_VALUE"""),42590.7055555555)</f>
        <v>42590.705555555498</v>
      </c>
      <c r="R1586" s="111">
        <f ca="1">IFERROR(__xludf.DUMMYFUNCTION("""COMPUTED_VALUE"""),21.17)</f>
        <v>21.17</v>
      </c>
      <c r="S1586" s="112">
        <f ca="1">IFERROR(__xludf.DUMMYFUNCTION("""COMPUTED_VALUE"""),42600.7055555555)</f>
        <v>42600.705555555498</v>
      </c>
      <c r="T1586" s="111">
        <f ca="1">IFERROR(__xludf.DUMMYFUNCTION("""COMPUTED_VALUE"""),19.36)</f>
        <v>19.36</v>
      </c>
    </row>
    <row r="1587" spans="1:20" x14ac:dyDescent="0.3">
      <c r="A1587" s="112">
        <f ca="1">IFERROR(__xludf.DUMMYFUNCTION("""COMPUTED_VALUE"""),42599.7055555555)</f>
        <v>42599.705555555498</v>
      </c>
      <c r="B1587" s="111">
        <f ca="1">IFERROR(__xludf.DUMMYFUNCTION("""COMPUTED_VALUE"""),19.29)</f>
        <v>19.29</v>
      </c>
      <c r="C1587" s="112">
        <f ca="1">IFERROR(__xludf.DUMMYFUNCTION("""COMPUTED_VALUE"""),42606.7055555555)</f>
        <v>42606.705555555498</v>
      </c>
      <c r="D1587" s="111">
        <f ca="1">IFERROR(__xludf.DUMMYFUNCTION("""COMPUTED_VALUE"""),21.46)</f>
        <v>21.46</v>
      </c>
      <c r="E1587" s="112">
        <f ca="1">IFERROR(__xludf.DUMMYFUNCTION("""COMPUTED_VALUE"""),42607.7055555555)</f>
        <v>42607.705555555498</v>
      </c>
      <c r="F1587" s="111">
        <f ca="1">IFERROR(__xludf.DUMMYFUNCTION("""COMPUTED_VALUE"""),7.36)</f>
        <v>7.36</v>
      </c>
      <c r="G1587" s="112">
        <f ca="1">IFERROR(__xludf.DUMMYFUNCTION("""COMPUTED_VALUE"""),42601.7055555555)</f>
        <v>42601.705555555498</v>
      </c>
      <c r="H1587" s="111">
        <f ca="1">IFERROR(__xludf.DUMMYFUNCTION("""COMPUTED_VALUE"""),12.79)</f>
        <v>12.79</v>
      </c>
      <c r="K1587" s="112">
        <f ca="1">IFERROR(__xludf.DUMMYFUNCTION("""COMPUTED_VALUE"""),43049.7055555555)</f>
        <v>43049.705555555498</v>
      </c>
      <c r="L1587" s="111">
        <f ca="1">IFERROR(__xludf.DUMMYFUNCTION("""COMPUTED_VALUE"""),1.53)</f>
        <v>1.53</v>
      </c>
      <c r="M1587" s="112">
        <f ca="1">IFERROR(__xludf.DUMMYFUNCTION("""COMPUTED_VALUE"""),42520.7055555555)</f>
        <v>42520.705555555498</v>
      </c>
      <c r="N1587" s="111">
        <f ca="1">IFERROR(__xludf.DUMMYFUNCTION("""COMPUTED_VALUE"""),13.66)</f>
        <v>13.66</v>
      </c>
      <c r="O1587" s="112">
        <f ca="1">IFERROR(__xludf.DUMMYFUNCTION("""COMPUTED_VALUE"""),42592.7055555555)</f>
        <v>42592.705555555498</v>
      </c>
      <c r="P1587" s="111">
        <f ca="1">IFERROR(__xludf.DUMMYFUNCTION("""COMPUTED_VALUE"""),18.09)</f>
        <v>18.09</v>
      </c>
      <c r="Q1587" s="112">
        <f ca="1">IFERROR(__xludf.DUMMYFUNCTION("""COMPUTED_VALUE"""),42591.7055555555)</f>
        <v>42591.705555555498</v>
      </c>
      <c r="R1587" s="111">
        <f ca="1">IFERROR(__xludf.DUMMYFUNCTION("""COMPUTED_VALUE"""),21.4)</f>
        <v>21.4</v>
      </c>
      <c r="S1587" s="112">
        <f ca="1">IFERROR(__xludf.DUMMYFUNCTION("""COMPUTED_VALUE"""),42601.7055555555)</f>
        <v>42601.705555555498</v>
      </c>
      <c r="T1587" s="111">
        <f ca="1">IFERROR(__xludf.DUMMYFUNCTION("""COMPUTED_VALUE"""),19.28)</f>
        <v>19.28</v>
      </c>
    </row>
    <row r="1588" spans="1:20" x14ac:dyDescent="0.3">
      <c r="A1588" s="112">
        <f ca="1">IFERROR(__xludf.DUMMYFUNCTION("""COMPUTED_VALUE"""),42600.7055555555)</f>
        <v>42600.705555555498</v>
      </c>
      <c r="B1588" s="111">
        <f ca="1">IFERROR(__xludf.DUMMYFUNCTION("""COMPUTED_VALUE"""),19.46)</f>
        <v>19.46</v>
      </c>
      <c r="C1588" s="112">
        <f ca="1">IFERROR(__xludf.DUMMYFUNCTION("""COMPUTED_VALUE"""),42607.7055555555)</f>
        <v>42607.705555555498</v>
      </c>
      <c r="D1588" s="111">
        <f ca="1">IFERROR(__xludf.DUMMYFUNCTION("""COMPUTED_VALUE"""),21.39)</f>
        <v>21.39</v>
      </c>
      <c r="E1588" s="112">
        <f ca="1">IFERROR(__xludf.DUMMYFUNCTION("""COMPUTED_VALUE"""),42608.7055555555)</f>
        <v>42608.705555555498</v>
      </c>
      <c r="F1588" s="111">
        <f ca="1">IFERROR(__xludf.DUMMYFUNCTION("""COMPUTED_VALUE"""),7.43)</f>
        <v>7.43</v>
      </c>
      <c r="G1588" s="112">
        <f ca="1">IFERROR(__xludf.DUMMYFUNCTION("""COMPUTED_VALUE"""),42604.7055555555)</f>
        <v>42604.705555555498</v>
      </c>
      <c r="H1588" s="111">
        <f ca="1">IFERROR(__xludf.DUMMYFUNCTION("""COMPUTED_VALUE"""),12.35)</f>
        <v>12.35</v>
      </c>
      <c r="K1588" s="112">
        <f ca="1">IFERROR(__xludf.DUMMYFUNCTION("""COMPUTED_VALUE"""),43052.7055555555)</f>
        <v>43052.705555555498</v>
      </c>
      <c r="L1588" s="111">
        <f ca="1">IFERROR(__xludf.DUMMYFUNCTION("""COMPUTED_VALUE"""),1.6)</f>
        <v>1.6</v>
      </c>
      <c r="M1588" s="112">
        <f ca="1">IFERROR(__xludf.DUMMYFUNCTION("""COMPUTED_VALUE"""),42521.7055555555)</f>
        <v>42521.705555555498</v>
      </c>
      <c r="N1588" s="111">
        <f ca="1">IFERROR(__xludf.DUMMYFUNCTION("""COMPUTED_VALUE"""),12.98)</f>
        <v>12.98</v>
      </c>
      <c r="O1588" s="112">
        <f ca="1">IFERROR(__xludf.DUMMYFUNCTION("""COMPUTED_VALUE"""),42593.7055555555)</f>
        <v>42593.705555555498</v>
      </c>
      <c r="P1588" s="111">
        <f ca="1">IFERROR(__xludf.DUMMYFUNCTION("""COMPUTED_VALUE"""),18.41)</f>
        <v>18.41</v>
      </c>
      <c r="Q1588" s="112">
        <f ca="1">IFERROR(__xludf.DUMMYFUNCTION("""COMPUTED_VALUE"""),42592.7055555555)</f>
        <v>42592.705555555498</v>
      </c>
      <c r="R1588" s="111">
        <f ca="1">IFERROR(__xludf.DUMMYFUNCTION("""COMPUTED_VALUE"""),20.87)</f>
        <v>20.87</v>
      </c>
      <c r="S1588" s="112">
        <f ca="1">IFERROR(__xludf.DUMMYFUNCTION("""COMPUTED_VALUE"""),42604.7055555555)</f>
        <v>42604.705555555498</v>
      </c>
      <c r="T1588" s="111">
        <f ca="1">IFERROR(__xludf.DUMMYFUNCTION("""COMPUTED_VALUE"""),19.23)</f>
        <v>19.23</v>
      </c>
    </row>
    <row r="1589" spans="1:20" x14ac:dyDescent="0.3">
      <c r="A1589" s="112">
        <f ca="1">IFERROR(__xludf.DUMMYFUNCTION("""COMPUTED_VALUE"""),42601.7055555555)</f>
        <v>42601.705555555498</v>
      </c>
      <c r="B1589" s="111">
        <f ca="1">IFERROR(__xludf.DUMMYFUNCTION("""COMPUTED_VALUE"""),18.81)</f>
        <v>18.809999999999999</v>
      </c>
      <c r="C1589" s="112">
        <f ca="1">IFERROR(__xludf.DUMMYFUNCTION("""COMPUTED_VALUE"""),42608.7055555555)</f>
        <v>42608.705555555498</v>
      </c>
      <c r="D1589" s="111">
        <f ca="1">IFERROR(__xludf.DUMMYFUNCTION("""COMPUTED_VALUE"""),21.65)</f>
        <v>21.65</v>
      </c>
      <c r="E1589" s="112">
        <f ca="1">IFERROR(__xludf.DUMMYFUNCTION("""COMPUTED_VALUE"""),42611.7055555555)</f>
        <v>42611.705555555498</v>
      </c>
      <c r="F1589" s="111">
        <f ca="1">IFERROR(__xludf.DUMMYFUNCTION("""COMPUTED_VALUE"""),7.54)</f>
        <v>7.54</v>
      </c>
      <c r="G1589" s="112">
        <f ca="1">IFERROR(__xludf.DUMMYFUNCTION("""COMPUTED_VALUE"""),42605.7055555555)</f>
        <v>42605.705555555498</v>
      </c>
      <c r="H1589" s="111">
        <f ca="1">IFERROR(__xludf.DUMMYFUNCTION("""COMPUTED_VALUE"""),12.67)</f>
        <v>12.67</v>
      </c>
      <c r="K1589" s="112">
        <f ca="1">IFERROR(__xludf.DUMMYFUNCTION("""COMPUTED_VALUE"""),43053.7055555555)</f>
        <v>43053.705555555498</v>
      </c>
      <c r="L1589" s="111">
        <f ca="1">IFERROR(__xludf.DUMMYFUNCTION("""COMPUTED_VALUE"""),1.72)</f>
        <v>1.72</v>
      </c>
      <c r="M1589" s="112">
        <f ca="1">IFERROR(__xludf.DUMMYFUNCTION("""COMPUTED_VALUE"""),42522.7055555555)</f>
        <v>42522.705555555498</v>
      </c>
      <c r="N1589" s="111">
        <f ca="1">IFERROR(__xludf.DUMMYFUNCTION("""COMPUTED_VALUE"""),13.22)</f>
        <v>13.22</v>
      </c>
      <c r="O1589" s="112">
        <f ca="1">IFERROR(__xludf.DUMMYFUNCTION("""COMPUTED_VALUE"""),42594.7055555555)</f>
        <v>42594.705555555498</v>
      </c>
      <c r="P1589" s="111">
        <f ca="1">IFERROR(__xludf.DUMMYFUNCTION("""COMPUTED_VALUE"""),17.96)</f>
        <v>17.96</v>
      </c>
      <c r="Q1589" s="112">
        <f ca="1">IFERROR(__xludf.DUMMYFUNCTION("""COMPUTED_VALUE"""),42593.7055555555)</f>
        <v>42593.705555555498</v>
      </c>
      <c r="R1589" s="111">
        <f ca="1">IFERROR(__xludf.DUMMYFUNCTION("""COMPUTED_VALUE"""),22.05)</f>
        <v>22.05</v>
      </c>
      <c r="S1589" s="112">
        <f ca="1">IFERROR(__xludf.DUMMYFUNCTION("""COMPUTED_VALUE"""),42605.7055555555)</f>
        <v>42605.705555555498</v>
      </c>
      <c r="T1589" s="111">
        <f ca="1">IFERROR(__xludf.DUMMYFUNCTION("""COMPUTED_VALUE"""),18.44)</f>
        <v>18.440000000000001</v>
      </c>
    </row>
    <row r="1590" spans="1:20" x14ac:dyDescent="0.3">
      <c r="A1590" s="112">
        <f ca="1">IFERROR(__xludf.DUMMYFUNCTION("""COMPUTED_VALUE"""),42604.7055555555)</f>
        <v>42604.705555555498</v>
      </c>
      <c r="B1590" s="111">
        <f ca="1">IFERROR(__xludf.DUMMYFUNCTION("""COMPUTED_VALUE"""),18.3)</f>
        <v>18.3</v>
      </c>
      <c r="C1590" s="112">
        <f ca="1">IFERROR(__xludf.DUMMYFUNCTION("""COMPUTED_VALUE"""),42611.7055555555)</f>
        <v>42611.705555555498</v>
      </c>
      <c r="D1590" s="111">
        <f ca="1">IFERROR(__xludf.DUMMYFUNCTION("""COMPUTED_VALUE"""),22.04)</f>
        <v>22.04</v>
      </c>
      <c r="E1590" s="112">
        <f ca="1">IFERROR(__xludf.DUMMYFUNCTION("""COMPUTED_VALUE"""),42612.7055555555)</f>
        <v>42612.705555555498</v>
      </c>
      <c r="F1590" s="111">
        <f ca="1">IFERROR(__xludf.DUMMYFUNCTION("""COMPUTED_VALUE"""),7.56)</f>
        <v>7.56</v>
      </c>
      <c r="G1590" s="112">
        <f ca="1">IFERROR(__xludf.DUMMYFUNCTION("""COMPUTED_VALUE"""),42606.7055555555)</f>
        <v>42606.705555555498</v>
      </c>
      <c r="H1590" s="111">
        <f ca="1">IFERROR(__xludf.DUMMYFUNCTION("""COMPUTED_VALUE"""),12.4)</f>
        <v>12.4</v>
      </c>
      <c r="K1590" s="112">
        <f ca="1">IFERROR(__xludf.DUMMYFUNCTION("""COMPUTED_VALUE"""),43055.7055555555)</f>
        <v>43055.705555555498</v>
      </c>
      <c r="L1590" s="111">
        <f ca="1">IFERROR(__xludf.DUMMYFUNCTION("""COMPUTED_VALUE"""),1.78)</f>
        <v>1.78</v>
      </c>
      <c r="M1590" s="112">
        <f ca="1">IFERROR(__xludf.DUMMYFUNCTION("""COMPUTED_VALUE"""),42523.7055555555)</f>
        <v>42523.705555555498</v>
      </c>
      <c r="N1590" s="111">
        <f ca="1">IFERROR(__xludf.DUMMYFUNCTION("""COMPUTED_VALUE"""),13.63)</f>
        <v>13.63</v>
      </c>
      <c r="O1590" s="112">
        <f ca="1">IFERROR(__xludf.DUMMYFUNCTION("""COMPUTED_VALUE"""),42597.7055555555)</f>
        <v>42597.705555555498</v>
      </c>
      <c r="P1590" s="111">
        <f ca="1">IFERROR(__xludf.DUMMYFUNCTION("""COMPUTED_VALUE"""),18.43)</f>
        <v>18.43</v>
      </c>
      <c r="Q1590" s="112">
        <f ca="1">IFERROR(__xludf.DUMMYFUNCTION("""COMPUTED_VALUE"""),42594.7055555555)</f>
        <v>42594.705555555498</v>
      </c>
      <c r="R1590" s="111">
        <f ca="1">IFERROR(__xludf.DUMMYFUNCTION("""COMPUTED_VALUE"""),22.67)</f>
        <v>22.67</v>
      </c>
      <c r="S1590" s="112">
        <f ca="1">IFERROR(__xludf.DUMMYFUNCTION("""COMPUTED_VALUE"""),42606.7055555555)</f>
        <v>42606.705555555498</v>
      </c>
      <c r="T1590" s="111">
        <f ca="1">IFERROR(__xludf.DUMMYFUNCTION("""COMPUTED_VALUE"""),18.67)</f>
        <v>18.670000000000002</v>
      </c>
    </row>
    <row r="1591" spans="1:20" x14ac:dyDescent="0.3">
      <c r="A1591" s="112">
        <f ca="1">IFERROR(__xludf.DUMMYFUNCTION("""COMPUTED_VALUE"""),42605.7055555555)</f>
        <v>42605.705555555498</v>
      </c>
      <c r="B1591" s="111">
        <f ca="1">IFERROR(__xludf.DUMMYFUNCTION("""COMPUTED_VALUE"""),18.16)</f>
        <v>18.16</v>
      </c>
      <c r="C1591" s="112">
        <f ca="1">IFERROR(__xludf.DUMMYFUNCTION("""COMPUTED_VALUE"""),42612.7055555555)</f>
        <v>42612.705555555498</v>
      </c>
      <c r="D1591" s="111">
        <f ca="1">IFERROR(__xludf.DUMMYFUNCTION("""COMPUTED_VALUE"""),22.18)</f>
        <v>22.18</v>
      </c>
      <c r="E1591" s="112">
        <f ca="1">IFERROR(__xludf.DUMMYFUNCTION("""COMPUTED_VALUE"""),42613.7055555555)</f>
        <v>42613.705555555498</v>
      </c>
      <c r="F1591" s="111">
        <f ca="1">IFERROR(__xludf.DUMMYFUNCTION("""COMPUTED_VALUE"""),7.45)</f>
        <v>7.45</v>
      </c>
      <c r="G1591" s="112">
        <f ca="1">IFERROR(__xludf.DUMMYFUNCTION("""COMPUTED_VALUE"""),42607.7055555555)</f>
        <v>42607.705555555498</v>
      </c>
      <c r="H1591" s="111">
        <f ca="1">IFERROR(__xludf.DUMMYFUNCTION("""COMPUTED_VALUE"""),12.53)</f>
        <v>12.53</v>
      </c>
      <c r="K1591" s="112">
        <f ca="1">IFERROR(__xludf.DUMMYFUNCTION("""COMPUTED_VALUE"""),43056.7055555555)</f>
        <v>43056.705555555498</v>
      </c>
      <c r="L1591" s="111">
        <f ca="1">IFERROR(__xludf.DUMMYFUNCTION("""COMPUTED_VALUE"""),1.85)</f>
        <v>1.85</v>
      </c>
      <c r="M1591" s="112">
        <f ca="1">IFERROR(__xludf.DUMMYFUNCTION("""COMPUTED_VALUE"""),42524.7055555555)</f>
        <v>42524.705555555498</v>
      </c>
      <c r="N1591" s="111">
        <f ca="1">IFERROR(__xludf.DUMMYFUNCTION("""COMPUTED_VALUE"""),13.7)</f>
        <v>13.7</v>
      </c>
      <c r="O1591" s="112">
        <f ca="1">IFERROR(__xludf.DUMMYFUNCTION("""COMPUTED_VALUE"""),42598.7055555555)</f>
        <v>42598.705555555498</v>
      </c>
      <c r="P1591" s="111">
        <f ca="1">IFERROR(__xludf.DUMMYFUNCTION("""COMPUTED_VALUE"""),18.98)</f>
        <v>18.98</v>
      </c>
      <c r="Q1591" s="112">
        <f ca="1">IFERROR(__xludf.DUMMYFUNCTION("""COMPUTED_VALUE"""),42597.7055555555)</f>
        <v>42597.705555555498</v>
      </c>
      <c r="R1591" s="111">
        <f ca="1">IFERROR(__xludf.DUMMYFUNCTION("""COMPUTED_VALUE"""),23.18)</f>
        <v>23.18</v>
      </c>
      <c r="S1591" s="112">
        <f ca="1">IFERROR(__xludf.DUMMYFUNCTION("""COMPUTED_VALUE"""),42607.7055555555)</f>
        <v>42607.705555555498</v>
      </c>
      <c r="T1591" s="111">
        <f ca="1">IFERROR(__xludf.DUMMYFUNCTION("""COMPUTED_VALUE"""),19.27)</f>
        <v>19.27</v>
      </c>
    </row>
    <row r="1592" spans="1:20" x14ac:dyDescent="0.3">
      <c r="A1592" s="112">
        <f ca="1">IFERROR(__xludf.DUMMYFUNCTION("""COMPUTED_VALUE"""),42606.7055555555)</f>
        <v>42606.705555555498</v>
      </c>
      <c r="B1592" s="111">
        <f ca="1">IFERROR(__xludf.DUMMYFUNCTION("""COMPUTED_VALUE"""),18.1)</f>
        <v>18.100000000000001</v>
      </c>
      <c r="C1592" s="112">
        <f ca="1">IFERROR(__xludf.DUMMYFUNCTION("""COMPUTED_VALUE"""),42613.7055555555)</f>
        <v>42613.705555555498</v>
      </c>
      <c r="D1592" s="111">
        <f ca="1">IFERROR(__xludf.DUMMYFUNCTION("""COMPUTED_VALUE"""),21.73)</f>
        <v>21.73</v>
      </c>
      <c r="E1592" s="112">
        <f ca="1">IFERROR(__xludf.DUMMYFUNCTION("""COMPUTED_VALUE"""),42614.7055555555)</f>
        <v>42614.705555555498</v>
      </c>
      <c r="F1592" s="111">
        <f ca="1">IFERROR(__xludf.DUMMYFUNCTION("""COMPUTED_VALUE"""),7.5)</f>
        <v>7.5</v>
      </c>
      <c r="G1592" s="112">
        <f ca="1">IFERROR(__xludf.DUMMYFUNCTION("""COMPUTED_VALUE"""),42608.7055555555)</f>
        <v>42608.705555555498</v>
      </c>
      <c r="H1592" s="111">
        <f ca="1">IFERROR(__xludf.DUMMYFUNCTION("""COMPUTED_VALUE"""),12.55)</f>
        <v>12.55</v>
      </c>
      <c r="K1592" s="112">
        <f ca="1">IFERROR(__xludf.DUMMYFUNCTION("""COMPUTED_VALUE"""),43060.7055555555)</f>
        <v>43060.705555555498</v>
      </c>
      <c r="L1592" s="111">
        <f ca="1">IFERROR(__xludf.DUMMYFUNCTION("""COMPUTED_VALUE"""),1.89)</f>
        <v>1.89</v>
      </c>
      <c r="M1592" s="112">
        <f ca="1">IFERROR(__xludf.DUMMYFUNCTION("""COMPUTED_VALUE"""),42527.7055555555)</f>
        <v>42527.705555555498</v>
      </c>
      <c r="N1592" s="111">
        <f ca="1">IFERROR(__xludf.DUMMYFUNCTION("""COMPUTED_VALUE"""),13.62)</f>
        <v>13.62</v>
      </c>
      <c r="O1592" s="112">
        <f ca="1">IFERROR(__xludf.DUMMYFUNCTION("""COMPUTED_VALUE"""),42599.7055555555)</f>
        <v>42599.705555555498</v>
      </c>
      <c r="P1592" s="111">
        <f ca="1">IFERROR(__xludf.DUMMYFUNCTION("""COMPUTED_VALUE"""),19.12)</f>
        <v>19.12</v>
      </c>
      <c r="Q1592" s="112">
        <f ca="1">IFERROR(__xludf.DUMMYFUNCTION("""COMPUTED_VALUE"""),42598.7055555555)</f>
        <v>42598.705555555498</v>
      </c>
      <c r="R1592" s="111">
        <f ca="1">IFERROR(__xludf.DUMMYFUNCTION("""COMPUTED_VALUE"""),22.64)</f>
        <v>22.64</v>
      </c>
      <c r="S1592" s="112">
        <f ca="1">IFERROR(__xludf.DUMMYFUNCTION("""COMPUTED_VALUE"""),42608.7055555555)</f>
        <v>42608.705555555498</v>
      </c>
      <c r="T1592" s="111">
        <f ca="1">IFERROR(__xludf.DUMMYFUNCTION("""COMPUTED_VALUE"""),19.01)</f>
        <v>19.010000000000002</v>
      </c>
    </row>
    <row r="1593" spans="1:20" x14ac:dyDescent="0.3">
      <c r="A1593" s="112">
        <f ca="1">IFERROR(__xludf.DUMMYFUNCTION("""COMPUTED_VALUE"""),42607.7055555555)</f>
        <v>42607.705555555498</v>
      </c>
      <c r="B1593" s="111">
        <f ca="1">IFERROR(__xludf.DUMMYFUNCTION("""COMPUTED_VALUE"""),18.37)</f>
        <v>18.37</v>
      </c>
      <c r="C1593" s="112">
        <f ca="1">IFERROR(__xludf.DUMMYFUNCTION("""COMPUTED_VALUE"""),42614.7055555555)</f>
        <v>42614.705555555498</v>
      </c>
      <c r="D1593" s="111">
        <f ca="1">IFERROR(__xludf.DUMMYFUNCTION("""COMPUTED_VALUE"""),21.93)</f>
        <v>21.93</v>
      </c>
      <c r="E1593" s="112">
        <f ca="1">IFERROR(__xludf.DUMMYFUNCTION("""COMPUTED_VALUE"""),42615.7055555555)</f>
        <v>42615.705555555498</v>
      </c>
      <c r="F1593" s="111">
        <f ca="1">IFERROR(__xludf.DUMMYFUNCTION("""COMPUTED_VALUE"""),7.6)</f>
        <v>7.6</v>
      </c>
      <c r="G1593" s="112">
        <f ca="1">IFERROR(__xludf.DUMMYFUNCTION("""COMPUTED_VALUE"""),42611.7055555555)</f>
        <v>42611.705555555498</v>
      </c>
      <c r="H1593" s="111">
        <f ca="1">IFERROR(__xludf.DUMMYFUNCTION("""COMPUTED_VALUE"""),12.87)</f>
        <v>12.87</v>
      </c>
      <c r="K1593" s="112">
        <f ca="1">IFERROR(__xludf.DUMMYFUNCTION("""COMPUTED_VALUE"""),43061.7055555555)</f>
        <v>43061.705555555498</v>
      </c>
      <c r="L1593" s="111">
        <f ca="1">IFERROR(__xludf.DUMMYFUNCTION("""COMPUTED_VALUE"""),1.89)</f>
        <v>1.89</v>
      </c>
      <c r="M1593" s="112">
        <f ca="1">IFERROR(__xludf.DUMMYFUNCTION("""COMPUTED_VALUE"""),42528.7055555555)</f>
        <v>42528.705555555498</v>
      </c>
      <c r="N1593" s="111">
        <f ca="1">IFERROR(__xludf.DUMMYFUNCTION("""COMPUTED_VALUE"""),13.8)</f>
        <v>13.8</v>
      </c>
      <c r="O1593" s="112">
        <f ca="1">IFERROR(__xludf.DUMMYFUNCTION("""COMPUTED_VALUE"""),42600.7055555555)</f>
        <v>42600.705555555498</v>
      </c>
      <c r="P1593" s="111">
        <f ca="1">IFERROR(__xludf.DUMMYFUNCTION("""COMPUTED_VALUE"""),18.92)</f>
        <v>18.920000000000002</v>
      </c>
      <c r="Q1593" s="112">
        <f ca="1">IFERROR(__xludf.DUMMYFUNCTION("""COMPUTED_VALUE"""),42599.7055555555)</f>
        <v>42599.705555555498</v>
      </c>
      <c r="R1593" s="111">
        <f ca="1">IFERROR(__xludf.DUMMYFUNCTION("""COMPUTED_VALUE"""),22.76)</f>
        <v>22.76</v>
      </c>
      <c r="S1593" s="112">
        <f ca="1">IFERROR(__xludf.DUMMYFUNCTION("""COMPUTED_VALUE"""),42611.7055555555)</f>
        <v>42611.705555555498</v>
      </c>
      <c r="T1593" s="111">
        <f ca="1">IFERROR(__xludf.DUMMYFUNCTION("""COMPUTED_VALUE"""),19.3)</f>
        <v>19.3</v>
      </c>
    </row>
    <row r="1594" spans="1:20" x14ac:dyDescent="0.3">
      <c r="A1594" s="112">
        <f ca="1">IFERROR(__xludf.DUMMYFUNCTION("""COMPUTED_VALUE"""),42608.7055555555)</f>
        <v>42608.705555555498</v>
      </c>
      <c r="B1594" s="111">
        <f ca="1">IFERROR(__xludf.DUMMYFUNCTION("""COMPUTED_VALUE"""),20.11)</f>
        <v>20.11</v>
      </c>
      <c r="C1594" s="112">
        <f ca="1">IFERROR(__xludf.DUMMYFUNCTION("""COMPUTED_VALUE"""),42615.7055555555)</f>
        <v>42615.705555555498</v>
      </c>
      <c r="D1594" s="111">
        <f ca="1">IFERROR(__xludf.DUMMYFUNCTION("""COMPUTED_VALUE"""),22.25)</f>
        <v>22.25</v>
      </c>
      <c r="E1594" s="112">
        <f ca="1">IFERROR(__xludf.DUMMYFUNCTION("""COMPUTED_VALUE"""),42618.7055555555)</f>
        <v>42618.705555555498</v>
      </c>
      <c r="F1594" s="111">
        <f ca="1">IFERROR(__xludf.DUMMYFUNCTION("""COMPUTED_VALUE"""),7.58)</f>
        <v>7.58</v>
      </c>
      <c r="G1594" s="112">
        <f ca="1">IFERROR(__xludf.DUMMYFUNCTION("""COMPUTED_VALUE"""),42612.7055555555)</f>
        <v>42612.705555555498</v>
      </c>
      <c r="H1594" s="111">
        <f ca="1">IFERROR(__xludf.DUMMYFUNCTION("""COMPUTED_VALUE"""),13.09)</f>
        <v>13.09</v>
      </c>
      <c r="K1594" s="112">
        <f ca="1">IFERROR(__xludf.DUMMYFUNCTION("""COMPUTED_VALUE"""),43062.7055555555)</f>
        <v>43062.705555555498</v>
      </c>
      <c r="L1594" s="111">
        <f ca="1">IFERROR(__xludf.DUMMYFUNCTION("""COMPUTED_VALUE"""),1.84)</f>
        <v>1.84</v>
      </c>
      <c r="M1594" s="112">
        <f ca="1">IFERROR(__xludf.DUMMYFUNCTION("""COMPUTED_VALUE"""),42529.7055555555)</f>
        <v>42529.705555555498</v>
      </c>
      <c r="N1594" s="111">
        <f ca="1">IFERROR(__xludf.DUMMYFUNCTION("""COMPUTED_VALUE"""),14.23)</f>
        <v>14.23</v>
      </c>
      <c r="O1594" s="112">
        <f ca="1">IFERROR(__xludf.DUMMYFUNCTION("""COMPUTED_VALUE"""),42601.7055555555)</f>
        <v>42601.705555555498</v>
      </c>
      <c r="P1594" s="111">
        <f ca="1">IFERROR(__xludf.DUMMYFUNCTION("""COMPUTED_VALUE"""),19.08)</f>
        <v>19.079999999999998</v>
      </c>
      <c r="Q1594" s="112">
        <f ca="1">IFERROR(__xludf.DUMMYFUNCTION("""COMPUTED_VALUE"""),42600.7055555555)</f>
        <v>42600.705555555498</v>
      </c>
      <c r="R1594" s="111">
        <f ca="1">IFERROR(__xludf.DUMMYFUNCTION("""COMPUTED_VALUE"""),22.73)</f>
        <v>22.73</v>
      </c>
      <c r="S1594" s="112">
        <f ca="1">IFERROR(__xludf.DUMMYFUNCTION("""COMPUTED_VALUE"""),42612.7055555555)</f>
        <v>42612.705555555498</v>
      </c>
      <c r="T1594" s="111">
        <f ca="1">IFERROR(__xludf.DUMMYFUNCTION("""COMPUTED_VALUE"""),19.16)</f>
        <v>19.16</v>
      </c>
    </row>
    <row r="1595" spans="1:20" x14ac:dyDescent="0.3">
      <c r="A1595" s="112">
        <f ca="1">IFERROR(__xludf.DUMMYFUNCTION("""COMPUTED_VALUE"""),42611.7055555555)</f>
        <v>42611.705555555498</v>
      </c>
      <c r="B1595" s="111">
        <f ca="1">IFERROR(__xludf.DUMMYFUNCTION("""COMPUTED_VALUE"""),20.46)</f>
        <v>20.46</v>
      </c>
      <c r="C1595" s="112">
        <f ca="1">IFERROR(__xludf.DUMMYFUNCTION("""COMPUTED_VALUE"""),42618.7055555555)</f>
        <v>42618.705555555498</v>
      </c>
      <c r="D1595" s="111">
        <f ca="1">IFERROR(__xludf.DUMMYFUNCTION("""COMPUTED_VALUE"""),22.26)</f>
        <v>22.26</v>
      </c>
      <c r="E1595" s="112">
        <f ca="1">IFERROR(__xludf.DUMMYFUNCTION("""COMPUTED_VALUE"""),42619.7055555555)</f>
        <v>42619.705555555498</v>
      </c>
      <c r="F1595" s="111">
        <f ca="1">IFERROR(__xludf.DUMMYFUNCTION("""COMPUTED_VALUE"""),7.64)</f>
        <v>7.64</v>
      </c>
      <c r="G1595" s="112">
        <f ca="1">IFERROR(__xludf.DUMMYFUNCTION("""COMPUTED_VALUE"""),42613.7055555555)</f>
        <v>42613.705555555498</v>
      </c>
      <c r="H1595" s="111">
        <f ca="1">IFERROR(__xludf.DUMMYFUNCTION("""COMPUTED_VALUE"""),12.85)</f>
        <v>12.85</v>
      </c>
      <c r="K1595" s="112">
        <f ca="1">IFERROR(__xludf.DUMMYFUNCTION("""COMPUTED_VALUE"""),43063.7055555555)</f>
        <v>43063.705555555498</v>
      </c>
      <c r="L1595" s="111">
        <f ca="1">IFERROR(__xludf.DUMMYFUNCTION("""COMPUTED_VALUE"""),1.92)</f>
        <v>1.92</v>
      </c>
      <c r="M1595" s="112">
        <f ca="1">IFERROR(__xludf.DUMMYFUNCTION("""COMPUTED_VALUE"""),42530.7055555555)</f>
        <v>42530.705555555498</v>
      </c>
      <c r="N1595" s="111">
        <f ca="1">IFERROR(__xludf.DUMMYFUNCTION("""COMPUTED_VALUE"""),14.25)</f>
        <v>14.25</v>
      </c>
      <c r="O1595" s="112">
        <f ca="1">IFERROR(__xludf.DUMMYFUNCTION("""COMPUTED_VALUE"""),42604.7055555555)</f>
        <v>42604.705555555498</v>
      </c>
      <c r="P1595" s="111">
        <f ca="1">IFERROR(__xludf.DUMMYFUNCTION("""COMPUTED_VALUE"""),18.38)</f>
        <v>18.38</v>
      </c>
      <c r="Q1595" s="112">
        <f ca="1">IFERROR(__xludf.DUMMYFUNCTION("""COMPUTED_VALUE"""),42601.7055555555)</f>
        <v>42601.705555555498</v>
      </c>
      <c r="R1595" s="111">
        <f ca="1">IFERROR(__xludf.DUMMYFUNCTION("""COMPUTED_VALUE"""),23.2)</f>
        <v>23.2</v>
      </c>
      <c r="S1595" s="112">
        <f ca="1">IFERROR(__xludf.DUMMYFUNCTION("""COMPUTED_VALUE"""),42613.7055555555)</f>
        <v>42613.705555555498</v>
      </c>
      <c r="T1595" s="111">
        <f ca="1">IFERROR(__xludf.DUMMYFUNCTION("""COMPUTED_VALUE"""),19.26)</f>
        <v>19.260000000000002</v>
      </c>
    </row>
    <row r="1596" spans="1:20" x14ac:dyDescent="0.3">
      <c r="A1596" s="112">
        <f ca="1">IFERROR(__xludf.DUMMYFUNCTION("""COMPUTED_VALUE"""),42612.7055555555)</f>
        <v>42612.705555555498</v>
      </c>
      <c r="B1596" s="111">
        <f ca="1">IFERROR(__xludf.DUMMYFUNCTION("""COMPUTED_VALUE"""),21.92)</f>
        <v>21.92</v>
      </c>
      <c r="C1596" s="112">
        <f ca="1">IFERROR(__xludf.DUMMYFUNCTION("""COMPUTED_VALUE"""),42619.7055555555)</f>
        <v>42619.705555555498</v>
      </c>
      <c r="D1596" s="111">
        <f ca="1">IFERROR(__xludf.DUMMYFUNCTION("""COMPUTED_VALUE"""),22.47)</f>
        <v>22.47</v>
      </c>
      <c r="E1596" s="112">
        <f ca="1">IFERROR(__xludf.DUMMYFUNCTION("""COMPUTED_VALUE"""),42621.7055555555)</f>
        <v>42621.705555555498</v>
      </c>
      <c r="F1596" s="111">
        <f ca="1">IFERROR(__xludf.DUMMYFUNCTION("""COMPUTED_VALUE"""),7.53)</f>
        <v>7.53</v>
      </c>
      <c r="G1596" s="112">
        <f ca="1">IFERROR(__xludf.DUMMYFUNCTION("""COMPUTED_VALUE"""),42614.7055555555)</f>
        <v>42614.705555555498</v>
      </c>
      <c r="H1596" s="111">
        <f ca="1">IFERROR(__xludf.DUMMYFUNCTION("""COMPUTED_VALUE"""),13)</f>
        <v>13</v>
      </c>
      <c r="K1596" s="112">
        <f ca="1">IFERROR(__xludf.DUMMYFUNCTION("""COMPUTED_VALUE"""),43066.7055555555)</f>
        <v>43066.705555555498</v>
      </c>
      <c r="L1596" s="111">
        <f ca="1">IFERROR(__xludf.DUMMYFUNCTION("""COMPUTED_VALUE"""),1.86)</f>
        <v>1.86</v>
      </c>
      <c r="M1596" s="112">
        <f ca="1">IFERROR(__xludf.DUMMYFUNCTION("""COMPUTED_VALUE"""),42531.7055555555)</f>
        <v>42531.705555555498</v>
      </c>
      <c r="N1596" s="111">
        <f ca="1">IFERROR(__xludf.DUMMYFUNCTION("""COMPUTED_VALUE"""),13.68)</f>
        <v>13.68</v>
      </c>
      <c r="O1596" s="112">
        <f ca="1">IFERROR(__xludf.DUMMYFUNCTION("""COMPUTED_VALUE"""),42605.7055555555)</f>
        <v>42605.705555555498</v>
      </c>
      <c r="P1596" s="111">
        <f ca="1">IFERROR(__xludf.DUMMYFUNCTION("""COMPUTED_VALUE"""),18.75)</f>
        <v>18.75</v>
      </c>
      <c r="Q1596" s="112">
        <f ca="1">IFERROR(__xludf.DUMMYFUNCTION("""COMPUTED_VALUE"""),42604.7055555555)</f>
        <v>42604.705555555498</v>
      </c>
      <c r="R1596" s="111">
        <f ca="1">IFERROR(__xludf.DUMMYFUNCTION("""COMPUTED_VALUE"""),22.31)</f>
        <v>22.31</v>
      </c>
      <c r="S1596" s="112">
        <f ca="1">IFERROR(__xludf.DUMMYFUNCTION("""COMPUTED_VALUE"""),42614.7055555555)</f>
        <v>42614.705555555498</v>
      </c>
      <c r="T1596" s="111">
        <f ca="1">IFERROR(__xludf.DUMMYFUNCTION("""COMPUTED_VALUE"""),18.89)</f>
        <v>18.89</v>
      </c>
    </row>
    <row r="1597" spans="1:20" x14ac:dyDescent="0.3">
      <c r="A1597" s="112">
        <f ca="1">IFERROR(__xludf.DUMMYFUNCTION("""COMPUTED_VALUE"""),42613.7055555555)</f>
        <v>42613.705555555498</v>
      </c>
      <c r="B1597" s="111">
        <f ca="1">IFERROR(__xludf.DUMMYFUNCTION("""COMPUTED_VALUE"""),22.28)</f>
        <v>22.28</v>
      </c>
      <c r="C1597" s="112">
        <f ca="1">IFERROR(__xludf.DUMMYFUNCTION("""COMPUTED_VALUE"""),42621.7055555555)</f>
        <v>42621.705555555498</v>
      </c>
      <c r="D1597" s="111">
        <f ca="1">IFERROR(__xludf.DUMMYFUNCTION("""COMPUTED_VALUE"""),22.21)</f>
        <v>22.21</v>
      </c>
      <c r="E1597" s="112">
        <f ca="1">IFERROR(__xludf.DUMMYFUNCTION("""COMPUTED_VALUE"""),42622.7055555555)</f>
        <v>42622.705555555498</v>
      </c>
      <c r="F1597" s="111">
        <f ca="1">IFERROR(__xludf.DUMMYFUNCTION("""COMPUTED_VALUE"""),7.19)</f>
        <v>7.19</v>
      </c>
      <c r="G1597" s="112">
        <f ca="1">IFERROR(__xludf.DUMMYFUNCTION("""COMPUTED_VALUE"""),42615.7055555555)</f>
        <v>42615.705555555498</v>
      </c>
      <c r="H1597" s="111">
        <f ca="1">IFERROR(__xludf.DUMMYFUNCTION("""COMPUTED_VALUE"""),13.57)</f>
        <v>13.57</v>
      </c>
      <c r="K1597" s="112">
        <f ca="1">IFERROR(__xludf.DUMMYFUNCTION("""COMPUTED_VALUE"""),43067.7055555555)</f>
        <v>43067.705555555498</v>
      </c>
      <c r="L1597" s="111">
        <f ca="1">IFERROR(__xludf.DUMMYFUNCTION("""COMPUTED_VALUE"""),1.84)</f>
        <v>1.84</v>
      </c>
      <c r="M1597" s="112">
        <f ca="1">IFERROR(__xludf.DUMMYFUNCTION("""COMPUTED_VALUE"""),42534.7055555555)</f>
        <v>42534.705555555498</v>
      </c>
      <c r="N1597" s="111">
        <f ca="1">IFERROR(__xludf.DUMMYFUNCTION("""COMPUTED_VALUE"""),13.91)</f>
        <v>13.91</v>
      </c>
      <c r="O1597" s="112">
        <f ca="1">IFERROR(__xludf.DUMMYFUNCTION("""COMPUTED_VALUE"""),42606.7055555555)</f>
        <v>42606.705555555498</v>
      </c>
      <c r="P1597" s="111">
        <f ca="1">IFERROR(__xludf.DUMMYFUNCTION("""COMPUTED_VALUE"""),18.15)</f>
        <v>18.149999999999999</v>
      </c>
      <c r="Q1597" s="112">
        <f ca="1">IFERROR(__xludf.DUMMYFUNCTION("""COMPUTED_VALUE"""),42605.7055555555)</f>
        <v>42605.705555555498</v>
      </c>
      <c r="R1597" s="111">
        <f ca="1">IFERROR(__xludf.DUMMYFUNCTION("""COMPUTED_VALUE"""),22.58)</f>
        <v>22.58</v>
      </c>
      <c r="S1597" s="112">
        <f ca="1">IFERROR(__xludf.DUMMYFUNCTION("""COMPUTED_VALUE"""),42615.7055555555)</f>
        <v>42615.705555555498</v>
      </c>
      <c r="T1597" s="111">
        <f ca="1">IFERROR(__xludf.DUMMYFUNCTION("""COMPUTED_VALUE"""),19.44)</f>
        <v>19.440000000000001</v>
      </c>
    </row>
    <row r="1598" spans="1:20" x14ac:dyDescent="0.3">
      <c r="A1598" s="112">
        <f ca="1">IFERROR(__xludf.DUMMYFUNCTION("""COMPUTED_VALUE"""),42614.7055555555)</f>
        <v>42614.705555555498</v>
      </c>
      <c r="B1598" s="111">
        <f ca="1">IFERROR(__xludf.DUMMYFUNCTION("""COMPUTED_VALUE"""),22.66)</f>
        <v>22.66</v>
      </c>
      <c r="C1598" s="112">
        <f ca="1">IFERROR(__xludf.DUMMYFUNCTION("""COMPUTED_VALUE"""),42622.7055555555)</f>
        <v>42622.705555555498</v>
      </c>
      <c r="D1598" s="111">
        <f ca="1">IFERROR(__xludf.DUMMYFUNCTION("""COMPUTED_VALUE"""),21.36)</f>
        <v>21.36</v>
      </c>
      <c r="E1598" s="112">
        <f ca="1">IFERROR(__xludf.DUMMYFUNCTION("""COMPUTED_VALUE"""),42625.7055555555)</f>
        <v>42625.705555555498</v>
      </c>
      <c r="F1598" s="111">
        <f ca="1">IFERROR(__xludf.DUMMYFUNCTION("""COMPUTED_VALUE"""),7.25)</f>
        <v>7.25</v>
      </c>
      <c r="G1598" s="112">
        <f ca="1">IFERROR(__xludf.DUMMYFUNCTION("""COMPUTED_VALUE"""),42618.7055555555)</f>
        <v>42618.705555555498</v>
      </c>
      <c r="H1598" s="111">
        <f ca="1">IFERROR(__xludf.DUMMYFUNCTION("""COMPUTED_VALUE"""),13.83)</f>
        <v>13.83</v>
      </c>
      <c r="K1598" s="112">
        <f ca="1">IFERROR(__xludf.DUMMYFUNCTION("""COMPUTED_VALUE"""),43068.7055555555)</f>
        <v>43068.705555555498</v>
      </c>
      <c r="L1598" s="111">
        <f ca="1">IFERROR(__xludf.DUMMYFUNCTION("""COMPUTED_VALUE"""),1.82)</f>
        <v>1.82</v>
      </c>
      <c r="M1598" s="112">
        <f ca="1">IFERROR(__xludf.DUMMYFUNCTION("""COMPUTED_VALUE"""),42535.7055555555)</f>
        <v>42535.705555555498</v>
      </c>
      <c r="N1598" s="111">
        <f ca="1">IFERROR(__xludf.DUMMYFUNCTION("""COMPUTED_VALUE"""),13.64)</f>
        <v>13.64</v>
      </c>
      <c r="O1598" s="112">
        <f ca="1">IFERROR(__xludf.DUMMYFUNCTION("""COMPUTED_VALUE"""),42607.7055555555)</f>
        <v>42607.705555555498</v>
      </c>
      <c r="P1598" s="111">
        <f ca="1">IFERROR(__xludf.DUMMYFUNCTION("""COMPUTED_VALUE"""),18.18)</f>
        <v>18.18</v>
      </c>
      <c r="Q1598" s="112">
        <f ca="1">IFERROR(__xludf.DUMMYFUNCTION("""COMPUTED_VALUE"""),42606.7055555555)</f>
        <v>42606.705555555498</v>
      </c>
      <c r="R1598" s="111">
        <f ca="1">IFERROR(__xludf.DUMMYFUNCTION("""COMPUTED_VALUE"""),22.35)</f>
        <v>22.35</v>
      </c>
      <c r="S1598" s="112">
        <f ca="1">IFERROR(__xludf.DUMMYFUNCTION("""COMPUTED_VALUE"""),42618.7055555555)</f>
        <v>42618.705555555498</v>
      </c>
      <c r="T1598" s="111">
        <f ca="1">IFERROR(__xludf.DUMMYFUNCTION("""COMPUTED_VALUE"""),19.34)</f>
        <v>19.34</v>
      </c>
    </row>
    <row r="1599" spans="1:20" x14ac:dyDescent="0.3">
      <c r="A1599" s="112">
        <f ca="1">IFERROR(__xludf.DUMMYFUNCTION("""COMPUTED_VALUE"""),42615.7055555555)</f>
        <v>42615.705555555498</v>
      </c>
      <c r="B1599" s="111">
        <f ca="1">IFERROR(__xludf.DUMMYFUNCTION("""COMPUTED_VALUE"""),23.45)</f>
        <v>23.45</v>
      </c>
      <c r="C1599" s="112">
        <f ca="1">IFERROR(__xludf.DUMMYFUNCTION("""COMPUTED_VALUE"""),42625.7055555555)</f>
        <v>42625.705555555498</v>
      </c>
      <c r="D1599" s="111">
        <f ca="1">IFERROR(__xludf.DUMMYFUNCTION("""COMPUTED_VALUE"""),21.64)</f>
        <v>21.64</v>
      </c>
      <c r="E1599" s="112">
        <f ca="1">IFERROR(__xludf.DUMMYFUNCTION("""COMPUTED_VALUE"""),42626.7055555555)</f>
        <v>42626.705555555498</v>
      </c>
      <c r="F1599" s="111">
        <f ca="1">IFERROR(__xludf.DUMMYFUNCTION("""COMPUTED_VALUE"""),7.21)</f>
        <v>7.21</v>
      </c>
      <c r="G1599" s="112">
        <f ca="1">IFERROR(__xludf.DUMMYFUNCTION("""COMPUTED_VALUE"""),42619.7055555555)</f>
        <v>42619.705555555498</v>
      </c>
      <c r="H1599" s="111">
        <f ca="1">IFERROR(__xludf.DUMMYFUNCTION("""COMPUTED_VALUE"""),13.98)</f>
        <v>13.98</v>
      </c>
      <c r="K1599" s="112">
        <f ca="1">IFERROR(__xludf.DUMMYFUNCTION("""COMPUTED_VALUE"""),43069.7055555555)</f>
        <v>43069.705555555498</v>
      </c>
      <c r="L1599" s="111">
        <f ca="1">IFERROR(__xludf.DUMMYFUNCTION("""COMPUTED_VALUE"""),1.78)</f>
        <v>1.78</v>
      </c>
      <c r="M1599" s="112">
        <f ca="1">IFERROR(__xludf.DUMMYFUNCTION("""COMPUTED_VALUE"""),42536.7055555555)</f>
        <v>42536.705555555498</v>
      </c>
      <c r="N1599" s="111">
        <f ca="1">IFERROR(__xludf.DUMMYFUNCTION("""COMPUTED_VALUE"""),13.66)</f>
        <v>13.66</v>
      </c>
      <c r="O1599" s="112">
        <f ca="1">IFERROR(__xludf.DUMMYFUNCTION("""COMPUTED_VALUE"""),42608.7055555555)</f>
        <v>42608.705555555498</v>
      </c>
      <c r="P1599" s="111">
        <f ca="1">IFERROR(__xludf.DUMMYFUNCTION("""COMPUTED_VALUE"""),17.71)</f>
        <v>17.71</v>
      </c>
      <c r="Q1599" s="112">
        <f ca="1">IFERROR(__xludf.DUMMYFUNCTION("""COMPUTED_VALUE"""),42607.7055555555)</f>
        <v>42607.705555555498</v>
      </c>
      <c r="R1599" s="111">
        <f ca="1">IFERROR(__xludf.DUMMYFUNCTION("""COMPUTED_VALUE"""),22.44)</f>
        <v>22.44</v>
      </c>
      <c r="S1599" s="112">
        <f ca="1">IFERROR(__xludf.DUMMYFUNCTION("""COMPUTED_VALUE"""),42619.7055555555)</f>
        <v>42619.705555555498</v>
      </c>
      <c r="T1599" s="111">
        <f ca="1">IFERROR(__xludf.DUMMYFUNCTION("""COMPUTED_VALUE"""),19.68)</f>
        <v>19.68</v>
      </c>
    </row>
    <row r="1600" spans="1:20" x14ac:dyDescent="0.3">
      <c r="A1600" s="112">
        <f ca="1">IFERROR(__xludf.DUMMYFUNCTION("""COMPUTED_VALUE"""),42618.7055555555)</f>
        <v>42618.705555555498</v>
      </c>
      <c r="B1600" s="111">
        <f ca="1">IFERROR(__xludf.DUMMYFUNCTION("""COMPUTED_VALUE"""),22.64)</f>
        <v>22.64</v>
      </c>
      <c r="C1600" s="112">
        <f ca="1">IFERROR(__xludf.DUMMYFUNCTION("""COMPUTED_VALUE"""),42626.7055555555)</f>
        <v>42626.705555555498</v>
      </c>
      <c r="D1600" s="111">
        <f ca="1">IFERROR(__xludf.DUMMYFUNCTION("""COMPUTED_VALUE"""),21.21)</f>
        <v>21.21</v>
      </c>
      <c r="E1600" s="112">
        <f ca="1">IFERROR(__xludf.DUMMYFUNCTION("""COMPUTED_VALUE"""),42627.7055555555)</f>
        <v>42627.705555555498</v>
      </c>
      <c r="F1600" s="111">
        <f ca="1">IFERROR(__xludf.DUMMYFUNCTION("""COMPUTED_VALUE"""),7.13)</f>
        <v>7.13</v>
      </c>
      <c r="G1600" s="112">
        <f ca="1">IFERROR(__xludf.DUMMYFUNCTION("""COMPUTED_VALUE"""),42621.7055555555)</f>
        <v>42621.705555555498</v>
      </c>
      <c r="H1600" s="111">
        <f ca="1">IFERROR(__xludf.DUMMYFUNCTION("""COMPUTED_VALUE"""),14.22)</f>
        <v>14.22</v>
      </c>
      <c r="K1600" s="112">
        <f ca="1">IFERROR(__xludf.DUMMYFUNCTION("""COMPUTED_VALUE"""),43070.7055555555)</f>
        <v>43070.705555555498</v>
      </c>
      <c r="L1600" s="111">
        <f ca="1">IFERROR(__xludf.DUMMYFUNCTION("""COMPUTED_VALUE"""),1.82)</f>
        <v>1.82</v>
      </c>
      <c r="M1600" s="112">
        <f ca="1">IFERROR(__xludf.DUMMYFUNCTION("""COMPUTED_VALUE"""),42537.7055555555)</f>
        <v>42537.705555555498</v>
      </c>
      <c r="N1600" s="111">
        <f ca="1">IFERROR(__xludf.DUMMYFUNCTION("""COMPUTED_VALUE"""),13.87)</f>
        <v>13.87</v>
      </c>
      <c r="O1600" s="112">
        <f ca="1">IFERROR(__xludf.DUMMYFUNCTION("""COMPUTED_VALUE"""),42611.7055555555)</f>
        <v>42611.705555555498</v>
      </c>
      <c r="P1600" s="111">
        <f ca="1">IFERROR(__xludf.DUMMYFUNCTION("""COMPUTED_VALUE"""),18.1)</f>
        <v>18.100000000000001</v>
      </c>
      <c r="Q1600" s="112">
        <f ca="1">IFERROR(__xludf.DUMMYFUNCTION("""COMPUTED_VALUE"""),42608.7055555555)</f>
        <v>42608.705555555498</v>
      </c>
      <c r="R1600" s="111">
        <f ca="1">IFERROR(__xludf.DUMMYFUNCTION("""COMPUTED_VALUE"""),22.9)</f>
        <v>22.9</v>
      </c>
      <c r="S1600" s="112">
        <f ca="1">IFERROR(__xludf.DUMMYFUNCTION("""COMPUTED_VALUE"""),42621.7055555555)</f>
        <v>42621.705555555498</v>
      </c>
      <c r="T1600" s="111">
        <f ca="1">IFERROR(__xludf.DUMMYFUNCTION("""COMPUTED_VALUE"""),19.46)</f>
        <v>19.46</v>
      </c>
    </row>
    <row r="1601" spans="1:20" x14ac:dyDescent="0.3">
      <c r="A1601" s="112">
        <f ca="1">IFERROR(__xludf.DUMMYFUNCTION("""COMPUTED_VALUE"""),42619.7055555555)</f>
        <v>42619.705555555498</v>
      </c>
      <c r="B1601" s="111">
        <f ca="1">IFERROR(__xludf.DUMMYFUNCTION("""COMPUTED_VALUE"""),23.14)</f>
        <v>23.14</v>
      </c>
      <c r="C1601" s="112">
        <f ca="1">IFERROR(__xludf.DUMMYFUNCTION("""COMPUTED_VALUE"""),42627.7055555555)</f>
        <v>42627.705555555498</v>
      </c>
      <c r="D1601" s="111">
        <f ca="1">IFERROR(__xludf.DUMMYFUNCTION("""COMPUTED_VALUE"""),21.23)</f>
        <v>21.23</v>
      </c>
      <c r="E1601" s="112">
        <f ca="1">IFERROR(__xludf.DUMMYFUNCTION("""COMPUTED_VALUE"""),42628.7055555555)</f>
        <v>42628.705555555498</v>
      </c>
      <c r="F1601" s="111">
        <f ca="1">IFERROR(__xludf.DUMMYFUNCTION("""COMPUTED_VALUE"""),7.3)</f>
        <v>7.3</v>
      </c>
      <c r="G1601" s="112">
        <f ca="1">IFERROR(__xludf.DUMMYFUNCTION("""COMPUTED_VALUE"""),42622.7055555555)</f>
        <v>42622.705555555498</v>
      </c>
      <c r="H1601" s="111">
        <f ca="1">IFERROR(__xludf.DUMMYFUNCTION("""COMPUTED_VALUE"""),13.51)</f>
        <v>13.51</v>
      </c>
      <c r="K1601" s="112">
        <f ca="1">IFERROR(__xludf.DUMMYFUNCTION("""COMPUTED_VALUE"""),43073.7055555555)</f>
        <v>43073.705555555498</v>
      </c>
      <c r="L1601" s="111">
        <f ca="1">IFERROR(__xludf.DUMMYFUNCTION("""COMPUTED_VALUE"""),1.8)</f>
        <v>1.8</v>
      </c>
      <c r="M1601" s="112">
        <f ca="1">IFERROR(__xludf.DUMMYFUNCTION("""COMPUTED_VALUE"""),42538.7055555555)</f>
        <v>42538.705555555498</v>
      </c>
      <c r="N1601" s="111">
        <f ca="1">IFERROR(__xludf.DUMMYFUNCTION("""COMPUTED_VALUE"""),13.78)</f>
        <v>13.78</v>
      </c>
      <c r="O1601" s="112">
        <f ca="1">IFERROR(__xludf.DUMMYFUNCTION("""COMPUTED_VALUE"""),42612.7055555555)</f>
        <v>42612.705555555498</v>
      </c>
      <c r="P1601" s="111">
        <f ca="1">IFERROR(__xludf.DUMMYFUNCTION("""COMPUTED_VALUE"""),17.65)</f>
        <v>17.649999999999999</v>
      </c>
      <c r="Q1601" s="112">
        <f ca="1">IFERROR(__xludf.DUMMYFUNCTION("""COMPUTED_VALUE"""),42611.7055555555)</f>
        <v>42611.705555555498</v>
      </c>
      <c r="R1601" s="111">
        <f ca="1">IFERROR(__xludf.DUMMYFUNCTION("""COMPUTED_VALUE"""),23.82)</f>
        <v>23.82</v>
      </c>
      <c r="S1601" s="112">
        <f ca="1">IFERROR(__xludf.DUMMYFUNCTION("""COMPUTED_VALUE"""),42622.7055555555)</f>
        <v>42622.705555555498</v>
      </c>
      <c r="T1601" s="111">
        <f ca="1">IFERROR(__xludf.DUMMYFUNCTION("""COMPUTED_VALUE"""),18.78)</f>
        <v>18.78</v>
      </c>
    </row>
    <row r="1602" spans="1:20" x14ac:dyDescent="0.3">
      <c r="A1602" s="112">
        <f ca="1">IFERROR(__xludf.DUMMYFUNCTION("""COMPUTED_VALUE"""),42621.7055555555)</f>
        <v>42621.705555555498</v>
      </c>
      <c r="B1602" s="111">
        <f ca="1">IFERROR(__xludf.DUMMYFUNCTION("""COMPUTED_VALUE"""),23.8)</f>
        <v>23.8</v>
      </c>
      <c r="C1602" s="112">
        <f ca="1">IFERROR(__xludf.DUMMYFUNCTION("""COMPUTED_VALUE"""),42628.7055555555)</f>
        <v>42628.705555555498</v>
      </c>
      <c r="D1602" s="111">
        <f ca="1">IFERROR(__xludf.DUMMYFUNCTION("""COMPUTED_VALUE"""),21.69)</f>
        <v>21.69</v>
      </c>
      <c r="E1602" s="112">
        <f ca="1">IFERROR(__xludf.DUMMYFUNCTION("""COMPUTED_VALUE"""),42629.7055555555)</f>
        <v>42629.705555555498</v>
      </c>
      <c r="F1602" s="111">
        <f ca="1">IFERROR(__xludf.DUMMYFUNCTION("""COMPUTED_VALUE"""),7.21)</f>
        <v>7.21</v>
      </c>
      <c r="G1602" s="112">
        <f ca="1">IFERROR(__xludf.DUMMYFUNCTION("""COMPUTED_VALUE"""),42625.7055555555)</f>
        <v>42625.705555555498</v>
      </c>
      <c r="H1602" s="111">
        <f ca="1">IFERROR(__xludf.DUMMYFUNCTION("""COMPUTED_VALUE"""),13.95)</f>
        <v>13.95</v>
      </c>
      <c r="K1602" s="112">
        <f ca="1">IFERROR(__xludf.DUMMYFUNCTION("""COMPUTED_VALUE"""),43074.7055555555)</f>
        <v>43074.705555555498</v>
      </c>
      <c r="L1602" s="111">
        <f ca="1">IFERROR(__xludf.DUMMYFUNCTION("""COMPUTED_VALUE"""),1.8)</f>
        <v>1.8</v>
      </c>
      <c r="M1602" s="112">
        <f ca="1">IFERROR(__xludf.DUMMYFUNCTION("""COMPUTED_VALUE"""),42541.7055555555)</f>
        <v>42541.705555555498</v>
      </c>
      <c r="N1602" s="111">
        <f ca="1">IFERROR(__xludf.DUMMYFUNCTION("""COMPUTED_VALUE"""),14.01)</f>
        <v>14.01</v>
      </c>
      <c r="O1602" s="112">
        <f ca="1">IFERROR(__xludf.DUMMYFUNCTION("""COMPUTED_VALUE"""),42613.7055555555)</f>
        <v>42613.705555555498</v>
      </c>
      <c r="P1602" s="111">
        <f ca="1">IFERROR(__xludf.DUMMYFUNCTION("""COMPUTED_VALUE"""),16.94)</f>
        <v>16.940000000000001</v>
      </c>
      <c r="Q1602" s="112">
        <f ca="1">IFERROR(__xludf.DUMMYFUNCTION("""COMPUTED_VALUE"""),42612.7055555555)</f>
        <v>42612.705555555498</v>
      </c>
      <c r="R1602" s="111">
        <f ca="1">IFERROR(__xludf.DUMMYFUNCTION("""COMPUTED_VALUE"""),23.73)</f>
        <v>23.73</v>
      </c>
      <c r="S1602" s="112">
        <f ca="1">IFERROR(__xludf.DUMMYFUNCTION("""COMPUTED_VALUE"""),42625.7055555555)</f>
        <v>42625.705555555498</v>
      </c>
      <c r="T1602" s="111">
        <f ca="1">IFERROR(__xludf.DUMMYFUNCTION("""COMPUTED_VALUE"""),18.93)</f>
        <v>18.93</v>
      </c>
    </row>
    <row r="1603" spans="1:20" x14ac:dyDescent="0.3">
      <c r="A1603" s="112">
        <f ca="1">IFERROR(__xludf.DUMMYFUNCTION("""COMPUTED_VALUE"""),42622.7055555555)</f>
        <v>42622.705555555498</v>
      </c>
      <c r="B1603" s="111">
        <f ca="1">IFERROR(__xludf.DUMMYFUNCTION("""COMPUTED_VALUE"""),22.79)</f>
        <v>22.79</v>
      </c>
      <c r="C1603" s="112">
        <f ca="1">IFERROR(__xludf.DUMMYFUNCTION("""COMPUTED_VALUE"""),42629.7055555555)</f>
        <v>42629.705555555498</v>
      </c>
      <c r="D1603" s="111">
        <f ca="1">IFERROR(__xludf.DUMMYFUNCTION("""COMPUTED_VALUE"""),21.2)</f>
        <v>21.2</v>
      </c>
      <c r="E1603" s="112">
        <f ca="1">IFERROR(__xludf.DUMMYFUNCTION("""COMPUTED_VALUE"""),42632.7055555555)</f>
        <v>42632.705555555498</v>
      </c>
      <c r="F1603" s="111">
        <f ca="1">IFERROR(__xludf.DUMMYFUNCTION("""COMPUTED_VALUE"""),7.23)</f>
        <v>7.23</v>
      </c>
      <c r="G1603" s="112">
        <f ca="1">IFERROR(__xludf.DUMMYFUNCTION("""COMPUTED_VALUE"""),42626.7055555555)</f>
        <v>42626.705555555498</v>
      </c>
      <c r="H1603" s="111">
        <f ca="1">IFERROR(__xludf.DUMMYFUNCTION("""COMPUTED_VALUE"""),13.01)</f>
        <v>13.01</v>
      </c>
      <c r="K1603" s="112">
        <f ca="1">IFERROR(__xludf.DUMMYFUNCTION("""COMPUTED_VALUE"""),43075.7055555555)</f>
        <v>43075.705555555498</v>
      </c>
      <c r="L1603" s="111">
        <f ca="1">IFERROR(__xludf.DUMMYFUNCTION("""COMPUTED_VALUE"""),1.82)</f>
        <v>1.82</v>
      </c>
      <c r="M1603" s="112">
        <f ca="1">IFERROR(__xludf.DUMMYFUNCTION("""COMPUTED_VALUE"""),42542.7055555555)</f>
        <v>42542.705555555498</v>
      </c>
      <c r="N1603" s="111">
        <f ca="1">IFERROR(__xludf.DUMMYFUNCTION("""COMPUTED_VALUE"""),14.17)</f>
        <v>14.17</v>
      </c>
      <c r="O1603" s="112">
        <f ca="1">IFERROR(__xludf.DUMMYFUNCTION("""COMPUTED_VALUE"""),42614.7055555555)</f>
        <v>42614.705555555498</v>
      </c>
      <c r="P1603" s="111">
        <f ca="1">IFERROR(__xludf.DUMMYFUNCTION("""COMPUTED_VALUE"""),17.44)</f>
        <v>17.440000000000001</v>
      </c>
      <c r="Q1603" s="112">
        <f ca="1">IFERROR(__xludf.DUMMYFUNCTION("""COMPUTED_VALUE"""),42613.7055555555)</f>
        <v>42613.705555555498</v>
      </c>
      <c r="R1603" s="111">
        <f ca="1">IFERROR(__xludf.DUMMYFUNCTION("""COMPUTED_VALUE"""),23.21)</f>
        <v>23.21</v>
      </c>
      <c r="S1603" s="112">
        <f ca="1">IFERROR(__xludf.DUMMYFUNCTION("""COMPUTED_VALUE"""),42626.7055555555)</f>
        <v>42626.705555555498</v>
      </c>
      <c r="T1603" s="111">
        <f ca="1">IFERROR(__xludf.DUMMYFUNCTION("""COMPUTED_VALUE"""),18.49)</f>
        <v>18.489999999999998</v>
      </c>
    </row>
    <row r="1604" spans="1:20" x14ac:dyDescent="0.3">
      <c r="A1604" s="112">
        <f ca="1">IFERROR(__xludf.DUMMYFUNCTION("""COMPUTED_VALUE"""),42625.7055555555)</f>
        <v>42625.705555555498</v>
      </c>
      <c r="B1604" s="111">
        <f ca="1">IFERROR(__xludf.DUMMYFUNCTION("""COMPUTED_VALUE"""),22.62)</f>
        <v>22.62</v>
      </c>
      <c r="C1604" s="112">
        <f ca="1">IFERROR(__xludf.DUMMYFUNCTION("""COMPUTED_VALUE"""),42632.7055555555)</f>
        <v>42632.705555555498</v>
      </c>
      <c r="D1604" s="111">
        <f ca="1">IFERROR(__xludf.DUMMYFUNCTION("""COMPUTED_VALUE"""),21.35)</f>
        <v>21.35</v>
      </c>
      <c r="E1604" s="112">
        <f ca="1">IFERROR(__xludf.DUMMYFUNCTION("""COMPUTED_VALUE"""),42633.7055555555)</f>
        <v>42633.705555555498</v>
      </c>
      <c r="F1604" s="111">
        <f ca="1">IFERROR(__xludf.DUMMYFUNCTION("""COMPUTED_VALUE"""),7.27)</f>
        <v>7.27</v>
      </c>
      <c r="G1604" s="112">
        <f ca="1">IFERROR(__xludf.DUMMYFUNCTION("""COMPUTED_VALUE"""),42627.7055555555)</f>
        <v>42627.705555555498</v>
      </c>
      <c r="H1604" s="111">
        <f ca="1">IFERROR(__xludf.DUMMYFUNCTION("""COMPUTED_VALUE"""),13.11)</f>
        <v>13.11</v>
      </c>
      <c r="K1604" s="112">
        <f ca="1">IFERROR(__xludf.DUMMYFUNCTION("""COMPUTED_VALUE"""),43076.7055555555)</f>
        <v>43076.705555555498</v>
      </c>
      <c r="L1604" s="111">
        <f ca="1">IFERROR(__xludf.DUMMYFUNCTION("""COMPUTED_VALUE"""),2.01)</f>
        <v>2.0099999999999998</v>
      </c>
      <c r="M1604" s="112">
        <f ca="1">IFERROR(__xludf.DUMMYFUNCTION("""COMPUTED_VALUE"""),42543.7055555555)</f>
        <v>42543.705555555498</v>
      </c>
      <c r="N1604" s="111">
        <f ca="1">IFERROR(__xludf.DUMMYFUNCTION("""COMPUTED_VALUE"""),14.14)</f>
        <v>14.14</v>
      </c>
      <c r="O1604" s="112">
        <f ca="1">IFERROR(__xludf.DUMMYFUNCTION("""COMPUTED_VALUE"""),42615.7055555555)</f>
        <v>42615.705555555498</v>
      </c>
      <c r="P1604" s="111">
        <f ca="1">IFERROR(__xludf.DUMMYFUNCTION("""COMPUTED_VALUE"""),18.24)</f>
        <v>18.239999999999998</v>
      </c>
      <c r="Q1604" s="112">
        <f ca="1">IFERROR(__xludf.DUMMYFUNCTION("""COMPUTED_VALUE"""),42614.7055555555)</f>
        <v>42614.705555555498</v>
      </c>
      <c r="R1604" s="111">
        <f ca="1">IFERROR(__xludf.DUMMYFUNCTION("""COMPUTED_VALUE"""),22.86)</f>
        <v>22.86</v>
      </c>
      <c r="S1604" s="112">
        <f ca="1">IFERROR(__xludf.DUMMYFUNCTION("""COMPUTED_VALUE"""),42627.7055555555)</f>
        <v>42627.705555555498</v>
      </c>
      <c r="T1604" s="111">
        <f ca="1">IFERROR(__xludf.DUMMYFUNCTION("""COMPUTED_VALUE"""),18.55)</f>
        <v>18.55</v>
      </c>
    </row>
    <row r="1605" spans="1:20" x14ac:dyDescent="0.3">
      <c r="A1605" s="112">
        <f ca="1">IFERROR(__xludf.DUMMYFUNCTION("""COMPUTED_VALUE"""),42626.7055555555)</f>
        <v>42626.705555555498</v>
      </c>
      <c r="B1605" s="111">
        <f ca="1">IFERROR(__xludf.DUMMYFUNCTION("""COMPUTED_VALUE"""),21.42)</f>
        <v>21.42</v>
      </c>
      <c r="C1605" s="112">
        <f ca="1">IFERROR(__xludf.DUMMYFUNCTION("""COMPUTED_VALUE"""),42633.7055555555)</f>
        <v>42633.705555555498</v>
      </c>
      <c r="D1605" s="111">
        <f ca="1">IFERROR(__xludf.DUMMYFUNCTION("""COMPUTED_VALUE"""),21.4)</f>
        <v>21.4</v>
      </c>
      <c r="E1605" s="112">
        <f ca="1">IFERROR(__xludf.DUMMYFUNCTION("""COMPUTED_VALUE"""),42634.7055555555)</f>
        <v>42634.705555555498</v>
      </c>
      <c r="F1605" s="111">
        <f ca="1">IFERROR(__xludf.DUMMYFUNCTION("""COMPUTED_VALUE"""),7.32)</f>
        <v>7.32</v>
      </c>
      <c r="G1605" s="112">
        <f ca="1">IFERROR(__xludf.DUMMYFUNCTION("""COMPUTED_VALUE"""),42628.7055555555)</f>
        <v>42628.705555555498</v>
      </c>
      <c r="H1605" s="111">
        <f ca="1">IFERROR(__xludf.DUMMYFUNCTION("""COMPUTED_VALUE"""),13.51)</f>
        <v>13.51</v>
      </c>
      <c r="K1605" s="112">
        <f ca="1">IFERROR(__xludf.DUMMYFUNCTION("""COMPUTED_VALUE"""),43077.7055555555)</f>
        <v>43077.705555555498</v>
      </c>
      <c r="L1605" s="111">
        <f ca="1">IFERROR(__xludf.DUMMYFUNCTION("""COMPUTED_VALUE"""),2.19)</f>
        <v>2.19</v>
      </c>
      <c r="M1605" s="112">
        <f ca="1">IFERROR(__xludf.DUMMYFUNCTION("""COMPUTED_VALUE"""),42544.7055555555)</f>
        <v>42544.705555555498</v>
      </c>
      <c r="N1605" s="111">
        <f ca="1">IFERROR(__xludf.DUMMYFUNCTION("""COMPUTED_VALUE"""),14.5)</f>
        <v>14.5</v>
      </c>
      <c r="O1605" s="112">
        <f ca="1">IFERROR(__xludf.DUMMYFUNCTION("""COMPUTED_VALUE"""),42618.7055555555)</f>
        <v>42618.705555555498</v>
      </c>
      <c r="P1605" s="111">
        <f ca="1">IFERROR(__xludf.DUMMYFUNCTION("""COMPUTED_VALUE"""),17.9)</f>
        <v>17.899999999999999</v>
      </c>
      <c r="Q1605" s="112">
        <f ca="1">IFERROR(__xludf.DUMMYFUNCTION("""COMPUTED_VALUE"""),42615.7055555555)</f>
        <v>42615.705555555498</v>
      </c>
      <c r="R1605" s="111">
        <f ca="1">IFERROR(__xludf.DUMMYFUNCTION("""COMPUTED_VALUE"""),23.72)</f>
        <v>23.72</v>
      </c>
      <c r="S1605" s="112">
        <f ca="1">IFERROR(__xludf.DUMMYFUNCTION("""COMPUTED_VALUE"""),42628.7055555555)</f>
        <v>42628.705555555498</v>
      </c>
      <c r="T1605" s="111">
        <f ca="1">IFERROR(__xludf.DUMMYFUNCTION("""COMPUTED_VALUE"""),18.67)</f>
        <v>18.670000000000002</v>
      </c>
    </row>
    <row r="1606" spans="1:20" x14ac:dyDescent="0.3">
      <c r="A1606" s="112">
        <f ca="1">IFERROR(__xludf.DUMMYFUNCTION("""COMPUTED_VALUE"""),42627.7055555555)</f>
        <v>42627.705555555498</v>
      </c>
      <c r="B1606" s="111">
        <f ca="1">IFERROR(__xludf.DUMMYFUNCTION("""COMPUTED_VALUE"""),21.61)</f>
        <v>21.61</v>
      </c>
      <c r="C1606" s="112">
        <f ca="1">IFERROR(__xludf.DUMMYFUNCTION("""COMPUTED_VALUE"""),42634.7055555555)</f>
        <v>42634.705555555498</v>
      </c>
      <c r="D1606" s="111">
        <f ca="1">IFERROR(__xludf.DUMMYFUNCTION("""COMPUTED_VALUE"""),21.61)</f>
        <v>21.61</v>
      </c>
      <c r="E1606" s="112">
        <f ca="1">IFERROR(__xludf.DUMMYFUNCTION("""COMPUTED_VALUE"""),42635.7055555555)</f>
        <v>42635.705555555498</v>
      </c>
      <c r="F1606" s="111">
        <f ca="1">IFERROR(__xludf.DUMMYFUNCTION("""COMPUTED_VALUE"""),7.43)</f>
        <v>7.43</v>
      </c>
      <c r="G1606" s="112">
        <f ca="1">IFERROR(__xludf.DUMMYFUNCTION("""COMPUTED_VALUE"""),42629.7055555555)</f>
        <v>42629.705555555498</v>
      </c>
      <c r="H1606" s="111">
        <f ca="1">IFERROR(__xludf.DUMMYFUNCTION("""COMPUTED_VALUE"""),13.16)</f>
        <v>13.16</v>
      </c>
      <c r="K1606" s="112">
        <f ca="1">IFERROR(__xludf.DUMMYFUNCTION("""COMPUTED_VALUE"""),43080.7055555555)</f>
        <v>43080.705555555498</v>
      </c>
      <c r="L1606" s="111">
        <f ca="1">IFERROR(__xludf.DUMMYFUNCTION("""COMPUTED_VALUE"""),2.18)</f>
        <v>2.1800000000000002</v>
      </c>
      <c r="M1606" s="112">
        <f ca="1">IFERROR(__xludf.DUMMYFUNCTION("""COMPUTED_VALUE"""),42545.7055555555)</f>
        <v>42545.705555555498</v>
      </c>
      <c r="N1606" s="111">
        <f ca="1">IFERROR(__xludf.DUMMYFUNCTION("""COMPUTED_VALUE"""),14.14)</f>
        <v>14.14</v>
      </c>
      <c r="O1606" s="112">
        <f ca="1">IFERROR(__xludf.DUMMYFUNCTION("""COMPUTED_VALUE"""),42619.7055555555)</f>
        <v>42619.705555555498</v>
      </c>
      <c r="P1606" s="111">
        <f ca="1">IFERROR(__xludf.DUMMYFUNCTION("""COMPUTED_VALUE"""),18.27)</f>
        <v>18.27</v>
      </c>
      <c r="Q1606" s="112">
        <f ca="1">IFERROR(__xludf.DUMMYFUNCTION("""COMPUTED_VALUE"""),42618.7055555555)</f>
        <v>42618.705555555498</v>
      </c>
      <c r="R1606" s="111">
        <f ca="1">IFERROR(__xludf.DUMMYFUNCTION("""COMPUTED_VALUE"""),23.49)</f>
        <v>23.49</v>
      </c>
      <c r="S1606" s="112">
        <f ca="1">IFERROR(__xludf.DUMMYFUNCTION("""COMPUTED_VALUE"""),42629.7055555555)</f>
        <v>42629.705555555498</v>
      </c>
      <c r="T1606" s="111">
        <f ca="1">IFERROR(__xludf.DUMMYFUNCTION("""COMPUTED_VALUE"""),18.5)</f>
        <v>18.5</v>
      </c>
    </row>
    <row r="1607" spans="1:20" x14ac:dyDescent="0.3">
      <c r="A1607" s="112">
        <f ca="1">IFERROR(__xludf.DUMMYFUNCTION("""COMPUTED_VALUE"""),42628.7055555555)</f>
        <v>42628.705555555498</v>
      </c>
      <c r="B1607" s="111">
        <f ca="1">IFERROR(__xludf.DUMMYFUNCTION("""COMPUTED_VALUE"""),21.9)</f>
        <v>21.9</v>
      </c>
      <c r="C1607" s="112">
        <f ca="1">IFERROR(__xludf.DUMMYFUNCTION("""COMPUTED_VALUE"""),42635.7055555555)</f>
        <v>42635.705555555498</v>
      </c>
      <c r="D1607" s="111">
        <f ca="1">IFERROR(__xludf.DUMMYFUNCTION("""COMPUTED_VALUE"""),21.95)</f>
        <v>21.95</v>
      </c>
      <c r="E1607" s="112">
        <f ca="1">IFERROR(__xludf.DUMMYFUNCTION("""COMPUTED_VALUE"""),42636.7055555555)</f>
        <v>42636.705555555498</v>
      </c>
      <c r="F1607" s="111">
        <f ca="1">IFERROR(__xludf.DUMMYFUNCTION("""COMPUTED_VALUE"""),7.37)</f>
        <v>7.37</v>
      </c>
      <c r="G1607" s="112">
        <f ca="1">IFERROR(__xludf.DUMMYFUNCTION("""COMPUTED_VALUE"""),42632.7055555555)</f>
        <v>42632.705555555498</v>
      </c>
      <c r="H1607" s="111">
        <f ca="1">IFERROR(__xludf.DUMMYFUNCTION("""COMPUTED_VALUE"""),13.05)</f>
        <v>13.05</v>
      </c>
      <c r="K1607" s="112">
        <f ca="1">IFERROR(__xludf.DUMMYFUNCTION("""COMPUTED_VALUE"""),43081.7055555555)</f>
        <v>43081.705555555498</v>
      </c>
      <c r="L1607" s="111">
        <f ca="1">IFERROR(__xludf.DUMMYFUNCTION("""COMPUTED_VALUE"""),2.18)</f>
        <v>2.1800000000000002</v>
      </c>
      <c r="M1607" s="112">
        <f ca="1">IFERROR(__xludf.DUMMYFUNCTION("""COMPUTED_VALUE"""),42548.7055555555)</f>
        <v>42548.705555555498</v>
      </c>
      <c r="N1607" s="111">
        <f ca="1">IFERROR(__xludf.DUMMYFUNCTION("""COMPUTED_VALUE"""),13.58)</f>
        <v>13.58</v>
      </c>
      <c r="O1607" s="112">
        <f ca="1">IFERROR(__xludf.DUMMYFUNCTION("""COMPUTED_VALUE"""),42621.7055555555)</f>
        <v>42621.705555555498</v>
      </c>
      <c r="P1607" s="111">
        <f ca="1">IFERROR(__xludf.DUMMYFUNCTION("""COMPUTED_VALUE"""),17.79)</f>
        <v>17.79</v>
      </c>
      <c r="Q1607" s="112">
        <f ca="1">IFERROR(__xludf.DUMMYFUNCTION("""COMPUTED_VALUE"""),42619.7055555555)</f>
        <v>42619.705555555498</v>
      </c>
      <c r="R1607" s="111">
        <f ca="1">IFERROR(__xludf.DUMMYFUNCTION("""COMPUTED_VALUE"""),24.02)</f>
        <v>24.02</v>
      </c>
      <c r="S1607" s="112">
        <f ca="1">IFERROR(__xludf.DUMMYFUNCTION("""COMPUTED_VALUE"""),42632.7055555555)</f>
        <v>42632.705555555498</v>
      </c>
      <c r="T1607" s="111">
        <f ca="1">IFERROR(__xludf.DUMMYFUNCTION("""COMPUTED_VALUE"""),18.62)</f>
        <v>18.62</v>
      </c>
    </row>
    <row r="1608" spans="1:20" x14ac:dyDescent="0.3">
      <c r="A1608" s="112">
        <f ca="1">IFERROR(__xludf.DUMMYFUNCTION("""COMPUTED_VALUE"""),42629.7055555555)</f>
        <v>42629.705555555498</v>
      </c>
      <c r="B1608" s="111">
        <f ca="1">IFERROR(__xludf.DUMMYFUNCTION("""COMPUTED_VALUE"""),20.52)</f>
        <v>20.52</v>
      </c>
      <c r="C1608" s="112">
        <f ca="1">IFERROR(__xludf.DUMMYFUNCTION("""COMPUTED_VALUE"""),42636.7055555555)</f>
        <v>42636.705555555498</v>
      </c>
      <c r="D1608" s="111">
        <f ca="1">IFERROR(__xludf.DUMMYFUNCTION("""COMPUTED_VALUE"""),21.9)</f>
        <v>21.9</v>
      </c>
      <c r="E1608" s="112">
        <f ca="1">IFERROR(__xludf.DUMMYFUNCTION("""COMPUTED_VALUE"""),42639.7055555555)</f>
        <v>42639.705555555498</v>
      </c>
      <c r="F1608" s="111">
        <f ca="1">IFERROR(__xludf.DUMMYFUNCTION("""COMPUTED_VALUE"""),7.28)</f>
        <v>7.28</v>
      </c>
      <c r="G1608" s="112">
        <f ca="1">IFERROR(__xludf.DUMMYFUNCTION("""COMPUTED_VALUE"""),42633.7055555555)</f>
        <v>42633.705555555498</v>
      </c>
      <c r="H1608" s="111">
        <f ca="1">IFERROR(__xludf.DUMMYFUNCTION("""COMPUTED_VALUE"""),13.5)</f>
        <v>13.5</v>
      </c>
      <c r="K1608" s="112">
        <f ca="1">IFERROR(__xludf.DUMMYFUNCTION("""COMPUTED_VALUE"""),43082.7055555555)</f>
        <v>43082.705555555498</v>
      </c>
      <c r="L1608" s="111">
        <f ca="1">IFERROR(__xludf.DUMMYFUNCTION("""COMPUTED_VALUE"""),2.15)</f>
        <v>2.15</v>
      </c>
      <c r="M1608" s="112">
        <f ca="1">IFERROR(__xludf.DUMMYFUNCTION("""COMPUTED_VALUE"""),42549.7055555555)</f>
        <v>42549.705555555498</v>
      </c>
      <c r="N1608" s="111">
        <f ca="1">IFERROR(__xludf.DUMMYFUNCTION("""COMPUTED_VALUE"""),13.92)</f>
        <v>13.92</v>
      </c>
      <c r="O1608" s="112">
        <f ca="1">IFERROR(__xludf.DUMMYFUNCTION("""COMPUTED_VALUE"""),42622.7055555555)</f>
        <v>42622.705555555498</v>
      </c>
      <c r="P1608" s="111">
        <f ca="1">IFERROR(__xludf.DUMMYFUNCTION("""COMPUTED_VALUE"""),16.86)</f>
        <v>16.86</v>
      </c>
      <c r="Q1608" s="112">
        <f ca="1">IFERROR(__xludf.DUMMYFUNCTION("""COMPUTED_VALUE"""),42621.7055555555)</f>
        <v>42621.705555555498</v>
      </c>
      <c r="R1608" s="111">
        <f ca="1">IFERROR(__xludf.DUMMYFUNCTION("""COMPUTED_VALUE"""),24.13)</f>
        <v>24.13</v>
      </c>
      <c r="S1608" s="112">
        <f ca="1">IFERROR(__xludf.DUMMYFUNCTION("""COMPUTED_VALUE"""),42633.7055555555)</f>
        <v>42633.705555555498</v>
      </c>
      <c r="T1608" s="111">
        <f ca="1">IFERROR(__xludf.DUMMYFUNCTION("""COMPUTED_VALUE"""),18.87)</f>
        <v>18.87</v>
      </c>
    </row>
    <row r="1609" spans="1:20" x14ac:dyDescent="0.3">
      <c r="A1609" s="112">
        <f ca="1">IFERROR(__xludf.DUMMYFUNCTION("""COMPUTED_VALUE"""),42632.7055555555)</f>
        <v>42632.705555555498</v>
      </c>
      <c r="B1609" s="111">
        <f ca="1">IFERROR(__xludf.DUMMYFUNCTION("""COMPUTED_VALUE"""),20.17)</f>
        <v>20.170000000000002</v>
      </c>
      <c r="C1609" s="112">
        <f ca="1">IFERROR(__xludf.DUMMYFUNCTION("""COMPUTED_VALUE"""),42639.7055555555)</f>
        <v>42639.705555555498</v>
      </c>
      <c r="D1609" s="111">
        <f ca="1">IFERROR(__xludf.DUMMYFUNCTION("""COMPUTED_VALUE"""),21.73)</f>
        <v>21.73</v>
      </c>
      <c r="E1609" s="112">
        <f ca="1">IFERROR(__xludf.DUMMYFUNCTION("""COMPUTED_VALUE"""),42640.7055555555)</f>
        <v>42640.705555555498</v>
      </c>
      <c r="F1609" s="111">
        <f ca="1">IFERROR(__xludf.DUMMYFUNCTION("""COMPUTED_VALUE"""),7.39)</f>
        <v>7.39</v>
      </c>
      <c r="G1609" s="112">
        <f ca="1">IFERROR(__xludf.DUMMYFUNCTION("""COMPUTED_VALUE"""),42634.7055555555)</f>
        <v>42634.705555555498</v>
      </c>
      <c r="H1609" s="111">
        <f ca="1">IFERROR(__xludf.DUMMYFUNCTION("""COMPUTED_VALUE"""),13.66)</f>
        <v>13.66</v>
      </c>
      <c r="K1609" s="112">
        <f ca="1">IFERROR(__xludf.DUMMYFUNCTION("""COMPUTED_VALUE"""),43083.7055555555)</f>
        <v>43083.705555555498</v>
      </c>
      <c r="L1609" s="111">
        <f ca="1">IFERROR(__xludf.DUMMYFUNCTION("""COMPUTED_VALUE"""),2.16)</f>
        <v>2.16</v>
      </c>
      <c r="M1609" s="112">
        <f ca="1">IFERROR(__xludf.DUMMYFUNCTION("""COMPUTED_VALUE"""),42550.7055555555)</f>
        <v>42550.705555555498</v>
      </c>
      <c r="N1609" s="111">
        <f ca="1">IFERROR(__xludf.DUMMYFUNCTION("""COMPUTED_VALUE"""),14.25)</f>
        <v>14.25</v>
      </c>
      <c r="O1609" s="112">
        <f ca="1">IFERROR(__xludf.DUMMYFUNCTION("""COMPUTED_VALUE"""),42625.7055555555)</f>
        <v>42625.705555555498</v>
      </c>
      <c r="P1609" s="111">
        <f ca="1">IFERROR(__xludf.DUMMYFUNCTION("""COMPUTED_VALUE"""),17.49)</f>
        <v>17.489999999999998</v>
      </c>
      <c r="Q1609" s="112">
        <f ca="1">IFERROR(__xludf.DUMMYFUNCTION("""COMPUTED_VALUE"""),42622.7055555555)</f>
        <v>42622.705555555498</v>
      </c>
      <c r="R1609" s="111">
        <f ca="1">IFERROR(__xludf.DUMMYFUNCTION("""COMPUTED_VALUE"""),22.84)</f>
        <v>22.84</v>
      </c>
      <c r="S1609" s="112">
        <f ca="1">IFERROR(__xludf.DUMMYFUNCTION("""COMPUTED_VALUE"""),42634.7055555555)</f>
        <v>42634.705555555498</v>
      </c>
      <c r="T1609" s="111">
        <f ca="1">IFERROR(__xludf.DUMMYFUNCTION("""COMPUTED_VALUE"""),18.68)</f>
        <v>18.68</v>
      </c>
    </row>
    <row r="1610" spans="1:20" x14ac:dyDescent="0.3">
      <c r="A1610" s="112">
        <f ca="1">IFERROR(__xludf.DUMMYFUNCTION("""COMPUTED_VALUE"""),42633.7055555555)</f>
        <v>42633.705555555498</v>
      </c>
      <c r="B1610" s="111">
        <f ca="1">IFERROR(__xludf.DUMMYFUNCTION("""COMPUTED_VALUE"""),20.29)</f>
        <v>20.29</v>
      </c>
      <c r="C1610" s="112">
        <f ca="1">IFERROR(__xludf.DUMMYFUNCTION("""COMPUTED_VALUE"""),42640.7055555555)</f>
        <v>42640.705555555498</v>
      </c>
      <c r="D1610" s="111">
        <f ca="1">IFERROR(__xludf.DUMMYFUNCTION("""COMPUTED_VALUE"""),21.98)</f>
        <v>21.98</v>
      </c>
      <c r="E1610" s="112">
        <f ca="1">IFERROR(__xludf.DUMMYFUNCTION("""COMPUTED_VALUE"""),42641.7055555555)</f>
        <v>42641.705555555498</v>
      </c>
      <c r="F1610" s="111">
        <f ca="1">IFERROR(__xludf.DUMMYFUNCTION("""COMPUTED_VALUE"""),7.46)</f>
        <v>7.46</v>
      </c>
      <c r="G1610" s="112">
        <f ca="1">IFERROR(__xludf.DUMMYFUNCTION("""COMPUTED_VALUE"""),42635.7055555555)</f>
        <v>42635.705555555498</v>
      </c>
      <c r="H1610" s="111">
        <f ca="1">IFERROR(__xludf.DUMMYFUNCTION("""COMPUTED_VALUE"""),14)</f>
        <v>14</v>
      </c>
      <c r="K1610" s="112">
        <f ca="1">IFERROR(__xludf.DUMMYFUNCTION("""COMPUTED_VALUE"""),43084.7055555555)</f>
        <v>43084.705555555498</v>
      </c>
      <c r="L1610" s="111">
        <f ca="1">IFERROR(__xludf.DUMMYFUNCTION("""COMPUTED_VALUE"""),2.17)</f>
        <v>2.17</v>
      </c>
      <c r="M1610" s="112">
        <f ca="1">IFERROR(__xludf.DUMMYFUNCTION("""COMPUTED_VALUE"""),42551.7055555555)</f>
        <v>42551.705555555498</v>
      </c>
      <c r="N1610" s="111">
        <f ca="1">IFERROR(__xludf.DUMMYFUNCTION("""COMPUTED_VALUE"""),14.33)</f>
        <v>14.33</v>
      </c>
      <c r="O1610" s="112">
        <f ca="1">IFERROR(__xludf.DUMMYFUNCTION("""COMPUTED_VALUE"""),42626.7055555555)</f>
        <v>42626.705555555498</v>
      </c>
      <c r="P1610" s="111">
        <f ca="1">IFERROR(__xludf.DUMMYFUNCTION("""COMPUTED_VALUE"""),16.27)</f>
        <v>16.27</v>
      </c>
      <c r="Q1610" s="112">
        <f ca="1">IFERROR(__xludf.DUMMYFUNCTION("""COMPUTED_VALUE"""),42625.7055555555)</f>
        <v>42625.705555555498</v>
      </c>
      <c r="R1610" s="111">
        <f ca="1">IFERROR(__xludf.DUMMYFUNCTION("""COMPUTED_VALUE"""),22.95)</f>
        <v>22.95</v>
      </c>
      <c r="S1610" s="112">
        <f ca="1">IFERROR(__xludf.DUMMYFUNCTION("""COMPUTED_VALUE"""),42635.7055555555)</f>
        <v>42635.705555555498</v>
      </c>
      <c r="T1610" s="111">
        <f ca="1">IFERROR(__xludf.DUMMYFUNCTION("""COMPUTED_VALUE"""),18.95)</f>
        <v>18.95</v>
      </c>
    </row>
    <row r="1611" spans="1:20" x14ac:dyDescent="0.3">
      <c r="A1611" s="112">
        <f ca="1">IFERROR(__xludf.DUMMYFUNCTION("""COMPUTED_VALUE"""),42634.7055555555)</f>
        <v>42634.705555555498</v>
      </c>
      <c r="B1611" s="111">
        <f ca="1">IFERROR(__xludf.DUMMYFUNCTION("""COMPUTED_VALUE"""),19.71)</f>
        <v>19.71</v>
      </c>
      <c r="C1611" s="112">
        <f ca="1">IFERROR(__xludf.DUMMYFUNCTION("""COMPUTED_VALUE"""),42641.7055555555)</f>
        <v>42641.705555555498</v>
      </c>
      <c r="D1611" s="111">
        <f ca="1">IFERROR(__xludf.DUMMYFUNCTION("""COMPUTED_VALUE"""),22.13)</f>
        <v>22.13</v>
      </c>
      <c r="E1611" s="112">
        <f ca="1">IFERROR(__xludf.DUMMYFUNCTION("""COMPUTED_VALUE"""),42642.7055555555)</f>
        <v>42642.705555555498</v>
      </c>
      <c r="F1611" s="111">
        <f ca="1">IFERROR(__xludf.DUMMYFUNCTION("""COMPUTED_VALUE"""),7.25)</f>
        <v>7.25</v>
      </c>
      <c r="G1611" s="112">
        <f ca="1">IFERROR(__xludf.DUMMYFUNCTION("""COMPUTED_VALUE"""),42636.7055555555)</f>
        <v>42636.705555555498</v>
      </c>
      <c r="H1611" s="111">
        <f ca="1">IFERROR(__xludf.DUMMYFUNCTION("""COMPUTED_VALUE"""),13.69)</f>
        <v>13.69</v>
      </c>
      <c r="K1611" s="112">
        <f ca="1">IFERROR(__xludf.DUMMYFUNCTION("""COMPUTED_VALUE"""),43087.7055555555)</f>
        <v>43087.705555555498</v>
      </c>
      <c r="L1611" s="111">
        <f ca="1">IFERROR(__xludf.DUMMYFUNCTION("""COMPUTED_VALUE"""),2.15)</f>
        <v>2.15</v>
      </c>
      <c r="M1611" s="112">
        <f ca="1">IFERROR(__xludf.DUMMYFUNCTION("""COMPUTED_VALUE"""),42552.7055555555)</f>
        <v>42552.705555555498</v>
      </c>
      <c r="N1611" s="111">
        <f ca="1">IFERROR(__xludf.DUMMYFUNCTION("""COMPUTED_VALUE"""),14.58)</f>
        <v>14.58</v>
      </c>
      <c r="O1611" s="112">
        <f ca="1">IFERROR(__xludf.DUMMYFUNCTION("""COMPUTED_VALUE"""),42627.7055555555)</f>
        <v>42627.705555555498</v>
      </c>
      <c r="P1611" s="111">
        <f ca="1">IFERROR(__xludf.DUMMYFUNCTION("""COMPUTED_VALUE"""),16.64)</f>
        <v>16.64</v>
      </c>
      <c r="Q1611" s="112">
        <f ca="1">IFERROR(__xludf.DUMMYFUNCTION("""COMPUTED_VALUE"""),42626.7055555555)</f>
        <v>42626.705555555498</v>
      </c>
      <c r="R1611" s="111">
        <f ca="1">IFERROR(__xludf.DUMMYFUNCTION("""COMPUTED_VALUE"""),22.01)</f>
        <v>22.01</v>
      </c>
      <c r="S1611" s="112">
        <f ca="1">IFERROR(__xludf.DUMMYFUNCTION("""COMPUTED_VALUE"""),42636.7055555555)</f>
        <v>42636.705555555498</v>
      </c>
      <c r="T1611" s="111">
        <f ca="1">IFERROR(__xludf.DUMMYFUNCTION("""COMPUTED_VALUE"""),18.95)</f>
        <v>18.95</v>
      </c>
    </row>
    <row r="1612" spans="1:20" x14ac:dyDescent="0.3">
      <c r="A1612" s="112">
        <f ca="1">IFERROR(__xludf.DUMMYFUNCTION("""COMPUTED_VALUE"""),42635.7055555555)</f>
        <v>42635.705555555498</v>
      </c>
      <c r="B1612" s="111">
        <f ca="1">IFERROR(__xludf.DUMMYFUNCTION("""COMPUTED_VALUE"""),19.68)</f>
        <v>19.68</v>
      </c>
      <c r="C1612" s="112">
        <f ca="1">IFERROR(__xludf.DUMMYFUNCTION("""COMPUTED_VALUE"""),42642.7055555555)</f>
        <v>42642.705555555498</v>
      </c>
      <c r="D1612" s="111">
        <f ca="1">IFERROR(__xludf.DUMMYFUNCTION("""COMPUTED_VALUE"""),21.57)</f>
        <v>21.57</v>
      </c>
      <c r="E1612" s="112">
        <f ca="1">IFERROR(__xludf.DUMMYFUNCTION("""COMPUTED_VALUE"""),42643.7055555555)</f>
        <v>42643.705555555498</v>
      </c>
      <c r="F1612" s="111">
        <f ca="1">IFERROR(__xludf.DUMMYFUNCTION("""COMPUTED_VALUE"""),7.22)</f>
        <v>7.22</v>
      </c>
      <c r="G1612" s="112">
        <f ca="1">IFERROR(__xludf.DUMMYFUNCTION("""COMPUTED_VALUE"""),42639.7055555555)</f>
        <v>42639.705555555498</v>
      </c>
      <c r="H1612" s="111">
        <f ca="1">IFERROR(__xludf.DUMMYFUNCTION("""COMPUTED_VALUE"""),13.4)</f>
        <v>13.4</v>
      </c>
      <c r="K1612" s="112">
        <f ca="1">IFERROR(__xludf.DUMMYFUNCTION("""COMPUTED_VALUE"""),43088.7055555555)</f>
        <v>43088.705555555498</v>
      </c>
      <c r="L1612" s="111">
        <f ca="1">IFERROR(__xludf.DUMMYFUNCTION("""COMPUTED_VALUE"""),2.09)</f>
        <v>2.09</v>
      </c>
      <c r="M1612" s="112">
        <f ca="1">IFERROR(__xludf.DUMMYFUNCTION("""COMPUTED_VALUE"""),42555.7055555555)</f>
        <v>42555.705555555498</v>
      </c>
      <c r="N1612" s="111">
        <f ca="1">IFERROR(__xludf.DUMMYFUNCTION("""COMPUTED_VALUE"""),14.63)</f>
        <v>14.63</v>
      </c>
      <c r="O1612" s="112">
        <f ca="1">IFERROR(__xludf.DUMMYFUNCTION("""COMPUTED_VALUE"""),42628.7055555555)</f>
        <v>42628.705555555498</v>
      </c>
      <c r="P1612" s="111">
        <f ca="1">IFERROR(__xludf.DUMMYFUNCTION("""COMPUTED_VALUE"""),16.64)</f>
        <v>16.64</v>
      </c>
      <c r="Q1612" s="112">
        <f ca="1">IFERROR(__xludf.DUMMYFUNCTION("""COMPUTED_VALUE"""),42627.7055555555)</f>
        <v>42627.705555555498</v>
      </c>
      <c r="R1612" s="111">
        <f ca="1">IFERROR(__xludf.DUMMYFUNCTION("""COMPUTED_VALUE"""),21.93)</f>
        <v>21.93</v>
      </c>
      <c r="S1612" s="112">
        <f ca="1">IFERROR(__xludf.DUMMYFUNCTION("""COMPUTED_VALUE"""),42639.7055555555)</f>
        <v>42639.705555555498</v>
      </c>
      <c r="T1612" s="111">
        <f ca="1">IFERROR(__xludf.DUMMYFUNCTION("""COMPUTED_VALUE"""),18.72)</f>
        <v>18.72</v>
      </c>
    </row>
    <row r="1613" spans="1:20" x14ac:dyDescent="0.3">
      <c r="A1613" s="112">
        <f ca="1">IFERROR(__xludf.DUMMYFUNCTION("""COMPUTED_VALUE"""),42636.7055555555)</f>
        <v>42636.705555555498</v>
      </c>
      <c r="B1613" s="111">
        <f ca="1">IFERROR(__xludf.DUMMYFUNCTION("""COMPUTED_VALUE"""),19.43)</f>
        <v>19.43</v>
      </c>
      <c r="C1613" s="112">
        <f ca="1">IFERROR(__xludf.DUMMYFUNCTION("""COMPUTED_VALUE"""),42643.7055555555)</f>
        <v>42643.705555555498</v>
      </c>
      <c r="D1613" s="111">
        <f ca="1">IFERROR(__xludf.DUMMYFUNCTION("""COMPUTED_VALUE"""),21.53)</f>
        <v>21.53</v>
      </c>
      <c r="E1613" s="112">
        <f ca="1">IFERROR(__xludf.DUMMYFUNCTION("""COMPUTED_VALUE"""),42646.7055555555)</f>
        <v>42646.705555555498</v>
      </c>
      <c r="F1613" s="111">
        <f ca="1">IFERROR(__xludf.DUMMYFUNCTION("""COMPUTED_VALUE"""),7.35)</f>
        <v>7.35</v>
      </c>
      <c r="G1613" s="112">
        <f ca="1">IFERROR(__xludf.DUMMYFUNCTION("""COMPUTED_VALUE"""),42640.7055555555)</f>
        <v>42640.705555555498</v>
      </c>
      <c r="H1613" s="111">
        <f ca="1">IFERROR(__xludf.DUMMYFUNCTION("""COMPUTED_VALUE"""),13.12)</f>
        <v>13.12</v>
      </c>
      <c r="K1613" s="112">
        <f ca="1">IFERROR(__xludf.DUMMYFUNCTION("""COMPUTED_VALUE"""),43089.7055555555)</f>
        <v>43089.705555555498</v>
      </c>
      <c r="L1613" s="111">
        <f ca="1">IFERROR(__xludf.DUMMYFUNCTION("""COMPUTED_VALUE"""),2.18)</f>
        <v>2.1800000000000002</v>
      </c>
      <c r="M1613" s="112">
        <f ca="1">IFERROR(__xludf.DUMMYFUNCTION("""COMPUTED_VALUE"""),42556.7055555555)</f>
        <v>42556.705555555498</v>
      </c>
      <c r="N1613" s="111">
        <f ca="1">IFERROR(__xludf.DUMMYFUNCTION("""COMPUTED_VALUE"""),14.63)</f>
        <v>14.63</v>
      </c>
      <c r="O1613" s="112">
        <f ca="1">IFERROR(__xludf.DUMMYFUNCTION("""COMPUTED_VALUE"""),42629.7055555555)</f>
        <v>42629.705555555498</v>
      </c>
      <c r="P1613" s="111">
        <f ca="1">IFERROR(__xludf.DUMMYFUNCTION("""COMPUTED_VALUE"""),16.41)</f>
        <v>16.41</v>
      </c>
      <c r="Q1613" s="112">
        <f ca="1">IFERROR(__xludf.DUMMYFUNCTION("""COMPUTED_VALUE"""),42628.7055555555)</f>
        <v>42628.705555555498</v>
      </c>
      <c r="R1613" s="111">
        <f ca="1">IFERROR(__xludf.DUMMYFUNCTION("""COMPUTED_VALUE"""),22.31)</f>
        <v>22.31</v>
      </c>
      <c r="S1613" s="112">
        <f ca="1">IFERROR(__xludf.DUMMYFUNCTION("""COMPUTED_VALUE"""),42640.7055555555)</f>
        <v>42640.705555555498</v>
      </c>
      <c r="T1613" s="111">
        <f ca="1">IFERROR(__xludf.DUMMYFUNCTION("""COMPUTED_VALUE"""),19)</f>
        <v>19</v>
      </c>
    </row>
    <row r="1614" spans="1:20" x14ac:dyDescent="0.3">
      <c r="A1614" s="112">
        <f ca="1">IFERROR(__xludf.DUMMYFUNCTION("""COMPUTED_VALUE"""),42639.7055555555)</f>
        <v>42639.705555555498</v>
      </c>
      <c r="B1614" s="111">
        <f ca="1">IFERROR(__xludf.DUMMYFUNCTION("""COMPUTED_VALUE"""),19.03)</f>
        <v>19.03</v>
      </c>
      <c r="C1614" s="112">
        <f ca="1">IFERROR(__xludf.DUMMYFUNCTION("""COMPUTED_VALUE"""),42646.7055555555)</f>
        <v>42646.705555555498</v>
      </c>
      <c r="D1614" s="111">
        <f ca="1">IFERROR(__xludf.DUMMYFUNCTION("""COMPUTED_VALUE"""),22.03)</f>
        <v>22.03</v>
      </c>
      <c r="E1614" s="112">
        <f ca="1">IFERROR(__xludf.DUMMYFUNCTION("""COMPUTED_VALUE"""),42647.7055555555)</f>
        <v>42647.705555555498</v>
      </c>
      <c r="F1614" s="111">
        <f ca="1">IFERROR(__xludf.DUMMYFUNCTION("""COMPUTED_VALUE"""),7.25)</f>
        <v>7.25</v>
      </c>
      <c r="G1614" s="112">
        <f ca="1">IFERROR(__xludf.DUMMYFUNCTION("""COMPUTED_VALUE"""),42641.7055555555)</f>
        <v>42641.705555555498</v>
      </c>
      <c r="H1614" s="111">
        <f ca="1">IFERROR(__xludf.DUMMYFUNCTION("""COMPUTED_VALUE"""),13.85)</f>
        <v>13.85</v>
      </c>
      <c r="K1614" s="112">
        <f ca="1">IFERROR(__xludf.DUMMYFUNCTION("""COMPUTED_VALUE"""),43090.7055555555)</f>
        <v>43090.705555555498</v>
      </c>
      <c r="L1614" s="111">
        <f ca="1">IFERROR(__xludf.DUMMYFUNCTION("""COMPUTED_VALUE"""),2.26)</f>
        <v>2.2599999999999998</v>
      </c>
      <c r="M1614" s="112">
        <f ca="1">IFERROR(__xludf.DUMMYFUNCTION("""COMPUTED_VALUE"""),42557.7055555555)</f>
        <v>42557.705555555498</v>
      </c>
      <c r="N1614" s="111">
        <f ca="1">IFERROR(__xludf.DUMMYFUNCTION("""COMPUTED_VALUE"""),14.63)</f>
        <v>14.63</v>
      </c>
      <c r="O1614" s="112">
        <f ca="1">IFERROR(__xludf.DUMMYFUNCTION("""COMPUTED_VALUE"""),42632.7055555555)</f>
        <v>42632.705555555498</v>
      </c>
      <c r="P1614" s="111">
        <f ca="1">IFERROR(__xludf.DUMMYFUNCTION("""COMPUTED_VALUE"""),16.66)</f>
        <v>16.66</v>
      </c>
      <c r="Q1614" s="112">
        <f ca="1">IFERROR(__xludf.DUMMYFUNCTION("""COMPUTED_VALUE"""),42629.7055555555)</f>
        <v>42629.705555555498</v>
      </c>
      <c r="R1614" s="111">
        <f ca="1">IFERROR(__xludf.DUMMYFUNCTION("""COMPUTED_VALUE"""),21.93)</f>
        <v>21.93</v>
      </c>
      <c r="S1614" s="112">
        <f ca="1">IFERROR(__xludf.DUMMYFUNCTION("""COMPUTED_VALUE"""),42641.7055555555)</f>
        <v>42641.705555555498</v>
      </c>
      <c r="T1614" s="111">
        <f ca="1">IFERROR(__xludf.DUMMYFUNCTION("""COMPUTED_VALUE"""),19.16)</f>
        <v>19.16</v>
      </c>
    </row>
    <row r="1615" spans="1:20" x14ac:dyDescent="0.3">
      <c r="A1615" s="112">
        <f ca="1">IFERROR(__xludf.DUMMYFUNCTION("""COMPUTED_VALUE"""),42640.7055555555)</f>
        <v>42640.705555555498</v>
      </c>
      <c r="B1615" s="111">
        <f ca="1">IFERROR(__xludf.DUMMYFUNCTION("""COMPUTED_VALUE"""),18.69)</f>
        <v>18.690000000000001</v>
      </c>
      <c r="C1615" s="112">
        <f ca="1">IFERROR(__xludf.DUMMYFUNCTION("""COMPUTED_VALUE"""),42647.7055555555)</f>
        <v>42647.705555555498</v>
      </c>
      <c r="D1615" s="111">
        <f ca="1">IFERROR(__xludf.DUMMYFUNCTION("""COMPUTED_VALUE"""),22.22)</f>
        <v>22.22</v>
      </c>
      <c r="E1615" s="112">
        <f ca="1">IFERROR(__xludf.DUMMYFUNCTION("""COMPUTED_VALUE"""),42648.7055555555)</f>
        <v>42648.705555555498</v>
      </c>
      <c r="F1615" s="111">
        <f ca="1">IFERROR(__xludf.DUMMYFUNCTION("""COMPUTED_VALUE"""),7.34)</f>
        <v>7.34</v>
      </c>
      <c r="G1615" s="112">
        <f ca="1">IFERROR(__xludf.DUMMYFUNCTION("""COMPUTED_VALUE"""),42642.7055555555)</f>
        <v>42642.705555555498</v>
      </c>
      <c r="H1615" s="111">
        <f ca="1">IFERROR(__xludf.DUMMYFUNCTION("""COMPUTED_VALUE"""),13.43)</f>
        <v>13.43</v>
      </c>
      <c r="K1615" s="112">
        <f ca="1">IFERROR(__xludf.DUMMYFUNCTION("""COMPUTED_VALUE"""),43091.7055555555)</f>
        <v>43091.705555555498</v>
      </c>
      <c r="L1615" s="111">
        <f ca="1">IFERROR(__xludf.DUMMYFUNCTION("""COMPUTED_VALUE"""),2.28)</f>
        <v>2.2799999999999998</v>
      </c>
      <c r="M1615" s="112">
        <f ca="1">IFERROR(__xludf.DUMMYFUNCTION("""COMPUTED_VALUE"""),42558.7055555555)</f>
        <v>42558.705555555498</v>
      </c>
      <c r="N1615" s="111">
        <f ca="1">IFERROR(__xludf.DUMMYFUNCTION("""COMPUTED_VALUE"""),14.68)</f>
        <v>14.68</v>
      </c>
      <c r="O1615" s="112">
        <f ca="1">IFERROR(__xludf.DUMMYFUNCTION("""COMPUTED_VALUE"""),42633.7055555555)</f>
        <v>42633.705555555498</v>
      </c>
      <c r="P1615" s="111">
        <f ca="1">IFERROR(__xludf.DUMMYFUNCTION("""COMPUTED_VALUE"""),16.7)</f>
        <v>16.7</v>
      </c>
      <c r="Q1615" s="112">
        <f ca="1">IFERROR(__xludf.DUMMYFUNCTION("""COMPUTED_VALUE"""),42632.7055555555)</f>
        <v>42632.705555555498</v>
      </c>
      <c r="R1615" s="111">
        <f ca="1">IFERROR(__xludf.DUMMYFUNCTION("""COMPUTED_VALUE"""),22.01)</f>
        <v>22.01</v>
      </c>
      <c r="S1615" s="112">
        <f ca="1">IFERROR(__xludf.DUMMYFUNCTION("""COMPUTED_VALUE"""),42642.7055555555)</f>
        <v>42642.705555555498</v>
      </c>
      <c r="T1615" s="111">
        <f ca="1">IFERROR(__xludf.DUMMYFUNCTION("""COMPUTED_VALUE"""),18.55)</f>
        <v>18.55</v>
      </c>
    </row>
    <row r="1616" spans="1:20" x14ac:dyDescent="0.3">
      <c r="A1616" s="112">
        <f ca="1">IFERROR(__xludf.DUMMYFUNCTION("""COMPUTED_VALUE"""),42641.7055555555)</f>
        <v>42641.705555555498</v>
      </c>
      <c r="B1616" s="111">
        <f ca="1">IFERROR(__xludf.DUMMYFUNCTION("""COMPUTED_VALUE"""),19.48)</f>
        <v>19.48</v>
      </c>
      <c r="C1616" s="112">
        <f ca="1">IFERROR(__xludf.DUMMYFUNCTION("""COMPUTED_VALUE"""),42648.7055555555)</f>
        <v>42648.705555555498</v>
      </c>
      <c r="D1616" s="111">
        <f ca="1">IFERROR(__xludf.DUMMYFUNCTION("""COMPUTED_VALUE"""),22.66)</f>
        <v>22.66</v>
      </c>
      <c r="E1616" s="112">
        <f ca="1">IFERROR(__xludf.DUMMYFUNCTION("""COMPUTED_VALUE"""),42649.7055555555)</f>
        <v>42649.705555555498</v>
      </c>
      <c r="F1616" s="111">
        <f ca="1">IFERROR(__xludf.DUMMYFUNCTION("""COMPUTED_VALUE"""),7.46)</f>
        <v>7.46</v>
      </c>
      <c r="G1616" s="112">
        <f ca="1">IFERROR(__xludf.DUMMYFUNCTION("""COMPUTED_VALUE"""),42643.7055555555)</f>
        <v>42643.705555555498</v>
      </c>
      <c r="H1616" s="111">
        <f ca="1">IFERROR(__xludf.DUMMYFUNCTION("""COMPUTED_VALUE"""),13.57)</f>
        <v>13.57</v>
      </c>
      <c r="K1616" s="112">
        <f ca="1">IFERROR(__xludf.DUMMYFUNCTION("""COMPUTED_VALUE"""),43095.7055555555)</f>
        <v>43095.705555555498</v>
      </c>
      <c r="L1616" s="111">
        <f ca="1">IFERROR(__xludf.DUMMYFUNCTION("""COMPUTED_VALUE"""),2.36)</f>
        <v>2.36</v>
      </c>
      <c r="M1616" s="112">
        <f ca="1">IFERROR(__xludf.DUMMYFUNCTION("""COMPUTED_VALUE"""),42559.7055555555)</f>
        <v>42559.705555555498</v>
      </c>
      <c r="N1616" s="111">
        <f ca="1">IFERROR(__xludf.DUMMYFUNCTION("""COMPUTED_VALUE"""),15.09)</f>
        <v>15.09</v>
      </c>
      <c r="O1616" s="112">
        <f ca="1">IFERROR(__xludf.DUMMYFUNCTION("""COMPUTED_VALUE"""),42634.7055555555)</f>
        <v>42634.705555555498</v>
      </c>
      <c r="P1616" s="111">
        <f ca="1">IFERROR(__xludf.DUMMYFUNCTION("""COMPUTED_VALUE"""),17.65)</f>
        <v>17.649999999999999</v>
      </c>
      <c r="Q1616" s="112">
        <f ca="1">IFERROR(__xludf.DUMMYFUNCTION("""COMPUTED_VALUE"""),42633.7055555555)</f>
        <v>42633.705555555498</v>
      </c>
      <c r="R1616" s="111">
        <f ca="1">IFERROR(__xludf.DUMMYFUNCTION("""COMPUTED_VALUE"""),22.61)</f>
        <v>22.61</v>
      </c>
      <c r="S1616" s="112">
        <f ca="1">IFERROR(__xludf.DUMMYFUNCTION("""COMPUTED_VALUE"""),42643.7055555555)</f>
        <v>42643.705555555498</v>
      </c>
      <c r="T1616" s="111">
        <f ca="1">IFERROR(__xludf.DUMMYFUNCTION("""COMPUTED_VALUE"""),18.38)</f>
        <v>18.38</v>
      </c>
    </row>
    <row r="1617" spans="1:20" x14ac:dyDescent="0.3">
      <c r="A1617" s="112">
        <f ca="1">IFERROR(__xludf.DUMMYFUNCTION("""COMPUTED_VALUE"""),42642.7055555555)</f>
        <v>42642.705555555498</v>
      </c>
      <c r="B1617" s="111">
        <f ca="1">IFERROR(__xludf.DUMMYFUNCTION("""COMPUTED_VALUE"""),19.03)</f>
        <v>19.03</v>
      </c>
      <c r="C1617" s="112">
        <f ca="1">IFERROR(__xludf.DUMMYFUNCTION("""COMPUTED_VALUE"""),42649.7055555555)</f>
        <v>42649.705555555498</v>
      </c>
      <c r="D1617" s="111">
        <f ca="1">IFERROR(__xludf.DUMMYFUNCTION("""COMPUTED_VALUE"""),22.85)</f>
        <v>22.85</v>
      </c>
      <c r="E1617" s="112">
        <f ca="1">IFERROR(__xludf.DUMMYFUNCTION("""COMPUTED_VALUE"""),42650.7055555555)</f>
        <v>42650.705555555498</v>
      </c>
      <c r="F1617" s="111">
        <f ca="1">IFERROR(__xludf.DUMMYFUNCTION("""COMPUTED_VALUE"""),7.55)</f>
        <v>7.55</v>
      </c>
      <c r="G1617" s="112">
        <f ca="1">IFERROR(__xludf.DUMMYFUNCTION("""COMPUTED_VALUE"""),42646.7055555555)</f>
        <v>42646.705555555498</v>
      </c>
      <c r="H1617" s="111">
        <f ca="1">IFERROR(__xludf.DUMMYFUNCTION("""COMPUTED_VALUE"""),13.97)</f>
        <v>13.97</v>
      </c>
      <c r="K1617" s="112">
        <f ca="1">IFERROR(__xludf.DUMMYFUNCTION("""COMPUTED_VALUE"""),43096.7055555555)</f>
        <v>43096.705555555498</v>
      </c>
      <c r="L1617" s="111">
        <f ca="1">IFERROR(__xludf.DUMMYFUNCTION("""COMPUTED_VALUE"""),2.42)</f>
        <v>2.42</v>
      </c>
      <c r="M1617" s="112">
        <f ca="1">IFERROR(__xludf.DUMMYFUNCTION("""COMPUTED_VALUE"""),42562.7055555555)</f>
        <v>42562.705555555498</v>
      </c>
      <c r="N1617" s="111">
        <f ca="1">IFERROR(__xludf.DUMMYFUNCTION("""COMPUTED_VALUE"""),15.26)</f>
        <v>15.26</v>
      </c>
      <c r="O1617" s="112">
        <f ca="1">IFERROR(__xludf.DUMMYFUNCTION("""COMPUTED_VALUE"""),42635.7055555555)</f>
        <v>42635.705555555498</v>
      </c>
      <c r="P1617" s="111">
        <f ca="1">IFERROR(__xludf.DUMMYFUNCTION("""COMPUTED_VALUE"""),17.55)</f>
        <v>17.55</v>
      </c>
      <c r="Q1617" s="112">
        <f ca="1">IFERROR(__xludf.DUMMYFUNCTION("""COMPUTED_VALUE"""),42634.7055555555)</f>
        <v>42634.705555555498</v>
      </c>
      <c r="R1617" s="111">
        <f ca="1">IFERROR(__xludf.DUMMYFUNCTION("""COMPUTED_VALUE"""),23.34)</f>
        <v>23.34</v>
      </c>
      <c r="S1617" s="112">
        <f ca="1">IFERROR(__xludf.DUMMYFUNCTION("""COMPUTED_VALUE"""),42646.7055555555)</f>
        <v>42646.705555555498</v>
      </c>
      <c r="T1617" s="111">
        <f ca="1">IFERROR(__xludf.DUMMYFUNCTION("""COMPUTED_VALUE"""),18.76)</f>
        <v>18.760000000000002</v>
      </c>
    </row>
    <row r="1618" spans="1:20" x14ac:dyDescent="0.3">
      <c r="A1618" s="112">
        <f ca="1">IFERROR(__xludf.DUMMYFUNCTION("""COMPUTED_VALUE"""),42643.7055555555)</f>
        <v>42643.705555555498</v>
      </c>
      <c r="B1618" s="111">
        <f ca="1">IFERROR(__xludf.DUMMYFUNCTION("""COMPUTED_VALUE"""),19.05)</f>
        <v>19.05</v>
      </c>
      <c r="C1618" s="112">
        <f ca="1">IFERROR(__xludf.DUMMYFUNCTION("""COMPUTED_VALUE"""),42650.7055555555)</f>
        <v>42650.705555555498</v>
      </c>
      <c r="D1618" s="111">
        <f ca="1">IFERROR(__xludf.DUMMYFUNCTION("""COMPUTED_VALUE"""),23.06)</f>
        <v>23.06</v>
      </c>
      <c r="E1618" s="112">
        <f ca="1">IFERROR(__xludf.DUMMYFUNCTION("""COMPUTED_VALUE"""),42653.7055555555)</f>
        <v>42653.705555555498</v>
      </c>
      <c r="F1618" s="111">
        <f ca="1">IFERROR(__xludf.DUMMYFUNCTION("""COMPUTED_VALUE"""),7.66)</f>
        <v>7.66</v>
      </c>
      <c r="G1618" s="112">
        <f ca="1">IFERROR(__xludf.DUMMYFUNCTION("""COMPUTED_VALUE"""),42647.7055555555)</f>
        <v>42647.705555555498</v>
      </c>
      <c r="H1618" s="111">
        <f ca="1">IFERROR(__xludf.DUMMYFUNCTION("""COMPUTED_VALUE"""),14.02)</f>
        <v>14.02</v>
      </c>
      <c r="K1618" s="112">
        <f ca="1">IFERROR(__xludf.DUMMYFUNCTION("""COMPUTED_VALUE"""),43097.7055555555)</f>
        <v>43097.705555555498</v>
      </c>
      <c r="L1618" s="111">
        <f ca="1">IFERROR(__xludf.DUMMYFUNCTION("""COMPUTED_VALUE"""),2.51)</f>
        <v>2.5099999999999998</v>
      </c>
      <c r="M1618" s="112">
        <f ca="1">IFERROR(__xludf.DUMMYFUNCTION("""COMPUTED_VALUE"""),42563.7055555555)</f>
        <v>42563.705555555498</v>
      </c>
      <c r="N1618" s="111">
        <f ca="1">IFERROR(__xludf.DUMMYFUNCTION("""COMPUTED_VALUE"""),15.13)</f>
        <v>15.13</v>
      </c>
      <c r="O1618" s="112">
        <f ca="1">IFERROR(__xludf.DUMMYFUNCTION("""COMPUTED_VALUE"""),42636.7055555555)</f>
        <v>42636.705555555498</v>
      </c>
      <c r="P1618" s="111">
        <f ca="1">IFERROR(__xludf.DUMMYFUNCTION("""COMPUTED_VALUE"""),17.65)</f>
        <v>17.649999999999999</v>
      </c>
      <c r="Q1618" s="112">
        <f ca="1">IFERROR(__xludf.DUMMYFUNCTION("""COMPUTED_VALUE"""),42635.7055555555)</f>
        <v>42635.705555555498</v>
      </c>
      <c r="R1618" s="111">
        <f ca="1">IFERROR(__xludf.DUMMYFUNCTION("""COMPUTED_VALUE"""),23.45)</f>
        <v>23.45</v>
      </c>
      <c r="S1618" s="112">
        <f ca="1">IFERROR(__xludf.DUMMYFUNCTION("""COMPUTED_VALUE"""),42647.7055555555)</f>
        <v>42647.705555555498</v>
      </c>
      <c r="T1618" s="111">
        <f ca="1">IFERROR(__xludf.DUMMYFUNCTION("""COMPUTED_VALUE"""),18.23)</f>
        <v>18.23</v>
      </c>
    </row>
    <row r="1619" spans="1:20" x14ac:dyDescent="0.3">
      <c r="A1619" s="112">
        <f ca="1">IFERROR(__xludf.DUMMYFUNCTION("""COMPUTED_VALUE"""),42646.7055555555)</f>
        <v>42646.705555555498</v>
      </c>
      <c r="B1619" s="111">
        <f ca="1">IFERROR(__xludf.DUMMYFUNCTION("""COMPUTED_VALUE"""),19.28)</f>
        <v>19.28</v>
      </c>
      <c r="C1619" s="112">
        <f ca="1">IFERROR(__xludf.DUMMYFUNCTION("""COMPUTED_VALUE"""),42653.7055555555)</f>
        <v>42653.705555555498</v>
      </c>
      <c r="D1619" s="111">
        <f ca="1">IFERROR(__xludf.DUMMYFUNCTION("""COMPUTED_VALUE"""),23.09)</f>
        <v>23.09</v>
      </c>
      <c r="E1619" s="112">
        <f ca="1">IFERROR(__xludf.DUMMYFUNCTION("""COMPUTED_VALUE"""),42654.7055555555)</f>
        <v>42654.705555555498</v>
      </c>
      <c r="F1619" s="111">
        <f ca="1">IFERROR(__xludf.DUMMYFUNCTION("""COMPUTED_VALUE"""),7.58)</f>
        <v>7.58</v>
      </c>
      <c r="G1619" s="112">
        <f ca="1">IFERROR(__xludf.DUMMYFUNCTION("""COMPUTED_VALUE"""),42648.7055555555)</f>
        <v>42648.705555555498</v>
      </c>
      <c r="H1619" s="111">
        <f ca="1">IFERROR(__xludf.DUMMYFUNCTION("""COMPUTED_VALUE"""),14.58)</f>
        <v>14.58</v>
      </c>
      <c r="K1619" s="112">
        <f ca="1">IFERROR(__xludf.DUMMYFUNCTION("""COMPUTED_VALUE"""),43102.7055555555)</f>
        <v>43102.705555555498</v>
      </c>
      <c r="L1619" s="111">
        <f ca="1">IFERROR(__xludf.DUMMYFUNCTION("""COMPUTED_VALUE"""),2.48)</f>
        <v>2.48</v>
      </c>
      <c r="M1619" s="112">
        <f ca="1">IFERROR(__xludf.DUMMYFUNCTION("""COMPUTED_VALUE"""),42564.7055555555)</f>
        <v>42564.705555555498</v>
      </c>
      <c r="N1619" s="111">
        <f ca="1">IFERROR(__xludf.DUMMYFUNCTION("""COMPUTED_VALUE"""),15.47)</f>
        <v>15.47</v>
      </c>
      <c r="O1619" s="112">
        <f ca="1">IFERROR(__xludf.DUMMYFUNCTION("""COMPUTED_VALUE"""),42639.7055555555)</f>
        <v>42639.705555555498</v>
      </c>
      <c r="P1619" s="111">
        <f ca="1">IFERROR(__xludf.DUMMYFUNCTION("""COMPUTED_VALUE"""),17.44)</f>
        <v>17.440000000000001</v>
      </c>
      <c r="Q1619" s="112">
        <f ca="1">IFERROR(__xludf.DUMMYFUNCTION("""COMPUTED_VALUE"""),42636.7055555555)</f>
        <v>42636.705555555498</v>
      </c>
      <c r="R1619" s="111">
        <f ca="1">IFERROR(__xludf.DUMMYFUNCTION("""COMPUTED_VALUE"""),22.95)</f>
        <v>22.95</v>
      </c>
      <c r="S1619" s="112">
        <f ca="1">IFERROR(__xludf.DUMMYFUNCTION("""COMPUTED_VALUE"""),42648.7055555555)</f>
        <v>42648.705555555498</v>
      </c>
      <c r="T1619" s="111">
        <f ca="1">IFERROR(__xludf.DUMMYFUNCTION("""COMPUTED_VALUE"""),18.74)</f>
        <v>18.739999999999998</v>
      </c>
    </row>
    <row r="1620" spans="1:20" x14ac:dyDescent="0.3">
      <c r="A1620" s="112">
        <f ca="1">IFERROR(__xludf.DUMMYFUNCTION("""COMPUTED_VALUE"""),42647.7055555555)</f>
        <v>42647.705555555498</v>
      </c>
      <c r="B1620" s="111">
        <f ca="1">IFERROR(__xludf.DUMMYFUNCTION("""COMPUTED_VALUE"""),18.8)</f>
        <v>18.8</v>
      </c>
      <c r="C1620" s="112">
        <f ca="1">IFERROR(__xludf.DUMMYFUNCTION("""COMPUTED_VALUE"""),42654.7055555555)</f>
        <v>42654.705555555498</v>
      </c>
      <c r="D1620" s="111">
        <f ca="1">IFERROR(__xludf.DUMMYFUNCTION("""COMPUTED_VALUE"""),23.01)</f>
        <v>23.01</v>
      </c>
      <c r="E1620" s="112">
        <f ca="1">IFERROR(__xludf.DUMMYFUNCTION("""COMPUTED_VALUE"""),42656.7055555555)</f>
        <v>42656.705555555498</v>
      </c>
      <c r="F1620" s="111">
        <f ca="1">IFERROR(__xludf.DUMMYFUNCTION("""COMPUTED_VALUE"""),7.58)</f>
        <v>7.58</v>
      </c>
      <c r="G1620" s="112">
        <f ca="1">IFERROR(__xludf.DUMMYFUNCTION("""COMPUTED_VALUE"""),42649.7055555555)</f>
        <v>42649.705555555498</v>
      </c>
      <c r="H1620" s="111">
        <f ca="1">IFERROR(__xludf.DUMMYFUNCTION("""COMPUTED_VALUE"""),15.1)</f>
        <v>15.1</v>
      </c>
      <c r="K1620" s="112">
        <f ca="1">IFERROR(__xludf.DUMMYFUNCTION("""COMPUTED_VALUE"""),43103.7055555555)</f>
        <v>43103.705555555498</v>
      </c>
      <c r="L1620" s="111">
        <f ca="1">IFERROR(__xludf.DUMMYFUNCTION("""COMPUTED_VALUE"""),2.45)</f>
        <v>2.4500000000000002</v>
      </c>
      <c r="M1620" s="112">
        <f ca="1">IFERROR(__xludf.DUMMYFUNCTION("""COMPUTED_VALUE"""),42565.7055555555)</f>
        <v>42565.705555555498</v>
      </c>
      <c r="N1620" s="111">
        <f ca="1">IFERROR(__xludf.DUMMYFUNCTION("""COMPUTED_VALUE"""),16.11)</f>
        <v>16.11</v>
      </c>
      <c r="O1620" s="112">
        <f ca="1">IFERROR(__xludf.DUMMYFUNCTION("""COMPUTED_VALUE"""),42640.7055555555)</f>
        <v>42640.705555555498</v>
      </c>
      <c r="P1620" s="111">
        <f ca="1">IFERROR(__xludf.DUMMYFUNCTION("""COMPUTED_VALUE"""),17.6)</f>
        <v>17.600000000000001</v>
      </c>
      <c r="Q1620" s="112">
        <f ca="1">IFERROR(__xludf.DUMMYFUNCTION("""COMPUTED_VALUE"""),42639.7055555555)</f>
        <v>42639.705555555498</v>
      </c>
      <c r="R1620" s="111">
        <f ca="1">IFERROR(__xludf.DUMMYFUNCTION("""COMPUTED_VALUE"""),22.69)</f>
        <v>22.69</v>
      </c>
      <c r="S1620" s="112">
        <f ca="1">IFERROR(__xludf.DUMMYFUNCTION("""COMPUTED_VALUE"""),42649.7055555555)</f>
        <v>42649.705555555498</v>
      </c>
      <c r="T1620" s="111">
        <f ca="1">IFERROR(__xludf.DUMMYFUNCTION("""COMPUTED_VALUE"""),18.78)</f>
        <v>18.78</v>
      </c>
    </row>
    <row r="1621" spans="1:20" x14ac:dyDescent="0.3">
      <c r="A1621" s="112">
        <f ca="1">IFERROR(__xludf.DUMMYFUNCTION("""COMPUTED_VALUE"""),42648.7055555555)</f>
        <v>42648.705555555498</v>
      </c>
      <c r="B1621" s="111">
        <f ca="1">IFERROR(__xludf.DUMMYFUNCTION("""COMPUTED_VALUE"""),18.76)</f>
        <v>18.760000000000002</v>
      </c>
      <c r="C1621" s="112">
        <f ca="1">IFERROR(__xludf.DUMMYFUNCTION("""COMPUTED_VALUE"""),42656.7055555555)</f>
        <v>42656.705555555498</v>
      </c>
      <c r="D1621" s="111">
        <f ca="1">IFERROR(__xludf.DUMMYFUNCTION("""COMPUTED_VALUE"""),23.27)</f>
        <v>23.27</v>
      </c>
      <c r="E1621" s="112">
        <f ca="1">IFERROR(__xludf.DUMMYFUNCTION("""COMPUTED_VALUE"""),42657.7055555555)</f>
        <v>42657.705555555498</v>
      </c>
      <c r="F1621" s="111">
        <f ca="1">IFERROR(__xludf.DUMMYFUNCTION("""COMPUTED_VALUE"""),7.71)</f>
        <v>7.71</v>
      </c>
      <c r="G1621" s="112">
        <f ca="1">IFERROR(__xludf.DUMMYFUNCTION("""COMPUTED_VALUE"""),42650.7055555555)</f>
        <v>42650.705555555498</v>
      </c>
      <c r="H1621" s="111">
        <f ca="1">IFERROR(__xludf.DUMMYFUNCTION("""COMPUTED_VALUE"""),15.26)</f>
        <v>15.26</v>
      </c>
      <c r="K1621" s="112">
        <f ca="1">IFERROR(__xludf.DUMMYFUNCTION("""COMPUTED_VALUE"""),43104.7055555555)</f>
        <v>43104.705555555498</v>
      </c>
      <c r="L1621" s="111">
        <f ca="1">IFERROR(__xludf.DUMMYFUNCTION("""COMPUTED_VALUE"""),2.51)</f>
        <v>2.5099999999999998</v>
      </c>
      <c r="M1621" s="112">
        <f ca="1">IFERROR(__xludf.DUMMYFUNCTION("""COMPUTED_VALUE"""),42566.7055555555)</f>
        <v>42566.705555555498</v>
      </c>
      <c r="N1621" s="111">
        <f ca="1">IFERROR(__xludf.DUMMYFUNCTION("""COMPUTED_VALUE"""),16.11)</f>
        <v>16.11</v>
      </c>
      <c r="O1621" s="112">
        <f ca="1">IFERROR(__xludf.DUMMYFUNCTION("""COMPUTED_VALUE"""),42641.7055555555)</f>
        <v>42641.705555555498</v>
      </c>
      <c r="P1621" s="111">
        <f ca="1">IFERROR(__xludf.DUMMYFUNCTION("""COMPUTED_VALUE"""),18.19)</f>
        <v>18.190000000000001</v>
      </c>
      <c r="Q1621" s="112">
        <f ca="1">IFERROR(__xludf.DUMMYFUNCTION("""COMPUTED_VALUE"""),42640.7055555555)</f>
        <v>42640.705555555498</v>
      </c>
      <c r="R1621" s="111">
        <f ca="1">IFERROR(__xludf.DUMMYFUNCTION("""COMPUTED_VALUE"""),22.88)</f>
        <v>22.88</v>
      </c>
      <c r="S1621" s="112">
        <f ca="1">IFERROR(__xludf.DUMMYFUNCTION("""COMPUTED_VALUE"""),42650.7055555555)</f>
        <v>42650.705555555498</v>
      </c>
      <c r="T1621" s="111">
        <f ca="1">IFERROR(__xludf.DUMMYFUNCTION("""COMPUTED_VALUE"""),19.23)</f>
        <v>19.23</v>
      </c>
    </row>
    <row r="1622" spans="1:20" x14ac:dyDescent="0.3">
      <c r="A1622" s="112">
        <f ca="1">IFERROR(__xludf.DUMMYFUNCTION("""COMPUTED_VALUE"""),42649.7055555555)</f>
        <v>42649.705555555498</v>
      </c>
      <c r="B1622" s="111">
        <f ca="1">IFERROR(__xludf.DUMMYFUNCTION("""COMPUTED_VALUE"""),19.34)</f>
        <v>19.34</v>
      </c>
      <c r="C1622" s="112">
        <f ca="1">IFERROR(__xludf.DUMMYFUNCTION("""COMPUTED_VALUE"""),42657.7055555555)</f>
        <v>42657.705555555498</v>
      </c>
      <c r="D1622" s="111">
        <f ca="1">IFERROR(__xludf.DUMMYFUNCTION("""COMPUTED_VALUE"""),23.72)</f>
        <v>23.72</v>
      </c>
      <c r="E1622" s="112">
        <f ca="1">IFERROR(__xludf.DUMMYFUNCTION("""COMPUTED_VALUE"""),42660.7055555555)</f>
        <v>42660.705555555498</v>
      </c>
      <c r="F1622" s="111">
        <f ca="1">IFERROR(__xludf.DUMMYFUNCTION("""COMPUTED_VALUE"""),7.77)</f>
        <v>7.77</v>
      </c>
      <c r="G1622" s="112">
        <f ca="1">IFERROR(__xludf.DUMMYFUNCTION("""COMPUTED_VALUE"""),42653.7055555555)</f>
        <v>42653.705555555498</v>
      </c>
      <c r="H1622" s="111">
        <f ca="1">IFERROR(__xludf.DUMMYFUNCTION("""COMPUTED_VALUE"""),15.73)</f>
        <v>15.73</v>
      </c>
      <c r="K1622" s="112">
        <f ca="1">IFERROR(__xludf.DUMMYFUNCTION("""COMPUTED_VALUE"""),43105.7055555555)</f>
        <v>43105.705555555498</v>
      </c>
      <c r="L1622" s="111">
        <f ca="1">IFERROR(__xludf.DUMMYFUNCTION("""COMPUTED_VALUE"""),2.46)</f>
        <v>2.46</v>
      </c>
      <c r="M1622" s="112">
        <f ca="1">IFERROR(__xludf.DUMMYFUNCTION("""COMPUTED_VALUE"""),42569.7055555555)</f>
        <v>42569.705555555498</v>
      </c>
      <c r="N1622" s="111">
        <f ca="1">IFERROR(__xludf.DUMMYFUNCTION("""COMPUTED_VALUE"""),16.44)</f>
        <v>16.440000000000001</v>
      </c>
      <c r="O1622" s="112">
        <f ca="1">IFERROR(__xludf.DUMMYFUNCTION("""COMPUTED_VALUE"""),42642.7055555555)</f>
        <v>42642.705555555498</v>
      </c>
      <c r="P1622" s="111">
        <f ca="1">IFERROR(__xludf.DUMMYFUNCTION("""COMPUTED_VALUE"""),17.99)</f>
        <v>17.989999999999998</v>
      </c>
      <c r="Q1622" s="112">
        <f ca="1">IFERROR(__xludf.DUMMYFUNCTION("""COMPUTED_VALUE"""),42641.7055555555)</f>
        <v>42641.705555555498</v>
      </c>
      <c r="R1622" s="111">
        <f ca="1">IFERROR(__xludf.DUMMYFUNCTION("""COMPUTED_VALUE"""),23.31)</f>
        <v>23.31</v>
      </c>
      <c r="S1622" s="112">
        <f ca="1">IFERROR(__xludf.DUMMYFUNCTION("""COMPUTED_VALUE"""),42653.7055555555)</f>
        <v>42653.705555555498</v>
      </c>
      <c r="T1622" s="111">
        <f ca="1">IFERROR(__xludf.DUMMYFUNCTION("""COMPUTED_VALUE"""),19.38)</f>
        <v>19.38</v>
      </c>
    </row>
    <row r="1623" spans="1:20" x14ac:dyDescent="0.3">
      <c r="A1623" s="112">
        <f ca="1">IFERROR(__xludf.DUMMYFUNCTION("""COMPUTED_VALUE"""),42650.7055555555)</f>
        <v>42650.705555555498</v>
      </c>
      <c r="B1623" s="111">
        <f ca="1">IFERROR(__xludf.DUMMYFUNCTION("""COMPUTED_VALUE"""),19.41)</f>
        <v>19.41</v>
      </c>
      <c r="C1623" s="112">
        <f ca="1">IFERROR(__xludf.DUMMYFUNCTION("""COMPUTED_VALUE"""),42660.7055555555)</f>
        <v>42660.705555555498</v>
      </c>
      <c r="D1623" s="111">
        <f ca="1">IFERROR(__xludf.DUMMYFUNCTION("""COMPUTED_VALUE"""),24.24)</f>
        <v>24.24</v>
      </c>
      <c r="E1623" s="112">
        <f ca="1">IFERROR(__xludf.DUMMYFUNCTION("""COMPUTED_VALUE"""),42661.7055555555)</f>
        <v>42661.705555555498</v>
      </c>
      <c r="F1623" s="111">
        <f ca="1">IFERROR(__xludf.DUMMYFUNCTION("""COMPUTED_VALUE"""),7.88)</f>
        <v>7.88</v>
      </c>
      <c r="G1623" s="112">
        <f ca="1">IFERROR(__xludf.DUMMYFUNCTION("""COMPUTED_VALUE"""),42654.7055555555)</f>
        <v>42654.705555555498</v>
      </c>
      <c r="H1623" s="111">
        <f ca="1">IFERROR(__xludf.DUMMYFUNCTION("""COMPUTED_VALUE"""),15.39)</f>
        <v>15.39</v>
      </c>
      <c r="K1623" s="112">
        <f ca="1">IFERROR(__xludf.DUMMYFUNCTION("""COMPUTED_VALUE"""),43108.7055555555)</f>
        <v>43108.705555555498</v>
      </c>
      <c r="L1623" s="111">
        <f ca="1">IFERROR(__xludf.DUMMYFUNCTION("""COMPUTED_VALUE"""),2.46)</f>
        <v>2.46</v>
      </c>
      <c r="M1623" s="112">
        <f ca="1">IFERROR(__xludf.DUMMYFUNCTION("""COMPUTED_VALUE"""),42570.7055555555)</f>
        <v>42570.705555555498</v>
      </c>
      <c r="N1623" s="111">
        <f ca="1">IFERROR(__xludf.DUMMYFUNCTION("""COMPUTED_VALUE"""),16.38)</f>
        <v>16.38</v>
      </c>
      <c r="O1623" s="112">
        <f ca="1">IFERROR(__xludf.DUMMYFUNCTION("""COMPUTED_VALUE"""),42643.7055555555)</f>
        <v>42643.705555555498</v>
      </c>
      <c r="P1623" s="111">
        <f ca="1">IFERROR(__xludf.DUMMYFUNCTION("""COMPUTED_VALUE"""),17.81)</f>
        <v>17.809999999999999</v>
      </c>
      <c r="Q1623" s="112">
        <f ca="1">IFERROR(__xludf.DUMMYFUNCTION("""COMPUTED_VALUE"""),42642.7055555555)</f>
        <v>42642.705555555498</v>
      </c>
      <c r="R1623" s="111">
        <f ca="1">IFERROR(__xludf.DUMMYFUNCTION("""COMPUTED_VALUE"""),22.63)</f>
        <v>22.63</v>
      </c>
      <c r="S1623" s="112">
        <f ca="1">IFERROR(__xludf.DUMMYFUNCTION("""COMPUTED_VALUE"""),42654.7055555555)</f>
        <v>42654.705555555498</v>
      </c>
      <c r="T1623" s="111">
        <f ca="1">IFERROR(__xludf.DUMMYFUNCTION("""COMPUTED_VALUE"""),19.16)</f>
        <v>19.16</v>
      </c>
    </row>
    <row r="1624" spans="1:20" x14ac:dyDescent="0.3">
      <c r="A1624" s="112">
        <f ca="1">IFERROR(__xludf.DUMMYFUNCTION("""COMPUTED_VALUE"""),42653.7055555555)</f>
        <v>42653.705555555498</v>
      </c>
      <c r="B1624" s="111">
        <f ca="1">IFERROR(__xludf.DUMMYFUNCTION("""COMPUTED_VALUE"""),20.31)</f>
        <v>20.309999999999999</v>
      </c>
      <c r="C1624" s="112">
        <f ca="1">IFERROR(__xludf.DUMMYFUNCTION("""COMPUTED_VALUE"""),42661.7055555555)</f>
        <v>42661.705555555498</v>
      </c>
      <c r="D1624" s="111">
        <f ca="1">IFERROR(__xludf.DUMMYFUNCTION("""COMPUTED_VALUE"""),24.57)</f>
        <v>24.57</v>
      </c>
      <c r="E1624" s="112">
        <f ca="1">IFERROR(__xludf.DUMMYFUNCTION("""COMPUTED_VALUE"""),42662.7055555555)</f>
        <v>42662.705555555498</v>
      </c>
      <c r="F1624" s="111">
        <f ca="1">IFERROR(__xludf.DUMMYFUNCTION("""COMPUTED_VALUE"""),7.83)</f>
        <v>7.83</v>
      </c>
      <c r="G1624" s="112">
        <f ca="1">IFERROR(__xludf.DUMMYFUNCTION("""COMPUTED_VALUE"""),42656.7055555555)</f>
        <v>42656.705555555498</v>
      </c>
      <c r="H1624" s="111">
        <f ca="1">IFERROR(__xludf.DUMMYFUNCTION("""COMPUTED_VALUE"""),15.76)</f>
        <v>15.76</v>
      </c>
      <c r="K1624" s="112">
        <f ca="1">IFERROR(__xludf.DUMMYFUNCTION("""COMPUTED_VALUE"""),43109.7055555555)</f>
        <v>43109.705555555498</v>
      </c>
      <c r="L1624" s="111">
        <f ca="1">IFERROR(__xludf.DUMMYFUNCTION("""COMPUTED_VALUE"""),2.4)</f>
        <v>2.4</v>
      </c>
      <c r="M1624" s="112">
        <f ca="1">IFERROR(__xludf.DUMMYFUNCTION("""COMPUTED_VALUE"""),42571.7055555555)</f>
        <v>42571.705555555498</v>
      </c>
      <c r="N1624" s="111">
        <f ca="1">IFERROR(__xludf.DUMMYFUNCTION("""COMPUTED_VALUE"""),16.52)</f>
        <v>16.52</v>
      </c>
      <c r="O1624" s="112">
        <f ca="1">IFERROR(__xludf.DUMMYFUNCTION("""COMPUTED_VALUE"""),42646.7055555555)</f>
        <v>42646.705555555498</v>
      </c>
      <c r="P1624" s="111">
        <f ca="1">IFERROR(__xludf.DUMMYFUNCTION("""COMPUTED_VALUE"""),18.1)</f>
        <v>18.100000000000001</v>
      </c>
      <c r="Q1624" s="112">
        <f ca="1">IFERROR(__xludf.DUMMYFUNCTION("""COMPUTED_VALUE"""),42643.7055555555)</f>
        <v>42643.705555555498</v>
      </c>
      <c r="R1624" s="111">
        <f ca="1">IFERROR(__xludf.DUMMYFUNCTION("""COMPUTED_VALUE"""),22.8)</f>
        <v>22.8</v>
      </c>
      <c r="S1624" s="112">
        <f ca="1">IFERROR(__xludf.DUMMYFUNCTION("""COMPUTED_VALUE"""),42656.7055555555)</f>
        <v>42656.705555555498</v>
      </c>
      <c r="T1624" s="111">
        <f ca="1">IFERROR(__xludf.DUMMYFUNCTION("""COMPUTED_VALUE"""),19.52)</f>
        <v>19.52</v>
      </c>
    </row>
    <row r="1625" spans="1:20" x14ac:dyDescent="0.3">
      <c r="A1625" s="112">
        <f ca="1">IFERROR(__xludf.DUMMYFUNCTION("""COMPUTED_VALUE"""),42654.7055555555)</f>
        <v>42654.705555555498</v>
      </c>
      <c r="B1625" s="111">
        <f ca="1">IFERROR(__xludf.DUMMYFUNCTION("""COMPUTED_VALUE"""),20.61)</f>
        <v>20.61</v>
      </c>
      <c r="C1625" s="112">
        <f ca="1">IFERROR(__xludf.DUMMYFUNCTION("""COMPUTED_VALUE"""),42662.7055555555)</f>
        <v>42662.705555555498</v>
      </c>
      <c r="D1625" s="111">
        <f ca="1">IFERROR(__xludf.DUMMYFUNCTION("""COMPUTED_VALUE"""),24.17)</f>
        <v>24.17</v>
      </c>
      <c r="E1625" s="112">
        <f ca="1">IFERROR(__xludf.DUMMYFUNCTION("""COMPUTED_VALUE"""),42663.7055555555)</f>
        <v>42663.705555555498</v>
      </c>
      <c r="F1625" s="111">
        <f ca="1">IFERROR(__xludf.DUMMYFUNCTION("""COMPUTED_VALUE"""),7.86)</f>
        <v>7.86</v>
      </c>
      <c r="G1625" s="112">
        <f ca="1">IFERROR(__xludf.DUMMYFUNCTION("""COMPUTED_VALUE"""),42657.7055555555)</f>
        <v>42657.705555555498</v>
      </c>
      <c r="H1625" s="111">
        <f ca="1">IFERROR(__xludf.DUMMYFUNCTION("""COMPUTED_VALUE"""),16.26)</f>
        <v>16.260000000000002</v>
      </c>
      <c r="K1625" s="112">
        <f ca="1">IFERROR(__xludf.DUMMYFUNCTION("""COMPUTED_VALUE"""),43110.7055555555)</f>
        <v>43110.705555555498</v>
      </c>
      <c r="L1625" s="111">
        <f ca="1">IFERROR(__xludf.DUMMYFUNCTION("""COMPUTED_VALUE"""),2.42)</f>
        <v>2.42</v>
      </c>
      <c r="M1625" s="112">
        <f ca="1">IFERROR(__xludf.DUMMYFUNCTION("""COMPUTED_VALUE"""),42572.7055555555)</f>
        <v>42572.705555555498</v>
      </c>
      <c r="N1625" s="111">
        <f ca="1">IFERROR(__xludf.DUMMYFUNCTION("""COMPUTED_VALUE"""),16.4)</f>
        <v>16.399999999999999</v>
      </c>
      <c r="O1625" s="112">
        <f ca="1">IFERROR(__xludf.DUMMYFUNCTION("""COMPUTED_VALUE"""),42647.7055555555)</f>
        <v>42647.705555555498</v>
      </c>
      <c r="P1625" s="111">
        <f ca="1">IFERROR(__xludf.DUMMYFUNCTION("""COMPUTED_VALUE"""),17.65)</f>
        <v>17.649999999999999</v>
      </c>
      <c r="Q1625" s="112">
        <f ca="1">IFERROR(__xludf.DUMMYFUNCTION("""COMPUTED_VALUE"""),42646.7055555555)</f>
        <v>42646.705555555498</v>
      </c>
      <c r="R1625" s="111">
        <f ca="1">IFERROR(__xludf.DUMMYFUNCTION("""COMPUTED_VALUE"""),23.34)</f>
        <v>23.34</v>
      </c>
      <c r="S1625" s="112">
        <f ca="1">IFERROR(__xludf.DUMMYFUNCTION("""COMPUTED_VALUE"""),42657.7055555555)</f>
        <v>42657.705555555498</v>
      </c>
      <c r="T1625" s="111">
        <f ca="1">IFERROR(__xludf.DUMMYFUNCTION("""COMPUTED_VALUE"""),19.76)</f>
        <v>19.760000000000002</v>
      </c>
    </row>
    <row r="1626" spans="1:20" x14ac:dyDescent="0.3">
      <c r="A1626" s="112">
        <f ca="1">IFERROR(__xludf.DUMMYFUNCTION("""COMPUTED_VALUE"""),42656.7055555555)</f>
        <v>42656.705555555498</v>
      </c>
      <c r="B1626" s="111">
        <f ca="1">IFERROR(__xludf.DUMMYFUNCTION("""COMPUTED_VALUE"""),20.95)</f>
        <v>20.95</v>
      </c>
      <c r="C1626" s="112">
        <f ca="1">IFERROR(__xludf.DUMMYFUNCTION("""COMPUTED_VALUE"""),42663.7055555555)</f>
        <v>42663.705555555498</v>
      </c>
      <c r="D1626" s="111">
        <f ca="1">IFERROR(__xludf.DUMMYFUNCTION("""COMPUTED_VALUE"""),24.25)</f>
        <v>24.25</v>
      </c>
      <c r="E1626" s="112">
        <f ca="1">IFERROR(__xludf.DUMMYFUNCTION("""COMPUTED_VALUE"""),42664.7055555555)</f>
        <v>42664.705555555498</v>
      </c>
      <c r="F1626" s="111">
        <f ca="1">IFERROR(__xludf.DUMMYFUNCTION("""COMPUTED_VALUE"""),7.8)</f>
        <v>7.8</v>
      </c>
      <c r="G1626" s="112">
        <f ca="1">IFERROR(__xludf.DUMMYFUNCTION("""COMPUTED_VALUE"""),42660.7055555555)</f>
        <v>42660.705555555498</v>
      </c>
      <c r="H1626" s="111">
        <f ca="1">IFERROR(__xludf.DUMMYFUNCTION("""COMPUTED_VALUE"""),16.9)</f>
        <v>16.899999999999999</v>
      </c>
      <c r="K1626" s="112">
        <f ca="1">IFERROR(__xludf.DUMMYFUNCTION("""COMPUTED_VALUE"""),43111.7055555555)</f>
        <v>43111.705555555498</v>
      </c>
      <c r="L1626" s="111">
        <f ca="1">IFERROR(__xludf.DUMMYFUNCTION("""COMPUTED_VALUE"""),2.43)</f>
        <v>2.4300000000000002</v>
      </c>
      <c r="M1626" s="112">
        <f ca="1">IFERROR(__xludf.DUMMYFUNCTION("""COMPUTED_VALUE"""),42573.7055555555)</f>
        <v>42573.705555555498</v>
      </c>
      <c r="N1626" s="111">
        <f ca="1">IFERROR(__xludf.DUMMYFUNCTION("""COMPUTED_VALUE"""),16.51)</f>
        <v>16.510000000000002</v>
      </c>
      <c r="O1626" s="112">
        <f ca="1">IFERROR(__xludf.DUMMYFUNCTION("""COMPUTED_VALUE"""),42648.7055555555)</f>
        <v>42648.705555555498</v>
      </c>
      <c r="P1626" s="111">
        <f ca="1">IFERROR(__xludf.DUMMYFUNCTION("""COMPUTED_VALUE"""),17.86)</f>
        <v>17.86</v>
      </c>
      <c r="Q1626" s="112">
        <f ca="1">IFERROR(__xludf.DUMMYFUNCTION("""COMPUTED_VALUE"""),42647.7055555555)</f>
        <v>42647.705555555498</v>
      </c>
      <c r="R1626" s="111">
        <f ca="1">IFERROR(__xludf.DUMMYFUNCTION("""COMPUTED_VALUE"""),23.4)</f>
        <v>23.4</v>
      </c>
      <c r="S1626" s="112">
        <f ca="1">IFERROR(__xludf.DUMMYFUNCTION("""COMPUTED_VALUE"""),42660.7055555555)</f>
        <v>42660.705555555498</v>
      </c>
      <c r="T1626" s="111">
        <f ca="1">IFERROR(__xludf.DUMMYFUNCTION("""COMPUTED_VALUE"""),19.98)</f>
        <v>19.98</v>
      </c>
    </row>
    <row r="1627" spans="1:20" x14ac:dyDescent="0.3">
      <c r="A1627" s="112">
        <f ca="1">IFERROR(__xludf.DUMMYFUNCTION("""COMPUTED_VALUE"""),42657.7055555555)</f>
        <v>42657.705555555498</v>
      </c>
      <c r="B1627" s="111">
        <f ca="1">IFERROR(__xludf.DUMMYFUNCTION("""COMPUTED_VALUE"""),20.87)</f>
        <v>20.87</v>
      </c>
      <c r="C1627" s="112">
        <f ca="1">IFERROR(__xludf.DUMMYFUNCTION("""COMPUTED_VALUE"""),42664.7055555555)</f>
        <v>42664.705555555498</v>
      </c>
      <c r="D1627" s="111">
        <f ca="1">IFERROR(__xludf.DUMMYFUNCTION("""COMPUTED_VALUE"""),24.21)</f>
        <v>24.21</v>
      </c>
      <c r="E1627" s="112">
        <f ca="1">IFERROR(__xludf.DUMMYFUNCTION("""COMPUTED_VALUE"""),42667.7055555555)</f>
        <v>42667.705555555498</v>
      </c>
      <c r="F1627" s="111">
        <f ca="1">IFERROR(__xludf.DUMMYFUNCTION("""COMPUTED_VALUE"""),7.76)</f>
        <v>7.76</v>
      </c>
      <c r="G1627" s="112">
        <f ca="1">IFERROR(__xludf.DUMMYFUNCTION("""COMPUTED_VALUE"""),42661.7055555555)</f>
        <v>42661.705555555498</v>
      </c>
      <c r="H1627" s="111">
        <f ca="1">IFERROR(__xludf.DUMMYFUNCTION("""COMPUTED_VALUE"""),17.42)</f>
        <v>17.420000000000002</v>
      </c>
      <c r="K1627" s="112">
        <f ca="1">IFERROR(__xludf.DUMMYFUNCTION("""COMPUTED_VALUE"""),43112.7055555555)</f>
        <v>43112.705555555498</v>
      </c>
      <c r="L1627" s="111">
        <f ca="1">IFERROR(__xludf.DUMMYFUNCTION("""COMPUTED_VALUE"""),2.42)</f>
        <v>2.42</v>
      </c>
      <c r="M1627" s="112">
        <f ca="1">IFERROR(__xludf.DUMMYFUNCTION("""COMPUTED_VALUE"""),42576.7055555555)</f>
        <v>42576.705555555498</v>
      </c>
      <c r="N1627" s="111">
        <f ca="1">IFERROR(__xludf.DUMMYFUNCTION("""COMPUTED_VALUE"""),16.45)</f>
        <v>16.45</v>
      </c>
      <c r="O1627" s="112">
        <f ca="1">IFERROR(__xludf.DUMMYFUNCTION("""COMPUTED_VALUE"""),42649.7055555555)</f>
        <v>42649.705555555498</v>
      </c>
      <c r="P1627" s="111">
        <f ca="1">IFERROR(__xludf.DUMMYFUNCTION("""COMPUTED_VALUE"""),17.8)</f>
        <v>17.8</v>
      </c>
      <c r="Q1627" s="112">
        <f ca="1">IFERROR(__xludf.DUMMYFUNCTION("""COMPUTED_VALUE"""),42648.7055555555)</f>
        <v>42648.705555555498</v>
      </c>
      <c r="R1627" s="111">
        <f ca="1">IFERROR(__xludf.DUMMYFUNCTION("""COMPUTED_VALUE"""),23.93)</f>
        <v>23.93</v>
      </c>
      <c r="S1627" s="112">
        <f ca="1">IFERROR(__xludf.DUMMYFUNCTION("""COMPUTED_VALUE"""),42661.7055555555)</f>
        <v>42661.705555555498</v>
      </c>
      <c r="T1627" s="111">
        <f ca="1">IFERROR(__xludf.DUMMYFUNCTION("""COMPUTED_VALUE"""),20.29)</f>
        <v>20.29</v>
      </c>
    </row>
    <row r="1628" spans="1:20" x14ac:dyDescent="0.3">
      <c r="A1628" s="112">
        <f ca="1">IFERROR(__xludf.DUMMYFUNCTION("""COMPUTED_VALUE"""),42660.7055555555)</f>
        <v>42660.705555555498</v>
      </c>
      <c r="B1628" s="111">
        <f ca="1">IFERROR(__xludf.DUMMYFUNCTION("""COMPUTED_VALUE"""),21.05)</f>
        <v>21.05</v>
      </c>
      <c r="C1628" s="112">
        <f ca="1">IFERROR(__xludf.DUMMYFUNCTION("""COMPUTED_VALUE"""),42667.7055555555)</f>
        <v>42667.705555555498</v>
      </c>
      <c r="D1628" s="111">
        <f ca="1">IFERROR(__xludf.DUMMYFUNCTION("""COMPUTED_VALUE"""),24)</f>
        <v>24</v>
      </c>
      <c r="E1628" s="112">
        <f ca="1">IFERROR(__xludf.DUMMYFUNCTION("""COMPUTED_VALUE"""),42668.7055555555)</f>
        <v>42668.705555555498</v>
      </c>
      <c r="F1628" s="111">
        <f ca="1">IFERROR(__xludf.DUMMYFUNCTION("""COMPUTED_VALUE"""),7.65)</f>
        <v>7.65</v>
      </c>
      <c r="G1628" s="112">
        <f ca="1">IFERROR(__xludf.DUMMYFUNCTION("""COMPUTED_VALUE"""),42662.7055555555)</f>
        <v>42662.705555555498</v>
      </c>
      <c r="H1628" s="111">
        <f ca="1">IFERROR(__xludf.DUMMYFUNCTION("""COMPUTED_VALUE"""),17.62)</f>
        <v>17.62</v>
      </c>
      <c r="K1628" s="112">
        <f ca="1">IFERROR(__xludf.DUMMYFUNCTION("""COMPUTED_VALUE"""),43115.7055555555)</f>
        <v>43115.705555555498</v>
      </c>
      <c r="L1628" s="111">
        <f ca="1">IFERROR(__xludf.DUMMYFUNCTION("""COMPUTED_VALUE"""),2.47)</f>
        <v>2.4700000000000002</v>
      </c>
      <c r="M1628" s="112">
        <f ca="1">IFERROR(__xludf.DUMMYFUNCTION("""COMPUTED_VALUE"""),42577.7055555555)</f>
        <v>42577.705555555498</v>
      </c>
      <c r="N1628" s="111">
        <f ca="1">IFERROR(__xludf.DUMMYFUNCTION("""COMPUTED_VALUE"""),16.32)</f>
        <v>16.32</v>
      </c>
      <c r="O1628" s="112">
        <f ca="1">IFERROR(__xludf.DUMMYFUNCTION("""COMPUTED_VALUE"""),42650.7055555555)</f>
        <v>42650.705555555498</v>
      </c>
      <c r="P1628" s="111">
        <f ca="1">IFERROR(__xludf.DUMMYFUNCTION("""COMPUTED_VALUE"""),18)</f>
        <v>18</v>
      </c>
      <c r="Q1628" s="112">
        <f ca="1">IFERROR(__xludf.DUMMYFUNCTION("""COMPUTED_VALUE"""),42649.7055555555)</f>
        <v>42649.705555555498</v>
      </c>
      <c r="R1628" s="111">
        <f ca="1">IFERROR(__xludf.DUMMYFUNCTION("""COMPUTED_VALUE"""),24.68)</f>
        <v>24.68</v>
      </c>
      <c r="S1628" s="112">
        <f ca="1">IFERROR(__xludf.DUMMYFUNCTION("""COMPUTED_VALUE"""),42662.7055555555)</f>
        <v>42662.705555555498</v>
      </c>
      <c r="T1628" s="111">
        <f ca="1">IFERROR(__xludf.DUMMYFUNCTION("""COMPUTED_VALUE"""),20.26)</f>
        <v>20.260000000000002</v>
      </c>
    </row>
    <row r="1629" spans="1:20" x14ac:dyDescent="0.3">
      <c r="A1629" s="112">
        <f ca="1">IFERROR(__xludf.DUMMYFUNCTION("""COMPUTED_VALUE"""),42661.7055555555)</f>
        <v>42661.705555555498</v>
      </c>
      <c r="B1629" s="111">
        <f ca="1">IFERROR(__xludf.DUMMYFUNCTION("""COMPUTED_VALUE"""),22.35)</f>
        <v>22.35</v>
      </c>
      <c r="C1629" s="112">
        <f ca="1">IFERROR(__xludf.DUMMYFUNCTION("""COMPUTED_VALUE"""),42668.7055555555)</f>
        <v>42668.705555555498</v>
      </c>
      <c r="D1629" s="111">
        <f ca="1">IFERROR(__xludf.DUMMYFUNCTION("""COMPUTED_VALUE"""),23.87)</f>
        <v>23.87</v>
      </c>
      <c r="E1629" s="112">
        <f ca="1">IFERROR(__xludf.DUMMYFUNCTION("""COMPUTED_VALUE"""),42669.7055555555)</f>
        <v>42669.705555555498</v>
      </c>
      <c r="F1629" s="111">
        <f ca="1">IFERROR(__xludf.DUMMYFUNCTION("""COMPUTED_VALUE"""),7.67)</f>
        <v>7.67</v>
      </c>
      <c r="G1629" s="112">
        <f ca="1">IFERROR(__xludf.DUMMYFUNCTION("""COMPUTED_VALUE"""),42663.7055555555)</f>
        <v>42663.705555555498</v>
      </c>
      <c r="H1629" s="111">
        <f ca="1">IFERROR(__xludf.DUMMYFUNCTION("""COMPUTED_VALUE"""),17.74)</f>
        <v>17.739999999999998</v>
      </c>
      <c r="K1629" s="112">
        <f ca="1">IFERROR(__xludf.DUMMYFUNCTION("""COMPUTED_VALUE"""),43116.7055555555)</f>
        <v>43116.705555555498</v>
      </c>
      <c r="L1629" s="111">
        <f ca="1">IFERROR(__xludf.DUMMYFUNCTION("""COMPUTED_VALUE"""),2.46)</f>
        <v>2.46</v>
      </c>
      <c r="M1629" s="112">
        <f ca="1">IFERROR(__xludf.DUMMYFUNCTION("""COMPUTED_VALUE"""),42578.7055555555)</f>
        <v>42578.705555555498</v>
      </c>
      <c r="N1629" s="111">
        <f ca="1">IFERROR(__xludf.DUMMYFUNCTION("""COMPUTED_VALUE"""),16.38)</f>
        <v>16.38</v>
      </c>
      <c r="O1629" s="112">
        <f ca="1">IFERROR(__xludf.DUMMYFUNCTION("""COMPUTED_VALUE"""),42653.7055555555)</f>
        <v>42653.705555555498</v>
      </c>
      <c r="P1629" s="111">
        <f ca="1">IFERROR(__xludf.DUMMYFUNCTION("""COMPUTED_VALUE"""),19.05)</f>
        <v>19.05</v>
      </c>
      <c r="Q1629" s="112">
        <f ca="1">IFERROR(__xludf.DUMMYFUNCTION("""COMPUTED_VALUE"""),42650.7055555555)</f>
        <v>42650.705555555498</v>
      </c>
      <c r="R1629" s="111">
        <f ca="1">IFERROR(__xludf.DUMMYFUNCTION("""COMPUTED_VALUE"""),25.28)</f>
        <v>25.28</v>
      </c>
      <c r="S1629" s="112">
        <f ca="1">IFERROR(__xludf.DUMMYFUNCTION("""COMPUTED_VALUE"""),42663.7055555555)</f>
        <v>42663.705555555498</v>
      </c>
      <c r="T1629" s="111">
        <f ca="1">IFERROR(__xludf.DUMMYFUNCTION("""COMPUTED_VALUE"""),20.29)</f>
        <v>20.29</v>
      </c>
    </row>
    <row r="1630" spans="1:20" x14ac:dyDescent="0.3">
      <c r="A1630" s="112">
        <f ca="1">IFERROR(__xludf.DUMMYFUNCTION("""COMPUTED_VALUE"""),42662.7055555555)</f>
        <v>42662.705555555498</v>
      </c>
      <c r="B1630" s="111">
        <f ca="1">IFERROR(__xludf.DUMMYFUNCTION("""COMPUTED_VALUE"""),21.76)</f>
        <v>21.76</v>
      </c>
      <c r="C1630" s="112">
        <f ca="1">IFERROR(__xludf.DUMMYFUNCTION("""COMPUTED_VALUE"""),42669.7055555555)</f>
        <v>42669.705555555498</v>
      </c>
      <c r="D1630" s="111">
        <f ca="1">IFERROR(__xludf.DUMMYFUNCTION("""COMPUTED_VALUE"""),24.02)</f>
        <v>24.02</v>
      </c>
      <c r="E1630" s="112">
        <f ca="1">IFERROR(__xludf.DUMMYFUNCTION("""COMPUTED_VALUE"""),42670.7055555555)</f>
        <v>42670.705555555498</v>
      </c>
      <c r="F1630" s="111">
        <f ca="1">IFERROR(__xludf.DUMMYFUNCTION("""COMPUTED_VALUE"""),7.84)</f>
        <v>7.84</v>
      </c>
      <c r="G1630" s="112">
        <f ca="1">IFERROR(__xludf.DUMMYFUNCTION("""COMPUTED_VALUE"""),42664.7055555555)</f>
        <v>42664.705555555498</v>
      </c>
      <c r="H1630" s="111">
        <f ca="1">IFERROR(__xludf.DUMMYFUNCTION("""COMPUTED_VALUE"""),17.95)</f>
        <v>17.95</v>
      </c>
      <c r="K1630" s="112">
        <f ca="1">IFERROR(__xludf.DUMMYFUNCTION("""COMPUTED_VALUE"""),43117.7055555555)</f>
        <v>43117.705555555498</v>
      </c>
      <c r="L1630" s="111">
        <f ca="1">IFERROR(__xludf.DUMMYFUNCTION("""COMPUTED_VALUE"""),2.46)</f>
        <v>2.46</v>
      </c>
      <c r="M1630" s="112">
        <f ca="1">IFERROR(__xludf.DUMMYFUNCTION("""COMPUTED_VALUE"""),42579.7055555555)</f>
        <v>42579.705555555498</v>
      </c>
      <c r="N1630" s="111">
        <f ca="1">IFERROR(__xludf.DUMMYFUNCTION("""COMPUTED_VALUE"""),15.65)</f>
        <v>15.65</v>
      </c>
      <c r="O1630" s="112">
        <f ca="1">IFERROR(__xludf.DUMMYFUNCTION("""COMPUTED_VALUE"""),42654.7055555555)</f>
        <v>42654.705555555498</v>
      </c>
      <c r="P1630" s="111">
        <f ca="1">IFERROR(__xludf.DUMMYFUNCTION("""COMPUTED_VALUE"""),18.6)</f>
        <v>18.600000000000001</v>
      </c>
      <c r="Q1630" s="112">
        <f ca="1">IFERROR(__xludf.DUMMYFUNCTION("""COMPUTED_VALUE"""),42653.7055555555)</f>
        <v>42653.705555555498</v>
      </c>
      <c r="R1630" s="111">
        <f ca="1">IFERROR(__xludf.DUMMYFUNCTION("""COMPUTED_VALUE"""),25.45)</f>
        <v>25.45</v>
      </c>
      <c r="S1630" s="112">
        <f ca="1">IFERROR(__xludf.DUMMYFUNCTION("""COMPUTED_VALUE"""),42664.7055555555)</f>
        <v>42664.705555555498</v>
      </c>
      <c r="T1630" s="111">
        <f ca="1">IFERROR(__xludf.DUMMYFUNCTION("""COMPUTED_VALUE"""),20.21)</f>
        <v>20.21</v>
      </c>
    </row>
    <row r="1631" spans="1:20" x14ac:dyDescent="0.3">
      <c r="A1631" s="112">
        <f ca="1">IFERROR(__xludf.DUMMYFUNCTION("""COMPUTED_VALUE"""),42663.7055555555)</f>
        <v>42663.705555555498</v>
      </c>
      <c r="B1631" s="111">
        <f ca="1">IFERROR(__xludf.DUMMYFUNCTION("""COMPUTED_VALUE"""),21.76)</f>
        <v>21.76</v>
      </c>
      <c r="C1631" s="112">
        <f ca="1">IFERROR(__xludf.DUMMYFUNCTION("""COMPUTED_VALUE"""),42670.7055555555)</f>
        <v>42670.705555555498</v>
      </c>
      <c r="D1631" s="111">
        <f ca="1">IFERROR(__xludf.DUMMYFUNCTION("""COMPUTED_VALUE"""),24.53)</f>
        <v>24.53</v>
      </c>
      <c r="E1631" s="112">
        <f ca="1">IFERROR(__xludf.DUMMYFUNCTION("""COMPUTED_VALUE"""),42671.7055555555)</f>
        <v>42671.705555555498</v>
      </c>
      <c r="F1631" s="111">
        <f ca="1">IFERROR(__xludf.DUMMYFUNCTION("""COMPUTED_VALUE"""),7.85)</f>
        <v>7.85</v>
      </c>
      <c r="G1631" s="112">
        <f ca="1">IFERROR(__xludf.DUMMYFUNCTION("""COMPUTED_VALUE"""),42667.7055555555)</f>
        <v>42667.705555555498</v>
      </c>
      <c r="H1631" s="111">
        <f ca="1">IFERROR(__xludf.DUMMYFUNCTION("""COMPUTED_VALUE"""),18.2)</f>
        <v>18.2</v>
      </c>
      <c r="K1631" s="112">
        <f ca="1">IFERROR(__xludf.DUMMYFUNCTION("""COMPUTED_VALUE"""),43118.7055555555)</f>
        <v>43118.705555555498</v>
      </c>
      <c r="L1631" s="111">
        <f ca="1">IFERROR(__xludf.DUMMYFUNCTION("""COMPUTED_VALUE"""),2.42)</f>
        <v>2.42</v>
      </c>
      <c r="M1631" s="112">
        <f ca="1">IFERROR(__xludf.DUMMYFUNCTION("""COMPUTED_VALUE"""),42580.7055555555)</f>
        <v>42580.705555555498</v>
      </c>
      <c r="N1631" s="111">
        <f ca="1">IFERROR(__xludf.DUMMYFUNCTION("""COMPUTED_VALUE"""),16.14)</f>
        <v>16.14</v>
      </c>
      <c r="O1631" s="112">
        <f ca="1">IFERROR(__xludf.DUMMYFUNCTION("""COMPUTED_VALUE"""),42656.7055555555)</f>
        <v>42656.705555555498</v>
      </c>
      <c r="P1631" s="111">
        <f ca="1">IFERROR(__xludf.DUMMYFUNCTION("""COMPUTED_VALUE"""),17.75)</f>
        <v>17.75</v>
      </c>
      <c r="Q1631" s="112">
        <f ca="1">IFERROR(__xludf.DUMMYFUNCTION("""COMPUTED_VALUE"""),42654.7055555555)</f>
        <v>42654.705555555498</v>
      </c>
      <c r="R1631" s="111">
        <f ca="1">IFERROR(__xludf.DUMMYFUNCTION("""COMPUTED_VALUE"""),24.87)</f>
        <v>24.87</v>
      </c>
      <c r="S1631" s="112">
        <f ca="1">IFERROR(__xludf.DUMMYFUNCTION("""COMPUTED_VALUE"""),42667.7055555555)</f>
        <v>42667.705555555498</v>
      </c>
      <c r="T1631" s="111">
        <f ca="1">IFERROR(__xludf.DUMMYFUNCTION("""COMPUTED_VALUE"""),20.21)</f>
        <v>20.21</v>
      </c>
    </row>
    <row r="1632" spans="1:20" x14ac:dyDescent="0.3">
      <c r="A1632" s="112">
        <f ca="1">IFERROR(__xludf.DUMMYFUNCTION("""COMPUTED_VALUE"""),42664.7055555555)</f>
        <v>42664.705555555498</v>
      </c>
      <c r="B1632" s="111">
        <f ca="1">IFERROR(__xludf.DUMMYFUNCTION("""COMPUTED_VALUE"""),22.3)</f>
        <v>22.3</v>
      </c>
      <c r="C1632" s="112">
        <f ca="1">IFERROR(__xludf.DUMMYFUNCTION("""COMPUTED_VALUE"""),42671.7055555555)</f>
        <v>42671.705555555498</v>
      </c>
      <c r="D1632" s="111">
        <f ca="1">IFERROR(__xludf.DUMMYFUNCTION("""COMPUTED_VALUE"""),24.74)</f>
        <v>24.74</v>
      </c>
      <c r="E1632" s="112">
        <f ca="1">IFERROR(__xludf.DUMMYFUNCTION("""COMPUTED_VALUE"""),42674.7055555555)</f>
        <v>42674.705555555498</v>
      </c>
      <c r="F1632" s="111">
        <f ca="1">IFERROR(__xludf.DUMMYFUNCTION("""COMPUTED_VALUE"""),8.17)</f>
        <v>8.17</v>
      </c>
      <c r="G1632" s="112">
        <f ca="1">IFERROR(__xludf.DUMMYFUNCTION("""COMPUTED_VALUE"""),42668.7055555555)</f>
        <v>42668.705555555498</v>
      </c>
      <c r="H1632" s="111">
        <f ca="1">IFERROR(__xludf.DUMMYFUNCTION("""COMPUTED_VALUE"""),18)</f>
        <v>18</v>
      </c>
      <c r="K1632" s="112">
        <f ca="1">IFERROR(__xludf.DUMMYFUNCTION("""COMPUTED_VALUE"""),43119.7055555555)</f>
        <v>43119.705555555498</v>
      </c>
      <c r="L1632" s="111">
        <f ca="1">IFERROR(__xludf.DUMMYFUNCTION("""COMPUTED_VALUE"""),2.4)</f>
        <v>2.4</v>
      </c>
      <c r="M1632" s="112">
        <f ca="1">IFERROR(__xludf.DUMMYFUNCTION("""COMPUTED_VALUE"""),42583.7055555555)</f>
        <v>42583.705555555498</v>
      </c>
      <c r="N1632" s="111">
        <f ca="1">IFERROR(__xludf.DUMMYFUNCTION("""COMPUTED_VALUE"""),16.16)</f>
        <v>16.16</v>
      </c>
      <c r="O1632" s="112">
        <f ca="1">IFERROR(__xludf.DUMMYFUNCTION("""COMPUTED_VALUE"""),42657.7055555555)</f>
        <v>42657.705555555498</v>
      </c>
      <c r="P1632" s="111">
        <f ca="1">IFERROR(__xludf.DUMMYFUNCTION("""COMPUTED_VALUE"""),18.02)</f>
        <v>18.02</v>
      </c>
      <c r="Q1632" s="112">
        <f ca="1">IFERROR(__xludf.DUMMYFUNCTION("""COMPUTED_VALUE"""),42656.7055555555)</f>
        <v>42656.705555555498</v>
      </c>
      <c r="R1632" s="111">
        <f ca="1">IFERROR(__xludf.DUMMYFUNCTION("""COMPUTED_VALUE"""),25.3)</f>
        <v>25.3</v>
      </c>
      <c r="S1632" s="112">
        <f ca="1">IFERROR(__xludf.DUMMYFUNCTION("""COMPUTED_VALUE"""),42668.7055555555)</f>
        <v>42668.705555555498</v>
      </c>
      <c r="T1632" s="111">
        <f ca="1">IFERROR(__xludf.DUMMYFUNCTION("""COMPUTED_VALUE"""),20.22)</f>
        <v>20.22</v>
      </c>
    </row>
    <row r="1633" spans="1:20" x14ac:dyDescent="0.3">
      <c r="A1633" s="112">
        <f ca="1">IFERROR(__xludf.DUMMYFUNCTION("""COMPUTED_VALUE"""),42667.7055555555)</f>
        <v>42667.705555555498</v>
      </c>
      <c r="B1633" s="111">
        <f ca="1">IFERROR(__xludf.DUMMYFUNCTION("""COMPUTED_VALUE"""),22.68)</f>
        <v>22.68</v>
      </c>
      <c r="C1633" s="112">
        <f ca="1">IFERROR(__xludf.DUMMYFUNCTION("""COMPUTED_VALUE"""),42674.7055555555)</f>
        <v>42674.705555555498</v>
      </c>
      <c r="D1633" s="111">
        <f ca="1">IFERROR(__xludf.DUMMYFUNCTION("""COMPUTED_VALUE"""),25.6)</f>
        <v>25.6</v>
      </c>
      <c r="E1633" s="112">
        <f ca="1">IFERROR(__xludf.DUMMYFUNCTION("""COMPUTED_VALUE"""),42675.7055555555)</f>
        <v>42675.705555555498</v>
      </c>
      <c r="F1633" s="111">
        <f ca="1">IFERROR(__xludf.DUMMYFUNCTION("""COMPUTED_VALUE"""),7.99)</f>
        <v>7.99</v>
      </c>
      <c r="G1633" s="112">
        <f ca="1">IFERROR(__xludf.DUMMYFUNCTION("""COMPUTED_VALUE"""),42669.7055555555)</f>
        <v>42669.705555555498</v>
      </c>
      <c r="H1633" s="111">
        <f ca="1">IFERROR(__xludf.DUMMYFUNCTION("""COMPUTED_VALUE"""),18.1)</f>
        <v>18.100000000000001</v>
      </c>
      <c r="K1633" s="112">
        <f ca="1">IFERROR(__xludf.DUMMYFUNCTION("""COMPUTED_VALUE"""),43122.7055555555)</f>
        <v>43122.705555555498</v>
      </c>
      <c r="L1633" s="111">
        <f ca="1">IFERROR(__xludf.DUMMYFUNCTION("""COMPUTED_VALUE"""),2.41)</f>
        <v>2.41</v>
      </c>
      <c r="M1633" s="112">
        <f ca="1">IFERROR(__xludf.DUMMYFUNCTION("""COMPUTED_VALUE"""),42584.7055555555)</f>
        <v>42584.705555555498</v>
      </c>
      <c r="N1633" s="111">
        <f ca="1">IFERROR(__xludf.DUMMYFUNCTION("""COMPUTED_VALUE"""),15.95)</f>
        <v>15.95</v>
      </c>
      <c r="O1633" s="112">
        <f ca="1">IFERROR(__xludf.DUMMYFUNCTION("""COMPUTED_VALUE"""),42660.7055555555)</f>
        <v>42660.705555555498</v>
      </c>
      <c r="P1633" s="111">
        <f ca="1">IFERROR(__xludf.DUMMYFUNCTION("""COMPUTED_VALUE"""),18.24)</f>
        <v>18.239999999999998</v>
      </c>
      <c r="Q1633" s="112">
        <f ca="1">IFERROR(__xludf.DUMMYFUNCTION("""COMPUTED_VALUE"""),42657.7055555555)</f>
        <v>42657.705555555498</v>
      </c>
      <c r="R1633" s="111">
        <f ca="1">IFERROR(__xludf.DUMMYFUNCTION("""COMPUTED_VALUE"""),25.96)</f>
        <v>25.96</v>
      </c>
      <c r="S1633" s="112">
        <f ca="1">IFERROR(__xludf.DUMMYFUNCTION("""COMPUTED_VALUE"""),42669.7055555555)</f>
        <v>42669.705555555498</v>
      </c>
      <c r="T1633" s="111">
        <f ca="1">IFERROR(__xludf.DUMMYFUNCTION("""COMPUTED_VALUE"""),20.1)</f>
        <v>20.100000000000001</v>
      </c>
    </row>
    <row r="1634" spans="1:20" x14ac:dyDescent="0.3">
      <c r="A1634" s="112">
        <f ca="1">IFERROR(__xludf.DUMMYFUNCTION("""COMPUTED_VALUE"""),42668.7055555555)</f>
        <v>42668.705555555498</v>
      </c>
      <c r="B1634" s="111">
        <f ca="1">IFERROR(__xludf.DUMMYFUNCTION("""COMPUTED_VALUE"""),23.02)</f>
        <v>23.02</v>
      </c>
      <c r="C1634" s="112">
        <f ca="1">IFERROR(__xludf.DUMMYFUNCTION("""COMPUTED_VALUE"""),42675.7055555555)</f>
        <v>42675.705555555498</v>
      </c>
      <c r="D1634" s="111">
        <f ca="1">IFERROR(__xludf.DUMMYFUNCTION("""COMPUTED_VALUE"""),24.83)</f>
        <v>24.83</v>
      </c>
      <c r="E1634" s="112">
        <f ca="1">IFERROR(__xludf.DUMMYFUNCTION("""COMPUTED_VALUE"""),42677.7055555555)</f>
        <v>42677.705555555498</v>
      </c>
      <c r="F1634" s="111">
        <f ca="1">IFERROR(__xludf.DUMMYFUNCTION("""COMPUTED_VALUE"""),7.84)</f>
        <v>7.84</v>
      </c>
      <c r="G1634" s="112">
        <f ca="1">IFERROR(__xludf.DUMMYFUNCTION("""COMPUTED_VALUE"""),42670.7055555555)</f>
        <v>42670.705555555498</v>
      </c>
      <c r="H1634" s="111">
        <f ca="1">IFERROR(__xludf.DUMMYFUNCTION("""COMPUTED_VALUE"""),18.09)</f>
        <v>18.09</v>
      </c>
      <c r="K1634" s="112">
        <f ca="1">IFERROR(__xludf.DUMMYFUNCTION("""COMPUTED_VALUE"""),43123.7055555555)</f>
        <v>43123.705555555498</v>
      </c>
      <c r="L1634" s="111">
        <f ca="1">IFERROR(__xludf.DUMMYFUNCTION("""COMPUTED_VALUE"""),2.34)</f>
        <v>2.34</v>
      </c>
      <c r="M1634" s="112">
        <f ca="1">IFERROR(__xludf.DUMMYFUNCTION("""COMPUTED_VALUE"""),42585.7055555555)</f>
        <v>42585.705555555498</v>
      </c>
      <c r="N1634" s="111">
        <f ca="1">IFERROR(__xludf.DUMMYFUNCTION("""COMPUTED_VALUE"""),16.32)</f>
        <v>16.32</v>
      </c>
      <c r="O1634" s="112">
        <f ca="1">IFERROR(__xludf.DUMMYFUNCTION("""COMPUTED_VALUE"""),42661.7055555555)</f>
        <v>42661.705555555498</v>
      </c>
      <c r="P1634" s="111">
        <f ca="1">IFERROR(__xludf.DUMMYFUNCTION("""COMPUTED_VALUE"""),18.77)</f>
        <v>18.77</v>
      </c>
      <c r="Q1634" s="112">
        <f ca="1">IFERROR(__xludf.DUMMYFUNCTION("""COMPUTED_VALUE"""),42660.7055555555)</f>
        <v>42660.705555555498</v>
      </c>
      <c r="R1634" s="111">
        <f ca="1">IFERROR(__xludf.DUMMYFUNCTION("""COMPUTED_VALUE"""),27.48)</f>
        <v>27.48</v>
      </c>
      <c r="S1634" s="112">
        <f ca="1">IFERROR(__xludf.DUMMYFUNCTION("""COMPUTED_VALUE"""),42670.7055555555)</f>
        <v>42670.705555555498</v>
      </c>
      <c r="T1634" s="111">
        <f ca="1">IFERROR(__xludf.DUMMYFUNCTION("""COMPUTED_VALUE"""),19.83)</f>
        <v>19.829999999999998</v>
      </c>
    </row>
    <row r="1635" spans="1:20" x14ac:dyDescent="0.3">
      <c r="A1635" s="112">
        <f ca="1">IFERROR(__xludf.DUMMYFUNCTION("""COMPUTED_VALUE"""),42669.7055555555)</f>
        <v>42669.705555555498</v>
      </c>
      <c r="B1635" s="111">
        <f ca="1">IFERROR(__xludf.DUMMYFUNCTION("""COMPUTED_VALUE"""),22.92)</f>
        <v>22.92</v>
      </c>
      <c r="C1635" s="112">
        <f ca="1">IFERROR(__xludf.DUMMYFUNCTION("""COMPUTED_VALUE"""),42677.7055555555)</f>
        <v>42677.705555555498</v>
      </c>
      <c r="D1635" s="111">
        <f ca="1">IFERROR(__xludf.DUMMYFUNCTION("""COMPUTED_VALUE"""),24.3)</f>
        <v>24.3</v>
      </c>
      <c r="E1635" s="112">
        <f ca="1">IFERROR(__xludf.DUMMYFUNCTION("""COMPUTED_VALUE"""),42678.7055555555)</f>
        <v>42678.705555555498</v>
      </c>
      <c r="F1635" s="111">
        <f ca="1">IFERROR(__xludf.DUMMYFUNCTION("""COMPUTED_VALUE"""),7.99)</f>
        <v>7.99</v>
      </c>
      <c r="G1635" s="112">
        <f ca="1">IFERROR(__xludf.DUMMYFUNCTION("""COMPUTED_VALUE"""),42671.7055555555)</f>
        <v>42671.705555555498</v>
      </c>
      <c r="H1635" s="111">
        <f ca="1">IFERROR(__xludf.DUMMYFUNCTION("""COMPUTED_VALUE"""),18.09)</f>
        <v>18.09</v>
      </c>
      <c r="K1635" s="112">
        <f ca="1">IFERROR(__xludf.DUMMYFUNCTION("""COMPUTED_VALUE"""),43124.7055555555)</f>
        <v>43124.705555555498</v>
      </c>
      <c r="L1635" s="111">
        <f ca="1">IFERROR(__xludf.DUMMYFUNCTION("""COMPUTED_VALUE"""),2.53)</f>
        <v>2.5299999999999998</v>
      </c>
      <c r="M1635" s="112">
        <f ca="1">IFERROR(__xludf.DUMMYFUNCTION("""COMPUTED_VALUE"""),42586.7055555555)</f>
        <v>42586.705555555498</v>
      </c>
      <c r="N1635" s="111">
        <f ca="1">IFERROR(__xludf.DUMMYFUNCTION("""COMPUTED_VALUE"""),16.5)</f>
        <v>16.5</v>
      </c>
      <c r="O1635" s="112">
        <f ca="1">IFERROR(__xludf.DUMMYFUNCTION("""COMPUTED_VALUE"""),42662.7055555555)</f>
        <v>42662.705555555498</v>
      </c>
      <c r="P1635" s="111">
        <f ca="1">IFERROR(__xludf.DUMMYFUNCTION("""COMPUTED_VALUE"""),18.62)</f>
        <v>18.62</v>
      </c>
      <c r="Q1635" s="112">
        <f ca="1">IFERROR(__xludf.DUMMYFUNCTION("""COMPUTED_VALUE"""),42661.7055555555)</f>
        <v>42661.705555555498</v>
      </c>
      <c r="R1635" s="111">
        <f ca="1">IFERROR(__xludf.DUMMYFUNCTION("""COMPUTED_VALUE"""),28.05)</f>
        <v>28.05</v>
      </c>
      <c r="S1635" s="112">
        <f ca="1">IFERROR(__xludf.DUMMYFUNCTION("""COMPUTED_VALUE"""),42671.7055555555)</f>
        <v>42671.705555555498</v>
      </c>
      <c r="T1635" s="111">
        <f ca="1">IFERROR(__xludf.DUMMYFUNCTION("""COMPUTED_VALUE"""),19.91)</f>
        <v>19.91</v>
      </c>
    </row>
    <row r="1636" spans="1:20" x14ac:dyDescent="0.3">
      <c r="A1636" s="112">
        <f ca="1">IFERROR(__xludf.DUMMYFUNCTION("""COMPUTED_VALUE"""),42670.7055555555)</f>
        <v>42670.705555555498</v>
      </c>
      <c r="B1636" s="111">
        <f ca="1">IFERROR(__xludf.DUMMYFUNCTION("""COMPUTED_VALUE"""),23.2)</f>
        <v>23.2</v>
      </c>
      <c r="C1636" s="112">
        <f ca="1">IFERROR(__xludf.DUMMYFUNCTION("""COMPUTED_VALUE"""),42678.7055555555)</f>
        <v>42678.705555555498</v>
      </c>
      <c r="D1636" s="111">
        <f ca="1">IFERROR(__xludf.DUMMYFUNCTION("""COMPUTED_VALUE"""),24.5)</f>
        <v>24.5</v>
      </c>
      <c r="E1636" s="112">
        <f ca="1">IFERROR(__xludf.DUMMYFUNCTION("""COMPUTED_VALUE"""),42681.7055555555)</f>
        <v>42681.705555555498</v>
      </c>
      <c r="F1636" s="111">
        <f ca="1">IFERROR(__xludf.DUMMYFUNCTION("""COMPUTED_VALUE"""),8.18)</f>
        <v>8.18</v>
      </c>
      <c r="G1636" s="112">
        <f ca="1">IFERROR(__xludf.DUMMYFUNCTION("""COMPUTED_VALUE"""),42674.7055555555)</f>
        <v>42674.705555555498</v>
      </c>
      <c r="H1636" s="111">
        <f ca="1">IFERROR(__xludf.DUMMYFUNCTION("""COMPUTED_VALUE"""),17.69)</f>
        <v>17.690000000000001</v>
      </c>
      <c r="K1636" s="112">
        <f ca="1">IFERROR(__xludf.DUMMYFUNCTION("""COMPUTED_VALUE"""),43126.7055555555)</f>
        <v>43126.705555555498</v>
      </c>
      <c r="L1636" s="111">
        <f ca="1">IFERROR(__xludf.DUMMYFUNCTION("""COMPUTED_VALUE"""),2.59)</f>
        <v>2.59</v>
      </c>
      <c r="M1636" s="112">
        <f ca="1">IFERROR(__xludf.DUMMYFUNCTION("""COMPUTED_VALUE"""),42587.7055555555)</f>
        <v>42587.705555555498</v>
      </c>
      <c r="N1636" s="111">
        <f ca="1">IFERROR(__xludf.DUMMYFUNCTION("""COMPUTED_VALUE"""),16.6)</f>
        <v>16.600000000000001</v>
      </c>
      <c r="O1636" s="112">
        <f ca="1">IFERROR(__xludf.DUMMYFUNCTION("""COMPUTED_VALUE"""),42663.7055555555)</f>
        <v>42663.705555555498</v>
      </c>
      <c r="P1636" s="111">
        <f ca="1">IFERROR(__xludf.DUMMYFUNCTION("""COMPUTED_VALUE"""),19.1)</f>
        <v>19.100000000000001</v>
      </c>
      <c r="Q1636" s="112">
        <f ca="1">IFERROR(__xludf.DUMMYFUNCTION("""COMPUTED_VALUE"""),42662.7055555555)</f>
        <v>42662.705555555498</v>
      </c>
      <c r="R1636" s="111">
        <f ca="1">IFERROR(__xludf.DUMMYFUNCTION("""COMPUTED_VALUE"""),27.53)</f>
        <v>27.53</v>
      </c>
      <c r="S1636" s="112">
        <f ca="1">IFERROR(__xludf.DUMMYFUNCTION("""COMPUTED_VALUE"""),42674.7055555555)</f>
        <v>42674.705555555498</v>
      </c>
      <c r="T1636" s="111">
        <f ca="1">IFERROR(__xludf.DUMMYFUNCTION("""COMPUTED_VALUE"""),20.29)</f>
        <v>20.29</v>
      </c>
    </row>
    <row r="1637" spans="1:20" x14ac:dyDescent="0.3">
      <c r="A1637" s="112">
        <f ca="1">IFERROR(__xludf.DUMMYFUNCTION("""COMPUTED_VALUE"""),42671.7055555555)</f>
        <v>42671.705555555498</v>
      </c>
      <c r="B1637" s="111">
        <f ca="1">IFERROR(__xludf.DUMMYFUNCTION("""COMPUTED_VALUE"""),23.65)</f>
        <v>23.65</v>
      </c>
      <c r="C1637" s="112">
        <f ca="1">IFERROR(__xludf.DUMMYFUNCTION("""COMPUTED_VALUE"""),42681.7055555555)</f>
        <v>42681.705555555498</v>
      </c>
      <c r="D1637" s="111">
        <f ca="1">IFERROR(__xludf.DUMMYFUNCTION("""COMPUTED_VALUE"""),25.38)</f>
        <v>25.38</v>
      </c>
      <c r="E1637" s="112">
        <f ca="1">IFERROR(__xludf.DUMMYFUNCTION("""COMPUTED_VALUE"""),42682.7055555555)</f>
        <v>42682.705555555498</v>
      </c>
      <c r="F1637" s="111">
        <f ca="1">IFERROR(__xludf.DUMMYFUNCTION("""COMPUTED_VALUE"""),8.23)</f>
        <v>8.23</v>
      </c>
      <c r="G1637" s="112">
        <f ca="1">IFERROR(__xludf.DUMMYFUNCTION("""COMPUTED_VALUE"""),42675.7055555555)</f>
        <v>42675.705555555498</v>
      </c>
      <c r="H1637" s="111">
        <f ca="1">IFERROR(__xludf.DUMMYFUNCTION("""COMPUTED_VALUE"""),16.86)</f>
        <v>16.86</v>
      </c>
      <c r="K1637" s="112">
        <f ca="1">IFERROR(__xludf.DUMMYFUNCTION("""COMPUTED_VALUE"""),43129.7055555555)</f>
        <v>43129.705555555498</v>
      </c>
      <c r="L1637" s="111">
        <f ca="1">IFERROR(__xludf.DUMMYFUNCTION("""COMPUTED_VALUE"""),2.64)</f>
        <v>2.64</v>
      </c>
      <c r="M1637" s="112">
        <f ca="1">IFERROR(__xludf.DUMMYFUNCTION("""COMPUTED_VALUE"""),42590.7055555555)</f>
        <v>42590.705555555498</v>
      </c>
      <c r="N1637" s="111">
        <f ca="1">IFERROR(__xludf.DUMMYFUNCTION("""COMPUTED_VALUE"""),16.44)</f>
        <v>16.440000000000001</v>
      </c>
      <c r="O1637" s="112">
        <f ca="1">IFERROR(__xludf.DUMMYFUNCTION("""COMPUTED_VALUE"""),42664.7055555555)</f>
        <v>42664.705555555498</v>
      </c>
      <c r="P1637" s="111">
        <f ca="1">IFERROR(__xludf.DUMMYFUNCTION("""COMPUTED_VALUE"""),19.91)</f>
        <v>19.91</v>
      </c>
      <c r="Q1637" s="112">
        <f ca="1">IFERROR(__xludf.DUMMYFUNCTION("""COMPUTED_VALUE"""),42663.7055555555)</f>
        <v>42663.705555555498</v>
      </c>
      <c r="R1637" s="111">
        <f ca="1">IFERROR(__xludf.DUMMYFUNCTION("""COMPUTED_VALUE"""),28.1)</f>
        <v>28.1</v>
      </c>
      <c r="S1637" s="112">
        <f ca="1">IFERROR(__xludf.DUMMYFUNCTION("""COMPUTED_VALUE"""),42675.7055555555)</f>
        <v>42675.705555555498</v>
      </c>
      <c r="T1637" s="111">
        <f ca="1">IFERROR(__xludf.DUMMYFUNCTION("""COMPUTED_VALUE"""),19.68)</f>
        <v>19.68</v>
      </c>
    </row>
    <row r="1638" spans="1:20" x14ac:dyDescent="0.3">
      <c r="A1638" s="112">
        <f ca="1">IFERROR(__xludf.DUMMYFUNCTION("""COMPUTED_VALUE"""),42674.7055555555)</f>
        <v>42674.705555555498</v>
      </c>
      <c r="B1638" s="111">
        <f ca="1">IFERROR(__xludf.DUMMYFUNCTION("""COMPUTED_VALUE"""),23.44)</f>
        <v>23.44</v>
      </c>
      <c r="C1638" s="112">
        <f ca="1">IFERROR(__xludf.DUMMYFUNCTION("""COMPUTED_VALUE"""),42682.7055555555)</f>
        <v>42682.705555555498</v>
      </c>
      <c r="D1638" s="111">
        <f ca="1">IFERROR(__xludf.DUMMYFUNCTION("""COMPUTED_VALUE"""),25.44)</f>
        <v>25.44</v>
      </c>
      <c r="E1638" s="112">
        <f ca="1">IFERROR(__xludf.DUMMYFUNCTION("""COMPUTED_VALUE"""),42683.7055555555)</f>
        <v>42683.705555555498</v>
      </c>
      <c r="F1638" s="111">
        <f ca="1">IFERROR(__xludf.DUMMYFUNCTION("""COMPUTED_VALUE"""),8.05)</f>
        <v>8.0500000000000007</v>
      </c>
      <c r="G1638" s="112">
        <f ca="1">IFERROR(__xludf.DUMMYFUNCTION("""COMPUTED_VALUE"""),42677.7055555555)</f>
        <v>42677.705555555498</v>
      </c>
      <c r="H1638" s="111">
        <f ca="1">IFERROR(__xludf.DUMMYFUNCTION("""COMPUTED_VALUE"""),16.13)</f>
        <v>16.13</v>
      </c>
      <c r="K1638" s="112">
        <f ca="1">IFERROR(__xludf.DUMMYFUNCTION("""COMPUTED_VALUE"""),43130.7055555555)</f>
        <v>43130.705555555498</v>
      </c>
      <c r="L1638" s="111">
        <f ca="1">IFERROR(__xludf.DUMMYFUNCTION("""COMPUTED_VALUE"""),2.65)</f>
        <v>2.65</v>
      </c>
      <c r="M1638" s="112">
        <f ca="1">IFERROR(__xludf.DUMMYFUNCTION("""COMPUTED_VALUE"""),42591.7055555555)</f>
        <v>42591.705555555498</v>
      </c>
      <c r="N1638" s="111">
        <f ca="1">IFERROR(__xludf.DUMMYFUNCTION("""COMPUTED_VALUE"""),16.35)</f>
        <v>16.350000000000001</v>
      </c>
      <c r="O1638" s="112">
        <f ca="1">IFERROR(__xludf.DUMMYFUNCTION("""COMPUTED_VALUE"""),42667.7055555555)</f>
        <v>42667.705555555498</v>
      </c>
      <c r="P1638" s="111">
        <f ca="1">IFERROR(__xludf.DUMMYFUNCTION("""COMPUTED_VALUE"""),20.3)</f>
        <v>20.3</v>
      </c>
      <c r="Q1638" s="112">
        <f ca="1">IFERROR(__xludf.DUMMYFUNCTION("""COMPUTED_VALUE"""),42664.7055555555)</f>
        <v>42664.705555555498</v>
      </c>
      <c r="R1638" s="111">
        <f ca="1">IFERROR(__xludf.DUMMYFUNCTION("""COMPUTED_VALUE"""),28.45)</f>
        <v>28.45</v>
      </c>
      <c r="S1638" s="112">
        <f ca="1">IFERROR(__xludf.DUMMYFUNCTION("""COMPUTED_VALUE"""),42677.7055555555)</f>
        <v>42677.705555555498</v>
      </c>
      <c r="T1638" s="111">
        <f ca="1">IFERROR(__xludf.DUMMYFUNCTION("""COMPUTED_VALUE"""),18.8)</f>
        <v>18.8</v>
      </c>
    </row>
    <row r="1639" spans="1:20" x14ac:dyDescent="0.3">
      <c r="A1639" s="112">
        <f ca="1">IFERROR(__xludf.DUMMYFUNCTION("""COMPUTED_VALUE"""),42675.7055555555)</f>
        <v>42675.705555555498</v>
      </c>
      <c r="B1639" s="111">
        <f ca="1">IFERROR(__xludf.DUMMYFUNCTION("""COMPUTED_VALUE"""),23.01)</f>
        <v>23.01</v>
      </c>
      <c r="C1639" s="112">
        <f ca="1">IFERROR(__xludf.DUMMYFUNCTION("""COMPUTED_VALUE"""),42683.7055555555)</f>
        <v>42683.705555555498</v>
      </c>
      <c r="D1639" s="111">
        <f ca="1">IFERROR(__xludf.DUMMYFUNCTION("""COMPUTED_VALUE"""),24.63)</f>
        <v>24.63</v>
      </c>
      <c r="E1639" s="112">
        <f ca="1">IFERROR(__xludf.DUMMYFUNCTION("""COMPUTED_VALUE"""),42684.7055555555)</f>
        <v>42684.705555555498</v>
      </c>
      <c r="F1639" s="111">
        <f ca="1">IFERROR(__xludf.DUMMYFUNCTION("""COMPUTED_VALUE"""),7.64)</f>
        <v>7.64</v>
      </c>
      <c r="G1639" s="112">
        <f ca="1">IFERROR(__xludf.DUMMYFUNCTION("""COMPUTED_VALUE"""),42678.7055555555)</f>
        <v>42678.705555555498</v>
      </c>
      <c r="H1639" s="111">
        <f ca="1">IFERROR(__xludf.DUMMYFUNCTION("""COMPUTED_VALUE"""),15.99)</f>
        <v>15.99</v>
      </c>
      <c r="K1639" s="112">
        <f ca="1">IFERROR(__xludf.DUMMYFUNCTION("""COMPUTED_VALUE"""),43131.7055555555)</f>
        <v>43131.705555555498</v>
      </c>
      <c r="L1639" s="111">
        <f ca="1">IFERROR(__xludf.DUMMYFUNCTION("""COMPUTED_VALUE"""),2.64)</f>
        <v>2.64</v>
      </c>
      <c r="M1639" s="112">
        <f ca="1">IFERROR(__xludf.DUMMYFUNCTION("""COMPUTED_VALUE"""),42592.7055555555)</f>
        <v>42592.705555555498</v>
      </c>
      <c r="N1639" s="111">
        <f ca="1">IFERROR(__xludf.DUMMYFUNCTION("""COMPUTED_VALUE"""),16.12)</f>
        <v>16.12</v>
      </c>
      <c r="O1639" s="112">
        <f ca="1">IFERROR(__xludf.DUMMYFUNCTION("""COMPUTED_VALUE"""),42668.7055555555)</f>
        <v>42668.705555555498</v>
      </c>
      <c r="P1639" s="111">
        <f ca="1">IFERROR(__xludf.DUMMYFUNCTION("""COMPUTED_VALUE"""),21.35)</f>
        <v>21.35</v>
      </c>
      <c r="Q1639" s="112">
        <f ca="1">IFERROR(__xludf.DUMMYFUNCTION("""COMPUTED_VALUE"""),42667.7055555555)</f>
        <v>42667.705555555498</v>
      </c>
      <c r="R1639" s="111">
        <f ca="1">IFERROR(__xludf.DUMMYFUNCTION("""COMPUTED_VALUE"""),28.22)</f>
        <v>28.22</v>
      </c>
      <c r="S1639" s="112">
        <f ca="1">IFERROR(__xludf.DUMMYFUNCTION("""COMPUTED_VALUE"""),42678.7055555555)</f>
        <v>42678.705555555498</v>
      </c>
      <c r="T1639" s="111">
        <f ca="1">IFERROR(__xludf.DUMMYFUNCTION("""COMPUTED_VALUE"""),18.25)</f>
        <v>18.25</v>
      </c>
    </row>
    <row r="1640" spans="1:20" x14ac:dyDescent="0.3">
      <c r="A1640" s="112">
        <f ca="1">IFERROR(__xludf.DUMMYFUNCTION("""COMPUTED_VALUE"""),42677.7055555555)</f>
        <v>42677.705555555498</v>
      </c>
      <c r="B1640" s="111">
        <f ca="1">IFERROR(__xludf.DUMMYFUNCTION("""COMPUTED_VALUE"""),22.53)</f>
        <v>22.53</v>
      </c>
      <c r="C1640" s="112">
        <f ca="1">IFERROR(__xludf.DUMMYFUNCTION("""COMPUTED_VALUE"""),42684.7055555555)</f>
        <v>42684.705555555498</v>
      </c>
      <c r="D1640" s="111">
        <f ca="1">IFERROR(__xludf.DUMMYFUNCTION("""COMPUTED_VALUE"""),23.4)</f>
        <v>23.4</v>
      </c>
      <c r="E1640" s="112">
        <f ca="1">IFERROR(__xludf.DUMMYFUNCTION("""COMPUTED_VALUE"""),42685.7055555555)</f>
        <v>42685.705555555498</v>
      </c>
      <c r="F1640" s="111">
        <f ca="1">IFERROR(__xludf.DUMMYFUNCTION("""COMPUTED_VALUE"""),7.43)</f>
        <v>7.43</v>
      </c>
      <c r="G1640" s="112">
        <f ca="1">IFERROR(__xludf.DUMMYFUNCTION("""COMPUTED_VALUE"""),42681.7055555555)</f>
        <v>42681.705555555498</v>
      </c>
      <c r="H1640" s="111">
        <f ca="1">IFERROR(__xludf.DUMMYFUNCTION("""COMPUTED_VALUE"""),17.21)</f>
        <v>17.21</v>
      </c>
      <c r="K1640" s="112">
        <f ca="1">IFERROR(__xludf.DUMMYFUNCTION("""COMPUTED_VALUE"""),43132.7055555555)</f>
        <v>43132.705555555498</v>
      </c>
      <c r="L1640" s="111">
        <f ca="1">IFERROR(__xludf.DUMMYFUNCTION("""COMPUTED_VALUE"""),2.68)</f>
        <v>2.68</v>
      </c>
      <c r="M1640" s="112">
        <f ca="1">IFERROR(__xludf.DUMMYFUNCTION("""COMPUTED_VALUE"""),42593.7055555555)</f>
        <v>42593.705555555498</v>
      </c>
      <c r="N1640" s="111">
        <f ca="1">IFERROR(__xludf.DUMMYFUNCTION("""COMPUTED_VALUE"""),16.6)</f>
        <v>16.600000000000001</v>
      </c>
      <c r="O1640" s="112">
        <f ca="1">IFERROR(__xludf.DUMMYFUNCTION("""COMPUTED_VALUE"""),42669.7055555555)</f>
        <v>42669.705555555498</v>
      </c>
      <c r="P1640" s="111">
        <f ca="1">IFERROR(__xludf.DUMMYFUNCTION("""COMPUTED_VALUE"""),21.77)</f>
        <v>21.77</v>
      </c>
      <c r="Q1640" s="112">
        <f ca="1">IFERROR(__xludf.DUMMYFUNCTION("""COMPUTED_VALUE"""),42668.7055555555)</f>
        <v>42668.705555555498</v>
      </c>
      <c r="R1640" s="111">
        <f ca="1">IFERROR(__xludf.DUMMYFUNCTION("""COMPUTED_VALUE"""),27.55)</f>
        <v>27.55</v>
      </c>
      <c r="S1640" s="112">
        <f ca="1">IFERROR(__xludf.DUMMYFUNCTION("""COMPUTED_VALUE"""),42681.7055555555)</f>
        <v>42681.705555555498</v>
      </c>
      <c r="T1640" s="111">
        <f ca="1">IFERROR(__xludf.DUMMYFUNCTION("""COMPUTED_VALUE"""),18.85)</f>
        <v>18.850000000000001</v>
      </c>
    </row>
    <row r="1641" spans="1:20" x14ac:dyDescent="0.3">
      <c r="A1641" s="112">
        <f ca="1">IFERROR(__xludf.DUMMYFUNCTION("""COMPUTED_VALUE"""),42678.7055555555)</f>
        <v>42678.705555555498</v>
      </c>
      <c r="B1641" s="111">
        <f ca="1">IFERROR(__xludf.DUMMYFUNCTION("""COMPUTED_VALUE"""),22.47)</f>
        <v>22.47</v>
      </c>
      <c r="C1641" s="112">
        <f ca="1">IFERROR(__xludf.DUMMYFUNCTION("""COMPUTED_VALUE"""),42685.7055555555)</f>
        <v>42685.705555555498</v>
      </c>
      <c r="D1641" s="111">
        <f ca="1">IFERROR(__xludf.DUMMYFUNCTION("""COMPUTED_VALUE"""),23.1)</f>
        <v>23.1</v>
      </c>
      <c r="E1641" s="112">
        <f ca="1">IFERROR(__xludf.DUMMYFUNCTION("""COMPUTED_VALUE"""),42688.7055555555)</f>
        <v>42688.705555555498</v>
      </c>
      <c r="F1641" s="111">
        <f ca="1">IFERROR(__xludf.DUMMYFUNCTION("""COMPUTED_VALUE"""),7.42)</f>
        <v>7.42</v>
      </c>
      <c r="G1641" s="112">
        <f ca="1">IFERROR(__xludf.DUMMYFUNCTION("""COMPUTED_VALUE"""),42682.7055555555)</f>
        <v>42682.705555555498</v>
      </c>
      <c r="H1641" s="111">
        <f ca="1">IFERROR(__xludf.DUMMYFUNCTION("""COMPUTED_VALUE"""),17.04)</f>
        <v>17.04</v>
      </c>
      <c r="K1641" s="112">
        <f ca="1">IFERROR(__xludf.DUMMYFUNCTION("""COMPUTED_VALUE"""),43133.7055555555)</f>
        <v>43133.705555555498</v>
      </c>
      <c r="L1641" s="111">
        <f ca="1">IFERROR(__xludf.DUMMYFUNCTION("""COMPUTED_VALUE"""),2.62)</f>
        <v>2.62</v>
      </c>
      <c r="M1641" s="112">
        <f ca="1">IFERROR(__xludf.DUMMYFUNCTION("""COMPUTED_VALUE"""),42594.7055555555)</f>
        <v>42594.705555555498</v>
      </c>
      <c r="N1641" s="111">
        <f ca="1">IFERROR(__xludf.DUMMYFUNCTION("""COMPUTED_VALUE"""),16.62)</f>
        <v>16.62</v>
      </c>
      <c r="O1641" s="112">
        <f ca="1">IFERROR(__xludf.DUMMYFUNCTION("""COMPUTED_VALUE"""),42670.7055555555)</f>
        <v>42670.705555555498</v>
      </c>
      <c r="P1641" s="111">
        <f ca="1">IFERROR(__xludf.DUMMYFUNCTION("""COMPUTED_VALUE"""),22)</f>
        <v>22</v>
      </c>
      <c r="Q1641" s="112">
        <f ca="1">IFERROR(__xludf.DUMMYFUNCTION("""COMPUTED_VALUE"""),42669.7055555555)</f>
        <v>42669.705555555498</v>
      </c>
      <c r="R1641" s="111">
        <f ca="1">IFERROR(__xludf.DUMMYFUNCTION("""COMPUTED_VALUE"""),27.34)</f>
        <v>27.34</v>
      </c>
      <c r="S1641" s="112">
        <f ca="1">IFERROR(__xludf.DUMMYFUNCTION("""COMPUTED_VALUE"""),42682.7055555555)</f>
        <v>42682.705555555498</v>
      </c>
      <c r="T1641" s="111">
        <f ca="1">IFERROR(__xludf.DUMMYFUNCTION("""COMPUTED_VALUE"""),18.7)</f>
        <v>18.7</v>
      </c>
    </row>
    <row r="1642" spans="1:20" x14ac:dyDescent="0.3">
      <c r="A1642" s="112">
        <f ca="1">IFERROR(__xludf.DUMMYFUNCTION("""COMPUTED_VALUE"""),42681.7055555555)</f>
        <v>42681.705555555498</v>
      </c>
      <c r="B1642" s="111">
        <f ca="1">IFERROR(__xludf.DUMMYFUNCTION("""COMPUTED_VALUE"""),22.84)</f>
        <v>22.84</v>
      </c>
      <c r="C1642" s="112">
        <f ca="1">IFERROR(__xludf.DUMMYFUNCTION("""COMPUTED_VALUE"""),42688.7055555555)</f>
        <v>42688.705555555498</v>
      </c>
      <c r="D1642" s="111">
        <f ca="1">IFERROR(__xludf.DUMMYFUNCTION("""COMPUTED_VALUE"""),22.96)</f>
        <v>22.96</v>
      </c>
      <c r="E1642" s="112">
        <f ca="1">IFERROR(__xludf.DUMMYFUNCTION("""COMPUTED_VALUE"""),42690.7055555555)</f>
        <v>42690.705555555498</v>
      </c>
      <c r="F1642" s="111">
        <f ca="1">IFERROR(__xludf.DUMMYFUNCTION("""COMPUTED_VALUE"""),7.66)</f>
        <v>7.66</v>
      </c>
      <c r="G1642" s="112">
        <f ca="1">IFERROR(__xludf.DUMMYFUNCTION("""COMPUTED_VALUE"""),42683.7055555555)</f>
        <v>42683.705555555498</v>
      </c>
      <c r="H1642" s="111">
        <f ca="1">IFERROR(__xludf.DUMMYFUNCTION("""COMPUTED_VALUE"""),16.65)</f>
        <v>16.649999999999999</v>
      </c>
      <c r="K1642" s="112">
        <f ca="1">IFERROR(__xludf.DUMMYFUNCTION("""COMPUTED_VALUE"""),43136.7055555555)</f>
        <v>43136.705555555498</v>
      </c>
      <c r="L1642" s="111">
        <f ca="1">IFERROR(__xludf.DUMMYFUNCTION("""COMPUTED_VALUE"""),2.52)</f>
        <v>2.52</v>
      </c>
      <c r="M1642" s="112">
        <f ca="1">IFERROR(__xludf.DUMMYFUNCTION("""COMPUTED_VALUE"""),42597.7055555555)</f>
        <v>42597.705555555498</v>
      </c>
      <c r="N1642" s="111">
        <f ca="1">IFERROR(__xludf.DUMMYFUNCTION("""COMPUTED_VALUE"""),16.86)</f>
        <v>16.86</v>
      </c>
      <c r="O1642" s="112">
        <f ca="1">IFERROR(__xludf.DUMMYFUNCTION("""COMPUTED_VALUE"""),42671.7055555555)</f>
        <v>42671.705555555498</v>
      </c>
      <c r="P1642" s="111">
        <f ca="1">IFERROR(__xludf.DUMMYFUNCTION("""COMPUTED_VALUE"""),22.14)</f>
        <v>22.14</v>
      </c>
      <c r="Q1642" s="112">
        <f ca="1">IFERROR(__xludf.DUMMYFUNCTION("""COMPUTED_VALUE"""),42670.7055555555)</f>
        <v>42670.705555555498</v>
      </c>
      <c r="R1642" s="111">
        <f ca="1">IFERROR(__xludf.DUMMYFUNCTION("""COMPUTED_VALUE"""),28.74)</f>
        <v>28.74</v>
      </c>
      <c r="S1642" s="112">
        <f ca="1">IFERROR(__xludf.DUMMYFUNCTION("""COMPUTED_VALUE"""),42683.7055555555)</f>
        <v>42683.705555555498</v>
      </c>
      <c r="T1642" s="111">
        <f ca="1">IFERROR(__xludf.DUMMYFUNCTION("""COMPUTED_VALUE"""),18.41)</f>
        <v>18.41</v>
      </c>
    </row>
    <row r="1643" spans="1:20" x14ac:dyDescent="0.3">
      <c r="A1643" s="112">
        <f ca="1">IFERROR(__xludf.DUMMYFUNCTION("""COMPUTED_VALUE"""),42682.7055555555)</f>
        <v>42682.705555555498</v>
      </c>
      <c r="B1643" s="111">
        <f ca="1">IFERROR(__xludf.DUMMYFUNCTION("""COMPUTED_VALUE"""),23)</f>
        <v>23</v>
      </c>
      <c r="C1643" s="112">
        <f ca="1">IFERROR(__xludf.DUMMYFUNCTION("""COMPUTED_VALUE"""),42690.7055555555)</f>
        <v>42690.705555555498</v>
      </c>
      <c r="D1643" s="111">
        <f ca="1">IFERROR(__xludf.DUMMYFUNCTION("""COMPUTED_VALUE"""),24.09)</f>
        <v>24.09</v>
      </c>
      <c r="E1643" s="112">
        <f ca="1">IFERROR(__xludf.DUMMYFUNCTION("""COMPUTED_VALUE"""),42691.7055555555)</f>
        <v>42691.705555555498</v>
      </c>
      <c r="F1643" s="111">
        <f ca="1">IFERROR(__xludf.DUMMYFUNCTION("""COMPUTED_VALUE"""),7.48)</f>
        <v>7.48</v>
      </c>
      <c r="G1643" s="112">
        <f ca="1">IFERROR(__xludf.DUMMYFUNCTION("""COMPUTED_VALUE"""),42684.7055555555)</f>
        <v>42684.705555555498</v>
      </c>
      <c r="H1643" s="111">
        <f ca="1">IFERROR(__xludf.DUMMYFUNCTION("""COMPUTED_VALUE"""),15.5)</f>
        <v>15.5</v>
      </c>
      <c r="K1643" s="112">
        <f ca="1">IFERROR(__xludf.DUMMYFUNCTION("""COMPUTED_VALUE"""),43137.7055555555)</f>
        <v>43137.705555555498</v>
      </c>
      <c r="L1643" s="111">
        <f ca="1">IFERROR(__xludf.DUMMYFUNCTION("""COMPUTED_VALUE"""),2.55)</f>
        <v>2.5499999999999998</v>
      </c>
      <c r="M1643" s="112">
        <f ca="1">IFERROR(__xludf.DUMMYFUNCTION("""COMPUTED_VALUE"""),42598.7055555555)</f>
        <v>42598.705555555498</v>
      </c>
      <c r="N1643" s="111">
        <f ca="1">IFERROR(__xludf.DUMMYFUNCTION("""COMPUTED_VALUE"""),16.61)</f>
        <v>16.61</v>
      </c>
      <c r="O1643" s="112">
        <f ca="1">IFERROR(__xludf.DUMMYFUNCTION("""COMPUTED_VALUE"""),42674.7055555555)</f>
        <v>42674.705555555498</v>
      </c>
      <c r="P1643" s="111">
        <f ca="1">IFERROR(__xludf.DUMMYFUNCTION("""COMPUTED_VALUE"""),22.08)</f>
        <v>22.08</v>
      </c>
      <c r="Q1643" s="112">
        <f ca="1">IFERROR(__xludf.DUMMYFUNCTION("""COMPUTED_VALUE"""),42671.7055555555)</f>
        <v>42671.705555555498</v>
      </c>
      <c r="R1643" s="111">
        <f ca="1">IFERROR(__xludf.DUMMYFUNCTION("""COMPUTED_VALUE"""),28.29)</f>
        <v>28.29</v>
      </c>
      <c r="S1643" s="112">
        <f ca="1">IFERROR(__xludf.DUMMYFUNCTION("""COMPUTED_VALUE"""),42684.7055555555)</f>
        <v>42684.705555555498</v>
      </c>
      <c r="T1643" s="111">
        <f ca="1">IFERROR(__xludf.DUMMYFUNCTION("""COMPUTED_VALUE"""),17.51)</f>
        <v>17.510000000000002</v>
      </c>
    </row>
    <row r="1644" spans="1:20" x14ac:dyDescent="0.3">
      <c r="A1644" s="112">
        <f ca="1">IFERROR(__xludf.DUMMYFUNCTION("""COMPUTED_VALUE"""),42683.7055555555)</f>
        <v>42683.705555555498</v>
      </c>
      <c r="B1644" s="111">
        <f ca="1">IFERROR(__xludf.DUMMYFUNCTION("""COMPUTED_VALUE"""),23.25)</f>
        <v>23.25</v>
      </c>
      <c r="C1644" s="112">
        <f ca="1">IFERROR(__xludf.DUMMYFUNCTION("""COMPUTED_VALUE"""),42691.7055555555)</f>
        <v>42691.705555555498</v>
      </c>
      <c r="D1644" s="111">
        <f ca="1">IFERROR(__xludf.DUMMYFUNCTION("""COMPUTED_VALUE"""),23.37)</f>
        <v>23.37</v>
      </c>
      <c r="E1644" s="112">
        <f ca="1">IFERROR(__xludf.DUMMYFUNCTION("""COMPUTED_VALUE"""),42692.7055555555)</f>
        <v>42692.705555555498</v>
      </c>
      <c r="F1644" s="111">
        <f ca="1">IFERROR(__xludf.DUMMYFUNCTION("""COMPUTED_VALUE"""),7.6)</f>
        <v>7.6</v>
      </c>
      <c r="G1644" s="112">
        <f ca="1">IFERROR(__xludf.DUMMYFUNCTION("""COMPUTED_VALUE"""),42685.7055555555)</f>
        <v>42685.705555555498</v>
      </c>
      <c r="H1644" s="111">
        <f ca="1">IFERROR(__xludf.DUMMYFUNCTION("""COMPUTED_VALUE"""),14.01)</f>
        <v>14.01</v>
      </c>
      <c r="K1644" s="112">
        <f ca="1">IFERROR(__xludf.DUMMYFUNCTION("""COMPUTED_VALUE"""),43138.7055555555)</f>
        <v>43138.705555555498</v>
      </c>
      <c r="L1644" s="111">
        <f ca="1">IFERROR(__xludf.DUMMYFUNCTION("""COMPUTED_VALUE"""),2.47)</f>
        <v>2.4700000000000002</v>
      </c>
      <c r="M1644" s="112">
        <f ca="1">IFERROR(__xludf.DUMMYFUNCTION("""COMPUTED_VALUE"""),42599.7055555555)</f>
        <v>42599.705555555498</v>
      </c>
      <c r="N1644" s="111">
        <f ca="1">IFERROR(__xludf.DUMMYFUNCTION("""COMPUTED_VALUE"""),16.8)</f>
        <v>16.8</v>
      </c>
      <c r="O1644" s="112">
        <f ca="1">IFERROR(__xludf.DUMMYFUNCTION("""COMPUTED_VALUE"""),42675.7055555555)</f>
        <v>42675.705555555498</v>
      </c>
      <c r="P1644" s="111">
        <f ca="1">IFERROR(__xludf.DUMMYFUNCTION("""COMPUTED_VALUE"""),22.3)</f>
        <v>22.3</v>
      </c>
      <c r="Q1644" s="112">
        <f ca="1">IFERROR(__xludf.DUMMYFUNCTION("""COMPUTED_VALUE"""),42674.7055555555)</f>
        <v>42674.705555555498</v>
      </c>
      <c r="R1644" s="111">
        <f ca="1">IFERROR(__xludf.DUMMYFUNCTION("""COMPUTED_VALUE"""),29.29)</f>
        <v>29.29</v>
      </c>
      <c r="S1644" s="112">
        <f ca="1">IFERROR(__xludf.DUMMYFUNCTION("""COMPUTED_VALUE"""),42685.7055555555)</f>
        <v>42685.705555555498</v>
      </c>
      <c r="T1644" s="111">
        <f ca="1">IFERROR(__xludf.DUMMYFUNCTION("""COMPUTED_VALUE"""),17.11)</f>
        <v>17.11</v>
      </c>
    </row>
    <row r="1645" spans="1:20" x14ac:dyDescent="0.3">
      <c r="A1645" s="112">
        <f ca="1">IFERROR(__xludf.DUMMYFUNCTION("""COMPUTED_VALUE"""),42684.7055555555)</f>
        <v>42684.705555555498</v>
      </c>
      <c r="B1645" s="111">
        <f ca="1">IFERROR(__xludf.DUMMYFUNCTION("""COMPUTED_VALUE"""),21.94)</f>
        <v>21.94</v>
      </c>
      <c r="C1645" s="112">
        <f ca="1">IFERROR(__xludf.DUMMYFUNCTION("""COMPUTED_VALUE"""),42692.7055555555)</f>
        <v>42692.705555555498</v>
      </c>
      <c r="D1645" s="111">
        <f ca="1">IFERROR(__xludf.DUMMYFUNCTION("""COMPUTED_VALUE"""),23.59)</f>
        <v>23.59</v>
      </c>
      <c r="E1645" s="112">
        <f ca="1">IFERROR(__xludf.DUMMYFUNCTION("""COMPUTED_VALUE"""),42695.7055555555)</f>
        <v>42695.705555555498</v>
      </c>
      <c r="F1645" s="111">
        <f ca="1">IFERROR(__xludf.DUMMYFUNCTION("""COMPUTED_VALUE"""),7.68)</f>
        <v>7.68</v>
      </c>
      <c r="G1645" s="112">
        <f ca="1">IFERROR(__xludf.DUMMYFUNCTION("""COMPUTED_VALUE"""),42688.7055555555)</f>
        <v>42688.705555555498</v>
      </c>
      <c r="H1645" s="111">
        <f ca="1">IFERROR(__xludf.DUMMYFUNCTION("""COMPUTED_VALUE"""),14)</f>
        <v>14</v>
      </c>
      <c r="K1645" s="112">
        <f ca="1">IFERROR(__xludf.DUMMYFUNCTION("""COMPUTED_VALUE"""),43139.7055555555)</f>
        <v>43139.705555555498</v>
      </c>
      <c r="L1645" s="111">
        <f ca="1">IFERROR(__xludf.DUMMYFUNCTION("""COMPUTED_VALUE"""),2.38)</f>
        <v>2.38</v>
      </c>
      <c r="M1645" s="112">
        <f ca="1">IFERROR(__xludf.DUMMYFUNCTION("""COMPUTED_VALUE"""),42600.7055555555)</f>
        <v>42600.705555555498</v>
      </c>
      <c r="N1645" s="111">
        <f ca="1">IFERROR(__xludf.DUMMYFUNCTION("""COMPUTED_VALUE"""),16.84)</f>
        <v>16.84</v>
      </c>
      <c r="O1645" s="112">
        <f ca="1">IFERROR(__xludf.DUMMYFUNCTION("""COMPUTED_VALUE"""),42677.7055555555)</f>
        <v>42677.705555555498</v>
      </c>
      <c r="P1645" s="111">
        <f ca="1">IFERROR(__xludf.DUMMYFUNCTION("""COMPUTED_VALUE"""),21.96)</f>
        <v>21.96</v>
      </c>
      <c r="Q1645" s="112">
        <f ca="1">IFERROR(__xludf.DUMMYFUNCTION("""COMPUTED_VALUE"""),42675.7055555555)</f>
        <v>42675.705555555498</v>
      </c>
      <c r="R1645" s="111">
        <f ca="1">IFERROR(__xludf.DUMMYFUNCTION("""COMPUTED_VALUE"""),27.94)</f>
        <v>27.94</v>
      </c>
      <c r="S1645" s="112">
        <f ca="1">IFERROR(__xludf.DUMMYFUNCTION("""COMPUTED_VALUE"""),42688.7055555555)</f>
        <v>42688.705555555498</v>
      </c>
      <c r="T1645" s="111">
        <f ca="1">IFERROR(__xludf.DUMMYFUNCTION("""COMPUTED_VALUE"""),17.45)</f>
        <v>17.45</v>
      </c>
    </row>
    <row r="1646" spans="1:20" x14ac:dyDescent="0.3">
      <c r="A1646" s="112">
        <f ca="1">IFERROR(__xludf.DUMMYFUNCTION("""COMPUTED_VALUE"""),42685.7055555555)</f>
        <v>42685.705555555498</v>
      </c>
      <c r="B1646" s="111">
        <f ca="1">IFERROR(__xludf.DUMMYFUNCTION("""COMPUTED_VALUE"""),21.86)</f>
        <v>21.86</v>
      </c>
      <c r="C1646" s="112">
        <f ca="1">IFERROR(__xludf.DUMMYFUNCTION("""COMPUTED_VALUE"""),42695.7055555555)</f>
        <v>42695.705555555498</v>
      </c>
      <c r="D1646" s="111">
        <f ca="1">IFERROR(__xludf.DUMMYFUNCTION("""COMPUTED_VALUE"""),23.79)</f>
        <v>23.79</v>
      </c>
      <c r="E1646" s="112">
        <f ca="1">IFERROR(__xludf.DUMMYFUNCTION("""COMPUTED_VALUE"""),42696.7055555555)</f>
        <v>42696.705555555498</v>
      </c>
      <c r="F1646" s="111">
        <f ca="1">IFERROR(__xludf.DUMMYFUNCTION("""COMPUTED_VALUE"""),7.68)</f>
        <v>7.68</v>
      </c>
      <c r="G1646" s="112">
        <f ca="1">IFERROR(__xludf.DUMMYFUNCTION("""COMPUTED_VALUE"""),42690.7055555555)</f>
        <v>42690.705555555498</v>
      </c>
      <c r="H1646" s="111">
        <f ca="1">IFERROR(__xludf.DUMMYFUNCTION("""COMPUTED_VALUE"""),14.74)</f>
        <v>14.74</v>
      </c>
      <c r="K1646" s="112">
        <f ca="1">IFERROR(__xludf.DUMMYFUNCTION("""COMPUTED_VALUE"""),43140.7055555555)</f>
        <v>43140.705555555498</v>
      </c>
      <c r="L1646" s="111">
        <f ca="1">IFERROR(__xludf.DUMMYFUNCTION("""COMPUTED_VALUE"""),2.31)</f>
        <v>2.31</v>
      </c>
      <c r="M1646" s="112">
        <f ca="1">IFERROR(__xludf.DUMMYFUNCTION("""COMPUTED_VALUE"""),42601.7055555555)</f>
        <v>42601.705555555498</v>
      </c>
      <c r="N1646" s="111">
        <f ca="1">IFERROR(__xludf.DUMMYFUNCTION("""COMPUTED_VALUE"""),16.75)</f>
        <v>16.75</v>
      </c>
      <c r="O1646" s="112">
        <f ca="1">IFERROR(__xludf.DUMMYFUNCTION("""COMPUTED_VALUE"""),42678.7055555555)</f>
        <v>42678.705555555498</v>
      </c>
      <c r="P1646" s="111">
        <f ca="1">IFERROR(__xludf.DUMMYFUNCTION("""COMPUTED_VALUE"""),21.61)</f>
        <v>21.61</v>
      </c>
      <c r="Q1646" s="112">
        <f ca="1">IFERROR(__xludf.DUMMYFUNCTION("""COMPUTED_VALUE"""),42677.7055555555)</f>
        <v>42677.705555555498</v>
      </c>
      <c r="R1646" s="111">
        <f ca="1">IFERROR(__xludf.DUMMYFUNCTION("""COMPUTED_VALUE"""),26.61)</f>
        <v>26.61</v>
      </c>
      <c r="S1646" s="112">
        <f ca="1">IFERROR(__xludf.DUMMYFUNCTION("""COMPUTED_VALUE"""),42690.7055555555)</f>
        <v>42690.705555555498</v>
      </c>
      <c r="T1646" s="111">
        <f ca="1">IFERROR(__xludf.DUMMYFUNCTION("""COMPUTED_VALUE"""),17.66)</f>
        <v>17.66</v>
      </c>
    </row>
    <row r="1647" spans="1:20" x14ac:dyDescent="0.3">
      <c r="A1647" s="112">
        <f ca="1">IFERROR(__xludf.DUMMYFUNCTION("""COMPUTED_VALUE"""),42688.7055555555)</f>
        <v>42688.705555555498</v>
      </c>
      <c r="B1647" s="111">
        <f ca="1">IFERROR(__xludf.DUMMYFUNCTION("""COMPUTED_VALUE"""),21.89)</f>
        <v>21.89</v>
      </c>
      <c r="C1647" s="112">
        <f ca="1">IFERROR(__xludf.DUMMYFUNCTION("""COMPUTED_VALUE"""),42696.7055555555)</f>
        <v>42696.705555555498</v>
      </c>
      <c r="D1647" s="111">
        <f ca="1">IFERROR(__xludf.DUMMYFUNCTION("""COMPUTED_VALUE"""),23.87)</f>
        <v>23.87</v>
      </c>
      <c r="E1647" s="112">
        <f ca="1">IFERROR(__xludf.DUMMYFUNCTION("""COMPUTED_VALUE"""),42697.7055555555)</f>
        <v>42697.705555555498</v>
      </c>
      <c r="F1647" s="111">
        <f ca="1">IFERROR(__xludf.DUMMYFUNCTION("""COMPUTED_VALUE"""),7.54)</f>
        <v>7.54</v>
      </c>
      <c r="G1647" s="112">
        <f ca="1">IFERROR(__xludf.DUMMYFUNCTION("""COMPUTED_VALUE"""),42691.7055555555)</f>
        <v>42691.705555555498</v>
      </c>
      <c r="H1647" s="111">
        <f ca="1">IFERROR(__xludf.DUMMYFUNCTION("""COMPUTED_VALUE"""),14.29)</f>
        <v>14.29</v>
      </c>
      <c r="K1647" s="112">
        <f ca="1">IFERROR(__xludf.DUMMYFUNCTION("""COMPUTED_VALUE"""),43145.7055555555)</f>
        <v>43145.705555555498</v>
      </c>
      <c r="L1647" s="111">
        <f ca="1">IFERROR(__xludf.DUMMYFUNCTION("""COMPUTED_VALUE"""),2.34)</f>
        <v>2.34</v>
      </c>
      <c r="M1647" s="112">
        <f ca="1">IFERROR(__xludf.DUMMYFUNCTION("""COMPUTED_VALUE"""),42604.7055555555)</f>
        <v>42604.705555555498</v>
      </c>
      <c r="N1647" s="111">
        <f ca="1">IFERROR(__xludf.DUMMYFUNCTION("""COMPUTED_VALUE"""),16.3)</f>
        <v>16.3</v>
      </c>
      <c r="O1647" s="112">
        <f ca="1">IFERROR(__xludf.DUMMYFUNCTION("""COMPUTED_VALUE"""),42681.7055555555)</f>
        <v>42681.705555555498</v>
      </c>
      <c r="P1647" s="111">
        <f ca="1">IFERROR(__xludf.DUMMYFUNCTION("""COMPUTED_VALUE"""),23.13)</f>
        <v>23.13</v>
      </c>
      <c r="Q1647" s="112">
        <f ca="1">IFERROR(__xludf.DUMMYFUNCTION("""COMPUTED_VALUE"""),42678.7055555555)</f>
        <v>42678.705555555498</v>
      </c>
      <c r="R1647" s="111">
        <f ca="1">IFERROR(__xludf.DUMMYFUNCTION("""COMPUTED_VALUE"""),26.88)</f>
        <v>26.88</v>
      </c>
      <c r="S1647" s="112">
        <f ca="1">IFERROR(__xludf.DUMMYFUNCTION("""COMPUTED_VALUE"""),42691.7055555555)</f>
        <v>42691.705555555498</v>
      </c>
      <c r="T1647" s="111">
        <f ca="1">IFERROR(__xludf.DUMMYFUNCTION("""COMPUTED_VALUE"""),17.16)</f>
        <v>17.16</v>
      </c>
    </row>
    <row r="1648" spans="1:20" x14ac:dyDescent="0.3">
      <c r="A1648" s="112">
        <f ca="1">IFERROR(__xludf.DUMMYFUNCTION("""COMPUTED_VALUE"""),42690.7055555555)</f>
        <v>42690.705555555498</v>
      </c>
      <c r="B1648" s="111">
        <f ca="1">IFERROR(__xludf.DUMMYFUNCTION("""COMPUTED_VALUE"""),22.65)</f>
        <v>22.65</v>
      </c>
      <c r="C1648" s="112">
        <f ca="1">IFERROR(__xludf.DUMMYFUNCTION("""COMPUTED_VALUE"""),42697.7055555555)</f>
        <v>42697.705555555498</v>
      </c>
      <c r="D1648" s="111">
        <f ca="1">IFERROR(__xludf.DUMMYFUNCTION("""COMPUTED_VALUE"""),23.65)</f>
        <v>23.65</v>
      </c>
      <c r="E1648" s="112">
        <f ca="1">IFERROR(__xludf.DUMMYFUNCTION("""COMPUTED_VALUE"""),42698.7055555555)</f>
        <v>42698.705555555498</v>
      </c>
      <c r="F1648" s="111">
        <f ca="1">IFERROR(__xludf.DUMMYFUNCTION("""COMPUTED_VALUE"""),7.48)</f>
        <v>7.48</v>
      </c>
      <c r="G1648" s="112">
        <f ca="1">IFERROR(__xludf.DUMMYFUNCTION("""COMPUTED_VALUE"""),42692.7055555555)</f>
        <v>42692.705555555498</v>
      </c>
      <c r="H1648" s="111">
        <f ca="1">IFERROR(__xludf.DUMMYFUNCTION("""COMPUTED_VALUE"""),14.52)</f>
        <v>14.52</v>
      </c>
      <c r="K1648" s="112">
        <f ca="1">IFERROR(__xludf.DUMMYFUNCTION("""COMPUTED_VALUE"""),43146.7055555555)</f>
        <v>43146.705555555498</v>
      </c>
      <c r="L1648" s="111">
        <f ca="1">IFERROR(__xludf.DUMMYFUNCTION("""COMPUTED_VALUE"""),2.48)</f>
        <v>2.48</v>
      </c>
      <c r="M1648" s="112">
        <f ca="1">IFERROR(__xludf.DUMMYFUNCTION("""COMPUTED_VALUE"""),42605.7055555555)</f>
        <v>42605.705555555498</v>
      </c>
      <c r="N1648" s="111">
        <f ca="1">IFERROR(__xludf.DUMMYFUNCTION("""COMPUTED_VALUE"""),16.12)</f>
        <v>16.12</v>
      </c>
      <c r="O1648" s="112">
        <f ca="1">IFERROR(__xludf.DUMMYFUNCTION("""COMPUTED_VALUE"""),42682.7055555555)</f>
        <v>42682.705555555498</v>
      </c>
      <c r="P1648" s="111">
        <f ca="1">IFERROR(__xludf.DUMMYFUNCTION("""COMPUTED_VALUE"""),23.97)</f>
        <v>23.97</v>
      </c>
      <c r="Q1648" s="112">
        <f ca="1">IFERROR(__xludf.DUMMYFUNCTION("""COMPUTED_VALUE"""),42681.7055555555)</f>
        <v>42681.705555555498</v>
      </c>
      <c r="R1648" s="111">
        <f ca="1">IFERROR(__xludf.DUMMYFUNCTION("""COMPUTED_VALUE"""),28.33)</f>
        <v>28.33</v>
      </c>
      <c r="S1648" s="112">
        <f ca="1">IFERROR(__xludf.DUMMYFUNCTION("""COMPUTED_VALUE"""),42692.7055555555)</f>
        <v>42692.705555555498</v>
      </c>
      <c r="T1648" s="111">
        <f ca="1">IFERROR(__xludf.DUMMYFUNCTION("""COMPUTED_VALUE"""),17.13)</f>
        <v>17.13</v>
      </c>
    </row>
    <row r="1649" spans="1:20" x14ac:dyDescent="0.3">
      <c r="A1649" s="112">
        <f ca="1">IFERROR(__xludf.DUMMYFUNCTION("""COMPUTED_VALUE"""),42691.7055555555)</f>
        <v>42691.705555555498</v>
      </c>
      <c r="B1649" s="111">
        <f ca="1">IFERROR(__xludf.DUMMYFUNCTION("""COMPUTED_VALUE"""),21.99)</f>
        <v>21.99</v>
      </c>
      <c r="C1649" s="112">
        <f ca="1">IFERROR(__xludf.DUMMYFUNCTION("""COMPUTED_VALUE"""),42698.7055555555)</f>
        <v>42698.705555555498</v>
      </c>
      <c r="D1649" s="111">
        <f ca="1">IFERROR(__xludf.DUMMYFUNCTION("""COMPUTED_VALUE"""),23.4)</f>
        <v>23.4</v>
      </c>
      <c r="E1649" s="112">
        <f ca="1">IFERROR(__xludf.DUMMYFUNCTION("""COMPUTED_VALUE"""),42699.7055555555)</f>
        <v>42699.705555555498</v>
      </c>
      <c r="F1649" s="111">
        <f ca="1">IFERROR(__xludf.DUMMYFUNCTION("""COMPUTED_VALUE"""),7.45)</f>
        <v>7.45</v>
      </c>
      <c r="G1649" s="112">
        <f ca="1">IFERROR(__xludf.DUMMYFUNCTION("""COMPUTED_VALUE"""),42695.7055555555)</f>
        <v>42695.705555555498</v>
      </c>
      <c r="H1649" s="111">
        <f ca="1">IFERROR(__xludf.DUMMYFUNCTION("""COMPUTED_VALUE"""),15.58)</f>
        <v>15.58</v>
      </c>
      <c r="K1649" s="112">
        <f ca="1">IFERROR(__xludf.DUMMYFUNCTION("""COMPUTED_VALUE"""),43147.7055555555)</f>
        <v>43147.705555555498</v>
      </c>
      <c r="L1649" s="111">
        <f ca="1">IFERROR(__xludf.DUMMYFUNCTION("""COMPUTED_VALUE"""),2.46)</f>
        <v>2.46</v>
      </c>
      <c r="M1649" s="112">
        <f ca="1">IFERROR(__xludf.DUMMYFUNCTION("""COMPUTED_VALUE"""),42606.7055555555)</f>
        <v>42606.705555555498</v>
      </c>
      <c r="N1649" s="111">
        <f ca="1">IFERROR(__xludf.DUMMYFUNCTION("""COMPUTED_VALUE"""),16.01)</f>
        <v>16.010000000000002</v>
      </c>
      <c r="O1649" s="112">
        <f ca="1">IFERROR(__xludf.DUMMYFUNCTION("""COMPUTED_VALUE"""),42683.7055555555)</f>
        <v>42683.705555555498</v>
      </c>
      <c r="P1649" s="111">
        <f ca="1">IFERROR(__xludf.DUMMYFUNCTION("""COMPUTED_VALUE"""),25)</f>
        <v>25</v>
      </c>
      <c r="Q1649" s="112">
        <f ca="1">IFERROR(__xludf.DUMMYFUNCTION("""COMPUTED_VALUE"""),42682.7055555555)</f>
        <v>42682.705555555498</v>
      </c>
      <c r="R1649" s="111">
        <f ca="1">IFERROR(__xludf.DUMMYFUNCTION("""COMPUTED_VALUE"""),28.28)</f>
        <v>28.28</v>
      </c>
      <c r="S1649" s="112">
        <f ca="1">IFERROR(__xludf.DUMMYFUNCTION("""COMPUTED_VALUE"""),42695.7055555555)</f>
        <v>42695.705555555498</v>
      </c>
      <c r="T1649" s="111">
        <f ca="1">IFERROR(__xludf.DUMMYFUNCTION("""COMPUTED_VALUE"""),17.23)</f>
        <v>17.23</v>
      </c>
    </row>
    <row r="1650" spans="1:20" x14ac:dyDescent="0.3">
      <c r="A1650" s="112">
        <f ca="1">IFERROR(__xludf.DUMMYFUNCTION("""COMPUTED_VALUE"""),42692.7055555555)</f>
        <v>42692.705555555498</v>
      </c>
      <c r="B1650" s="111">
        <f ca="1">IFERROR(__xludf.DUMMYFUNCTION("""COMPUTED_VALUE"""),22.25)</f>
        <v>22.25</v>
      </c>
      <c r="C1650" s="112">
        <f ca="1">IFERROR(__xludf.DUMMYFUNCTION("""COMPUTED_VALUE"""),42699.7055555555)</f>
        <v>42699.705555555498</v>
      </c>
      <c r="D1650" s="111">
        <f ca="1">IFERROR(__xludf.DUMMYFUNCTION("""COMPUTED_VALUE"""),23.24)</f>
        <v>23.24</v>
      </c>
      <c r="E1650" s="112">
        <f ca="1">IFERROR(__xludf.DUMMYFUNCTION("""COMPUTED_VALUE"""),42702.7055555555)</f>
        <v>42702.705555555498</v>
      </c>
      <c r="F1650" s="111">
        <f ca="1">IFERROR(__xludf.DUMMYFUNCTION("""COMPUTED_VALUE"""),7.52)</f>
        <v>7.52</v>
      </c>
      <c r="G1650" s="112">
        <f ca="1">IFERROR(__xludf.DUMMYFUNCTION("""COMPUTED_VALUE"""),42696.7055555555)</f>
        <v>42696.705555555498</v>
      </c>
      <c r="H1650" s="111">
        <f ca="1">IFERROR(__xludf.DUMMYFUNCTION("""COMPUTED_VALUE"""),15.93)</f>
        <v>15.93</v>
      </c>
      <c r="K1650" s="112">
        <f ca="1">IFERROR(__xludf.DUMMYFUNCTION("""COMPUTED_VALUE"""),43150.7055555555)</f>
        <v>43150.705555555498</v>
      </c>
      <c r="L1650" s="111">
        <f ca="1">IFERROR(__xludf.DUMMYFUNCTION("""COMPUTED_VALUE"""),2.57)</f>
        <v>2.57</v>
      </c>
      <c r="M1650" s="112">
        <f ca="1">IFERROR(__xludf.DUMMYFUNCTION("""COMPUTED_VALUE"""),42607.7055555555)</f>
        <v>42607.705555555498</v>
      </c>
      <c r="N1650" s="111">
        <f ca="1">IFERROR(__xludf.DUMMYFUNCTION("""COMPUTED_VALUE"""),16.08)</f>
        <v>16.079999999999998</v>
      </c>
      <c r="O1650" s="112">
        <f ca="1">IFERROR(__xludf.DUMMYFUNCTION("""COMPUTED_VALUE"""),42684.7055555555)</f>
        <v>42684.705555555498</v>
      </c>
      <c r="P1650" s="111">
        <f ca="1">IFERROR(__xludf.DUMMYFUNCTION("""COMPUTED_VALUE"""),26.87)</f>
        <v>26.87</v>
      </c>
      <c r="Q1650" s="112">
        <f ca="1">IFERROR(__xludf.DUMMYFUNCTION("""COMPUTED_VALUE"""),42683.7055555555)</f>
        <v>42683.705555555498</v>
      </c>
      <c r="R1650" s="111">
        <f ca="1">IFERROR(__xludf.DUMMYFUNCTION("""COMPUTED_VALUE"""),27.28)</f>
        <v>27.28</v>
      </c>
      <c r="S1650" s="112">
        <f ca="1">IFERROR(__xludf.DUMMYFUNCTION("""COMPUTED_VALUE"""),42696.7055555555)</f>
        <v>42696.705555555498</v>
      </c>
      <c r="T1650" s="111">
        <f ca="1">IFERROR(__xludf.DUMMYFUNCTION("""COMPUTED_VALUE"""),17.23)</f>
        <v>17.23</v>
      </c>
    </row>
    <row r="1651" spans="1:20" x14ac:dyDescent="0.3">
      <c r="A1651" s="112">
        <f ca="1">IFERROR(__xludf.DUMMYFUNCTION("""COMPUTED_VALUE"""),42695.7055555555)</f>
        <v>42695.705555555498</v>
      </c>
      <c r="B1651" s="111">
        <f ca="1">IFERROR(__xludf.DUMMYFUNCTION("""COMPUTED_VALUE"""),23.29)</f>
        <v>23.29</v>
      </c>
      <c r="C1651" s="112">
        <f ca="1">IFERROR(__xludf.DUMMYFUNCTION("""COMPUTED_VALUE"""),42702.7055555555)</f>
        <v>42702.705555555498</v>
      </c>
      <c r="D1651" s="111">
        <f ca="1">IFERROR(__xludf.DUMMYFUNCTION("""COMPUTED_VALUE"""),23.73)</f>
        <v>23.73</v>
      </c>
      <c r="E1651" s="112">
        <f ca="1">IFERROR(__xludf.DUMMYFUNCTION("""COMPUTED_VALUE"""),42703.7055555555)</f>
        <v>42703.705555555498</v>
      </c>
      <c r="F1651" s="111">
        <f ca="1">IFERROR(__xludf.DUMMYFUNCTION("""COMPUTED_VALUE"""),7.37)</f>
        <v>7.37</v>
      </c>
      <c r="G1651" s="112">
        <f ca="1">IFERROR(__xludf.DUMMYFUNCTION("""COMPUTED_VALUE"""),42697.7055555555)</f>
        <v>42697.705555555498</v>
      </c>
      <c r="H1651" s="111">
        <f ca="1">IFERROR(__xludf.DUMMYFUNCTION("""COMPUTED_VALUE"""),15.85)</f>
        <v>15.85</v>
      </c>
      <c r="K1651" s="112">
        <f ca="1">IFERROR(__xludf.DUMMYFUNCTION("""COMPUTED_VALUE"""),43151.7055555555)</f>
        <v>43151.705555555498</v>
      </c>
      <c r="L1651" s="111">
        <f ca="1">IFERROR(__xludf.DUMMYFUNCTION("""COMPUTED_VALUE"""),2.59)</f>
        <v>2.59</v>
      </c>
      <c r="M1651" s="112">
        <f ca="1">IFERROR(__xludf.DUMMYFUNCTION("""COMPUTED_VALUE"""),42608.7055555555)</f>
        <v>42608.705555555498</v>
      </c>
      <c r="N1651" s="111">
        <f ca="1">IFERROR(__xludf.DUMMYFUNCTION("""COMPUTED_VALUE"""),16.3)</f>
        <v>16.3</v>
      </c>
      <c r="O1651" s="112">
        <f ca="1">IFERROR(__xludf.DUMMYFUNCTION("""COMPUTED_VALUE"""),42685.7055555555)</f>
        <v>42685.705555555498</v>
      </c>
      <c r="P1651" s="111">
        <f ca="1">IFERROR(__xludf.DUMMYFUNCTION("""COMPUTED_VALUE"""),25.98)</f>
        <v>25.98</v>
      </c>
      <c r="Q1651" s="112">
        <f ca="1">IFERROR(__xludf.DUMMYFUNCTION("""COMPUTED_VALUE"""),42684.7055555555)</f>
        <v>42684.705555555498</v>
      </c>
      <c r="R1651" s="111">
        <f ca="1">IFERROR(__xludf.DUMMYFUNCTION("""COMPUTED_VALUE"""),25.53)</f>
        <v>25.53</v>
      </c>
      <c r="S1651" s="112">
        <f ca="1">IFERROR(__xludf.DUMMYFUNCTION("""COMPUTED_VALUE"""),42697.7055555555)</f>
        <v>42697.705555555498</v>
      </c>
      <c r="T1651" s="111">
        <f ca="1">IFERROR(__xludf.DUMMYFUNCTION("""COMPUTED_VALUE"""),16.87)</f>
        <v>16.87</v>
      </c>
    </row>
    <row r="1652" spans="1:20" x14ac:dyDescent="0.3">
      <c r="A1652" s="112">
        <f ca="1">IFERROR(__xludf.DUMMYFUNCTION("""COMPUTED_VALUE"""),42696.7055555555)</f>
        <v>42696.705555555498</v>
      </c>
      <c r="B1652" s="111">
        <f ca="1">IFERROR(__xludf.DUMMYFUNCTION("""COMPUTED_VALUE"""),23.64)</f>
        <v>23.64</v>
      </c>
      <c r="C1652" s="112">
        <f ca="1">IFERROR(__xludf.DUMMYFUNCTION("""COMPUTED_VALUE"""),42703.7055555555)</f>
        <v>42703.705555555498</v>
      </c>
      <c r="D1652" s="111">
        <f ca="1">IFERROR(__xludf.DUMMYFUNCTION("""COMPUTED_VALUE"""),23.16)</f>
        <v>23.16</v>
      </c>
      <c r="E1652" s="112">
        <f ca="1">IFERROR(__xludf.DUMMYFUNCTION("""COMPUTED_VALUE"""),42704.7055555555)</f>
        <v>42704.705555555498</v>
      </c>
      <c r="F1652" s="111">
        <f ca="1">IFERROR(__xludf.DUMMYFUNCTION("""COMPUTED_VALUE"""),7.45)</f>
        <v>7.45</v>
      </c>
      <c r="G1652" s="112">
        <f ca="1">IFERROR(__xludf.DUMMYFUNCTION("""COMPUTED_VALUE"""),42698.7055555555)</f>
        <v>42698.705555555498</v>
      </c>
      <c r="H1652" s="111">
        <f ca="1">IFERROR(__xludf.DUMMYFUNCTION("""COMPUTED_VALUE"""),15.58)</f>
        <v>15.58</v>
      </c>
      <c r="K1652" s="112">
        <f ca="1">IFERROR(__xludf.DUMMYFUNCTION("""COMPUTED_VALUE"""),43152.7055555555)</f>
        <v>43152.705555555498</v>
      </c>
      <c r="L1652" s="111">
        <f ca="1">IFERROR(__xludf.DUMMYFUNCTION("""COMPUTED_VALUE"""),2.49)</f>
        <v>2.4900000000000002</v>
      </c>
      <c r="M1652" s="112">
        <f ca="1">IFERROR(__xludf.DUMMYFUNCTION("""COMPUTED_VALUE"""),42611.7055555555)</f>
        <v>42611.705555555498</v>
      </c>
      <c r="N1652" s="111">
        <f ca="1">IFERROR(__xludf.DUMMYFUNCTION("""COMPUTED_VALUE"""),16.6)</f>
        <v>16.600000000000001</v>
      </c>
      <c r="O1652" s="112">
        <f ca="1">IFERROR(__xludf.DUMMYFUNCTION("""COMPUTED_VALUE"""),42688.7055555555)</f>
        <v>42688.705555555498</v>
      </c>
      <c r="P1652" s="111">
        <f ca="1">IFERROR(__xludf.DUMMYFUNCTION("""COMPUTED_VALUE"""),26.46)</f>
        <v>26.46</v>
      </c>
      <c r="Q1652" s="112">
        <f ca="1">IFERROR(__xludf.DUMMYFUNCTION("""COMPUTED_VALUE"""),42685.7055555555)</f>
        <v>42685.705555555498</v>
      </c>
      <c r="R1652" s="111">
        <f ca="1">IFERROR(__xludf.DUMMYFUNCTION("""COMPUTED_VALUE"""),23.76)</f>
        <v>23.76</v>
      </c>
      <c r="S1652" s="112">
        <f ca="1">IFERROR(__xludf.DUMMYFUNCTION("""COMPUTED_VALUE"""),42698.7055555555)</f>
        <v>42698.705555555498</v>
      </c>
      <c r="T1652" s="111">
        <f ca="1">IFERROR(__xludf.DUMMYFUNCTION("""COMPUTED_VALUE"""),17.17)</f>
        <v>17.170000000000002</v>
      </c>
    </row>
    <row r="1653" spans="1:20" x14ac:dyDescent="0.3">
      <c r="A1653" s="112">
        <f ca="1">IFERROR(__xludf.DUMMYFUNCTION("""COMPUTED_VALUE"""),42697.7055555555)</f>
        <v>42697.705555555498</v>
      </c>
      <c r="B1653" s="111">
        <f ca="1">IFERROR(__xludf.DUMMYFUNCTION("""COMPUTED_VALUE"""),23.54)</f>
        <v>23.54</v>
      </c>
      <c r="C1653" s="112">
        <f ca="1">IFERROR(__xludf.DUMMYFUNCTION("""COMPUTED_VALUE"""),42704.7055555555)</f>
        <v>42704.705555555498</v>
      </c>
      <c r="D1653" s="111">
        <f ca="1">IFERROR(__xludf.DUMMYFUNCTION("""COMPUTED_VALUE"""),23.61)</f>
        <v>23.61</v>
      </c>
      <c r="E1653" s="112">
        <f ca="1">IFERROR(__xludf.DUMMYFUNCTION("""COMPUTED_VALUE"""),42705.7055555555)</f>
        <v>42705.705555555498</v>
      </c>
      <c r="F1653" s="111">
        <f ca="1">IFERROR(__xludf.DUMMYFUNCTION("""COMPUTED_VALUE"""),7.07)</f>
        <v>7.07</v>
      </c>
      <c r="G1653" s="112">
        <f ca="1">IFERROR(__xludf.DUMMYFUNCTION("""COMPUTED_VALUE"""),42699.7055555555)</f>
        <v>42699.705555555498</v>
      </c>
      <c r="H1653" s="111">
        <f ca="1">IFERROR(__xludf.DUMMYFUNCTION("""COMPUTED_VALUE"""),15.3)</f>
        <v>15.3</v>
      </c>
      <c r="K1653" s="112">
        <f ca="1">IFERROR(__xludf.DUMMYFUNCTION("""COMPUTED_VALUE"""),43153.7055555555)</f>
        <v>43153.705555555498</v>
      </c>
      <c r="L1653" s="111">
        <f ca="1">IFERROR(__xludf.DUMMYFUNCTION("""COMPUTED_VALUE"""),2.55)</f>
        <v>2.5499999999999998</v>
      </c>
      <c r="M1653" s="112">
        <f ca="1">IFERROR(__xludf.DUMMYFUNCTION("""COMPUTED_VALUE"""),42612.7055555555)</f>
        <v>42612.705555555498</v>
      </c>
      <c r="N1653" s="111">
        <f ca="1">IFERROR(__xludf.DUMMYFUNCTION("""COMPUTED_VALUE"""),16.65)</f>
        <v>16.649999999999999</v>
      </c>
      <c r="O1653" s="112">
        <f ca="1">IFERROR(__xludf.DUMMYFUNCTION("""COMPUTED_VALUE"""),42690.7055555555)</f>
        <v>42690.705555555498</v>
      </c>
      <c r="P1653" s="111">
        <f ca="1">IFERROR(__xludf.DUMMYFUNCTION("""COMPUTED_VALUE"""),25.15)</f>
        <v>25.15</v>
      </c>
      <c r="Q1653" s="112">
        <f ca="1">IFERROR(__xludf.DUMMYFUNCTION("""COMPUTED_VALUE"""),42688.7055555555)</f>
        <v>42688.705555555498</v>
      </c>
      <c r="R1653" s="111">
        <f ca="1">IFERROR(__xludf.DUMMYFUNCTION("""COMPUTED_VALUE"""),24.42)</f>
        <v>24.42</v>
      </c>
      <c r="S1653" s="112">
        <f ca="1">IFERROR(__xludf.DUMMYFUNCTION("""COMPUTED_VALUE"""),42699.7055555555)</f>
        <v>42699.705555555498</v>
      </c>
      <c r="T1653" s="111">
        <f ca="1">IFERROR(__xludf.DUMMYFUNCTION("""COMPUTED_VALUE"""),17.09)</f>
        <v>17.09</v>
      </c>
    </row>
    <row r="1654" spans="1:20" x14ac:dyDescent="0.3">
      <c r="A1654" s="112">
        <f ca="1">IFERROR(__xludf.DUMMYFUNCTION("""COMPUTED_VALUE"""),42698.7055555555)</f>
        <v>42698.705555555498</v>
      </c>
      <c r="B1654" s="111">
        <f ca="1">IFERROR(__xludf.DUMMYFUNCTION("""COMPUTED_VALUE"""),24.53)</f>
        <v>24.53</v>
      </c>
      <c r="C1654" s="112">
        <f ca="1">IFERROR(__xludf.DUMMYFUNCTION("""COMPUTED_VALUE"""),42705.7055555555)</f>
        <v>42705.705555555498</v>
      </c>
      <c r="D1654" s="111">
        <f ca="1">IFERROR(__xludf.DUMMYFUNCTION("""COMPUTED_VALUE"""),22.53)</f>
        <v>22.53</v>
      </c>
      <c r="E1654" s="112">
        <f ca="1">IFERROR(__xludf.DUMMYFUNCTION("""COMPUTED_VALUE"""),42706.7055555555)</f>
        <v>42706.705555555498</v>
      </c>
      <c r="F1654" s="111">
        <f ca="1">IFERROR(__xludf.DUMMYFUNCTION("""COMPUTED_VALUE"""),7.1)</f>
        <v>7.1</v>
      </c>
      <c r="G1654" s="112">
        <f ca="1">IFERROR(__xludf.DUMMYFUNCTION("""COMPUTED_VALUE"""),42702.7055555555)</f>
        <v>42702.705555555498</v>
      </c>
      <c r="H1654" s="111">
        <f ca="1">IFERROR(__xludf.DUMMYFUNCTION("""COMPUTED_VALUE"""),15.46)</f>
        <v>15.46</v>
      </c>
      <c r="K1654" s="112">
        <f ca="1">IFERROR(__xludf.DUMMYFUNCTION("""COMPUTED_VALUE"""),43154.7055555555)</f>
        <v>43154.705555555498</v>
      </c>
      <c r="L1654" s="111">
        <f ca="1">IFERROR(__xludf.DUMMYFUNCTION("""COMPUTED_VALUE"""),2.72)</f>
        <v>2.72</v>
      </c>
      <c r="M1654" s="112">
        <f ca="1">IFERROR(__xludf.DUMMYFUNCTION("""COMPUTED_VALUE"""),42613.7055555555)</f>
        <v>42613.705555555498</v>
      </c>
      <c r="N1654" s="111">
        <f ca="1">IFERROR(__xludf.DUMMYFUNCTION("""COMPUTED_VALUE"""),16.54)</f>
        <v>16.54</v>
      </c>
      <c r="O1654" s="112">
        <f ca="1">IFERROR(__xludf.DUMMYFUNCTION("""COMPUTED_VALUE"""),42691.7055555555)</f>
        <v>42691.705555555498</v>
      </c>
      <c r="P1654" s="111">
        <f ca="1">IFERROR(__xludf.DUMMYFUNCTION("""COMPUTED_VALUE"""),24.74)</f>
        <v>24.74</v>
      </c>
      <c r="Q1654" s="112">
        <f ca="1">IFERROR(__xludf.DUMMYFUNCTION("""COMPUTED_VALUE"""),42690.7055555555)</f>
        <v>42690.705555555498</v>
      </c>
      <c r="R1654" s="111">
        <f ca="1">IFERROR(__xludf.DUMMYFUNCTION("""COMPUTED_VALUE"""),26)</f>
        <v>26</v>
      </c>
      <c r="S1654" s="112">
        <f ca="1">IFERROR(__xludf.DUMMYFUNCTION("""COMPUTED_VALUE"""),42702.7055555555)</f>
        <v>42702.705555555498</v>
      </c>
      <c r="T1654" s="111">
        <f ca="1">IFERROR(__xludf.DUMMYFUNCTION("""COMPUTED_VALUE"""),17.6)</f>
        <v>17.600000000000001</v>
      </c>
    </row>
    <row r="1655" spans="1:20" x14ac:dyDescent="0.3">
      <c r="A1655" s="112">
        <f ca="1">IFERROR(__xludf.DUMMYFUNCTION("""COMPUTED_VALUE"""),42699.7055555555)</f>
        <v>42699.705555555498</v>
      </c>
      <c r="B1655" s="111">
        <f ca="1">IFERROR(__xludf.DUMMYFUNCTION("""COMPUTED_VALUE"""),24.71)</f>
        <v>24.71</v>
      </c>
      <c r="C1655" s="112">
        <f ca="1">IFERROR(__xludf.DUMMYFUNCTION("""COMPUTED_VALUE"""),42706.7055555555)</f>
        <v>42706.705555555498</v>
      </c>
      <c r="D1655" s="111">
        <f ca="1">IFERROR(__xludf.DUMMYFUNCTION("""COMPUTED_VALUE"""),22.63)</f>
        <v>22.63</v>
      </c>
      <c r="E1655" s="112">
        <f ca="1">IFERROR(__xludf.DUMMYFUNCTION("""COMPUTED_VALUE"""),42709.7055555555)</f>
        <v>42709.705555555498</v>
      </c>
      <c r="F1655" s="111">
        <f ca="1">IFERROR(__xludf.DUMMYFUNCTION("""COMPUTED_VALUE"""),7.06)</f>
        <v>7.06</v>
      </c>
      <c r="G1655" s="112">
        <f ca="1">IFERROR(__xludf.DUMMYFUNCTION("""COMPUTED_VALUE"""),42703.7055555555)</f>
        <v>42703.705555555498</v>
      </c>
      <c r="H1655" s="111">
        <f ca="1">IFERROR(__xludf.DUMMYFUNCTION("""COMPUTED_VALUE"""),14.66)</f>
        <v>14.66</v>
      </c>
      <c r="K1655" s="112">
        <f ca="1">IFERROR(__xludf.DUMMYFUNCTION("""COMPUTED_VALUE"""),43157.7055555555)</f>
        <v>43157.705555555498</v>
      </c>
      <c r="L1655" s="111">
        <f ca="1">IFERROR(__xludf.DUMMYFUNCTION("""COMPUTED_VALUE"""),2.95)</f>
        <v>2.95</v>
      </c>
      <c r="M1655" s="112">
        <f ca="1">IFERROR(__xludf.DUMMYFUNCTION("""COMPUTED_VALUE"""),42614.7055555555)</f>
        <v>42614.705555555498</v>
      </c>
      <c r="N1655" s="111">
        <f ca="1">IFERROR(__xludf.DUMMYFUNCTION("""COMPUTED_VALUE"""),16.38)</f>
        <v>16.38</v>
      </c>
      <c r="O1655" s="112">
        <f ca="1">IFERROR(__xludf.DUMMYFUNCTION("""COMPUTED_VALUE"""),42692.7055555555)</f>
        <v>42692.705555555498</v>
      </c>
      <c r="P1655" s="111">
        <f ca="1">IFERROR(__xludf.DUMMYFUNCTION("""COMPUTED_VALUE"""),24.57)</f>
        <v>24.57</v>
      </c>
      <c r="Q1655" s="112">
        <f ca="1">IFERROR(__xludf.DUMMYFUNCTION("""COMPUTED_VALUE"""),42691.7055555555)</f>
        <v>42691.705555555498</v>
      </c>
      <c r="R1655" s="111">
        <f ca="1">IFERROR(__xludf.DUMMYFUNCTION("""COMPUTED_VALUE"""),25.52)</f>
        <v>25.52</v>
      </c>
      <c r="S1655" s="112">
        <f ca="1">IFERROR(__xludf.DUMMYFUNCTION("""COMPUTED_VALUE"""),42703.7055555555)</f>
        <v>42703.705555555498</v>
      </c>
      <c r="T1655" s="111">
        <f ca="1">IFERROR(__xludf.DUMMYFUNCTION("""COMPUTED_VALUE"""),16.84)</f>
        <v>16.84</v>
      </c>
    </row>
    <row r="1656" spans="1:20" x14ac:dyDescent="0.3">
      <c r="A1656" s="112">
        <f ca="1">IFERROR(__xludf.DUMMYFUNCTION("""COMPUTED_VALUE"""),42702.7055555555)</f>
        <v>42702.705555555498</v>
      </c>
      <c r="B1656" s="111">
        <f ca="1">IFERROR(__xludf.DUMMYFUNCTION("""COMPUTED_VALUE"""),25.44)</f>
        <v>25.44</v>
      </c>
      <c r="C1656" s="112">
        <f ca="1">IFERROR(__xludf.DUMMYFUNCTION("""COMPUTED_VALUE"""),42709.7055555555)</f>
        <v>42709.705555555498</v>
      </c>
      <c r="D1656" s="111">
        <f ca="1">IFERROR(__xludf.DUMMYFUNCTION("""COMPUTED_VALUE"""),22.55)</f>
        <v>22.55</v>
      </c>
      <c r="E1656" s="112">
        <f ca="1">IFERROR(__xludf.DUMMYFUNCTION("""COMPUTED_VALUE"""),42710.7055555555)</f>
        <v>42710.705555555498</v>
      </c>
      <c r="F1656" s="111">
        <f ca="1">IFERROR(__xludf.DUMMYFUNCTION("""COMPUTED_VALUE"""),7.22)</f>
        <v>7.22</v>
      </c>
      <c r="G1656" s="112">
        <f ca="1">IFERROR(__xludf.DUMMYFUNCTION("""COMPUTED_VALUE"""),42704.7055555555)</f>
        <v>42704.705555555498</v>
      </c>
      <c r="H1656" s="111">
        <f ca="1">IFERROR(__xludf.DUMMYFUNCTION("""COMPUTED_VALUE"""),16)</f>
        <v>16</v>
      </c>
      <c r="K1656" s="112">
        <f ca="1">IFERROR(__xludf.DUMMYFUNCTION("""COMPUTED_VALUE"""),43158.7055555555)</f>
        <v>43158.705555555498</v>
      </c>
      <c r="L1656" s="111">
        <f ca="1">IFERROR(__xludf.DUMMYFUNCTION("""COMPUTED_VALUE"""),2.86)</f>
        <v>2.86</v>
      </c>
      <c r="M1656" s="112">
        <f ca="1">IFERROR(__xludf.DUMMYFUNCTION("""COMPUTED_VALUE"""),42615.7055555555)</f>
        <v>42615.705555555498</v>
      </c>
      <c r="N1656" s="111">
        <f ca="1">IFERROR(__xludf.DUMMYFUNCTION("""COMPUTED_VALUE"""),16.84)</f>
        <v>16.84</v>
      </c>
      <c r="O1656" s="112">
        <f ca="1">IFERROR(__xludf.DUMMYFUNCTION("""COMPUTED_VALUE"""),42695.7055555555)</f>
        <v>42695.705555555498</v>
      </c>
      <c r="P1656" s="111">
        <f ca="1">IFERROR(__xludf.DUMMYFUNCTION("""COMPUTED_VALUE"""),25.83)</f>
        <v>25.83</v>
      </c>
      <c r="Q1656" s="112">
        <f ca="1">IFERROR(__xludf.DUMMYFUNCTION("""COMPUTED_VALUE"""),42692.7055555555)</f>
        <v>42692.705555555498</v>
      </c>
      <c r="R1656" s="111">
        <f ca="1">IFERROR(__xludf.DUMMYFUNCTION("""COMPUTED_VALUE"""),26.27)</f>
        <v>26.27</v>
      </c>
      <c r="S1656" s="112">
        <f ca="1">IFERROR(__xludf.DUMMYFUNCTION("""COMPUTED_VALUE"""),42704.7055555555)</f>
        <v>42704.705555555498</v>
      </c>
      <c r="T1656" s="111">
        <f ca="1">IFERROR(__xludf.DUMMYFUNCTION("""COMPUTED_VALUE"""),16.89)</f>
        <v>16.89</v>
      </c>
    </row>
    <row r="1657" spans="1:20" x14ac:dyDescent="0.3">
      <c r="A1657" s="112">
        <f ca="1">IFERROR(__xludf.DUMMYFUNCTION("""COMPUTED_VALUE"""),42703.7055555555)</f>
        <v>42703.705555555498</v>
      </c>
      <c r="B1657" s="111">
        <f ca="1">IFERROR(__xludf.DUMMYFUNCTION("""COMPUTED_VALUE"""),25.47)</f>
        <v>25.47</v>
      </c>
      <c r="C1657" s="112">
        <f ca="1">IFERROR(__xludf.DUMMYFUNCTION("""COMPUTED_VALUE"""),42710.7055555555)</f>
        <v>42710.705555555498</v>
      </c>
      <c r="D1657" s="111">
        <f ca="1">IFERROR(__xludf.DUMMYFUNCTION("""COMPUTED_VALUE"""),22.85)</f>
        <v>22.85</v>
      </c>
      <c r="E1657" s="112">
        <f ca="1">IFERROR(__xludf.DUMMYFUNCTION("""COMPUTED_VALUE"""),42711.7055555555)</f>
        <v>42711.705555555498</v>
      </c>
      <c r="F1657" s="111">
        <f ca="1">IFERROR(__xludf.DUMMYFUNCTION("""COMPUTED_VALUE"""),7.24)</f>
        <v>7.24</v>
      </c>
      <c r="G1657" s="112">
        <f ca="1">IFERROR(__xludf.DUMMYFUNCTION("""COMPUTED_VALUE"""),42705.7055555555)</f>
        <v>42705.705555555498</v>
      </c>
      <c r="H1657" s="111">
        <f ca="1">IFERROR(__xludf.DUMMYFUNCTION("""COMPUTED_VALUE"""),15.44)</f>
        <v>15.44</v>
      </c>
      <c r="K1657" s="112">
        <f ca="1">IFERROR(__xludf.DUMMYFUNCTION("""COMPUTED_VALUE"""),43159.7055555555)</f>
        <v>43159.705555555498</v>
      </c>
      <c r="L1657" s="111">
        <f ca="1">IFERROR(__xludf.DUMMYFUNCTION("""COMPUTED_VALUE"""),2.85)</f>
        <v>2.85</v>
      </c>
      <c r="M1657" s="112">
        <f ca="1">IFERROR(__xludf.DUMMYFUNCTION("""COMPUTED_VALUE"""),42618.7055555555)</f>
        <v>42618.705555555498</v>
      </c>
      <c r="N1657" s="111">
        <f ca="1">IFERROR(__xludf.DUMMYFUNCTION("""COMPUTED_VALUE"""),16.9)</f>
        <v>16.899999999999999</v>
      </c>
      <c r="O1657" s="112">
        <f ca="1">IFERROR(__xludf.DUMMYFUNCTION("""COMPUTED_VALUE"""),42696.7055555555)</f>
        <v>42696.705555555498</v>
      </c>
      <c r="P1657" s="111">
        <f ca="1">IFERROR(__xludf.DUMMYFUNCTION("""COMPUTED_VALUE"""),27.77)</f>
        <v>27.77</v>
      </c>
      <c r="Q1657" s="112">
        <f ca="1">IFERROR(__xludf.DUMMYFUNCTION("""COMPUTED_VALUE"""),42695.7055555555)</f>
        <v>42695.705555555498</v>
      </c>
      <c r="R1657" s="111">
        <f ca="1">IFERROR(__xludf.DUMMYFUNCTION("""COMPUTED_VALUE"""),28.33)</f>
        <v>28.33</v>
      </c>
      <c r="S1657" s="112">
        <f ca="1">IFERROR(__xludf.DUMMYFUNCTION("""COMPUTED_VALUE"""),42705.7055555555)</f>
        <v>42705.705555555498</v>
      </c>
      <c r="T1657" s="111">
        <f ca="1">IFERROR(__xludf.DUMMYFUNCTION("""COMPUTED_VALUE"""),16.29)</f>
        <v>16.29</v>
      </c>
    </row>
    <row r="1658" spans="1:20" x14ac:dyDescent="0.3">
      <c r="A1658" s="112">
        <f ca="1">IFERROR(__xludf.DUMMYFUNCTION("""COMPUTED_VALUE"""),42704.7055555555)</f>
        <v>42704.705555555498</v>
      </c>
      <c r="B1658" s="111">
        <f ca="1">IFERROR(__xludf.DUMMYFUNCTION("""COMPUTED_VALUE"""),25.37)</f>
        <v>25.37</v>
      </c>
      <c r="C1658" s="112">
        <f ca="1">IFERROR(__xludf.DUMMYFUNCTION("""COMPUTED_VALUE"""),42711.7055555555)</f>
        <v>42711.705555555498</v>
      </c>
      <c r="D1658" s="111">
        <f ca="1">IFERROR(__xludf.DUMMYFUNCTION("""COMPUTED_VALUE"""),22.67)</f>
        <v>22.67</v>
      </c>
      <c r="E1658" s="112">
        <f ca="1">IFERROR(__xludf.DUMMYFUNCTION("""COMPUTED_VALUE"""),42712.7055555555)</f>
        <v>42712.705555555498</v>
      </c>
      <c r="F1658" s="111">
        <f ca="1">IFERROR(__xludf.DUMMYFUNCTION("""COMPUTED_VALUE"""),7.23)</f>
        <v>7.23</v>
      </c>
      <c r="G1658" s="112">
        <f ca="1">IFERROR(__xludf.DUMMYFUNCTION("""COMPUTED_VALUE"""),42706.7055555555)</f>
        <v>42706.705555555498</v>
      </c>
      <c r="H1658" s="111">
        <f ca="1">IFERROR(__xludf.DUMMYFUNCTION("""COMPUTED_VALUE"""),15.83)</f>
        <v>15.83</v>
      </c>
      <c r="K1658" s="112">
        <f ca="1">IFERROR(__xludf.DUMMYFUNCTION("""COMPUTED_VALUE"""),43160.7055555555)</f>
        <v>43160.705555555498</v>
      </c>
      <c r="L1658" s="111">
        <f ca="1">IFERROR(__xludf.DUMMYFUNCTION("""COMPUTED_VALUE"""),2.88)</f>
        <v>2.88</v>
      </c>
      <c r="M1658" s="112">
        <f ca="1">IFERROR(__xludf.DUMMYFUNCTION("""COMPUTED_VALUE"""),42619.7055555555)</f>
        <v>42619.705555555498</v>
      </c>
      <c r="N1658" s="111">
        <f ca="1">IFERROR(__xludf.DUMMYFUNCTION("""COMPUTED_VALUE"""),17.08)</f>
        <v>17.079999999999998</v>
      </c>
      <c r="O1658" s="112">
        <f ca="1">IFERROR(__xludf.DUMMYFUNCTION("""COMPUTED_VALUE"""),42697.7055555555)</f>
        <v>42697.705555555498</v>
      </c>
      <c r="P1658" s="111">
        <f ca="1">IFERROR(__xludf.DUMMYFUNCTION("""COMPUTED_VALUE"""),28.17)</f>
        <v>28.17</v>
      </c>
      <c r="Q1658" s="112">
        <f ca="1">IFERROR(__xludf.DUMMYFUNCTION("""COMPUTED_VALUE"""),42696.7055555555)</f>
        <v>42696.705555555498</v>
      </c>
      <c r="R1658" s="111">
        <f ca="1">IFERROR(__xludf.DUMMYFUNCTION("""COMPUTED_VALUE"""),28.58)</f>
        <v>28.58</v>
      </c>
      <c r="S1658" s="112">
        <f ca="1">IFERROR(__xludf.DUMMYFUNCTION("""COMPUTED_VALUE"""),42706.7055555555)</f>
        <v>42706.705555555498</v>
      </c>
      <c r="T1658" s="111">
        <f ca="1">IFERROR(__xludf.DUMMYFUNCTION("""COMPUTED_VALUE"""),16.38)</f>
        <v>16.38</v>
      </c>
    </row>
    <row r="1659" spans="1:20" x14ac:dyDescent="0.3">
      <c r="A1659" s="112">
        <f ca="1">IFERROR(__xludf.DUMMYFUNCTION("""COMPUTED_VALUE"""),42705.7055555555)</f>
        <v>42705.705555555498</v>
      </c>
      <c r="B1659" s="111">
        <f ca="1">IFERROR(__xludf.DUMMYFUNCTION("""COMPUTED_VALUE"""),24.57)</f>
        <v>24.57</v>
      </c>
      <c r="C1659" s="112">
        <f ca="1">IFERROR(__xludf.DUMMYFUNCTION("""COMPUTED_VALUE"""),42712.7055555555)</f>
        <v>42712.705555555498</v>
      </c>
      <c r="D1659" s="111">
        <f ca="1">IFERROR(__xludf.DUMMYFUNCTION("""COMPUTED_VALUE"""),22.53)</f>
        <v>22.53</v>
      </c>
      <c r="E1659" s="112">
        <f ca="1">IFERROR(__xludf.DUMMYFUNCTION("""COMPUTED_VALUE"""),42713.7055555555)</f>
        <v>42713.705555555498</v>
      </c>
      <c r="F1659" s="111">
        <f ca="1">IFERROR(__xludf.DUMMYFUNCTION("""COMPUTED_VALUE"""),7.27)</f>
        <v>7.27</v>
      </c>
      <c r="G1659" s="112">
        <f ca="1">IFERROR(__xludf.DUMMYFUNCTION("""COMPUTED_VALUE"""),42709.7055555555)</f>
        <v>42709.705555555498</v>
      </c>
      <c r="H1659" s="111">
        <f ca="1">IFERROR(__xludf.DUMMYFUNCTION("""COMPUTED_VALUE"""),15.66)</f>
        <v>15.66</v>
      </c>
      <c r="K1659" s="112">
        <f ca="1">IFERROR(__xludf.DUMMYFUNCTION("""COMPUTED_VALUE"""),43161.7055555555)</f>
        <v>43161.705555555498</v>
      </c>
      <c r="L1659" s="111">
        <f ca="1">IFERROR(__xludf.DUMMYFUNCTION("""COMPUTED_VALUE"""),2.9)</f>
        <v>2.9</v>
      </c>
      <c r="M1659" s="112">
        <f ca="1">IFERROR(__xludf.DUMMYFUNCTION("""COMPUTED_VALUE"""),42621.7055555555)</f>
        <v>42621.705555555498</v>
      </c>
      <c r="N1659" s="111">
        <f ca="1">IFERROR(__xludf.DUMMYFUNCTION("""COMPUTED_VALUE"""),17.3)</f>
        <v>17.3</v>
      </c>
      <c r="O1659" s="112">
        <f ca="1">IFERROR(__xludf.DUMMYFUNCTION("""COMPUTED_VALUE"""),42698.7055555555)</f>
        <v>42698.705555555498</v>
      </c>
      <c r="P1659" s="111">
        <f ca="1">IFERROR(__xludf.DUMMYFUNCTION("""COMPUTED_VALUE"""),27.59)</f>
        <v>27.59</v>
      </c>
      <c r="Q1659" s="112">
        <f ca="1">IFERROR(__xludf.DUMMYFUNCTION("""COMPUTED_VALUE"""),42697.7055555555)</f>
        <v>42697.705555555498</v>
      </c>
      <c r="R1659" s="111">
        <f ca="1">IFERROR(__xludf.DUMMYFUNCTION("""COMPUTED_VALUE"""),28.45)</f>
        <v>28.45</v>
      </c>
      <c r="S1659" s="112">
        <f ca="1">IFERROR(__xludf.DUMMYFUNCTION("""COMPUTED_VALUE"""),42709.7055555555)</f>
        <v>42709.705555555498</v>
      </c>
      <c r="T1659" s="111">
        <f ca="1">IFERROR(__xludf.DUMMYFUNCTION("""COMPUTED_VALUE"""),16.3)</f>
        <v>16.3</v>
      </c>
    </row>
    <row r="1660" spans="1:20" x14ac:dyDescent="0.3">
      <c r="A1660" s="112">
        <f ca="1">IFERROR(__xludf.DUMMYFUNCTION("""COMPUTED_VALUE"""),42706.7055555555)</f>
        <v>42706.705555555498</v>
      </c>
      <c r="B1660" s="111">
        <f ca="1">IFERROR(__xludf.DUMMYFUNCTION("""COMPUTED_VALUE"""),23.73)</f>
        <v>23.73</v>
      </c>
      <c r="C1660" s="112">
        <f ca="1">IFERROR(__xludf.DUMMYFUNCTION("""COMPUTED_VALUE"""),42713.7055555555)</f>
        <v>42713.705555555498</v>
      </c>
      <c r="D1660" s="111">
        <f ca="1">IFERROR(__xludf.DUMMYFUNCTION("""COMPUTED_VALUE"""),22.6)</f>
        <v>22.6</v>
      </c>
      <c r="E1660" s="112">
        <f ca="1">IFERROR(__xludf.DUMMYFUNCTION("""COMPUTED_VALUE"""),42716.7055555555)</f>
        <v>42716.705555555498</v>
      </c>
      <c r="F1660" s="111">
        <f ca="1">IFERROR(__xludf.DUMMYFUNCTION("""COMPUTED_VALUE"""),6.99)</f>
        <v>6.99</v>
      </c>
      <c r="G1660" s="112">
        <f ca="1">IFERROR(__xludf.DUMMYFUNCTION("""COMPUTED_VALUE"""),42710.7055555555)</f>
        <v>42710.705555555498</v>
      </c>
      <c r="H1660" s="111">
        <f ca="1">IFERROR(__xludf.DUMMYFUNCTION("""COMPUTED_VALUE"""),16.15)</f>
        <v>16.149999999999999</v>
      </c>
      <c r="K1660" s="112">
        <f ca="1">IFERROR(__xludf.DUMMYFUNCTION("""COMPUTED_VALUE"""),43164.7055555555)</f>
        <v>43164.705555555498</v>
      </c>
      <c r="L1660" s="111">
        <f ca="1">IFERROR(__xludf.DUMMYFUNCTION("""COMPUTED_VALUE"""),2.83)</f>
        <v>2.83</v>
      </c>
      <c r="M1660" s="112">
        <f ca="1">IFERROR(__xludf.DUMMYFUNCTION("""COMPUTED_VALUE"""),42622.7055555555)</f>
        <v>42622.705555555498</v>
      </c>
      <c r="N1660" s="111">
        <f ca="1">IFERROR(__xludf.DUMMYFUNCTION("""COMPUTED_VALUE"""),16.35)</f>
        <v>16.350000000000001</v>
      </c>
      <c r="O1660" s="112">
        <f ca="1">IFERROR(__xludf.DUMMYFUNCTION("""COMPUTED_VALUE"""),42699.7055555555)</f>
        <v>42699.705555555498</v>
      </c>
      <c r="P1660" s="111">
        <f ca="1">IFERROR(__xludf.DUMMYFUNCTION("""COMPUTED_VALUE"""),28.9)</f>
        <v>28.9</v>
      </c>
      <c r="Q1660" s="112">
        <f ca="1">IFERROR(__xludf.DUMMYFUNCTION("""COMPUTED_VALUE"""),42698.7055555555)</f>
        <v>42698.705555555498</v>
      </c>
      <c r="R1660" s="111">
        <f ca="1">IFERROR(__xludf.DUMMYFUNCTION("""COMPUTED_VALUE"""),27.69)</f>
        <v>27.69</v>
      </c>
      <c r="S1660" s="112">
        <f ca="1">IFERROR(__xludf.DUMMYFUNCTION("""COMPUTED_VALUE"""),42710.7055555555)</f>
        <v>42710.705555555498</v>
      </c>
      <c r="T1660" s="111">
        <f ca="1">IFERROR(__xludf.DUMMYFUNCTION("""COMPUTED_VALUE"""),16.36)</f>
        <v>16.36</v>
      </c>
    </row>
    <row r="1661" spans="1:20" x14ac:dyDescent="0.3">
      <c r="A1661" s="112">
        <f ca="1">IFERROR(__xludf.DUMMYFUNCTION("""COMPUTED_VALUE"""),42709.7055555555)</f>
        <v>42709.705555555498</v>
      </c>
      <c r="B1661" s="111">
        <f ca="1">IFERROR(__xludf.DUMMYFUNCTION("""COMPUTED_VALUE"""),23.72)</f>
        <v>23.72</v>
      </c>
      <c r="C1661" s="112">
        <f ca="1">IFERROR(__xludf.DUMMYFUNCTION("""COMPUTED_VALUE"""),42716.7055555555)</f>
        <v>42716.705555555498</v>
      </c>
      <c r="D1661" s="111">
        <f ca="1">IFERROR(__xludf.DUMMYFUNCTION("""COMPUTED_VALUE"""),21.67)</f>
        <v>21.67</v>
      </c>
      <c r="E1661" s="112">
        <f ca="1">IFERROR(__xludf.DUMMYFUNCTION("""COMPUTED_VALUE"""),42717.7055555555)</f>
        <v>42717.705555555498</v>
      </c>
      <c r="F1661" s="111">
        <f ca="1">IFERROR(__xludf.DUMMYFUNCTION("""COMPUTED_VALUE"""),7.02)</f>
        <v>7.02</v>
      </c>
      <c r="G1661" s="112">
        <f ca="1">IFERROR(__xludf.DUMMYFUNCTION("""COMPUTED_VALUE"""),42711.7055555555)</f>
        <v>42711.705555555498</v>
      </c>
      <c r="H1661" s="111">
        <f ca="1">IFERROR(__xludf.DUMMYFUNCTION("""COMPUTED_VALUE"""),15.86)</f>
        <v>15.86</v>
      </c>
      <c r="K1661" s="112">
        <f ca="1">IFERROR(__xludf.DUMMYFUNCTION("""COMPUTED_VALUE"""),43165.7055555555)</f>
        <v>43165.705555555498</v>
      </c>
      <c r="L1661" s="111">
        <f ca="1">IFERROR(__xludf.DUMMYFUNCTION("""COMPUTED_VALUE"""),2.79)</f>
        <v>2.79</v>
      </c>
      <c r="M1661" s="112">
        <f ca="1">IFERROR(__xludf.DUMMYFUNCTION("""COMPUTED_VALUE"""),42625.7055555555)</f>
        <v>42625.705555555498</v>
      </c>
      <c r="N1661" s="111">
        <f ca="1">IFERROR(__xludf.DUMMYFUNCTION("""COMPUTED_VALUE"""),16.4)</f>
        <v>16.399999999999999</v>
      </c>
      <c r="O1661" s="112">
        <f ca="1">IFERROR(__xludf.DUMMYFUNCTION("""COMPUTED_VALUE"""),42702.7055555555)</f>
        <v>42702.705555555498</v>
      </c>
      <c r="P1661" s="111">
        <f ca="1">IFERROR(__xludf.DUMMYFUNCTION("""COMPUTED_VALUE"""),31.01)</f>
        <v>31.01</v>
      </c>
      <c r="Q1661" s="112">
        <f ca="1">IFERROR(__xludf.DUMMYFUNCTION("""COMPUTED_VALUE"""),42699.7055555555)</f>
        <v>42699.705555555498</v>
      </c>
      <c r="R1661" s="111">
        <f ca="1">IFERROR(__xludf.DUMMYFUNCTION("""COMPUTED_VALUE"""),27.63)</f>
        <v>27.63</v>
      </c>
      <c r="S1661" s="112">
        <f ca="1">IFERROR(__xludf.DUMMYFUNCTION("""COMPUTED_VALUE"""),42711.7055555555)</f>
        <v>42711.705555555498</v>
      </c>
      <c r="T1661" s="111">
        <f ca="1">IFERROR(__xludf.DUMMYFUNCTION("""COMPUTED_VALUE"""),16.77)</f>
        <v>16.77</v>
      </c>
    </row>
    <row r="1662" spans="1:20" x14ac:dyDescent="0.3">
      <c r="A1662" s="112">
        <f ca="1">IFERROR(__xludf.DUMMYFUNCTION("""COMPUTED_VALUE"""),42710.7055555555)</f>
        <v>42710.705555555498</v>
      </c>
      <c r="B1662" s="111">
        <f ca="1">IFERROR(__xludf.DUMMYFUNCTION("""COMPUTED_VALUE"""),23.68)</f>
        <v>23.68</v>
      </c>
      <c r="C1662" s="112">
        <f ca="1">IFERROR(__xludf.DUMMYFUNCTION("""COMPUTED_VALUE"""),42717.7055555555)</f>
        <v>42717.705555555498</v>
      </c>
      <c r="D1662" s="111">
        <f ca="1">IFERROR(__xludf.DUMMYFUNCTION("""COMPUTED_VALUE"""),21.77)</f>
        <v>21.77</v>
      </c>
      <c r="E1662" s="112">
        <f ca="1">IFERROR(__xludf.DUMMYFUNCTION("""COMPUTED_VALUE"""),42718.7055555555)</f>
        <v>42718.705555555498</v>
      </c>
      <c r="F1662" s="111">
        <f ca="1">IFERROR(__xludf.DUMMYFUNCTION("""COMPUTED_VALUE"""),6.98)</f>
        <v>6.98</v>
      </c>
      <c r="G1662" s="112">
        <f ca="1">IFERROR(__xludf.DUMMYFUNCTION("""COMPUTED_VALUE"""),42712.7055555555)</f>
        <v>42712.705555555498</v>
      </c>
      <c r="H1662" s="111">
        <f ca="1">IFERROR(__xludf.DUMMYFUNCTION("""COMPUTED_VALUE"""),15.7)</f>
        <v>15.7</v>
      </c>
      <c r="K1662" s="112">
        <f ca="1">IFERROR(__xludf.DUMMYFUNCTION("""COMPUTED_VALUE"""),43166.7055555555)</f>
        <v>43166.705555555498</v>
      </c>
      <c r="L1662" s="111">
        <f ca="1">IFERROR(__xludf.DUMMYFUNCTION("""COMPUTED_VALUE"""),2.81)</f>
        <v>2.81</v>
      </c>
      <c r="M1662" s="112">
        <f ca="1">IFERROR(__xludf.DUMMYFUNCTION("""COMPUTED_VALUE"""),42626.7055555555)</f>
        <v>42626.705555555498</v>
      </c>
      <c r="N1662" s="111">
        <f ca="1">IFERROR(__xludf.DUMMYFUNCTION("""COMPUTED_VALUE"""),15.72)</f>
        <v>15.72</v>
      </c>
      <c r="O1662" s="112">
        <f ca="1">IFERROR(__xludf.DUMMYFUNCTION("""COMPUTED_VALUE"""),42703.7055555555)</f>
        <v>42703.705555555498</v>
      </c>
      <c r="P1662" s="111">
        <f ca="1">IFERROR(__xludf.DUMMYFUNCTION("""COMPUTED_VALUE"""),29.18)</f>
        <v>29.18</v>
      </c>
      <c r="Q1662" s="112">
        <f ca="1">IFERROR(__xludf.DUMMYFUNCTION("""COMPUTED_VALUE"""),42702.7055555555)</f>
        <v>42702.705555555498</v>
      </c>
      <c r="R1662" s="111">
        <f ca="1">IFERROR(__xludf.DUMMYFUNCTION("""COMPUTED_VALUE"""),28.9)</f>
        <v>28.9</v>
      </c>
      <c r="S1662" s="112">
        <f ca="1">IFERROR(__xludf.DUMMYFUNCTION("""COMPUTED_VALUE"""),42712.7055555555)</f>
        <v>42712.705555555498</v>
      </c>
      <c r="T1662" s="111">
        <f ca="1">IFERROR(__xludf.DUMMYFUNCTION("""COMPUTED_VALUE"""),16.79)</f>
        <v>16.79</v>
      </c>
    </row>
    <row r="1663" spans="1:20" x14ac:dyDescent="0.3">
      <c r="A1663" s="112">
        <f ca="1">IFERROR(__xludf.DUMMYFUNCTION("""COMPUTED_VALUE"""),42711.7055555555)</f>
        <v>42711.705555555498</v>
      </c>
      <c r="B1663" s="111">
        <f ca="1">IFERROR(__xludf.DUMMYFUNCTION("""COMPUTED_VALUE"""),23.33)</f>
        <v>23.33</v>
      </c>
      <c r="C1663" s="112">
        <f ca="1">IFERROR(__xludf.DUMMYFUNCTION("""COMPUTED_VALUE"""),42718.7055555555)</f>
        <v>42718.705555555498</v>
      </c>
      <c r="D1663" s="111">
        <f ca="1">IFERROR(__xludf.DUMMYFUNCTION("""COMPUTED_VALUE"""),21.72)</f>
        <v>21.72</v>
      </c>
      <c r="E1663" s="112">
        <f ca="1">IFERROR(__xludf.DUMMYFUNCTION("""COMPUTED_VALUE"""),42719.7055555555)</f>
        <v>42719.705555555498</v>
      </c>
      <c r="F1663" s="111">
        <f ca="1">IFERROR(__xludf.DUMMYFUNCTION("""COMPUTED_VALUE"""),6.98)</f>
        <v>6.98</v>
      </c>
      <c r="G1663" s="112">
        <f ca="1">IFERROR(__xludf.DUMMYFUNCTION("""COMPUTED_VALUE"""),42713.7055555555)</f>
        <v>42713.705555555498</v>
      </c>
      <c r="H1663" s="111">
        <f ca="1">IFERROR(__xludf.DUMMYFUNCTION("""COMPUTED_VALUE"""),15.58)</f>
        <v>15.58</v>
      </c>
      <c r="K1663" s="112">
        <f ca="1">IFERROR(__xludf.DUMMYFUNCTION("""COMPUTED_VALUE"""),43167.7055555555)</f>
        <v>43167.705555555498</v>
      </c>
      <c r="L1663" s="111">
        <f ca="1">IFERROR(__xludf.DUMMYFUNCTION("""COMPUTED_VALUE"""),2.76)</f>
        <v>2.76</v>
      </c>
      <c r="M1663" s="112">
        <f ca="1">IFERROR(__xludf.DUMMYFUNCTION("""COMPUTED_VALUE"""),42627.7055555555)</f>
        <v>42627.705555555498</v>
      </c>
      <c r="N1663" s="111">
        <f ca="1">IFERROR(__xludf.DUMMYFUNCTION("""COMPUTED_VALUE"""),15.85)</f>
        <v>15.85</v>
      </c>
      <c r="O1663" s="112">
        <f ca="1">IFERROR(__xludf.DUMMYFUNCTION("""COMPUTED_VALUE"""),42704.7055555555)</f>
        <v>42704.705555555498</v>
      </c>
      <c r="P1663" s="111">
        <f ca="1">IFERROR(__xludf.DUMMYFUNCTION("""COMPUTED_VALUE"""),28.06)</f>
        <v>28.06</v>
      </c>
      <c r="Q1663" s="112">
        <f ca="1">IFERROR(__xludf.DUMMYFUNCTION("""COMPUTED_VALUE"""),42703.7055555555)</f>
        <v>42703.705555555498</v>
      </c>
      <c r="R1663" s="111">
        <f ca="1">IFERROR(__xludf.DUMMYFUNCTION("""COMPUTED_VALUE"""),27.85)</f>
        <v>27.85</v>
      </c>
      <c r="S1663" s="112">
        <f ca="1">IFERROR(__xludf.DUMMYFUNCTION("""COMPUTED_VALUE"""),42713.7055555555)</f>
        <v>42713.705555555498</v>
      </c>
      <c r="T1663" s="111">
        <f ca="1">IFERROR(__xludf.DUMMYFUNCTION("""COMPUTED_VALUE"""),16.93)</f>
        <v>16.93</v>
      </c>
    </row>
    <row r="1664" spans="1:20" x14ac:dyDescent="0.3">
      <c r="A1664" s="112">
        <f ca="1">IFERROR(__xludf.DUMMYFUNCTION("""COMPUTED_VALUE"""),42712.7055555555)</f>
        <v>42712.705555555498</v>
      </c>
      <c r="B1664" s="111">
        <f ca="1">IFERROR(__xludf.DUMMYFUNCTION("""COMPUTED_VALUE"""),22.75)</f>
        <v>22.75</v>
      </c>
      <c r="C1664" s="112">
        <f ca="1">IFERROR(__xludf.DUMMYFUNCTION("""COMPUTED_VALUE"""),42719.7055555555)</f>
        <v>42719.705555555498</v>
      </c>
      <c r="D1664" s="111">
        <f ca="1">IFERROR(__xludf.DUMMYFUNCTION("""COMPUTED_VALUE"""),21.63)</f>
        <v>21.63</v>
      </c>
      <c r="E1664" s="112">
        <f ca="1">IFERROR(__xludf.DUMMYFUNCTION("""COMPUTED_VALUE"""),42720.7055555555)</f>
        <v>42720.705555555498</v>
      </c>
      <c r="F1664" s="111">
        <f ca="1">IFERROR(__xludf.DUMMYFUNCTION("""COMPUTED_VALUE"""),6.94)</f>
        <v>6.94</v>
      </c>
      <c r="G1664" s="112">
        <f ca="1">IFERROR(__xludf.DUMMYFUNCTION("""COMPUTED_VALUE"""),42716.7055555555)</f>
        <v>42716.705555555498</v>
      </c>
      <c r="H1664" s="111">
        <f ca="1">IFERROR(__xludf.DUMMYFUNCTION("""COMPUTED_VALUE"""),15.6)</f>
        <v>15.6</v>
      </c>
      <c r="K1664" s="112">
        <f ca="1">IFERROR(__xludf.DUMMYFUNCTION("""COMPUTED_VALUE"""),43168.7055555555)</f>
        <v>43168.705555555498</v>
      </c>
      <c r="L1664" s="111">
        <f ca="1">IFERROR(__xludf.DUMMYFUNCTION("""COMPUTED_VALUE"""),2.84)</f>
        <v>2.84</v>
      </c>
      <c r="M1664" s="112">
        <f ca="1">IFERROR(__xludf.DUMMYFUNCTION("""COMPUTED_VALUE"""),42628.7055555555)</f>
        <v>42628.705555555498</v>
      </c>
      <c r="N1664" s="111">
        <f ca="1">IFERROR(__xludf.DUMMYFUNCTION("""COMPUTED_VALUE"""),16.28)</f>
        <v>16.28</v>
      </c>
      <c r="O1664" s="112">
        <f ca="1">IFERROR(__xludf.DUMMYFUNCTION("""COMPUTED_VALUE"""),42705.7055555555)</f>
        <v>42705.705555555498</v>
      </c>
      <c r="P1664" s="111">
        <f ca="1">IFERROR(__xludf.DUMMYFUNCTION("""COMPUTED_VALUE"""),28.47)</f>
        <v>28.47</v>
      </c>
      <c r="Q1664" s="112">
        <f ca="1">IFERROR(__xludf.DUMMYFUNCTION("""COMPUTED_VALUE"""),42704.7055555555)</f>
        <v>42704.705555555498</v>
      </c>
      <c r="R1664" s="111">
        <f ca="1">IFERROR(__xludf.DUMMYFUNCTION("""COMPUTED_VALUE"""),28.5)</f>
        <v>28.5</v>
      </c>
      <c r="S1664" s="112">
        <f ca="1">IFERROR(__xludf.DUMMYFUNCTION("""COMPUTED_VALUE"""),42716.7055555555)</f>
        <v>42716.705555555498</v>
      </c>
      <c r="T1664" s="111">
        <f ca="1">IFERROR(__xludf.DUMMYFUNCTION("""COMPUTED_VALUE"""),16.7)</f>
        <v>16.7</v>
      </c>
    </row>
    <row r="1665" spans="1:20" x14ac:dyDescent="0.3">
      <c r="A1665" s="112">
        <f ca="1">IFERROR(__xludf.DUMMYFUNCTION("""COMPUTED_VALUE"""),42713.7055555555)</f>
        <v>42713.705555555498</v>
      </c>
      <c r="B1665" s="111">
        <f ca="1">IFERROR(__xludf.DUMMYFUNCTION("""COMPUTED_VALUE"""),22.65)</f>
        <v>22.65</v>
      </c>
      <c r="C1665" s="112">
        <f ca="1">IFERROR(__xludf.DUMMYFUNCTION("""COMPUTED_VALUE"""),42720.7055555555)</f>
        <v>42720.705555555498</v>
      </c>
      <c r="D1665" s="111">
        <f ca="1">IFERROR(__xludf.DUMMYFUNCTION("""COMPUTED_VALUE"""),21.25)</f>
        <v>21.25</v>
      </c>
      <c r="E1665" s="112">
        <f ca="1">IFERROR(__xludf.DUMMYFUNCTION("""COMPUTED_VALUE"""),42723.7055555555)</f>
        <v>42723.705555555498</v>
      </c>
      <c r="F1665" s="111">
        <f ca="1">IFERROR(__xludf.DUMMYFUNCTION("""COMPUTED_VALUE"""),6.82)</f>
        <v>6.82</v>
      </c>
      <c r="G1665" s="112">
        <f ca="1">IFERROR(__xludf.DUMMYFUNCTION("""COMPUTED_VALUE"""),42717.7055555555)</f>
        <v>42717.705555555498</v>
      </c>
      <c r="H1665" s="111">
        <f ca="1">IFERROR(__xludf.DUMMYFUNCTION("""COMPUTED_VALUE"""),15.45)</f>
        <v>15.45</v>
      </c>
      <c r="K1665" s="112">
        <f ca="1">IFERROR(__xludf.DUMMYFUNCTION("""COMPUTED_VALUE"""),43171.7055555555)</f>
        <v>43171.705555555498</v>
      </c>
      <c r="L1665" s="111">
        <f ca="1">IFERROR(__xludf.DUMMYFUNCTION("""COMPUTED_VALUE"""),2.89)</f>
        <v>2.89</v>
      </c>
      <c r="M1665" s="112">
        <f ca="1">IFERROR(__xludf.DUMMYFUNCTION("""COMPUTED_VALUE"""),42629.7055555555)</f>
        <v>42629.705555555498</v>
      </c>
      <c r="N1665" s="111">
        <f ca="1">IFERROR(__xludf.DUMMYFUNCTION("""COMPUTED_VALUE"""),15.99)</f>
        <v>15.99</v>
      </c>
      <c r="O1665" s="112">
        <f ca="1">IFERROR(__xludf.DUMMYFUNCTION("""COMPUTED_VALUE"""),42706.7055555555)</f>
        <v>42706.705555555498</v>
      </c>
      <c r="P1665" s="111">
        <f ca="1">IFERROR(__xludf.DUMMYFUNCTION("""COMPUTED_VALUE"""),29.49)</f>
        <v>29.49</v>
      </c>
      <c r="Q1665" s="112">
        <f ca="1">IFERROR(__xludf.DUMMYFUNCTION("""COMPUTED_VALUE"""),42705.7055555555)</f>
        <v>42705.705555555498</v>
      </c>
      <c r="R1665" s="111">
        <f ca="1">IFERROR(__xludf.DUMMYFUNCTION("""COMPUTED_VALUE"""),26.62)</f>
        <v>26.62</v>
      </c>
      <c r="S1665" s="112">
        <f ca="1">IFERROR(__xludf.DUMMYFUNCTION("""COMPUTED_VALUE"""),42717.7055555555)</f>
        <v>42717.705555555498</v>
      </c>
      <c r="T1665" s="111">
        <f ca="1">IFERROR(__xludf.DUMMYFUNCTION("""COMPUTED_VALUE"""),17.13)</f>
        <v>17.13</v>
      </c>
    </row>
    <row r="1666" spans="1:20" x14ac:dyDescent="0.3">
      <c r="A1666" s="112">
        <f ca="1">IFERROR(__xludf.DUMMYFUNCTION("""COMPUTED_VALUE"""),42716.7055555555)</f>
        <v>42716.705555555498</v>
      </c>
      <c r="B1666" s="111">
        <f ca="1">IFERROR(__xludf.DUMMYFUNCTION("""COMPUTED_VALUE"""),22.66)</f>
        <v>22.66</v>
      </c>
      <c r="C1666" s="112">
        <f ca="1">IFERROR(__xludf.DUMMYFUNCTION("""COMPUTED_VALUE"""),42723.7055555555)</f>
        <v>42723.705555555498</v>
      </c>
      <c r="D1666" s="111">
        <f ca="1">IFERROR(__xludf.DUMMYFUNCTION("""COMPUTED_VALUE"""),20.67)</f>
        <v>20.67</v>
      </c>
      <c r="E1666" s="112">
        <f ca="1">IFERROR(__xludf.DUMMYFUNCTION("""COMPUTED_VALUE"""),42724.7055555555)</f>
        <v>42724.705555555498</v>
      </c>
      <c r="F1666" s="111">
        <f ca="1">IFERROR(__xludf.DUMMYFUNCTION("""COMPUTED_VALUE"""),6.89)</f>
        <v>6.89</v>
      </c>
      <c r="G1666" s="112">
        <f ca="1">IFERROR(__xludf.DUMMYFUNCTION("""COMPUTED_VALUE"""),42718.7055555555)</f>
        <v>42718.705555555498</v>
      </c>
      <c r="H1666" s="111">
        <f ca="1">IFERROR(__xludf.DUMMYFUNCTION("""COMPUTED_VALUE"""),14.74)</f>
        <v>14.74</v>
      </c>
      <c r="K1666" s="112">
        <f ca="1">IFERROR(__xludf.DUMMYFUNCTION("""COMPUTED_VALUE"""),43172.7055555555)</f>
        <v>43172.705555555498</v>
      </c>
      <c r="L1666" s="111">
        <f ca="1">IFERROR(__xludf.DUMMYFUNCTION("""COMPUTED_VALUE"""),2.86)</f>
        <v>2.86</v>
      </c>
      <c r="M1666" s="112">
        <f ca="1">IFERROR(__xludf.DUMMYFUNCTION("""COMPUTED_VALUE"""),42632.7055555555)</f>
        <v>42632.705555555498</v>
      </c>
      <c r="N1666" s="111">
        <f ca="1">IFERROR(__xludf.DUMMYFUNCTION("""COMPUTED_VALUE"""),16.07)</f>
        <v>16.07</v>
      </c>
      <c r="O1666" s="112">
        <f ca="1">IFERROR(__xludf.DUMMYFUNCTION("""COMPUTED_VALUE"""),42709.7055555555)</f>
        <v>42709.705555555498</v>
      </c>
      <c r="P1666" s="111">
        <f ca="1">IFERROR(__xludf.DUMMYFUNCTION("""COMPUTED_VALUE"""),29.6)</f>
        <v>29.6</v>
      </c>
      <c r="Q1666" s="112">
        <f ca="1">IFERROR(__xludf.DUMMYFUNCTION("""COMPUTED_VALUE"""),42706.7055555555)</f>
        <v>42706.705555555498</v>
      </c>
      <c r="R1666" s="111">
        <f ca="1">IFERROR(__xludf.DUMMYFUNCTION("""COMPUTED_VALUE"""),27.17)</f>
        <v>27.17</v>
      </c>
      <c r="S1666" s="112">
        <f ca="1">IFERROR(__xludf.DUMMYFUNCTION("""COMPUTED_VALUE"""),42718.7055555555)</f>
        <v>42718.705555555498</v>
      </c>
      <c r="T1666" s="111">
        <f ca="1">IFERROR(__xludf.DUMMYFUNCTION("""COMPUTED_VALUE"""),17.05)</f>
        <v>17.05</v>
      </c>
    </row>
    <row r="1667" spans="1:20" x14ac:dyDescent="0.3">
      <c r="A1667" s="112">
        <f ca="1">IFERROR(__xludf.DUMMYFUNCTION("""COMPUTED_VALUE"""),42717.7055555555)</f>
        <v>42717.705555555498</v>
      </c>
      <c r="B1667" s="111">
        <f ca="1">IFERROR(__xludf.DUMMYFUNCTION("""COMPUTED_VALUE"""),22.48)</f>
        <v>22.48</v>
      </c>
      <c r="C1667" s="112">
        <f ca="1">IFERROR(__xludf.DUMMYFUNCTION("""COMPUTED_VALUE"""),42724.7055555555)</f>
        <v>42724.705555555498</v>
      </c>
      <c r="D1667" s="111">
        <f ca="1">IFERROR(__xludf.DUMMYFUNCTION("""COMPUTED_VALUE"""),21.2)</f>
        <v>21.2</v>
      </c>
      <c r="E1667" s="112">
        <f ca="1">IFERROR(__xludf.DUMMYFUNCTION("""COMPUTED_VALUE"""),42725.7055555555)</f>
        <v>42725.705555555498</v>
      </c>
      <c r="F1667" s="111">
        <f ca="1">IFERROR(__xludf.DUMMYFUNCTION("""COMPUTED_VALUE"""),6.89)</f>
        <v>6.89</v>
      </c>
      <c r="G1667" s="112">
        <f ca="1">IFERROR(__xludf.DUMMYFUNCTION("""COMPUTED_VALUE"""),42719.7055555555)</f>
        <v>42719.705555555498</v>
      </c>
      <c r="H1667" s="111">
        <f ca="1">IFERROR(__xludf.DUMMYFUNCTION("""COMPUTED_VALUE"""),14.85)</f>
        <v>14.85</v>
      </c>
      <c r="K1667" s="112">
        <f ca="1">IFERROR(__xludf.DUMMYFUNCTION("""COMPUTED_VALUE"""),43173.7055555555)</f>
        <v>43173.705555555498</v>
      </c>
      <c r="L1667" s="111">
        <f ca="1">IFERROR(__xludf.DUMMYFUNCTION("""COMPUTED_VALUE"""),2.8)</f>
        <v>2.8</v>
      </c>
      <c r="M1667" s="112">
        <f ca="1">IFERROR(__xludf.DUMMYFUNCTION("""COMPUTED_VALUE"""),42633.7055555555)</f>
        <v>42633.705555555498</v>
      </c>
      <c r="N1667" s="111">
        <f ca="1">IFERROR(__xludf.DUMMYFUNCTION("""COMPUTED_VALUE"""),16.25)</f>
        <v>16.25</v>
      </c>
      <c r="O1667" s="112">
        <f ca="1">IFERROR(__xludf.DUMMYFUNCTION("""COMPUTED_VALUE"""),42710.7055555555)</f>
        <v>42710.705555555498</v>
      </c>
      <c r="P1667" s="111">
        <f ca="1">IFERROR(__xludf.DUMMYFUNCTION("""COMPUTED_VALUE"""),30)</f>
        <v>30</v>
      </c>
      <c r="Q1667" s="112">
        <f ca="1">IFERROR(__xludf.DUMMYFUNCTION("""COMPUTED_VALUE"""),42709.7055555555)</f>
        <v>42709.705555555498</v>
      </c>
      <c r="R1667" s="111">
        <f ca="1">IFERROR(__xludf.DUMMYFUNCTION("""COMPUTED_VALUE"""),26.65)</f>
        <v>26.65</v>
      </c>
      <c r="S1667" s="112">
        <f ca="1">IFERROR(__xludf.DUMMYFUNCTION("""COMPUTED_VALUE"""),42719.7055555555)</f>
        <v>42719.705555555498</v>
      </c>
      <c r="T1667" s="111">
        <f ca="1">IFERROR(__xludf.DUMMYFUNCTION("""COMPUTED_VALUE"""),16.92)</f>
        <v>16.920000000000002</v>
      </c>
    </row>
    <row r="1668" spans="1:20" x14ac:dyDescent="0.3">
      <c r="A1668" s="112">
        <f ca="1">IFERROR(__xludf.DUMMYFUNCTION("""COMPUTED_VALUE"""),42718.7055555555)</f>
        <v>42718.705555555498</v>
      </c>
      <c r="B1668" s="111">
        <f ca="1">IFERROR(__xludf.DUMMYFUNCTION("""COMPUTED_VALUE"""),22.41)</f>
        <v>22.41</v>
      </c>
      <c r="C1668" s="112">
        <f ca="1">IFERROR(__xludf.DUMMYFUNCTION("""COMPUTED_VALUE"""),42725.7055555555)</f>
        <v>42725.705555555498</v>
      </c>
      <c r="D1668" s="111">
        <f ca="1">IFERROR(__xludf.DUMMYFUNCTION("""COMPUTED_VALUE"""),21.19)</f>
        <v>21.19</v>
      </c>
      <c r="E1668" s="112">
        <f ca="1">IFERROR(__xludf.DUMMYFUNCTION("""COMPUTED_VALUE"""),42726.7055555555)</f>
        <v>42726.705555555498</v>
      </c>
      <c r="F1668" s="111">
        <f ca="1">IFERROR(__xludf.DUMMYFUNCTION("""COMPUTED_VALUE"""),6.94)</f>
        <v>6.94</v>
      </c>
      <c r="G1668" s="112">
        <f ca="1">IFERROR(__xludf.DUMMYFUNCTION("""COMPUTED_VALUE"""),42720.7055555555)</f>
        <v>42720.705555555498</v>
      </c>
      <c r="H1668" s="111">
        <f ca="1">IFERROR(__xludf.DUMMYFUNCTION("""COMPUTED_VALUE"""),14.76)</f>
        <v>14.76</v>
      </c>
      <c r="K1668" s="112">
        <f ca="1">IFERROR(__xludf.DUMMYFUNCTION("""COMPUTED_VALUE"""),43174.7055555555)</f>
        <v>43174.705555555498</v>
      </c>
      <c r="L1668" s="111">
        <f ca="1">IFERROR(__xludf.DUMMYFUNCTION("""COMPUTED_VALUE"""),2.84)</f>
        <v>2.84</v>
      </c>
      <c r="M1668" s="112">
        <f ca="1">IFERROR(__xludf.DUMMYFUNCTION("""COMPUTED_VALUE"""),42634.7055555555)</f>
        <v>42634.705555555498</v>
      </c>
      <c r="N1668" s="111">
        <f ca="1">IFERROR(__xludf.DUMMYFUNCTION("""COMPUTED_VALUE"""),16.57)</f>
        <v>16.57</v>
      </c>
      <c r="O1668" s="112">
        <f ca="1">IFERROR(__xludf.DUMMYFUNCTION("""COMPUTED_VALUE"""),42711.7055555555)</f>
        <v>42711.705555555498</v>
      </c>
      <c r="P1668" s="111">
        <f ca="1">IFERROR(__xludf.DUMMYFUNCTION("""COMPUTED_VALUE"""),31.03)</f>
        <v>31.03</v>
      </c>
      <c r="Q1668" s="112">
        <f ca="1">IFERROR(__xludf.DUMMYFUNCTION("""COMPUTED_VALUE"""),42710.7055555555)</f>
        <v>42710.705555555498</v>
      </c>
      <c r="R1668" s="111">
        <f ca="1">IFERROR(__xludf.DUMMYFUNCTION("""COMPUTED_VALUE"""),26.68)</f>
        <v>26.68</v>
      </c>
      <c r="S1668" s="112">
        <f ca="1">IFERROR(__xludf.DUMMYFUNCTION("""COMPUTED_VALUE"""),42720.7055555555)</f>
        <v>42720.705555555498</v>
      </c>
      <c r="T1668" s="111">
        <f ca="1">IFERROR(__xludf.DUMMYFUNCTION("""COMPUTED_VALUE"""),17.02)</f>
        <v>17.02</v>
      </c>
    </row>
    <row r="1669" spans="1:20" x14ac:dyDescent="0.3">
      <c r="A1669" s="112">
        <f ca="1">IFERROR(__xludf.DUMMYFUNCTION("""COMPUTED_VALUE"""),42719.7055555555)</f>
        <v>42719.705555555498</v>
      </c>
      <c r="B1669" s="111">
        <f ca="1">IFERROR(__xludf.DUMMYFUNCTION("""COMPUTED_VALUE"""),22.6)</f>
        <v>22.6</v>
      </c>
      <c r="C1669" s="112">
        <f ca="1">IFERROR(__xludf.DUMMYFUNCTION("""COMPUTED_VALUE"""),42726.7055555555)</f>
        <v>42726.705555555498</v>
      </c>
      <c r="D1669" s="111">
        <f ca="1">IFERROR(__xludf.DUMMYFUNCTION("""COMPUTED_VALUE"""),21.37)</f>
        <v>21.37</v>
      </c>
      <c r="E1669" s="112">
        <f ca="1">IFERROR(__xludf.DUMMYFUNCTION("""COMPUTED_VALUE"""),42727.7055555555)</f>
        <v>42727.705555555498</v>
      </c>
      <c r="F1669" s="111">
        <f ca="1">IFERROR(__xludf.DUMMYFUNCTION("""COMPUTED_VALUE"""),6.84)</f>
        <v>6.84</v>
      </c>
      <c r="G1669" s="112">
        <f ca="1">IFERROR(__xludf.DUMMYFUNCTION("""COMPUTED_VALUE"""),42723.7055555555)</f>
        <v>42723.705555555498</v>
      </c>
      <c r="H1669" s="111">
        <f ca="1">IFERROR(__xludf.DUMMYFUNCTION("""COMPUTED_VALUE"""),14.36)</f>
        <v>14.36</v>
      </c>
      <c r="K1669" s="112">
        <f ca="1">IFERROR(__xludf.DUMMYFUNCTION("""COMPUTED_VALUE"""),43175.7055555555)</f>
        <v>43175.705555555498</v>
      </c>
      <c r="L1669" s="111">
        <f ca="1">IFERROR(__xludf.DUMMYFUNCTION("""COMPUTED_VALUE"""),2.9)</f>
        <v>2.9</v>
      </c>
      <c r="M1669" s="112">
        <f ca="1">IFERROR(__xludf.DUMMYFUNCTION("""COMPUTED_VALUE"""),42635.7055555555)</f>
        <v>42635.705555555498</v>
      </c>
      <c r="N1669" s="111">
        <f ca="1">IFERROR(__xludf.DUMMYFUNCTION("""COMPUTED_VALUE"""),16.89)</f>
        <v>16.89</v>
      </c>
      <c r="O1669" s="112">
        <f ca="1">IFERROR(__xludf.DUMMYFUNCTION("""COMPUTED_VALUE"""),42712.7055555555)</f>
        <v>42712.705555555498</v>
      </c>
      <c r="P1669" s="111">
        <f ca="1">IFERROR(__xludf.DUMMYFUNCTION("""COMPUTED_VALUE"""),30.13)</f>
        <v>30.13</v>
      </c>
      <c r="Q1669" s="112">
        <f ca="1">IFERROR(__xludf.DUMMYFUNCTION("""COMPUTED_VALUE"""),42711.7055555555)</f>
        <v>42711.705555555498</v>
      </c>
      <c r="R1669" s="111">
        <f ca="1">IFERROR(__xludf.DUMMYFUNCTION("""COMPUTED_VALUE"""),27)</f>
        <v>27</v>
      </c>
      <c r="S1669" s="112">
        <f ca="1">IFERROR(__xludf.DUMMYFUNCTION("""COMPUTED_VALUE"""),42723.7055555555)</f>
        <v>42723.705555555498</v>
      </c>
      <c r="T1669" s="111">
        <f ca="1">IFERROR(__xludf.DUMMYFUNCTION("""COMPUTED_VALUE"""),16.95)</f>
        <v>16.95</v>
      </c>
    </row>
    <row r="1670" spans="1:20" x14ac:dyDescent="0.3">
      <c r="A1670" s="112">
        <f ca="1">IFERROR(__xludf.DUMMYFUNCTION("""COMPUTED_VALUE"""),42720.7055555555)</f>
        <v>42720.705555555498</v>
      </c>
      <c r="B1670" s="111">
        <f ca="1">IFERROR(__xludf.DUMMYFUNCTION("""COMPUTED_VALUE"""),22.46)</f>
        <v>22.46</v>
      </c>
      <c r="C1670" s="112">
        <f ca="1">IFERROR(__xludf.DUMMYFUNCTION("""COMPUTED_VALUE"""),42727.7055555555)</f>
        <v>42727.705555555498</v>
      </c>
      <c r="D1670" s="111">
        <f ca="1">IFERROR(__xludf.DUMMYFUNCTION("""COMPUTED_VALUE"""),21.65)</f>
        <v>21.65</v>
      </c>
      <c r="E1670" s="112">
        <f ca="1">IFERROR(__xludf.DUMMYFUNCTION("""COMPUTED_VALUE"""),42730.7055555555)</f>
        <v>42730.705555555498</v>
      </c>
      <c r="F1670" s="111">
        <f ca="1">IFERROR(__xludf.DUMMYFUNCTION("""COMPUTED_VALUE"""),6.93)</f>
        <v>6.93</v>
      </c>
      <c r="G1670" s="112">
        <f ca="1">IFERROR(__xludf.DUMMYFUNCTION("""COMPUTED_VALUE"""),42724.7055555555)</f>
        <v>42724.705555555498</v>
      </c>
      <c r="H1670" s="111">
        <f ca="1">IFERROR(__xludf.DUMMYFUNCTION("""COMPUTED_VALUE"""),14.35)</f>
        <v>14.35</v>
      </c>
      <c r="K1670" s="112">
        <f ca="1">IFERROR(__xludf.DUMMYFUNCTION("""COMPUTED_VALUE"""),43178.7055555555)</f>
        <v>43178.705555555498</v>
      </c>
      <c r="L1670" s="111">
        <f ca="1">IFERROR(__xludf.DUMMYFUNCTION("""COMPUTED_VALUE"""),2.84)</f>
        <v>2.84</v>
      </c>
      <c r="M1670" s="112">
        <f ca="1">IFERROR(__xludf.DUMMYFUNCTION("""COMPUTED_VALUE"""),42636.7055555555)</f>
        <v>42636.705555555498</v>
      </c>
      <c r="N1670" s="111">
        <f ca="1">IFERROR(__xludf.DUMMYFUNCTION("""COMPUTED_VALUE"""),16.92)</f>
        <v>16.920000000000002</v>
      </c>
      <c r="O1670" s="112">
        <f ca="1">IFERROR(__xludf.DUMMYFUNCTION("""COMPUTED_VALUE"""),42713.7055555555)</f>
        <v>42713.705555555498</v>
      </c>
      <c r="P1670" s="111">
        <f ca="1">IFERROR(__xludf.DUMMYFUNCTION("""COMPUTED_VALUE"""),29.61)</f>
        <v>29.61</v>
      </c>
      <c r="Q1670" s="112">
        <f ca="1">IFERROR(__xludf.DUMMYFUNCTION("""COMPUTED_VALUE"""),42712.7055555555)</f>
        <v>42712.705555555498</v>
      </c>
      <c r="R1670" s="111">
        <f ca="1">IFERROR(__xludf.DUMMYFUNCTION("""COMPUTED_VALUE"""),26.8)</f>
        <v>26.8</v>
      </c>
      <c r="S1670" s="112">
        <f ca="1">IFERROR(__xludf.DUMMYFUNCTION("""COMPUTED_VALUE"""),42724.7055555555)</f>
        <v>42724.705555555498</v>
      </c>
      <c r="T1670" s="111">
        <f ca="1">IFERROR(__xludf.DUMMYFUNCTION("""COMPUTED_VALUE"""),16.44)</f>
        <v>16.440000000000001</v>
      </c>
    </row>
    <row r="1671" spans="1:20" x14ac:dyDescent="0.3">
      <c r="A1671" s="112">
        <f ca="1">IFERROR(__xludf.DUMMYFUNCTION("""COMPUTED_VALUE"""),42723.7055555555)</f>
        <v>42723.705555555498</v>
      </c>
      <c r="B1671" s="111">
        <f ca="1">IFERROR(__xludf.DUMMYFUNCTION("""COMPUTED_VALUE"""),22.53)</f>
        <v>22.53</v>
      </c>
      <c r="C1671" s="112">
        <f ca="1">IFERROR(__xludf.DUMMYFUNCTION("""COMPUTED_VALUE"""),42730.7055555555)</f>
        <v>42730.705555555498</v>
      </c>
      <c r="D1671" s="111">
        <f ca="1">IFERROR(__xludf.DUMMYFUNCTION("""COMPUTED_VALUE"""),21.82)</f>
        <v>21.82</v>
      </c>
      <c r="E1671" s="112">
        <f ca="1">IFERROR(__xludf.DUMMYFUNCTION("""COMPUTED_VALUE"""),42731.7055555555)</f>
        <v>42731.705555555498</v>
      </c>
      <c r="F1671" s="111">
        <f ca="1">IFERROR(__xludf.DUMMYFUNCTION("""COMPUTED_VALUE"""),6.9)</f>
        <v>6.9</v>
      </c>
      <c r="G1671" s="112">
        <f ca="1">IFERROR(__xludf.DUMMYFUNCTION("""COMPUTED_VALUE"""),42725.7055555555)</f>
        <v>42725.705555555498</v>
      </c>
      <c r="H1671" s="111">
        <f ca="1">IFERROR(__xludf.DUMMYFUNCTION("""COMPUTED_VALUE"""),14.34)</f>
        <v>14.34</v>
      </c>
      <c r="K1671" s="112">
        <f ca="1">IFERROR(__xludf.DUMMYFUNCTION("""COMPUTED_VALUE"""),43179.7055555555)</f>
        <v>43179.705555555498</v>
      </c>
      <c r="L1671" s="111">
        <f ca="1">IFERROR(__xludf.DUMMYFUNCTION("""COMPUTED_VALUE"""),2.81)</f>
        <v>2.81</v>
      </c>
      <c r="M1671" s="112">
        <f ca="1">IFERROR(__xludf.DUMMYFUNCTION("""COMPUTED_VALUE"""),42639.7055555555)</f>
        <v>42639.705555555498</v>
      </c>
      <c r="N1671" s="111">
        <f ca="1">IFERROR(__xludf.DUMMYFUNCTION("""COMPUTED_VALUE"""),16.71)</f>
        <v>16.71</v>
      </c>
      <c r="O1671" s="112">
        <f ca="1">IFERROR(__xludf.DUMMYFUNCTION("""COMPUTED_VALUE"""),42716.7055555555)</f>
        <v>42716.705555555498</v>
      </c>
      <c r="P1671" s="111">
        <f ca="1">IFERROR(__xludf.DUMMYFUNCTION("""COMPUTED_VALUE"""),29.49)</f>
        <v>29.49</v>
      </c>
      <c r="Q1671" s="112">
        <f ca="1">IFERROR(__xludf.DUMMYFUNCTION("""COMPUTED_VALUE"""),42713.7055555555)</f>
        <v>42713.705555555498</v>
      </c>
      <c r="R1671" s="111">
        <f ca="1">IFERROR(__xludf.DUMMYFUNCTION("""COMPUTED_VALUE"""),27.04)</f>
        <v>27.04</v>
      </c>
      <c r="S1671" s="112">
        <f ca="1">IFERROR(__xludf.DUMMYFUNCTION("""COMPUTED_VALUE"""),42725.7055555555)</f>
        <v>42725.705555555498</v>
      </c>
      <c r="T1671" s="111">
        <f ca="1">IFERROR(__xludf.DUMMYFUNCTION("""COMPUTED_VALUE"""),16.2)</f>
        <v>16.2</v>
      </c>
    </row>
    <row r="1672" spans="1:20" x14ac:dyDescent="0.3">
      <c r="A1672" s="112">
        <f ca="1">IFERROR(__xludf.DUMMYFUNCTION("""COMPUTED_VALUE"""),42724.7055555555)</f>
        <v>42724.705555555498</v>
      </c>
      <c r="B1672" s="111">
        <f ca="1">IFERROR(__xludf.DUMMYFUNCTION("""COMPUTED_VALUE"""),21.76)</f>
        <v>21.76</v>
      </c>
      <c r="C1672" s="112">
        <f ca="1">IFERROR(__xludf.DUMMYFUNCTION("""COMPUTED_VALUE"""),42731.7055555555)</f>
        <v>42731.705555555498</v>
      </c>
      <c r="D1672" s="111">
        <f ca="1">IFERROR(__xludf.DUMMYFUNCTION("""COMPUTED_VALUE"""),21.81)</f>
        <v>21.81</v>
      </c>
      <c r="E1672" s="112">
        <f ca="1">IFERROR(__xludf.DUMMYFUNCTION("""COMPUTED_VALUE"""),42732.7055555555)</f>
        <v>42732.705555555498</v>
      </c>
      <c r="F1672" s="111">
        <f ca="1">IFERROR(__xludf.DUMMYFUNCTION("""COMPUTED_VALUE"""),7)</f>
        <v>7</v>
      </c>
      <c r="G1672" s="112">
        <f ca="1">IFERROR(__xludf.DUMMYFUNCTION("""COMPUTED_VALUE"""),42726.7055555555)</f>
        <v>42726.705555555498</v>
      </c>
      <c r="H1672" s="111">
        <f ca="1">IFERROR(__xludf.DUMMYFUNCTION("""COMPUTED_VALUE"""),14.01)</f>
        <v>14.01</v>
      </c>
      <c r="K1672" s="112">
        <f ca="1">IFERROR(__xludf.DUMMYFUNCTION("""COMPUTED_VALUE"""),43180.7055555555)</f>
        <v>43180.705555555498</v>
      </c>
      <c r="L1672" s="111">
        <f ca="1">IFERROR(__xludf.DUMMYFUNCTION("""COMPUTED_VALUE"""),2.91)</f>
        <v>2.91</v>
      </c>
      <c r="M1672" s="112">
        <f ca="1">IFERROR(__xludf.DUMMYFUNCTION("""COMPUTED_VALUE"""),42640.7055555555)</f>
        <v>42640.705555555498</v>
      </c>
      <c r="N1672" s="111">
        <f ca="1">IFERROR(__xludf.DUMMYFUNCTION("""COMPUTED_VALUE"""),17.06)</f>
        <v>17.059999999999999</v>
      </c>
      <c r="O1672" s="112">
        <f ca="1">IFERROR(__xludf.DUMMYFUNCTION("""COMPUTED_VALUE"""),42717.7055555555)</f>
        <v>42717.705555555498</v>
      </c>
      <c r="P1672" s="111">
        <f ca="1">IFERROR(__xludf.DUMMYFUNCTION("""COMPUTED_VALUE"""),28.33)</f>
        <v>28.33</v>
      </c>
      <c r="Q1672" s="112">
        <f ca="1">IFERROR(__xludf.DUMMYFUNCTION("""COMPUTED_VALUE"""),42716.7055555555)</f>
        <v>42716.705555555498</v>
      </c>
      <c r="R1672" s="111">
        <f ca="1">IFERROR(__xludf.DUMMYFUNCTION("""COMPUTED_VALUE"""),25.75)</f>
        <v>25.75</v>
      </c>
      <c r="S1672" s="112">
        <f ca="1">IFERROR(__xludf.DUMMYFUNCTION("""COMPUTED_VALUE"""),42726.7055555555)</f>
        <v>42726.705555555498</v>
      </c>
      <c r="T1672" s="111">
        <f ca="1">IFERROR(__xludf.DUMMYFUNCTION("""COMPUTED_VALUE"""),16.04)</f>
        <v>16.04</v>
      </c>
    </row>
    <row r="1673" spans="1:20" x14ac:dyDescent="0.3">
      <c r="A1673" s="112">
        <f ca="1">IFERROR(__xludf.DUMMYFUNCTION("""COMPUTED_VALUE"""),42725.7055555555)</f>
        <v>42725.705555555498</v>
      </c>
      <c r="B1673" s="111">
        <f ca="1">IFERROR(__xludf.DUMMYFUNCTION("""COMPUTED_VALUE"""),22.15)</f>
        <v>22.15</v>
      </c>
      <c r="C1673" s="112">
        <f ca="1">IFERROR(__xludf.DUMMYFUNCTION("""COMPUTED_VALUE"""),42732.7055555555)</f>
        <v>42732.705555555498</v>
      </c>
      <c r="D1673" s="111">
        <f ca="1">IFERROR(__xludf.DUMMYFUNCTION("""COMPUTED_VALUE"""),22.32)</f>
        <v>22.32</v>
      </c>
      <c r="E1673" s="112">
        <f ca="1">IFERROR(__xludf.DUMMYFUNCTION("""COMPUTED_VALUE"""),42733.7055555555)</f>
        <v>42733.705555555498</v>
      </c>
      <c r="F1673" s="111">
        <f ca="1">IFERROR(__xludf.DUMMYFUNCTION("""COMPUTED_VALUE"""),7.17)</f>
        <v>7.17</v>
      </c>
      <c r="G1673" s="112">
        <f ca="1">IFERROR(__xludf.DUMMYFUNCTION("""COMPUTED_VALUE"""),42727.7055555555)</f>
        <v>42727.705555555498</v>
      </c>
      <c r="H1673" s="111">
        <f ca="1">IFERROR(__xludf.DUMMYFUNCTION("""COMPUTED_VALUE"""),14.24)</f>
        <v>14.24</v>
      </c>
      <c r="K1673" s="112">
        <f ca="1">IFERROR(__xludf.DUMMYFUNCTION("""COMPUTED_VALUE"""),43181.7055555555)</f>
        <v>43181.705555555498</v>
      </c>
      <c r="L1673" s="111">
        <f ca="1">IFERROR(__xludf.DUMMYFUNCTION("""COMPUTED_VALUE"""),2.98)</f>
        <v>2.98</v>
      </c>
      <c r="M1673" s="112">
        <f ca="1">IFERROR(__xludf.DUMMYFUNCTION("""COMPUTED_VALUE"""),42641.7055555555)</f>
        <v>42641.705555555498</v>
      </c>
      <c r="N1673" s="111">
        <f ca="1">IFERROR(__xludf.DUMMYFUNCTION("""COMPUTED_VALUE"""),17.16)</f>
        <v>17.16</v>
      </c>
      <c r="O1673" s="112">
        <f ca="1">IFERROR(__xludf.DUMMYFUNCTION("""COMPUTED_VALUE"""),42718.7055555555)</f>
        <v>42718.705555555498</v>
      </c>
      <c r="P1673" s="111">
        <f ca="1">IFERROR(__xludf.DUMMYFUNCTION("""COMPUTED_VALUE"""),27.88)</f>
        <v>27.88</v>
      </c>
      <c r="Q1673" s="112">
        <f ca="1">IFERROR(__xludf.DUMMYFUNCTION("""COMPUTED_VALUE"""),42717.7055555555)</f>
        <v>42717.705555555498</v>
      </c>
      <c r="R1673" s="111">
        <f ca="1">IFERROR(__xludf.DUMMYFUNCTION("""COMPUTED_VALUE"""),25.91)</f>
        <v>25.91</v>
      </c>
      <c r="S1673" s="112">
        <f ca="1">IFERROR(__xludf.DUMMYFUNCTION("""COMPUTED_VALUE"""),42727.7055555555)</f>
        <v>42727.705555555498</v>
      </c>
      <c r="T1673" s="111">
        <f ca="1">IFERROR(__xludf.DUMMYFUNCTION("""COMPUTED_VALUE"""),16.16)</f>
        <v>16.16</v>
      </c>
    </row>
    <row r="1674" spans="1:20" x14ac:dyDescent="0.3">
      <c r="A1674" s="112">
        <f ca="1">IFERROR(__xludf.DUMMYFUNCTION("""COMPUTED_VALUE"""),42726.7055555555)</f>
        <v>42726.705555555498</v>
      </c>
      <c r="B1674" s="111">
        <f ca="1">IFERROR(__xludf.DUMMYFUNCTION("""COMPUTED_VALUE"""),21.76)</f>
        <v>21.76</v>
      </c>
      <c r="C1674" s="112">
        <f ca="1">IFERROR(__xludf.DUMMYFUNCTION("""COMPUTED_VALUE"""),42733.7055555555)</f>
        <v>42733.705555555498</v>
      </c>
      <c r="D1674" s="111">
        <f ca="1">IFERROR(__xludf.DUMMYFUNCTION("""COMPUTED_VALUE"""),22.57)</f>
        <v>22.57</v>
      </c>
      <c r="E1674" s="112">
        <f ca="1">IFERROR(__xludf.DUMMYFUNCTION("""COMPUTED_VALUE"""),42737.7055555555)</f>
        <v>42737.705555555498</v>
      </c>
      <c r="F1674" s="111">
        <f ca="1">IFERROR(__xludf.DUMMYFUNCTION("""COMPUTED_VALUE"""),7.11)</f>
        <v>7.11</v>
      </c>
      <c r="G1674" s="112">
        <f ca="1">IFERROR(__xludf.DUMMYFUNCTION("""COMPUTED_VALUE"""),42730.7055555555)</f>
        <v>42730.705555555498</v>
      </c>
      <c r="H1674" s="111">
        <f ca="1">IFERROR(__xludf.DUMMYFUNCTION("""COMPUTED_VALUE"""),14.42)</f>
        <v>14.42</v>
      </c>
      <c r="K1674" s="112">
        <f ca="1">IFERROR(__xludf.DUMMYFUNCTION("""COMPUTED_VALUE"""),43182.7055555555)</f>
        <v>43182.705555555498</v>
      </c>
      <c r="L1674" s="111">
        <f ca="1">IFERROR(__xludf.DUMMYFUNCTION("""COMPUTED_VALUE"""),2.96)</f>
        <v>2.96</v>
      </c>
      <c r="M1674" s="112">
        <f ca="1">IFERROR(__xludf.DUMMYFUNCTION("""COMPUTED_VALUE"""),42642.7055555555)</f>
        <v>42642.705555555498</v>
      </c>
      <c r="N1674" s="111">
        <f ca="1">IFERROR(__xludf.DUMMYFUNCTION("""COMPUTED_VALUE"""),16.88)</f>
        <v>16.88</v>
      </c>
      <c r="O1674" s="112">
        <f ca="1">IFERROR(__xludf.DUMMYFUNCTION("""COMPUTED_VALUE"""),42719.7055555555)</f>
        <v>42719.705555555498</v>
      </c>
      <c r="P1674" s="111">
        <f ca="1">IFERROR(__xludf.DUMMYFUNCTION("""COMPUTED_VALUE"""),28.23)</f>
        <v>28.23</v>
      </c>
      <c r="Q1674" s="112">
        <f ca="1">IFERROR(__xludf.DUMMYFUNCTION("""COMPUTED_VALUE"""),42718.7055555555)</f>
        <v>42718.705555555498</v>
      </c>
      <c r="R1674" s="111">
        <f ca="1">IFERROR(__xludf.DUMMYFUNCTION("""COMPUTED_VALUE"""),25.28)</f>
        <v>25.28</v>
      </c>
      <c r="S1674" s="112">
        <f ca="1">IFERROR(__xludf.DUMMYFUNCTION("""COMPUTED_VALUE"""),42730.7055555555)</f>
        <v>42730.705555555498</v>
      </c>
      <c r="T1674" s="111">
        <f ca="1">IFERROR(__xludf.DUMMYFUNCTION("""COMPUTED_VALUE"""),16.38)</f>
        <v>16.38</v>
      </c>
    </row>
    <row r="1675" spans="1:20" x14ac:dyDescent="0.3">
      <c r="A1675" s="112">
        <f ca="1">IFERROR(__xludf.DUMMYFUNCTION("""COMPUTED_VALUE"""),42727.7055555555)</f>
        <v>42727.705555555498</v>
      </c>
      <c r="B1675" s="111">
        <f ca="1">IFERROR(__xludf.DUMMYFUNCTION("""COMPUTED_VALUE"""),22.09)</f>
        <v>22.09</v>
      </c>
      <c r="C1675" s="112">
        <f ca="1">IFERROR(__xludf.DUMMYFUNCTION("""COMPUTED_VALUE"""),42737.7055555555)</f>
        <v>42737.705555555498</v>
      </c>
      <c r="D1675" s="111">
        <f ca="1">IFERROR(__xludf.DUMMYFUNCTION("""COMPUTED_VALUE"""),22.35)</f>
        <v>22.35</v>
      </c>
      <c r="E1675" s="112">
        <f ca="1">IFERROR(__xludf.DUMMYFUNCTION("""COMPUTED_VALUE"""),42738.7055555555)</f>
        <v>42738.705555555498</v>
      </c>
      <c r="F1675" s="111">
        <f ca="1">IFERROR(__xludf.DUMMYFUNCTION("""COMPUTED_VALUE"""),7.42)</f>
        <v>7.42</v>
      </c>
      <c r="G1675" s="112">
        <f ca="1">IFERROR(__xludf.DUMMYFUNCTION("""COMPUTED_VALUE"""),42731.7055555555)</f>
        <v>42731.705555555498</v>
      </c>
      <c r="H1675" s="111">
        <f ca="1">IFERROR(__xludf.DUMMYFUNCTION("""COMPUTED_VALUE"""),14.41)</f>
        <v>14.41</v>
      </c>
      <c r="K1675" s="112">
        <f ca="1">IFERROR(__xludf.DUMMYFUNCTION("""COMPUTED_VALUE"""),43185.7055555555)</f>
        <v>43185.705555555498</v>
      </c>
      <c r="L1675" s="111">
        <f ca="1">IFERROR(__xludf.DUMMYFUNCTION("""COMPUTED_VALUE"""),3.13)</f>
        <v>3.13</v>
      </c>
      <c r="M1675" s="112">
        <f ca="1">IFERROR(__xludf.DUMMYFUNCTION("""COMPUTED_VALUE"""),42643.7055555555)</f>
        <v>42643.705555555498</v>
      </c>
      <c r="N1675" s="111">
        <f ca="1">IFERROR(__xludf.DUMMYFUNCTION("""COMPUTED_VALUE"""),16.89)</f>
        <v>16.89</v>
      </c>
      <c r="O1675" s="112">
        <f ca="1">IFERROR(__xludf.DUMMYFUNCTION("""COMPUTED_VALUE"""),42720.7055555555)</f>
        <v>42720.705555555498</v>
      </c>
      <c r="P1675" s="111">
        <f ca="1">IFERROR(__xludf.DUMMYFUNCTION("""COMPUTED_VALUE"""),27.75)</f>
        <v>27.75</v>
      </c>
      <c r="Q1675" s="112">
        <f ca="1">IFERROR(__xludf.DUMMYFUNCTION("""COMPUTED_VALUE"""),42719.7055555555)</f>
        <v>42719.705555555498</v>
      </c>
      <c r="R1675" s="111">
        <f ca="1">IFERROR(__xludf.DUMMYFUNCTION("""COMPUTED_VALUE"""),26.25)</f>
        <v>26.25</v>
      </c>
      <c r="S1675" s="112">
        <f ca="1">IFERROR(__xludf.DUMMYFUNCTION("""COMPUTED_VALUE"""),42731.7055555555)</f>
        <v>42731.705555555498</v>
      </c>
      <c r="T1675" s="111">
        <f ca="1">IFERROR(__xludf.DUMMYFUNCTION("""COMPUTED_VALUE"""),16.98)</f>
        <v>16.98</v>
      </c>
    </row>
    <row r="1676" spans="1:20" x14ac:dyDescent="0.3">
      <c r="A1676" s="112">
        <f ca="1">IFERROR(__xludf.DUMMYFUNCTION("""COMPUTED_VALUE"""),42730.7055555555)</f>
        <v>42730.705555555498</v>
      </c>
      <c r="B1676" s="111">
        <f ca="1">IFERROR(__xludf.DUMMYFUNCTION("""COMPUTED_VALUE"""),22.55)</f>
        <v>22.55</v>
      </c>
      <c r="C1676" s="112">
        <f ca="1">IFERROR(__xludf.DUMMYFUNCTION("""COMPUTED_VALUE"""),42738.7055555555)</f>
        <v>42738.705555555498</v>
      </c>
      <c r="D1676" s="111">
        <f ca="1">IFERROR(__xludf.DUMMYFUNCTION("""COMPUTED_VALUE"""),23.3)</f>
        <v>23.3</v>
      </c>
      <c r="E1676" s="112">
        <f ca="1">IFERROR(__xludf.DUMMYFUNCTION("""COMPUTED_VALUE"""),42739.7055555555)</f>
        <v>42739.705555555498</v>
      </c>
      <c r="F1676" s="111">
        <f ca="1">IFERROR(__xludf.DUMMYFUNCTION("""COMPUTED_VALUE"""),7.46)</f>
        <v>7.46</v>
      </c>
      <c r="G1676" s="112">
        <f ca="1">IFERROR(__xludf.DUMMYFUNCTION("""COMPUTED_VALUE"""),42732.7055555555)</f>
        <v>42732.705555555498</v>
      </c>
      <c r="H1676" s="111">
        <f ca="1">IFERROR(__xludf.DUMMYFUNCTION("""COMPUTED_VALUE"""),14.78)</f>
        <v>14.78</v>
      </c>
      <c r="K1676" s="112">
        <f ca="1">IFERROR(__xludf.DUMMYFUNCTION("""COMPUTED_VALUE"""),43186.7055555555)</f>
        <v>43186.705555555498</v>
      </c>
      <c r="L1676" s="111">
        <f ca="1">IFERROR(__xludf.DUMMYFUNCTION("""COMPUTED_VALUE"""),3.02)</f>
        <v>3.02</v>
      </c>
      <c r="M1676" s="112">
        <f ca="1">IFERROR(__xludf.DUMMYFUNCTION("""COMPUTED_VALUE"""),42646.7055555555)</f>
        <v>42646.705555555498</v>
      </c>
      <c r="N1676" s="111">
        <f ca="1">IFERROR(__xludf.DUMMYFUNCTION("""COMPUTED_VALUE"""),16.96)</f>
        <v>16.96</v>
      </c>
      <c r="O1676" s="112">
        <f ca="1">IFERROR(__xludf.DUMMYFUNCTION("""COMPUTED_VALUE"""),42723.7055555555)</f>
        <v>42723.705555555498</v>
      </c>
      <c r="P1676" s="111">
        <f ca="1">IFERROR(__xludf.DUMMYFUNCTION("""COMPUTED_VALUE"""),26.05)</f>
        <v>26.05</v>
      </c>
      <c r="Q1676" s="112">
        <f ca="1">IFERROR(__xludf.DUMMYFUNCTION("""COMPUTED_VALUE"""),42720.7055555555)</f>
        <v>42720.705555555498</v>
      </c>
      <c r="R1676" s="111">
        <f ca="1">IFERROR(__xludf.DUMMYFUNCTION("""COMPUTED_VALUE"""),26.42)</f>
        <v>26.42</v>
      </c>
      <c r="S1676" s="112">
        <f ca="1">IFERROR(__xludf.DUMMYFUNCTION("""COMPUTED_VALUE"""),42732.7055555555)</f>
        <v>42732.705555555498</v>
      </c>
      <c r="T1676" s="111">
        <f ca="1">IFERROR(__xludf.DUMMYFUNCTION("""COMPUTED_VALUE"""),17.46)</f>
        <v>17.46</v>
      </c>
    </row>
    <row r="1677" spans="1:20" x14ac:dyDescent="0.3">
      <c r="A1677" s="112">
        <f ca="1">IFERROR(__xludf.DUMMYFUNCTION("""COMPUTED_VALUE"""),42731.7055555555)</f>
        <v>42731.705555555498</v>
      </c>
      <c r="B1677" s="111">
        <f ca="1">IFERROR(__xludf.DUMMYFUNCTION("""COMPUTED_VALUE"""),22.16)</f>
        <v>22.16</v>
      </c>
      <c r="C1677" s="112">
        <f ca="1">IFERROR(__xludf.DUMMYFUNCTION("""COMPUTED_VALUE"""),42739.7055555555)</f>
        <v>42739.705555555498</v>
      </c>
      <c r="D1677" s="111">
        <f ca="1">IFERROR(__xludf.DUMMYFUNCTION("""COMPUTED_VALUE"""),23.4)</f>
        <v>23.4</v>
      </c>
      <c r="E1677" s="112">
        <f ca="1">IFERROR(__xludf.DUMMYFUNCTION("""COMPUTED_VALUE"""),42740.7055555555)</f>
        <v>42740.705555555498</v>
      </c>
      <c r="F1677" s="111">
        <f ca="1">IFERROR(__xludf.DUMMYFUNCTION("""COMPUTED_VALUE"""),7.53)</f>
        <v>7.53</v>
      </c>
      <c r="G1677" s="112">
        <f ca="1">IFERROR(__xludf.DUMMYFUNCTION("""COMPUTED_VALUE"""),42733.7055555555)</f>
        <v>42733.705555555498</v>
      </c>
      <c r="H1677" s="111">
        <f ca="1">IFERROR(__xludf.DUMMYFUNCTION("""COMPUTED_VALUE"""),14.87)</f>
        <v>14.87</v>
      </c>
      <c r="K1677" s="112">
        <f ca="1">IFERROR(__xludf.DUMMYFUNCTION("""COMPUTED_VALUE"""),43187.7055555555)</f>
        <v>43187.705555555498</v>
      </c>
      <c r="L1677" s="111">
        <f ca="1">IFERROR(__xludf.DUMMYFUNCTION("""COMPUTED_VALUE"""),3.03)</f>
        <v>3.03</v>
      </c>
      <c r="M1677" s="112">
        <f ca="1">IFERROR(__xludf.DUMMYFUNCTION("""COMPUTED_VALUE"""),42647.7055555555)</f>
        <v>42647.705555555498</v>
      </c>
      <c r="N1677" s="111">
        <f ca="1">IFERROR(__xludf.DUMMYFUNCTION("""COMPUTED_VALUE"""),17.19)</f>
        <v>17.190000000000001</v>
      </c>
      <c r="O1677" s="112">
        <f ca="1">IFERROR(__xludf.DUMMYFUNCTION("""COMPUTED_VALUE"""),42724.7055555555)</f>
        <v>42724.705555555498</v>
      </c>
      <c r="P1677" s="111">
        <f ca="1">IFERROR(__xludf.DUMMYFUNCTION("""COMPUTED_VALUE"""),26.58)</f>
        <v>26.58</v>
      </c>
      <c r="Q1677" s="112">
        <f ca="1">IFERROR(__xludf.DUMMYFUNCTION("""COMPUTED_VALUE"""),42723.7055555555)</f>
        <v>42723.705555555498</v>
      </c>
      <c r="R1677" s="111">
        <f ca="1">IFERROR(__xludf.DUMMYFUNCTION("""COMPUTED_VALUE"""),25.83)</f>
        <v>25.83</v>
      </c>
      <c r="S1677" s="112">
        <f ca="1">IFERROR(__xludf.DUMMYFUNCTION("""COMPUTED_VALUE"""),42733.7055555555)</f>
        <v>42733.705555555498</v>
      </c>
      <c r="T1677" s="111">
        <f ca="1">IFERROR(__xludf.DUMMYFUNCTION("""COMPUTED_VALUE"""),17.41)</f>
        <v>17.41</v>
      </c>
    </row>
    <row r="1678" spans="1:20" x14ac:dyDescent="0.3">
      <c r="A1678" s="112">
        <f ca="1">IFERROR(__xludf.DUMMYFUNCTION("""COMPUTED_VALUE"""),42732.7055555555)</f>
        <v>42732.705555555498</v>
      </c>
      <c r="B1678" s="111">
        <f ca="1">IFERROR(__xludf.DUMMYFUNCTION("""COMPUTED_VALUE"""),22.49)</f>
        <v>22.49</v>
      </c>
      <c r="C1678" s="112">
        <f ca="1">IFERROR(__xludf.DUMMYFUNCTION("""COMPUTED_VALUE"""),42740.7055555555)</f>
        <v>42740.705555555498</v>
      </c>
      <c r="D1678" s="111">
        <f ca="1">IFERROR(__xludf.DUMMYFUNCTION("""COMPUTED_VALUE"""),23.72)</f>
        <v>23.72</v>
      </c>
      <c r="E1678" s="112">
        <f ca="1">IFERROR(__xludf.DUMMYFUNCTION("""COMPUTED_VALUE"""),42741.7055555555)</f>
        <v>42741.705555555498</v>
      </c>
      <c r="F1678" s="111">
        <f ca="1">IFERROR(__xludf.DUMMYFUNCTION("""COMPUTED_VALUE"""),7.51)</f>
        <v>7.51</v>
      </c>
      <c r="G1678" s="112">
        <f ca="1">IFERROR(__xludf.DUMMYFUNCTION("""COMPUTED_VALUE"""),42737.7055555555)</f>
        <v>42737.705555555498</v>
      </c>
      <c r="H1678" s="111">
        <f ca="1">IFERROR(__xludf.DUMMYFUNCTION("""COMPUTED_VALUE"""),14.66)</f>
        <v>14.66</v>
      </c>
      <c r="K1678" s="112">
        <f ca="1">IFERROR(__xludf.DUMMYFUNCTION("""COMPUTED_VALUE"""),43188.7055555555)</f>
        <v>43188.705555555498</v>
      </c>
      <c r="L1678" s="111">
        <f ca="1">IFERROR(__xludf.DUMMYFUNCTION("""COMPUTED_VALUE"""),3.06)</f>
        <v>3.06</v>
      </c>
      <c r="M1678" s="112">
        <f ca="1">IFERROR(__xludf.DUMMYFUNCTION("""COMPUTED_VALUE"""),42648.7055555555)</f>
        <v>42648.705555555498</v>
      </c>
      <c r="N1678" s="111">
        <f ca="1">IFERROR(__xludf.DUMMYFUNCTION("""COMPUTED_VALUE"""),17.33)</f>
        <v>17.329999999999998</v>
      </c>
      <c r="O1678" s="112">
        <f ca="1">IFERROR(__xludf.DUMMYFUNCTION("""COMPUTED_VALUE"""),42725.7055555555)</f>
        <v>42725.705555555498</v>
      </c>
      <c r="P1678" s="111">
        <f ca="1">IFERROR(__xludf.DUMMYFUNCTION("""COMPUTED_VALUE"""),26.48)</f>
        <v>26.48</v>
      </c>
      <c r="Q1678" s="112">
        <f ca="1">IFERROR(__xludf.DUMMYFUNCTION("""COMPUTED_VALUE"""),42724.7055555555)</f>
        <v>42724.705555555498</v>
      </c>
      <c r="R1678" s="111">
        <f ca="1">IFERROR(__xludf.DUMMYFUNCTION("""COMPUTED_VALUE"""),26.25)</f>
        <v>26.25</v>
      </c>
      <c r="S1678" s="112">
        <f ca="1">IFERROR(__xludf.DUMMYFUNCTION("""COMPUTED_VALUE"""),42737.7055555555)</f>
        <v>42737.705555555498</v>
      </c>
      <c r="T1678" s="111">
        <f ca="1">IFERROR(__xludf.DUMMYFUNCTION("""COMPUTED_VALUE"""),17.39)</f>
        <v>17.39</v>
      </c>
    </row>
    <row r="1679" spans="1:20" x14ac:dyDescent="0.3">
      <c r="A1679" s="112">
        <f ca="1">IFERROR(__xludf.DUMMYFUNCTION("""COMPUTED_VALUE"""),42733.7055555555)</f>
        <v>42733.705555555498</v>
      </c>
      <c r="B1679" s="111">
        <f ca="1">IFERROR(__xludf.DUMMYFUNCTION("""COMPUTED_VALUE"""),22.56)</f>
        <v>22.56</v>
      </c>
      <c r="C1679" s="112">
        <f ca="1">IFERROR(__xludf.DUMMYFUNCTION("""COMPUTED_VALUE"""),42741.7055555555)</f>
        <v>42741.705555555498</v>
      </c>
      <c r="D1679" s="111">
        <f ca="1">IFERROR(__xludf.DUMMYFUNCTION("""COMPUTED_VALUE"""),23.8)</f>
        <v>23.8</v>
      </c>
      <c r="E1679" s="112">
        <f ca="1">IFERROR(__xludf.DUMMYFUNCTION("""COMPUTED_VALUE"""),42744.7055555555)</f>
        <v>42744.705555555498</v>
      </c>
      <c r="F1679" s="111">
        <f ca="1">IFERROR(__xludf.DUMMYFUNCTION("""COMPUTED_VALUE"""),7.58)</f>
        <v>7.58</v>
      </c>
      <c r="G1679" s="112">
        <f ca="1">IFERROR(__xludf.DUMMYFUNCTION("""COMPUTED_VALUE"""),42738.7055555555)</f>
        <v>42738.705555555498</v>
      </c>
      <c r="H1679" s="111">
        <f ca="1">IFERROR(__xludf.DUMMYFUNCTION("""COMPUTED_VALUE"""),15.5)</f>
        <v>15.5</v>
      </c>
      <c r="K1679" s="112">
        <f ca="1">IFERROR(__xludf.DUMMYFUNCTION("""COMPUTED_VALUE"""),43192.7055555555)</f>
        <v>43192.705555555498</v>
      </c>
      <c r="L1679" s="111">
        <f ca="1">IFERROR(__xludf.DUMMYFUNCTION("""COMPUTED_VALUE"""),3.06)</f>
        <v>3.06</v>
      </c>
      <c r="M1679" s="112">
        <f ca="1">IFERROR(__xludf.DUMMYFUNCTION("""COMPUTED_VALUE"""),42649.7055555555)</f>
        <v>42649.705555555498</v>
      </c>
      <c r="N1679" s="111">
        <f ca="1">IFERROR(__xludf.DUMMYFUNCTION("""COMPUTED_VALUE"""),17.33)</f>
        <v>17.329999999999998</v>
      </c>
      <c r="O1679" s="112">
        <f ca="1">IFERROR(__xludf.DUMMYFUNCTION("""COMPUTED_VALUE"""),42726.7055555555)</f>
        <v>42726.705555555498</v>
      </c>
      <c r="P1679" s="111">
        <f ca="1">IFERROR(__xludf.DUMMYFUNCTION("""COMPUTED_VALUE"""),25.38)</f>
        <v>25.38</v>
      </c>
      <c r="Q1679" s="112">
        <f ca="1">IFERROR(__xludf.DUMMYFUNCTION("""COMPUTED_VALUE"""),42725.7055555555)</f>
        <v>42725.705555555498</v>
      </c>
      <c r="R1679" s="111">
        <f ca="1">IFERROR(__xludf.DUMMYFUNCTION("""COMPUTED_VALUE"""),26.25)</f>
        <v>26.25</v>
      </c>
      <c r="S1679" s="112">
        <f ca="1">IFERROR(__xludf.DUMMYFUNCTION("""COMPUTED_VALUE"""),42738.7055555555)</f>
        <v>42738.705555555498</v>
      </c>
      <c r="T1679" s="111">
        <f ca="1">IFERROR(__xludf.DUMMYFUNCTION("""COMPUTED_VALUE"""),17.92)</f>
        <v>17.920000000000002</v>
      </c>
    </row>
    <row r="1680" spans="1:20" x14ac:dyDescent="0.3">
      <c r="A1680" s="112">
        <f ca="1">IFERROR(__xludf.DUMMYFUNCTION("""COMPUTED_VALUE"""),42737.7055555555)</f>
        <v>42737.705555555498</v>
      </c>
      <c r="B1680" s="111">
        <f ca="1">IFERROR(__xludf.DUMMYFUNCTION("""COMPUTED_VALUE"""),22.25)</f>
        <v>22.25</v>
      </c>
      <c r="C1680" s="112">
        <f ca="1">IFERROR(__xludf.DUMMYFUNCTION("""COMPUTED_VALUE"""),42744.7055555555)</f>
        <v>42744.705555555498</v>
      </c>
      <c r="D1680" s="111">
        <f ca="1">IFERROR(__xludf.DUMMYFUNCTION("""COMPUTED_VALUE"""),23.91)</f>
        <v>23.91</v>
      </c>
      <c r="E1680" s="112">
        <f ca="1">IFERROR(__xludf.DUMMYFUNCTION("""COMPUTED_VALUE"""),42745.7055555555)</f>
        <v>42745.705555555498</v>
      </c>
      <c r="F1680" s="111">
        <f ca="1">IFERROR(__xludf.DUMMYFUNCTION("""COMPUTED_VALUE"""),7.53)</f>
        <v>7.53</v>
      </c>
      <c r="G1680" s="112">
        <f ca="1">IFERROR(__xludf.DUMMYFUNCTION("""COMPUTED_VALUE"""),42739.7055555555)</f>
        <v>42739.705555555498</v>
      </c>
      <c r="H1680" s="111">
        <f ca="1">IFERROR(__xludf.DUMMYFUNCTION("""COMPUTED_VALUE"""),15.5)</f>
        <v>15.5</v>
      </c>
      <c r="K1680" s="112">
        <f ca="1">IFERROR(__xludf.DUMMYFUNCTION("""COMPUTED_VALUE"""),43193.7055555555)</f>
        <v>43193.705555555498</v>
      </c>
      <c r="L1680" s="111">
        <f ca="1">IFERROR(__xludf.DUMMYFUNCTION("""COMPUTED_VALUE"""),3.03)</f>
        <v>3.03</v>
      </c>
      <c r="M1680" s="112">
        <f ca="1">IFERROR(__xludf.DUMMYFUNCTION("""COMPUTED_VALUE"""),42650.7055555555)</f>
        <v>42650.705555555498</v>
      </c>
      <c r="N1680" s="111">
        <f ca="1">IFERROR(__xludf.DUMMYFUNCTION("""COMPUTED_VALUE"""),17.57)</f>
        <v>17.57</v>
      </c>
      <c r="O1680" s="112">
        <f ca="1">IFERROR(__xludf.DUMMYFUNCTION("""COMPUTED_VALUE"""),42727.7055555555)</f>
        <v>42727.705555555498</v>
      </c>
      <c r="P1680" s="111">
        <f ca="1">IFERROR(__xludf.DUMMYFUNCTION("""COMPUTED_VALUE"""),25.19)</f>
        <v>25.19</v>
      </c>
      <c r="Q1680" s="112">
        <f ca="1">IFERROR(__xludf.DUMMYFUNCTION("""COMPUTED_VALUE"""),42726.7055555555)</f>
        <v>42726.705555555498</v>
      </c>
      <c r="R1680" s="111">
        <f ca="1">IFERROR(__xludf.DUMMYFUNCTION("""COMPUTED_VALUE"""),26)</f>
        <v>26</v>
      </c>
      <c r="S1680" s="112">
        <f ca="1">IFERROR(__xludf.DUMMYFUNCTION("""COMPUTED_VALUE"""),42739.7055555555)</f>
        <v>42739.705555555498</v>
      </c>
      <c r="T1680" s="111">
        <f ca="1">IFERROR(__xludf.DUMMYFUNCTION("""COMPUTED_VALUE"""),17.76)</f>
        <v>17.760000000000002</v>
      </c>
    </row>
    <row r="1681" spans="1:20" x14ac:dyDescent="0.3">
      <c r="A1681" s="112">
        <f ca="1">IFERROR(__xludf.DUMMYFUNCTION("""COMPUTED_VALUE"""),42738.7055555555)</f>
        <v>42738.705555555498</v>
      </c>
      <c r="B1681" s="111">
        <f ca="1">IFERROR(__xludf.DUMMYFUNCTION("""COMPUTED_VALUE"""),22.09)</f>
        <v>22.09</v>
      </c>
      <c r="C1681" s="112">
        <f ca="1">IFERROR(__xludf.DUMMYFUNCTION("""COMPUTED_VALUE"""),42745.7055555555)</f>
        <v>42745.705555555498</v>
      </c>
      <c r="D1681" s="111">
        <f ca="1">IFERROR(__xludf.DUMMYFUNCTION("""COMPUTED_VALUE"""),23.83)</f>
        <v>23.83</v>
      </c>
      <c r="E1681" s="112">
        <f ca="1">IFERROR(__xludf.DUMMYFUNCTION("""COMPUTED_VALUE"""),42746.7055555555)</f>
        <v>42746.705555555498</v>
      </c>
      <c r="F1681" s="111">
        <f ca="1">IFERROR(__xludf.DUMMYFUNCTION("""COMPUTED_VALUE"""),7.58)</f>
        <v>7.58</v>
      </c>
      <c r="G1681" s="112">
        <f ca="1">IFERROR(__xludf.DUMMYFUNCTION("""COMPUTED_VALUE"""),42740.7055555555)</f>
        <v>42740.705555555498</v>
      </c>
      <c r="H1681" s="111">
        <f ca="1">IFERROR(__xludf.DUMMYFUNCTION("""COMPUTED_VALUE"""),15.75)</f>
        <v>15.75</v>
      </c>
      <c r="K1681" s="112">
        <f ca="1">IFERROR(__xludf.DUMMYFUNCTION("""COMPUTED_VALUE"""),43194.7055555555)</f>
        <v>43194.705555555498</v>
      </c>
      <c r="L1681" s="111">
        <f ca="1">IFERROR(__xludf.DUMMYFUNCTION("""COMPUTED_VALUE"""),3.02)</f>
        <v>3.02</v>
      </c>
      <c r="M1681" s="112">
        <f ca="1">IFERROR(__xludf.DUMMYFUNCTION("""COMPUTED_VALUE"""),42653.7055555555)</f>
        <v>42653.705555555498</v>
      </c>
      <c r="N1681" s="111">
        <f ca="1">IFERROR(__xludf.DUMMYFUNCTION("""COMPUTED_VALUE"""),17.56)</f>
        <v>17.559999999999999</v>
      </c>
      <c r="O1681" s="112">
        <f ca="1">IFERROR(__xludf.DUMMYFUNCTION("""COMPUTED_VALUE"""),42730.7055555555)</f>
        <v>42730.705555555498</v>
      </c>
      <c r="P1681" s="111">
        <f ca="1">IFERROR(__xludf.DUMMYFUNCTION("""COMPUTED_VALUE"""),25.99)</f>
        <v>25.99</v>
      </c>
      <c r="Q1681" s="112">
        <f ca="1">IFERROR(__xludf.DUMMYFUNCTION("""COMPUTED_VALUE"""),42727.7055555555)</f>
        <v>42727.705555555498</v>
      </c>
      <c r="R1681" s="111">
        <f ca="1">IFERROR(__xludf.DUMMYFUNCTION("""COMPUTED_VALUE"""),26.74)</f>
        <v>26.74</v>
      </c>
      <c r="S1681" s="112">
        <f ca="1">IFERROR(__xludf.DUMMYFUNCTION("""COMPUTED_VALUE"""),42740.7055555555)</f>
        <v>42740.705555555498</v>
      </c>
      <c r="T1681" s="111">
        <f ca="1">IFERROR(__xludf.DUMMYFUNCTION("""COMPUTED_VALUE"""),17.6)</f>
        <v>17.600000000000001</v>
      </c>
    </row>
    <row r="1682" spans="1:20" x14ac:dyDescent="0.3">
      <c r="A1682" s="112">
        <f ca="1">IFERROR(__xludf.DUMMYFUNCTION("""COMPUTED_VALUE"""),42739.7055555555)</f>
        <v>42739.705555555498</v>
      </c>
      <c r="B1682" s="111">
        <f ca="1">IFERROR(__xludf.DUMMYFUNCTION("""COMPUTED_VALUE"""),22.34)</f>
        <v>22.34</v>
      </c>
      <c r="C1682" s="112">
        <f ca="1">IFERROR(__xludf.DUMMYFUNCTION("""COMPUTED_VALUE"""),42746.7055555555)</f>
        <v>42746.705555555498</v>
      </c>
      <c r="D1682" s="111">
        <f ca="1">IFERROR(__xludf.DUMMYFUNCTION("""COMPUTED_VALUE"""),23.88)</f>
        <v>23.88</v>
      </c>
      <c r="E1682" s="112">
        <f ca="1">IFERROR(__xludf.DUMMYFUNCTION("""COMPUTED_VALUE"""),42747.7055555555)</f>
        <v>42747.705555555498</v>
      </c>
      <c r="F1682" s="111">
        <f ca="1">IFERROR(__xludf.DUMMYFUNCTION("""COMPUTED_VALUE"""),7.79)</f>
        <v>7.79</v>
      </c>
      <c r="G1682" s="112">
        <f ca="1">IFERROR(__xludf.DUMMYFUNCTION("""COMPUTED_VALUE"""),42741.7055555555)</f>
        <v>42741.705555555498</v>
      </c>
      <c r="H1682" s="111">
        <f ca="1">IFERROR(__xludf.DUMMYFUNCTION("""COMPUTED_VALUE"""),15.66)</f>
        <v>15.66</v>
      </c>
      <c r="K1682" s="112">
        <f ca="1">IFERROR(__xludf.DUMMYFUNCTION("""COMPUTED_VALUE"""),43195.7055555555)</f>
        <v>43195.705555555498</v>
      </c>
      <c r="L1682" s="111">
        <f ca="1">IFERROR(__xludf.DUMMYFUNCTION("""COMPUTED_VALUE"""),3.09)</f>
        <v>3.09</v>
      </c>
      <c r="M1682" s="112">
        <f ca="1">IFERROR(__xludf.DUMMYFUNCTION("""COMPUTED_VALUE"""),42654.7055555555)</f>
        <v>42654.705555555498</v>
      </c>
      <c r="N1682" s="111">
        <f ca="1">IFERROR(__xludf.DUMMYFUNCTION("""COMPUTED_VALUE"""),17.5)</f>
        <v>17.5</v>
      </c>
      <c r="O1682" s="112">
        <f ca="1">IFERROR(__xludf.DUMMYFUNCTION("""COMPUTED_VALUE"""),42731.7055555555)</f>
        <v>42731.705555555498</v>
      </c>
      <c r="P1682" s="111">
        <f ca="1">IFERROR(__xludf.DUMMYFUNCTION("""COMPUTED_VALUE"""),25.86)</f>
        <v>25.86</v>
      </c>
      <c r="Q1682" s="112">
        <f ca="1">IFERROR(__xludf.DUMMYFUNCTION("""COMPUTED_VALUE"""),42730.7055555555)</f>
        <v>42730.705555555498</v>
      </c>
      <c r="R1682" s="111">
        <f ca="1">IFERROR(__xludf.DUMMYFUNCTION("""COMPUTED_VALUE"""),27.16)</f>
        <v>27.16</v>
      </c>
      <c r="S1682" s="112">
        <f ca="1">IFERROR(__xludf.DUMMYFUNCTION("""COMPUTED_VALUE"""),42741.7055555555)</f>
        <v>42741.705555555498</v>
      </c>
      <c r="T1682" s="111">
        <f ca="1">IFERROR(__xludf.DUMMYFUNCTION("""COMPUTED_VALUE"""),17.39)</f>
        <v>17.39</v>
      </c>
    </row>
    <row r="1683" spans="1:20" x14ac:dyDescent="0.3">
      <c r="A1683" s="112">
        <f ca="1">IFERROR(__xludf.DUMMYFUNCTION("""COMPUTED_VALUE"""),42740.7055555555)</f>
        <v>42740.705555555498</v>
      </c>
      <c r="B1683" s="111">
        <f ca="1">IFERROR(__xludf.DUMMYFUNCTION("""COMPUTED_VALUE"""),22.25)</f>
        <v>22.25</v>
      </c>
      <c r="C1683" s="112">
        <f ca="1">IFERROR(__xludf.DUMMYFUNCTION("""COMPUTED_VALUE"""),42747.7055555555)</f>
        <v>42747.705555555498</v>
      </c>
      <c r="D1683" s="111">
        <f ca="1">IFERROR(__xludf.DUMMYFUNCTION("""COMPUTED_VALUE"""),24.49)</f>
        <v>24.49</v>
      </c>
      <c r="E1683" s="112">
        <f ca="1">IFERROR(__xludf.DUMMYFUNCTION("""COMPUTED_VALUE"""),42748.7055555555)</f>
        <v>42748.705555555498</v>
      </c>
      <c r="F1683" s="111">
        <f ca="1">IFERROR(__xludf.DUMMYFUNCTION("""COMPUTED_VALUE"""),7.71)</f>
        <v>7.71</v>
      </c>
      <c r="G1683" s="112">
        <f ca="1">IFERROR(__xludf.DUMMYFUNCTION("""COMPUTED_VALUE"""),42744.7055555555)</f>
        <v>42744.705555555498</v>
      </c>
      <c r="H1683" s="111">
        <f ca="1">IFERROR(__xludf.DUMMYFUNCTION("""COMPUTED_VALUE"""),15.33)</f>
        <v>15.33</v>
      </c>
      <c r="K1683" s="112">
        <f ca="1">IFERROR(__xludf.DUMMYFUNCTION("""COMPUTED_VALUE"""),43196.7055555555)</f>
        <v>43196.705555555498</v>
      </c>
      <c r="L1683" s="111">
        <f ca="1">IFERROR(__xludf.DUMMYFUNCTION("""COMPUTED_VALUE"""),3.07)</f>
        <v>3.07</v>
      </c>
      <c r="M1683" s="112">
        <f ca="1">IFERROR(__xludf.DUMMYFUNCTION("""COMPUTED_VALUE"""),42656.7055555555)</f>
        <v>42656.705555555498</v>
      </c>
      <c r="N1683" s="111">
        <f ca="1">IFERROR(__xludf.DUMMYFUNCTION("""COMPUTED_VALUE"""),17.52)</f>
        <v>17.52</v>
      </c>
      <c r="O1683" s="112">
        <f ca="1">IFERROR(__xludf.DUMMYFUNCTION("""COMPUTED_VALUE"""),42732.7055555555)</f>
        <v>42732.705555555498</v>
      </c>
      <c r="P1683" s="111">
        <f ca="1">IFERROR(__xludf.DUMMYFUNCTION("""COMPUTED_VALUE"""),26.68)</f>
        <v>26.68</v>
      </c>
      <c r="Q1683" s="112">
        <f ca="1">IFERROR(__xludf.DUMMYFUNCTION("""COMPUTED_VALUE"""),42731.7055555555)</f>
        <v>42731.705555555498</v>
      </c>
      <c r="R1683" s="111">
        <f ca="1">IFERROR(__xludf.DUMMYFUNCTION("""COMPUTED_VALUE"""),27.35)</f>
        <v>27.35</v>
      </c>
      <c r="S1683" s="112">
        <f ca="1">IFERROR(__xludf.DUMMYFUNCTION("""COMPUTED_VALUE"""),42744.7055555555)</f>
        <v>42744.705555555498</v>
      </c>
      <c r="T1683" s="111">
        <f ca="1">IFERROR(__xludf.DUMMYFUNCTION("""COMPUTED_VALUE"""),17.24)</f>
        <v>17.239999999999998</v>
      </c>
    </row>
    <row r="1684" spans="1:20" x14ac:dyDescent="0.3">
      <c r="A1684" s="112">
        <f ca="1">IFERROR(__xludf.DUMMYFUNCTION("""COMPUTED_VALUE"""),42741.7055555555)</f>
        <v>42741.705555555498</v>
      </c>
      <c r="B1684" s="111">
        <f ca="1">IFERROR(__xludf.DUMMYFUNCTION("""COMPUTED_VALUE"""),22.22)</f>
        <v>22.22</v>
      </c>
      <c r="C1684" s="112">
        <f ca="1">IFERROR(__xludf.DUMMYFUNCTION("""COMPUTED_VALUE"""),42748.7055555555)</f>
        <v>42748.705555555498</v>
      </c>
      <c r="D1684" s="111">
        <f ca="1">IFERROR(__xludf.DUMMYFUNCTION("""COMPUTED_VALUE"""),23.99)</f>
        <v>23.99</v>
      </c>
      <c r="E1684" s="112">
        <f ca="1">IFERROR(__xludf.DUMMYFUNCTION("""COMPUTED_VALUE"""),42751.7055555555)</f>
        <v>42751.705555555498</v>
      </c>
      <c r="F1684" s="111">
        <f ca="1">IFERROR(__xludf.DUMMYFUNCTION("""COMPUTED_VALUE"""),7.71)</f>
        <v>7.71</v>
      </c>
      <c r="G1684" s="112">
        <f ca="1">IFERROR(__xludf.DUMMYFUNCTION("""COMPUTED_VALUE"""),42745.7055555555)</f>
        <v>42745.705555555498</v>
      </c>
      <c r="H1684" s="111">
        <f ca="1">IFERROR(__xludf.DUMMYFUNCTION("""COMPUTED_VALUE"""),15.48)</f>
        <v>15.48</v>
      </c>
      <c r="K1684" s="112">
        <f ca="1">IFERROR(__xludf.DUMMYFUNCTION("""COMPUTED_VALUE"""),43199.7055555555)</f>
        <v>43199.705555555498</v>
      </c>
      <c r="L1684" s="111">
        <f ca="1">IFERROR(__xludf.DUMMYFUNCTION("""COMPUTED_VALUE"""),3.02)</f>
        <v>3.02</v>
      </c>
      <c r="M1684" s="112">
        <f ca="1">IFERROR(__xludf.DUMMYFUNCTION("""COMPUTED_VALUE"""),42657.7055555555)</f>
        <v>42657.705555555498</v>
      </c>
      <c r="N1684" s="111">
        <f ca="1">IFERROR(__xludf.DUMMYFUNCTION("""COMPUTED_VALUE"""),17.67)</f>
        <v>17.670000000000002</v>
      </c>
      <c r="O1684" s="112">
        <f ca="1">IFERROR(__xludf.DUMMYFUNCTION("""COMPUTED_VALUE"""),42733.7055555555)</f>
        <v>42733.705555555498</v>
      </c>
      <c r="P1684" s="111">
        <f ca="1">IFERROR(__xludf.DUMMYFUNCTION("""COMPUTED_VALUE"""),25.68)</f>
        <v>25.68</v>
      </c>
      <c r="Q1684" s="112">
        <f ca="1">IFERROR(__xludf.DUMMYFUNCTION("""COMPUTED_VALUE"""),42732.7055555555)</f>
        <v>42732.705555555498</v>
      </c>
      <c r="R1684" s="111">
        <f ca="1">IFERROR(__xludf.DUMMYFUNCTION("""COMPUTED_VALUE"""),27.69)</f>
        <v>27.69</v>
      </c>
      <c r="S1684" s="112">
        <f ca="1">IFERROR(__xludf.DUMMYFUNCTION("""COMPUTED_VALUE"""),42745.7055555555)</f>
        <v>42745.705555555498</v>
      </c>
      <c r="T1684" s="111">
        <f ca="1">IFERROR(__xludf.DUMMYFUNCTION("""COMPUTED_VALUE"""),17.21)</f>
        <v>17.21</v>
      </c>
    </row>
    <row r="1685" spans="1:20" x14ac:dyDescent="0.3">
      <c r="A1685" s="112">
        <f ca="1">IFERROR(__xludf.DUMMYFUNCTION("""COMPUTED_VALUE"""),42744.7055555555)</f>
        <v>42744.705555555498</v>
      </c>
      <c r="B1685" s="111">
        <f ca="1">IFERROR(__xludf.DUMMYFUNCTION("""COMPUTED_VALUE"""),21.84)</f>
        <v>21.84</v>
      </c>
      <c r="C1685" s="112">
        <f ca="1">IFERROR(__xludf.DUMMYFUNCTION("""COMPUTED_VALUE"""),42751.7055555555)</f>
        <v>42751.705555555498</v>
      </c>
      <c r="D1685" s="111">
        <f ca="1">IFERROR(__xludf.DUMMYFUNCTION("""COMPUTED_VALUE"""),24.01)</f>
        <v>24.01</v>
      </c>
      <c r="E1685" s="112">
        <f ca="1">IFERROR(__xludf.DUMMYFUNCTION("""COMPUTED_VALUE"""),42752.7055555555)</f>
        <v>42752.705555555498</v>
      </c>
      <c r="F1685" s="111">
        <f ca="1">IFERROR(__xludf.DUMMYFUNCTION("""COMPUTED_VALUE"""),7.87)</f>
        <v>7.87</v>
      </c>
      <c r="G1685" s="112">
        <f ca="1">IFERROR(__xludf.DUMMYFUNCTION("""COMPUTED_VALUE"""),42746.7055555555)</f>
        <v>42746.705555555498</v>
      </c>
      <c r="H1685" s="111">
        <f ca="1">IFERROR(__xludf.DUMMYFUNCTION("""COMPUTED_VALUE"""),15.66)</f>
        <v>15.66</v>
      </c>
      <c r="K1685" s="112">
        <f ca="1">IFERROR(__xludf.DUMMYFUNCTION("""COMPUTED_VALUE"""),43200.7055555555)</f>
        <v>43200.705555555498</v>
      </c>
      <c r="L1685" s="111">
        <f ca="1">IFERROR(__xludf.DUMMYFUNCTION("""COMPUTED_VALUE"""),2.97)</f>
        <v>2.97</v>
      </c>
      <c r="M1685" s="112">
        <f ca="1">IFERROR(__xludf.DUMMYFUNCTION("""COMPUTED_VALUE"""),42660.7055555555)</f>
        <v>42660.705555555498</v>
      </c>
      <c r="N1685" s="111">
        <f ca="1">IFERROR(__xludf.DUMMYFUNCTION("""COMPUTED_VALUE"""),18.02)</f>
        <v>18.02</v>
      </c>
      <c r="O1685" s="112">
        <f ca="1">IFERROR(__xludf.DUMMYFUNCTION("""COMPUTED_VALUE"""),42737.7055555555)</f>
        <v>42737.705555555498</v>
      </c>
      <c r="P1685" s="111">
        <f ca="1">IFERROR(__xludf.DUMMYFUNCTION("""COMPUTED_VALUE"""),25.06)</f>
        <v>25.06</v>
      </c>
      <c r="Q1685" s="112">
        <f ca="1">IFERROR(__xludf.DUMMYFUNCTION("""COMPUTED_VALUE"""),42733.7055555555)</f>
        <v>42733.705555555498</v>
      </c>
      <c r="R1685" s="111">
        <f ca="1">IFERROR(__xludf.DUMMYFUNCTION("""COMPUTED_VALUE"""),28.09)</f>
        <v>28.09</v>
      </c>
      <c r="S1685" s="112">
        <f ca="1">IFERROR(__xludf.DUMMYFUNCTION("""COMPUTED_VALUE"""),42746.7055555555)</f>
        <v>42746.705555555498</v>
      </c>
      <c r="T1685" s="111">
        <f ca="1">IFERROR(__xludf.DUMMYFUNCTION("""COMPUTED_VALUE"""),17.21)</f>
        <v>17.21</v>
      </c>
    </row>
    <row r="1686" spans="1:20" x14ac:dyDescent="0.3">
      <c r="A1686" s="112">
        <f ca="1">IFERROR(__xludf.DUMMYFUNCTION("""COMPUTED_VALUE"""),42745.7055555555)</f>
        <v>42745.705555555498</v>
      </c>
      <c r="B1686" s="111">
        <f ca="1">IFERROR(__xludf.DUMMYFUNCTION("""COMPUTED_VALUE"""),21.74)</f>
        <v>21.74</v>
      </c>
      <c r="C1686" s="112">
        <f ca="1">IFERROR(__xludf.DUMMYFUNCTION("""COMPUTED_VALUE"""),42752.7055555555)</f>
        <v>42752.705555555498</v>
      </c>
      <c r="D1686" s="111">
        <f ca="1">IFERROR(__xludf.DUMMYFUNCTION("""COMPUTED_VALUE"""),24.65)</f>
        <v>24.65</v>
      </c>
      <c r="E1686" s="112">
        <f ca="1">IFERROR(__xludf.DUMMYFUNCTION("""COMPUTED_VALUE"""),42753.7055555555)</f>
        <v>42753.705555555498</v>
      </c>
      <c r="F1686" s="111">
        <f ca="1">IFERROR(__xludf.DUMMYFUNCTION("""COMPUTED_VALUE"""),7.83)</f>
        <v>7.83</v>
      </c>
      <c r="G1686" s="112">
        <f ca="1">IFERROR(__xludf.DUMMYFUNCTION("""COMPUTED_VALUE"""),42747.7055555555)</f>
        <v>42747.705555555498</v>
      </c>
      <c r="H1686" s="111">
        <f ca="1">IFERROR(__xludf.DUMMYFUNCTION("""COMPUTED_VALUE"""),15.9)</f>
        <v>15.9</v>
      </c>
      <c r="K1686" s="112">
        <f ca="1">IFERROR(__xludf.DUMMYFUNCTION("""COMPUTED_VALUE"""),43201.7055555555)</f>
        <v>43201.705555555498</v>
      </c>
      <c r="L1686" s="111">
        <f ca="1">IFERROR(__xludf.DUMMYFUNCTION("""COMPUTED_VALUE"""),3.03)</f>
        <v>3.03</v>
      </c>
      <c r="M1686" s="112">
        <f ca="1">IFERROR(__xludf.DUMMYFUNCTION("""COMPUTED_VALUE"""),42661.7055555555)</f>
        <v>42661.705555555498</v>
      </c>
      <c r="N1686" s="111">
        <f ca="1">IFERROR(__xludf.DUMMYFUNCTION("""COMPUTED_VALUE"""),18.46)</f>
        <v>18.46</v>
      </c>
      <c r="O1686" s="112">
        <f ca="1">IFERROR(__xludf.DUMMYFUNCTION("""COMPUTED_VALUE"""),42738.7055555555)</f>
        <v>42738.705555555498</v>
      </c>
      <c r="P1686" s="111">
        <f ca="1">IFERROR(__xludf.DUMMYFUNCTION("""COMPUTED_VALUE"""),26.17)</f>
        <v>26.17</v>
      </c>
      <c r="Q1686" s="112">
        <f ca="1">IFERROR(__xludf.DUMMYFUNCTION("""COMPUTED_VALUE"""),42737.7055555555)</f>
        <v>42737.705555555498</v>
      </c>
      <c r="R1686" s="111">
        <f ca="1">IFERROR(__xludf.DUMMYFUNCTION("""COMPUTED_VALUE"""),27.54)</f>
        <v>27.54</v>
      </c>
      <c r="S1686" s="112">
        <f ca="1">IFERROR(__xludf.DUMMYFUNCTION("""COMPUTED_VALUE"""),42747.7055555555)</f>
        <v>42747.705555555498</v>
      </c>
      <c r="T1686" s="111">
        <f ca="1">IFERROR(__xludf.DUMMYFUNCTION("""COMPUTED_VALUE"""),18.36)</f>
        <v>18.36</v>
      </c>
    </row>
    <row r="1687" spans="1:20" x14ac:dyDescent="0.3">
      <c r="A1687" s="112">
        <f ca="1">IFERROR(__xludf.DUMMYFUNCTION("""COMPUTED_VALUE"""),42746.7055555555)</f>
        <v>42746.705555555498</v>
      </c>
      <c r="B1687" s="111">
        <f ca="1">IFERROR(__xludf.DUMMYFUNCTION("""COMPUTED_VALUE"""),21.29)</f>
        <v>21.29</v>
      </c>
      <c r="C1687" s="112">
        <f ca="1">IFERROR(__xludf.DUMMYFUNCTION("""COMPUTED_VALUE"""),42753.7055555555)</f>
        <v>42753.705555555498</v>
      </c>
      <c r="D1687" s="111">
        <f ca="1">IFERROR(__xludf.DUMMYFUNCTION("""COMPUTED_VALUE"""),24.46)</f>
        <v>24.46</v>
      </c>
      <c r="E1687" s="112">
        <f ca="1">IFERROR(__xludf.DUMMYFUNCTION("""COMPUTED_VALUE"""),42754.7055555555)</f>
        <v>42754.705555555498</v>
      </c>
      <c r="F1687" s="111">
        <f ca="1">IFERROR(__xludf.DUMMYFUNCTION("""COMPUTED_VALUE"""),7.82)</f>
        <v>7.82</v>
      </c>
      <c r="G1687" s="112">
        <f ca="1">IFERROR(__xludf.DUMMYFUNCTION("""COMPUTED_VALUE"""),42748.7055555555)</f>
        <v>42748.705555555498</v>
      </c>
      <c r="H1687" s="111">
        <f ca="1">IFERROR(__xludf.DUMMYFUNCTION("""COMPUTED_VALUE"""),15.68)</f>
        <v>15.68</v>
      </c>
      <c r="K1687" s="112">
        <f ca="1">IFERROR(__xludf.DUMMYFUNCTION("""COMPUTED_VALUE"""),43202.7055555555)</f>
        <v>43202.705555555498</v>
      </c>
      <c r="L1687" s="111">
        <f ca="1">IFERROR(__xludf.DUMMYFUNCTION("""COMPUTED_VALUE"""),3.11)</f>
        <v>3.11</v>
      </c>
      <c r="M1687" s="112">
        <f ca="1">IFERROR(__xludf.DUMMYFUNCTION("""COMPUTED_VALUE"""),42662.7055555555)</f>
        <v>42662.705555555498</v>
      </c>
      <c r="N1687" s="111">
        <f ca="1">IFERROR(__xludf.DUMMYFUNCTION("""COMPUTED_VALUE"""),18.33)</f>
        <v>18.329999999999998</v>
      </c>
      <c r="O1687" s="112">
        <f ca="1">IFERROR(__xludf.DUMMYFUNCTION("""COMPUTED_VALUE"""),42739.7055555555)</f>
        <v>42739.705555555498</v>
      </c>
      <c r="P1687" s="111">
        <f ca="1">IFERROR(__xludf.DUMMYFUNCTION("""COMPUTED_VALUE"""),25.7)</f>
        <v>25.7</v>
      </c>
      <c r="Q1687" s="112">
        <f ca="1">IFERROR(__xludf.DUMMYFUNCTION("""COMPUTED_VALUE"""),42738.7055555555)</f>
        <v>42738.705555555498</v>
      </c>
      <c r="R1687" s="111">
        <f ca="1">IFERROR(__xludf.DUMMYFUNCTION("""COMPUTED_VALUE"""),28.8)</f>
        <v>28.8</v>
      </c>
      <c r="S1687" s="112">
        <f ca="1">IFERROR(__xludf.DUMMYFUNCTION("""COMPUTED_VALUE"""),42748.7055555555)</f>
        <v>42748.705555555498</v>
      </c>
      <c r="T1687" s="111">
        <f ca="1">IFERROR(__xludf.DUMMYFUNCTION("""COMPUTED_VALUE"""),18.11)</f>
        <v>18.11</v>
      </c>
    </row>
    <row r="1688" spans="1:20" x14ac:dyDescent="0.3">
      <c r="A1688" s="112">
        <f ca="1">IFERROR(__xludf.DUMMYFUNCTION("""COMPUTED_VALUE"""),42747.7055555555)</f>
        <v>42747.705555555498</v>
      </c>
      <c r="B1688" s="111">
        <f ca="1">IFERROR(__xludf.DUMMYFUNCTION("""COMPUTED_VALUE"""),22.94)</f>
        <v>22.94</v>
      </c>
      <c r="C1688" s="112">
        <f ca="1">IFERROR(__xludf.DUMMYFUNCTION("""COMPUTED_VALUE"""),42754.7055555555)</f>
        <v>42754.705555555498</v>
      </c>
      <c r="D1688" s="111">
        <f ca="1">IFERROR(__xludf.DUMMYFUNCTION("""COMPUTED_VALUE"""),24.33)</f>
        <v>24.33</v>
      </c>
      <c r="E1688" s="112">
        <f ca="1">IFERROR(__xludf.DUMMYFUNCTION("""COMPUTED_VALUE"""),42755.7055555555)</f>
        <v>42755.705555555498</v>
      </c>
      <c r="F1688" s="111">
        <f ca="1">IFERROR(__xludf.DUMMYFUNCTION("""COMPUTED_VALUE"""),7.9)</f>
        <v>7.9</v>
      </c>
      <c r="G1688" s="112">
        <f ca="1">IFERROR(__xludf.DUMMYFUNCTION("""COMPUTED_VALUE"""),42751.7055555555)</f>
        <v>42751.705555555498</v>
      </c>
      <c r="H1688" s="111">
        <f ca="1">IFERROR(__xludf.DUMMYFUNCTION("""COMPUTED_VALUE"""),15.75)</f>
        <v>15.75</v>
      </c>
      <c r="K1688" s="112">
        <f ca="1">IFERROR(__xludf.DUMMYFUNCTION("""COMPUTED_VALUE"""),43203.7055555555)</f>
        <v>43203.705555555498</v>
      </c>
      <c r="L1688" s="111">
        <f ca="1">IFERROR(__xludf.DUMMYFUNCTION("""COMPUTED_VALUE"""),3.07)</f>
        <v>3.07</v>
      </c>
      <c r="M1688" s="112">
        <f ca="1">IFERROR(__xludf.DUMMYFUNCTION("""COMPUTED_VALUE"""),42663.7055555555)</f>
        <v>42663.705555555498</v>
      </c>
      <c r="N1688" s="111">
        <f ca="1">IFERROR(__xludf.DUMMYFUNCTION("""COMPUTED_VALUE"""),18.6)</f>
        <v>18.600000000000001</v>
      </c>
      <c r="O1688" s="112">
        <f ca="1">IFERROR(__xludf.DUMMYFUNCTION("""COMPUTED_VALUE"""),42740.7055555555)</f>
        <v>42740.705555555498</v>
      </c>
      <c r="P1688" s="111">
        <f ca="1">IFERROR(__xludf.DUMMYFUNCTION("""COMPUTED_VALUE"""),26.68)</f>
        <v>26.68</v>
      </c>
      <c r="Q1688" s="112">
        <f ca="1">IFERROR(__xludf.DUMMYFUNCTION("""COMPUTED_VALUE"""),42739.7055555555)</f>
        <v>42739.705555555498</v>
      </c>
      <c r="R1688" s="111">
        <f ca="1">IFERROR(__xludf.DUMMYFUNCTION("""COMPUTED_VALUE"""),28.65)</f>
        <v>28.65</v>
      </c>
      <c r="S1688" s="112">
        <f ca="1">IFERROR(__xludf.DUMMYFUNCTION("""COMPUTED_VALUE"""),42751.7055555555)</f>
        <v>42751.705555555498</v>
      </c>
      <c r="T1688" s="111">
        <f ca="1">IFERROR(__xludf.DUMMYFUNCTION("""COMPUTED_VALUE"""),18.11)</f>
        <v>18.11</v>
      </c>
    </row>
    <row r="1689" spans="1:20" x14ac:dyDescent="0.3">
      <c r="A1689" s="112">
        <f ca="1">IFERROR(__xludf.DUMMYFUNCTION("""COMPUTED_VALUE"""),42748.7055555555)</f>
        <v>42748.705555555498</v>
      </c>
      <c r="B1689" s="111">
        <f ca="1">IFERROR(__xludf.DUMMYFUNCTION("""COMPUTED_VALUE"""),22.93)</f>
        <v>22.93</v>
      </c>
      <c r="C1689" s="112">
        <f ca="1">IFERROR(__xludf.DUMMYFUNCTION("""COMPUTED_VALUE"""),42755.7055555555)</f>
        <v>42755.705555555498</v>
      </c>
      <c r="D1689" s="111">
        <f ca="1">IFERROR(__xludf.DUMMYFUNCTION("""COMPUTED_VALUE"""),24.4)</f>
        <v>24.4</v>
      </c>
      <c r="E1689" s="112">
        <f ca="1">IFERROR(__xludf.DUMMYFUNCTION("""COMPUTED_VALUE"""),42758.7055555555)</f>
        <v>42758.705555555498</v>
      </c>
      <c r="F1689" s="111">
        <f ca="1">IFERROR(__xludf.DUMMYFUNCTION("""COMPUTED_VALUE"""),8.1)</f>
        <v>8.1</v>
      </c>
      <c r="G1689" s="112">
        <f ca="1">IFERROR(__xludf.DUMMYFUNCTION("""COMPUTED_VALUE"""),42752.7055555555)</f>
        <v>42752.705555555498</v>
      </c>
      <c r="H1689" s="111">
        <f ca="1">IFERROR(__xludf.DUMMYFUNCTION("""COMPUTED_VALUE"""),15.82)</f>
        <v>15.82</v>
      </c>
      <c r="K1689" s="112">
        <f ca="1">IFERROR(__xludf.DUMMYFUNCTION("""COMPUTED_VALUE"""),43206.7055555555)</f>
        <v>43206.705555555498</v>
      </c>
      <c r="L1689" s="111">
        <f ca="1">IFERROR(__xludf.DUMMYFUNCTION("""COMPUTED_VALUE"""),3.01)</f>
        <v>3.01</v>
      </c>
      <c r="M1689" s="112">
        <f ca="1">IFERROR(__xludf.DUMMYFUNCTION("""COMPUTED_VALUE"""),42664.7055555555)</f>
        <v>42664.705555555498</v>
      </c>
      <c r="N1689" s="111">
        <f ca="1">IFERROR(__xludf.DUMMYFUNCTION("""COMPUTED_VALUE"""),18.42)</f>
        <v>18.420000000000002</v>
      </c>
      <c r="O1689" s="112">
        <f ca="1">IFERROR(__xludf.DUMMYFUNCTION("""COMPUTED_VALUE"""),42741.7055555555)</f>
        <v>42741.705555555498</v>
      </c>
      <c r="P1689" s="111">
        <f ca="1">IFERROR(__xludf.DUMMYFUNCTION("""COMPUTED_VALUE"""),25.97)</f>
        <v>25.97</v>
      </c>
      <c r="Q1689" s="112">
        <f ca="1">IFERROR(__xludf.DUMMYFUNCTION("""COMPUTED_VALUE"""),42740.7055555555)</f>
        <v>42740.705555555498</v>
      </c>
      <c r="R1689" s="111">
        <f ca="1">IFERROR(__xludf.DUMMYFUNCTION("""COMPUTED_VALUE"""),28.58)</f>
        <v>28.58</v>
      </c>
      <c r="S1689" s="112">
        <f ca="1">IFERROR(__xludf.DUMMYFUNCTION("""COMPUTED_VALUE"""),42752.7055555555)</f>
        <v>42752.705555555498</v>
      </c>
      <c r="T1689" s="111">
        <f ca="1">IFERROR(__xludf.DUMMYFUNCTION("""COMPUTED_VALUE"""),17.93)</f>
        <v>17.93</v>
      </c>
    </row>
    <row r="1690" spans="1:20" x14ac:dyDescent="0.3">
      <c r="A1690" s="112">
        <f ca="1">IFERROR(__xludf.DUMMYFUNCTION("""COMPUTED_VALUE"""),42751.7055555555)</f>
        <v>42751.705555555498</v>
      </c>
      <c r="B1690" s="111">
        <f ca="1">IFERROR(__xludf.DUMMYFUNCTION("""COMPUTED_VALUE"""),22.44)</f>
        <v>22.44</v>
      </c>
      <c r="C1690" s="112">
        <f ca="1">IFERROR(__xludf.DUMMYFUNCTION("""COMPUTED_VALUE"""),42758.7055555555)</f>
        <v>42758.705555555498</v>
      </c>
      <c r="D1690" s="111">
        <f ca="1">IFERROR(__xludf.DUMMYFUNCTION("""COMPUTED_VALUE"""),25.22)</f>
        <v>25.22</v>
      </c>
      <c r="E1690" s="112">
        <f ca="1">IFERROR(__xludf.DUMMYFUNCTION("""COMPUTED_VALUE"""),42759.7055555555)</f>
        <v>42759.705555555498</v>
      </c>
      <c r="F1690" s="111">
        <f ca="1">IFERROR(__xludf.DUMMYFUNCTION("""COMPUTED_VALUE"""),8.01)</f>
        <v>8.01</v>
      </c>
      <c r="G1690" s="112">
        <f ca="1">IFERROR(__xludf.DUMMYFUNCTION("""COMPUTED_VALUE"""),42753.7055555555)</f>
        <v>42753.705555555498</v>
      </c>
      <c r="H1690" s="111">
        <f ca="1">IFERROR(__xludf.DUMMYFUNCTION("""COMPUTED_VALUE"""),15.79)</f>
        <v>15.79</v>
      </c>
      <c r="K1690" s="112">
        <f ca="1">IFERROR(__xludf.DUMMYFUNCTION("""COMPUTED_VALUE"""),43207.7055555555)</f>
        <v>43207.705555555498</v>
      </c>
      <c r="L1690" s="111">
        <f ca="1">IFERROR(__xludf.DUMMYFUNCTION("""COMPUTED_VALUE"""),3.03)</f>
        <v>3.03</v>
      </c>
      <c r="M1690" s="112">
        <f ca="1">IFERROR(__xludf.DUMMYFUNCTION("""COMPUTED_VALUE"""),42667.7055555555)</f>
        <v>42667.705555555498</v>
      </c>
      <c r="N1690" s="111">
        <f ca="1">IFERROR(__xludf.DUMMYFUNCTION("""COMPUTED_VALUE"""),18.24)</f>
        <v>18.239999999999998</v>
      </c>
      <c r="O1690" s="112">
        <f ca="1">IFERROR(__xludf.DUMMYFUNCTION("""COMPUTED_VALUE"""),42744.7055555555)</f>
        <v>42744.705555555498</v>
      </c>
      <c r="P1690" s="111">
        <f ca="1">IFERROR(__xludf.DUMMYFUNCTION("""COMPUTED_VALUE"""),26.5)</f>
        <v>26.5</v>
      </c>
      <c r="Q1690" s="112">
        <f ca="1">IFERROR(__xludf.DUMMYFUNCTION("""COMPUTED_VALUE"""),42741.7055555555)</f>
        <v>42741.705555555498</v>
      </c>
      <c r="R1690" s="111">
        <f ca="1">IFERROR(__xludf.DUMMYFUNCTION("""COMPUTED_VALUE"""),28.89)</f>
        <v>28.89</v>
      </c>
      <c r="S1690" s="112">
        <f ca="1">IFERROR(__xludf.DUMMYFUNCTION("""COMPUTED_VALUE"""),42753.7055555555)</f>
        <v>42753.705555555498</v>
      </c>
      <c r="T1690" s="111">
        <f ca="1">IFERROR(__xludf.DUMMYFUNCTION("""COMPUTED_VALUE"""),17.88)</f>
        <v>17.88</v>
      </c>
    </row>
    <row r="1691" spans="1:20" x14ac:dyDescent="0.3">
      <c r="A1691" s="112">
        <f ca="1">IFERROR(__xludf.DUMMYFUNCTION("""COMPUTED_VALUE"""),42752.7055555555)</f>
        <v>42752.705555555498</v>
      </c>
      <c r="B1691" s="111">
        <f ca="1">IFERROR(__xludf.DUMMYFUNCTION("""COMPUTED_VALUE"""),22.47)</f>
        <v>22.47</v>
      </c>
      <c r="C1691" s="112">
        <f ca="1">IFERROR(__xludf.DUMMYFUNCTION("""COMPUTED_VALUE"""),42759.7055555555)</f>
        <v>42759.705555555498</v>
      </c>
      <c r="D1691" s="111">
        <f ca="1">IFERROR(__xludf.DUMMYFUNCTION("""COMPUTED_VALUE"""),25.16)</f>
        <v>25.16</v>
      </c>
      <c r="E1691" s="112">
        <f ca="1">IFERROR(__xludf.DUMMYFUNCTION("""COMPUTED_VALUE"""),42761.7055555555)</f>
        <v>42761.705555555498</v>
      </c>
      <c r="F1691" s="111">
        <f ca="1">IFERROR(__xludf.DUMMYFUNCTION("""COMPUTED_VALUE"""),8.04)</f>
        <v>8.0399999999999991</v>
      </c>
      <c r="G1691" s="112">
        <f ca="1">IFERROR(__xludf.DUMMYFUNCTION("""COMPUTED_VALUE"""),42754.7055555555)</f>
        <v>42754.705555555498</v>
      </c>
      <c r="H1691" s="111">
        <f ca="1">IFERROR(__xludf.DUMMYFUNCTION("""COMPUTED_VALUE"""),15.77)</f>
        <v>15.77</v>
      </c>
      <c r="K1691" s="112">
        <f ca="1">IFERROR(__xludf.DUMMYFUNCTION("""COMPUTED_VALUE"""),43208.7055555555)</f>
        <v>43208.705555555498</v>
      </c>
      <c r="L1691" s="111">
        <f ca="1">IFERROR(__xludf.DUMMYFUNCTION("""COMPUTED_VALUE"""),2.99)</f>
        <v>2.99</v>
      </c>
      <c r="M1691" s="112">
        <f ca="1">IFERROR(__xludf.DUMMYFUNCTION("""COMPUTED_VALUE"""),42668.7055555555)</f>
        <v>42668.705555555498</v>
      </c>
      <c r="N1691" s="111">
        <f ca="1">IFERROR(__xludf.DUMMYFUNCTION("""COMPUTED_VALUE"""),18.16)</f>
        <v>18.16</v>
      </c>
      <c r="O1691" s="112">
        <f ca="1">IFERROR(__xludf.DUMMYFUNCTION("""COMPUTED_VALUE"""),42745.7055555555)</f>
        <v>42745.705555555498</v>
      </c>
      <c r="P1691" s="111">
        <f ca="1">IFERROR(__xludf.DUMMYFUNCTION("""COMPUTED_VALUE"""),28.54)</f>
        <v>28.54</v>
      </c>
      <c r="Q1691" s="112">
        <f ca="1">IFERROR(__xludf.DUMMYFUNCTION("""COMPUTED_VALUE"""),42744.7055555555)</f>
        <v>42744.705555555498</v>
      </c>
      <c r="R1691" s="111">
        <f ca="1">IFERROR(__xludf.DUMMYFUNCTION("""COMPUTED_VALUE"""),27.8)</f>
        <v>27.8</v>
      </c>
      <c r="S1691" s="112">
        <f ca="1">IFERROR(__xludf.DUMMYFUNCTION("""COMPUTED_VALUE"""),42754.7055555555)</f>
        <v>42754.705555555498</v>
      </c>
      <c r="T1691" s="111">
        <f ca="1">IFERROR(__xludf.DUMMYFUNCTION("""COMPUTED_VALUE"""),17.77)</f>
        <v>17.77</v>
      </c>
    </row>
    <row r="1692" spans="1:20" x14ac:dyDescent="0.3">
      <c r="A1692" s="112">
        <f ca="1">IFERROR(__xludf.DUMMYFUNCTION("""COMPUTED_VALUE"""),42753.7055555555)</f>
        <v>42753.705555555498</v>
      </c>
      <c r="B1692" s="111">
        <f ca="1">IFERROR(__xludf.DUMMYFUNCTION("""COMPUTED_VALUE"""),21.58)</f>
        <v>21.58</v>
      </c>
      <c r="C1692" s="112">
        <f ca="1">IFERROR(__xludf.DUMMYFUNCTION("""COMPUTED_VALUE"""),42761.7055555555)</f>
        <v>42761.705555555498</v>
      </c>
      <c r="D1692" s="111">
        <f ca="1">IFERROR(__xludf.DUMMYFUNCTION("""COMPUTED_VALUE"""),25.5)</f>
        <v>25.5</v>
      </c>
      <c r="E1692" s="112">
        <f ca="1">IFERROR(__xludf.DUMMYFUNCTION("""COMPUTED_VALUE"""),42762.7055555555)</f>
        <v>42762.705555555498</v>
      </c>
      <c r="F1692" s="111">
        <f ca="1">IFERROR(__xludf.DUMMYFUNCTION("""COMPUTED_VALUE"""),8.03)</f>
        <v>8.0299999999999994</v>
      </c>
      <c r="G1692" s="112">
        <f ca="1">IFERROR(__xludf.DUMMYFUNCTION("""COMPUTED_VALUE"""),42755.7055555555)</f>
        <v>42755.705555555498</v>
      </c>
      <c r="H1692" s="111">
        <f ca="1">IFERROR(__xludf.DUMMYFUNCTION("""COMPUTED_VALUE"""),16)</f>
        <v>16</v>
      </c>
      <c r="K1692" s="112">
        <f ca="1">IFERROR(__xludf.DUMMYFUNCTION("""COMPUTED_VALUE"""),43209.7055555555)</f>
        <v>43209.705555555498</v>
      </c>
      <c r="L1692" s="111">
        <f ca="1">IFERROR(__xludf.DUMMYFUNCTION("""COMPUTED_VALUE"""),2.95)</f>
        <v>2.95</v>
      </c>
      <c r="M1692" s="112">
        <f ca="1">IFERROR(__xludf.DUMMYFUNCTION("""COMPUTED_VALUE"""),42669.7055555555)</f>
        <v>42669.705555555498</v>
      </c>
      <c r="N1692" s="111">
        <f ca="1">IFERROR(__xludf.DUMMYFUNCTION("""COMPUTED_VALUE"""),18.08)</f>
        <v>18.079999999999998</v>
      </c>
      <c r="O1692" s="112">
        <f ca="1">IFERROR(__xludf.DUMMYFUNCTION("""COMPUTED_VALUE"""),42746.7055555555)</f>
        <v>42746.705555555498</v>
      </c>
      <c r="P1692" s="111">
        <f ca="1">IFERROR(__xludf.DUMMYFUNCTION("""COMPUTED_VALUE"""),29.13)</f>
        <v>29.13</v>
      </c>
      <c r="Q1692" s="112">
        <f ca="1">IFERROR(__xludf.DUMMYFUNCTION("""COMPUTED_VALUE"""),42745.7055555555)</f>
        <v>42745.705555555498</v>
      </c>
      <c r="R1692" s="111">
        <f ca="1">IFERROR(__xludf.DUMMYFUNCTION("""COMPUTED_VALUE"""),28.18)</f>
        <v>28.18</v>
      </c>
      <c r="S1692" s="112">
        <f ca="1">IFERROR(__xludf.DUMMYFUNCTION("""COMPUTED_VALUE"""),42755.7055555555)</f>
        <v>42755.705555555498</v>
      </c>
      <c r="T1692" s="111">
        <f ca="1">IFERROR(__xludf.DUMMYFUNCTION("""COMPUTED_VALUE"""),18.04)</f>
        <v>18.04</v>
      </c>
    </row>
    <row r="1693" spans="1:20" x14ac:dyDescent="0.3">
      <c r="A1693" s="112">
        <f ca="1">IFERROR(__xludf.DUMMYFUNCTION("""COMPUTED_VALUE"""),42754.7055555555)</f>
        <v>42754.705555555498</v>
      </c>
      <c r="B1693" s="111">
        <f ca="1">IFERROR(__xludf.DUMMYFUNCTION("""COMPUTED_VALUE"""),21.39)</f>
        <v>21.39</v>
      </c>
      <c r="C1693" s="112">
        <f ca="1">IFERROR(__xludf.DUMMYFUNCTION("""COMPUTED_VALUE"""),42762.7055555555)</f>
        <v>42762.705555555498</v>
      </c>
      <c r="D1693" s="111">
        <f ca="1">IFERROR(__xludf.DUMMYFUNCTION("""COMPUTED_VALUE"""),25.37)</f>
        <v>25.37</v>
      </c>
      <c r="E1693" s="112">
        <f ca="1">IFERROR(__xludf.DUMMYFUNCTION("""COMPUTED_VALUE"""),42765.7055555555)</f>
        <v>42765.705555555498</v>
      </c>
      <c r="F1693" s="111">
        <f ca="1">IFERROR(__xludf.DUMMYFUNCTION("""COMPUTED_VALUE"""),7.94)</f>
        <v>7.94</v>
      </c>
      <c r="G1693" s="112">
        <f ca="1">IFERROR(__xludf.DUMMYFUNCTION("""COMPUTED_VALUE"""),42758.7055555555)</f>
        <v>42758.705555555498</v>
      </c>
      <c r="H1693" s="111">
        <f ca="1">IFERROR(__xludf.DUMMYFUNCTION("""COMPUTED_VALUE"""),15.99)</f>
        <v>15.99</v>
      </c>
      <c r="K1693" s="112">
        <f ca="1">IFERROR(__xludf.DUMMYFUNCTION("""COMPUTED_VALUE"""),43210.7055555555)</f>
        <v>43210.705555555498</v>
      </c>
      <c r="L1693" s="111">
        <f ca="1">IFERROR(__xludf.DUMMYFUNCTION("""COMPUTED_VALUE"""),3.03)</f>
        <v>3.03</v>
      </c>
      <c r="M1693" s="112">
        <f ca="1">IFERROR(__xludf.DUMMYFUNCTION("""COMPUTED_VALUE"""),42670.7055555555)</f>
        <v>42670.705555555498</v>
      </c>
      <c r="N1693" s="111">
        <f ca="1">IFERROR(__xludf.DUMMYFUNCTION("""COMPUTED_VALUE"""),18.38)</f>
        <v>18.38</v>
      </c>
      <c r="O1693" s="112">
        <f ca="1">IFERROR(__xludf.DUMMYFUNCTION("""COMPUTED_VALUE"""),42747.7055555555)</f>
        <v>42747.705555555498</v>
      </c>
      <c r="P1693" s="111">
        <f ca="1">IFERROR(__xludf.DUMMYFUNCTION("""COMPUTED_VALUE"""),30.07)</f>
        <v>30.07</v>
      </c>
      <c r="Q1693" s="112">
        <f ca="1">IFERROR(__xludf.DUMMYFUNCTION("""COMPUTED_VALUE"""),42746.7055555555)</f>
        <v>42746.705555555498</v>
      </c>
      <c r="R1693" s="111">
        <f ca="1">IFERROR(__xludf.DUMMYFUNCTION("""COMPUTED_VALUE"""),28.48)</f>
        <v>28.48</v>
      </c>
      <c r="S1693" s="112">
        <f ca="1">IFERROR(__xludf.DUMMYFUNCTION("""COMPUTED_VALUE"""),42758.7055555555)</f>
        <v>42758.705555555498</v>
      </c>
      <c r="T1693" s="111">
        <f ca="1">IFERROR(__xludf.DUMMYFUNCTION("""COMPUTED_VALUE"""),18.62)</f>
        <v>18.62</v>
      </c>
    </row>
    <row r="1694" spans="1:20" x14ac:dyDescent="0.3">
      <c r="A1694" s="112">
        <f ca="1">IFERROR(__xludf.DUMMYFUNCTION("""COMPUTED_VALUE"""),42755.7055555555)</f>
        <v>42755.705555555498</v>
      </c>
      <c r="B1694" s="111">
        <f ca="1">IFERROR(__xludf.DUMMYFUNCTION("""COMPUTED_VALUE"""),21.89)</f>
        <v>21.89</v>
      </c>
      <c r="C1694" s="112">
        <f ca="1">IFERROR(__xludf.DUMMYFUNCTION("""COMPUTED_VALUE"""),42765.7055555555)</f>
        <v>42765.705555555498</v>
      </c>
      <c r="D1694" s="111">
        <f ca="1">IFERROR(__xludf.DUMMYFUNCTION("""COMPUTED_VALUE"""),24.83)</f>
        <v>24.83</v>
      </c>
      <c r="E1694" s="112">
        <f ca="1">IFERROR(__xludf.DUMMYFUNCTION("""COMPUTED_VALUE"""),42766.7055555555)</f>
        <v>42766.705555555498</v>
      </c>
      <c r="F1694" s="111">
        <f ca="1">IFERROR(__xludf.DUMMYFUNCTION("""COMPUTED_VALUE"""),8.03)</f>
        <v>8.0299999999999994</v>
      </c>
      <c r="G1694" s="112">
        <f ca="1">IFERROR(__xludf.DUMMYFUNCTION("""COMPUTED_VALUE"""),42759.7055555555)</f>
        <v>42759.705555555498</v>
      </c>
      <c r="H1694" s="111">
        <f ca="1">IFERROR(__xludf.DUMMYFUNCTION("""COMPUTED_VALUE"""),16.04)</f>
        <v>16.04</v>
      </c>
      <c r="K1694" s="112">
        <f ca="1">IFERROR(__xludf.DUMMYFUNCTION("""COMPUTED_VALUE"""),43213.7055555555)</f>
        <v>43213.705555555498</v>
      </c>
      <c r="L1694" s="111">
        <f ca="1">IFERROR(__xludf.DUMMYFUNCTION("""COMPUTED_VALUE"""),3.12)</f>
        <v>3.12</v>
      </c>
      <c r="M1694" s="112">
        <f ca="1">IFERROR(__xludf.DUMMYFUNCTION("""COMPUTED_VALUE"""),42671.7055555555)</f>
        <v>42671.705555555498</v>
      </c>
      <c r="N1694" s="111">
        <f ca="1">IFERROR(__xludf.DUMMYFUNCTION("""COMPUTED_VALUE"""),18.45)</f>
        <v>18.45</v>
      </c>
      <c r="O1694" s="112">
        <f ca="1">IFERROR(__xludf.DUMMYFUNCTION("""COMPUTED_VALUE"""),42748.7055555555)</f>
        <v>42748.705555555498</v>
      </c>
      <c r="P1694" s="111">
        <f ca="1">IFERROR(__xludf.DUMMYFUNCTION("""COMPUTED_VALUE"""),30.98)</f>
        <v>30.98</v>
      </c>
      <c r="Q1694" s="112">
        <f ca="1">IFERROR(__xludf.DUMMYFUNCTION("""COMPUTED_VALUE"""),42747.7055555555)</f>
        <v>42747.705555555498</v>
      </c>
      <c r="R1694" s="111">
        <f ca="1">IFERROR(__xludf.DUMMYFUNCTION("""COMPUTED_VALUE"""),29.2)</f>
        <v>29.2</v>
      </c>
      <c r="S1694" s="112">
        <f ca="1">IFERROR(__xludf.DUMMYFUNCTION("""COMPUTED_VALUE"""),42759.7055555555)</f>
        <v>42759.705555555498</v>
      </c>
      <c r="T1694" s="111">
        <f ca="1">IFERROR(__xludf.DUMMYFUNCTION("""COMPUTED_VALUE"""),18.2)</f>
        <v>18.2</v>
      </c>
    </row>
    <row r="1695" spans="1:20" x14ac:dyDescent="0.3">
      <c r="A1695" s="112">
        <f ca="1">IFERROR(__xludf.DUMMYFUNCTION("""COMPUTED_VALUE"""),42758.7055555555)</f>
        <v>42758.705555555498</v>
      </c>
      <c r="B1695" s="111">
        <f ca="1">IFERROR(__xludf.DUMMYFUNCTION("""COMPUTED_VALUE"""),22.72)</f>
        <v>22.72</v>
      </c>
      <c r="C1695" s="112">
        <f ca="1">IFERROR(__xludf.DUMMYFUNCTION("""COMPUTED_VALUE"""),42766.7055555555)</f>
        <v>42766.705555555498</v>
      </c>
      <c r="D1695" s="111">
        <f ca="1">IFERROR(__xludf.DUMMYFUNCTION("""COMPUTED_VALUE"""),24.83)</f>
        <v>24.83</v>
      </c>
      <c r="E1695" s="112">
        <f ca="1">IFERROR(__xludf.DUMMYFUNCTION("""COMPUTED_VALUE"""),42767.7055555555)</f>
        <v>42767.705555555498</v>
      </c>
      <c r="F1695" s="111">
        <f ca="1">IFERROR(__xludf.DUMMYFUNCTION("""COMPUTED_VALUE"""),8.07)</f>
        <v>8.07</v>
      </c>
      <c r="G1695" s="112">
        <f ca="1">IFERROR(__xludf.DUMMYFUNCTION("""COMPUTED_VALUE"""),42761.7055555555)</f>
        <v>42761.705555555498</v>
      </c>
      <c r="H1695" s="111">
        <f ca="1">IFERROR(__xludf.DUMMYFUNCTION("""COMPUTED_VALUE"""),15.8)</f>
        <v>15.8</v>
      </c>
      <c r="K1695" s="112">
        <f ca="1">IFERROR(__xludf.DUMMYFUNCTION("""COMPUTED_VALUE"""),43214.7055555555)</f>
        <v>43214.705555555498</v>
      </c>
      <c r="L1695" s="111">
        <f ca="1">IFERROR(__xludf.DUMMYFUNCTION("""COMPUTED_VALUE"""),3.16)</f>
        <v>3.16</v>
      </c>
      <c r="M1695" s="112">
        <f ca="1">IFERROR(__xludf.DUMMYFUNCTION("""COMPUTED_VALUE"""),42674.7055555555)</f>
        <v>42674.705555555498</v>
      </c>
      <c r="N1695" s="111">
        <f ca="1">IFERROR(__xludf.DUMMYFUNCTION("""COMPUTED_VALUE"""),19.03)</f>
        <v>19.03</v>
      </c>
      <c r="O1695" s="112">
        <f ca="1">IFERROR(__xludf.DUMMYFUNCTION("""COMPUTED_VALUE"""),42751.7055555555)</f>
        <v>42751.705555555498</v>
      </c>
      <c r="P1695" s="111">
        <f ca="1">IFERROR(__xludf.DUMMYFUNCTION("""COMPUTED_VALUE"""),31.82)</f>
        <v>31.82</v>
      </c>
      <c r="Q1695" s="112">
        <f ca="1">IFERROR(__xludf.DUMMYFUNCTION("""COMPUTED_VALUE"""),42748.7055555555)</f>
        <v>42748.705555555498</v>
      </c>
      <c r="R1695" s="111">
        <f ca="1">IFERROR(__xludf.DUMMYFUNCTION("""COMPUTED_VALUE"""),28.44)</f>
        <v>28.44</v>
      </c>
      <c r="S1695" s="112">
        <f ca="1">IFERROR(__xludf.DUMMYFUNCTION("""COMPUTED_VALUE"""),42761.7055555555)</f>
        <v>42761.705555555498</v>
      </c>
      <c r="T1695" s="111">
        <f ca="1">IFERROR(__xludf.DUMMYFUNCTION("""COMPUTED_VALUE"""),18.61)</f>
        <v>18.61</v>
      </c>
    </row>
    <row r="1696" spans="1:20" x14ac:dyDescent="0.3">
      <c r="A1696" s="112">
        <f ca="1">IFERROR(__xludf.DUMMYFUNCTION("""COMPUTED_VALUE"""),42759.7055555555)</f>
        <v>42759.705555555498</v>
      </c>
      <c r="B1696" s="111">
        <f ca="1">IFERROR(__xludf.DUMMYFUNCTION("""COMPUTED_VALUE"""),22.28)</f>
        <v>22.28</v>
      </c>
      <c r="C1696" s="112">
        <f ca="1">IFERROR(__xludf.DUMMYFUNCTION("""COMPUTED_VALUE"""),42767.7055555555)</f>
        <v>42767.705555555498</v>
      </c>
      <c r="D1696" s="111">
        <f ca="1">IFERROR(__xludf.DUMMYFUNCTION("""COMPUTED_VALUE"""),25.08)</f>
        <v>25.08</v>
      </c>
      <c r="E1696" s="112">
        <f ca="1">IFERROR(__xludf.DUMMYFUNCTION("""COMPUTED_VALUE"""),42768.7055555555)</f>
        <v>42768.705555555498</v>
      </c>
      <c r="F1696" s="111">
        <f ca="1">IFERROR(__xludf.DUMMYFUNCTION("""COMPUTED_VALUE"""),8.06)</f>
        <v>8.06</v>
      </c>
      <c r="G1696" s="112">
        <f ca="1">IFERROR(__xludf.DUMMYFUNCTION("""COMPUTED_VALUE"""),42762.7055555555)</f>
        <v>42762.705555555498</v>
      </c>
      <c r="H1696" s="111">
        <f ca="1">IFERROR(__xludf.DUMMYFUNCTION("""COMPUTED_VALUE"""),15.62)</f>
        <v>15.62</v>
      </c>
      <c r="K1696" s="112">
        <f ca="1">IFERROR(__xludf.DUMMYFUNCTION("""COMPUTED_VALUE"""),43215.7055555555)</f>
        <v>43215.705555555498</v>
      </c>
      <c r="L1696" s="111">
        <f ca="1">IFERROR(__xludf.DUMMYFUNCTION("""COMPUTED_VALUE"""),3.17)</f>
        <v>3.17</v>
      </c>
      <c r="M1696" s="112">
        <f ca="1">IFERROR(__xludf.DUMMYFUNCTION("""COMPUTED_VALUE"""),42675.7055555555)</f>
        <v>42675.705555555498</v>
      </c>
      <c r="N1696" s="111">
        <f ca="1">IFERROR(__xludf.DUMMYFUNCTION("""COMPUTED_VALUE"""),18.48)</f>
        <v>18.48</v>
      </c>
      <c r="O1696" s="112">
        <f ca="1">IFERROR(__xludf.DUMMYFUNCTION("""COMPUTED_VALUE"""),42752.7055555555)</f>
        <v>42752.705555555498</v>
      </c>
      <c r="P1696" s="111">
        <f ca="1">IFERROR(__xludf.DUMMYFUNCTION("""COMPUTED_VALUE"""),30.57)</f>
        <v>30.57</v>
      </c>
      <c r="Q1696" s="112">
        <f ca="1">IFERROR(__xludf.DUMMYFUNCTION("""COMPUTED_VALUE"""),42751.7055555555)</f>
        <v>42751.705555555498</v>
      </c>
      <c r="R1696" s="111">
        <f ca="1">IFERROR(__xludf.DUMMYFUNCTION("""COMPUTED_VALUE"""),28.46)</f>
        <v>28.46</v>
      </c>
      <c r="S1696" s="112">
        <f ca="1">IFERROR(__xludf.DUMMYFUNCTION("""COMPUTED_VALUE"""),42762.7055555555)</f>
        <v>42762.705555555498</v>
      </c>
      <c r="T1696" s="111">
        <f ca="1">IFERROR(__xludf.DUMMYFUNCTION("""COMPUTED_VALUE"""),18.69)</f>
        <v>18.690000000000001</v>
      </c>
    </row>
    <row r="1697" spans="1:20" x14ac:dyDescent="0.3">
      <c r="A1697" s="112">
        <f ca="1">IFERROR(__xludf.DUMMYFUNCTION("""COMPUTED_VALUE"""),42761.7055555555)</f>
        <v>42761.705555555498</v>
      </c>
      <c r="B1697" s="111">
        <f ca="1">IFERROR(__xludf.DUMMYFUNCTION("""COMPUTED_VALUE"""),21.76)</f>
        <v>21.76</v>
      </c>
      <c r="C1697" s="112">
        <f ca="1">IFERROR(__xludf.DUMMYFUNCTION("""COMPUTED_VALUE"""),42768.7055555555)</f>
        <v>42768.705555555498</v>
      </c>
      <c r="D1697" s="111">
        <f ca="1">IFERROR(__xludf.DUMMYFUNCTION("""COMPUTED_VALUE"""),25.01)</f>
        <v>25.01</v>
      </c>
      <c r="E1697" s="112">
        <f ca="1">IFERROR(__xludf.DUMMYFUNCTION("""COMPUTED_VALUE"""),42769.7055555555)</f>
        <v>42769.705555555498</v>
      </c>
      <c r="F1697" s="111">
        <f ca="1">IFERROR(__xludf.DUMMYFUNCTION("""COMPUTED_VALUE"""),8.22)</f>
        <v>8.2200000000000006</v>
      </c>
      <c r="G1697" s="112">
        <f ca="1">IFERROR(__xludf.DUMMYFUNCTION("""COMPUTED_VALUE"""),42765.7055555555)</f>
        <v>42765.705555555498</v>
      </c>
      <c r="H1697" s="111">
        <f ca="1">IFERROR(__xludf.DUMMYFUNCTION("""COMPUTED_VALUE"""),14.84)</f>
        <v>14.84</v>
      </c>
      <c r="K1697" s="112">
        <f ca="1">IFERROR(__xludf.DUMMYFUNCTION("""COMPUTED_VALUE"""),43216.7055555555)</f>
        <v>43216.705555555498</v>
      </c>
      <c r="L1697" s="111">
        <f ca="1">IFERROR(__xludf.DUMMYFUNCTION("""COMPUTED_VALUE"""),3.27)</f>
        <v>3.27</v>
      </c>
      <c r="M1697" s="112">
        <f ca="1">IFERROR(__xludf.DUMMYFUNCTION("""COMPUTED_VALUE"""),42677.7055555555)</f>
        <v>42677.705555555498</v>
      </c>
      <c r="N1697" s="111">
        <f ca="1">IFERROR(__xludf.DUMMYFUNCTION("""COMPUTED_VALUE"""),18.03)</f>
        <v>18.03</v>
      </c>
      <c r="O1697" s="112">
        <f ca="1">IFERROR(__xludf.DUMMYFUNCTION("""COMPUTED_VALUE"""),42753.7055555555)</f>
        <v>42753.705555555498</v>
      </c>
      <c r="P1697" s="111">
        <f ca="1">IFERROR(__xludf.DUMMYFUNCTION("""COMPUTED_VALUE"""),32.11)</f>
        <v>32.11</v>
      </c>
      <c r="Q1697" s="112">
        <f ca="1">IFERROR(__xludf.DUMMYFUNCTION("""COMPUTED_VALUE"""),42752.7055555555)</f>
        <v>42752.705555555498</v>
      </c>
      <c r="R1697" s="111">
        <f ca="1">IFERROR(__xludf.DUMMYFUNCTION("""COMPUTED_VALUE"""),28.92)</f>
        <v>28.92</v>
      </c>
      <c r="S1697" s="112">
        <f ca="1">IFERROR(__xludf.DUMMYFUNCTION("""COMPUTED_VALUE"""),42765.7055555555)</f>
        <v>42765.705555555498</v>
      </c>
      <c r="T1697" s="111">
        <f ca="1">IFERROR(__xludf.DUMMYFUNCTION("""COMPUTED_VALUE"""),18.18)</f>
        <v>18.18</v>
      </c>
    </row>
    <row r="1698" spans="1:20" x14ac:dyDescent="0.3">
      <c r="A1698" s="112">
        <f ca="1">IFERROR(__xludf.DUMMYFUNCTION("""COMPUTED_VALUE"""),42762.7055555555)</f>
        <v>42762.705555555498</v>
      </c>
      <c r="B1698" s="111">
        <f ca="1">IFERROR(__xludf.DUMMYFUNCTION("""COMPUTED_VALUE"""),21.45)</f>
        <v>21.45</v>
      </c>
      <c r="C1698" s="112">
        <f ca="1">IFERROR(__xludf.DUMMYFUNCTION("""COMPUTED_VALUE"""),42769.7055555555)</f>
        <v>42769.705555555498</v>
      </c>
      <c r="D1698" s="111">
        <f ca="1">IFERROR(__xludf.DUMMYFUNCTION("""COMPUTED_VALUE"""),25.53)</f>
        <v>25.53</v>
      </c>
      <c r="E1698" s="112">
        <f ca="1">IFERROR(__xludf.DUMMYFUNCTION("""COMPUTED_VALUE"""),42772.7055555555)</f>
        <v>42772.705555555498</v>
      </c>
      <c r="F1698" s="111">
        <f ca="1">IFERROR(__xludf.DUMMYFUNCTION("""COMPUTED_VALUE"""),8.1)</f>
        <v>8.1</v>
      </c>
      <c r="G1698" s="112">
        <f ca="1">IFERROR(__xludf.DUMMYFUNCTION("""COMPUTED_VALUE"""),42766.7055555555)</f>
        <v>42766.705555555498</v>
      </c>
      <c r="H1698" s="111">
        <f ca="1">IFERROR(__xludf.DUMMYFUNCTION("""COMPUTED_VALUE"""),15.02)</f>
        <v>15.02</v>
      </c>
      <c r="K1698" s="112">
        <f ca="1">IFERROR(__xludf.DUMMYFUNCTION("""COMPUTED_VALUE"""),43217.7055555555)</f>
        <v>43217.705555555498</v>
      </c>
      <c r="L1698" s="111">
        <f ca="1">IFERROR(__xludf.DUMMYFUNCTION("""COMPUTED_VALUE"""),3.29)</f>
        <v>3.29</v>
      </c>
      <c r="M1698" s="112">
        <f ca="1">IFERROR(__xludf.DUMMYFUNCTION("""COMPUTED_VALUE"""),42678.7055555555)</f>
        <v>42678.705555555498</v>
      </c>
      <c r="N1698" s="111">
        <f ca="1">IFERROR(__xludf.DUMMYFUNCTION("""COMPUTED_VALUE"""),18.03)</f>
        <v>18.03</v>
      </c>
      <c r="O1698" s="112">
        <f ca="1">IFERROR(__xludf.DUMMYFUNCTION("""COMPUTED_VALUE"""),42754.7055555555)</f>
        <v>42754.705555555498</v>
      </c>
      <c r="P1698" s="111">
        <f ca="1">IFERROR(__xludf.DUMMYFUNCTION("""COMPUTED_VALUE"""),31.47)</f>
        <v>31.47</v>
      </c>
      <c r="Q1698" s="112">
        <f ca="1">IFERROR(__xludf.DUMMYFUNCTION("""COMPUTED_VALUE"""),42753.7055555555)</f>
        <v>42753.705555555498</v>
      </c>
      <c r="R1698" s="111">
        <f ca="1">IFERROR(__xludf.DUMMYFUNCTION("""COMPUTED_VALUE"""),28.68)</f>
        <v>28.68</v>
      </c>
      <c r="S1698" s="112">
        <f ca="1">IFERROR(__xludf.DUMMYFUNCTION("""COMPUTED_VALUE"""),42766.7055555555)</f>
        <v>42766.705555555498</v>
      </c>
      <c r="T1698" s="111">
        <f ca="1">IFERROR(__xludf.DUMMYFUNCTION("""COMPUTED_VALUE"""),17.94)</f>
        <v>17.940000000000001</v>
      </c>
    </row>
    <row r="1699" spans="1:20" x14ac:dyDescent="0.3">
      <c r="A1699" s="112">
        <f ca="1">IFERROR(__xludf.DUMMYFUNCTION("""COMPUTED_VALUE"""),42765.7055555555)</f>
        <v>42765.705555555498</v>
      </c>
      <c r="B1699" s="111">
        <f ca="1">IFERROR(__xludf.DUMMYFUNCTION("""COMPUTED_VALUE"""),20.61)</f>
        <v>20.61</v>
      </c>
      <c r="C1699" s="112">
        <f ca="1">IFERROR(__xludf.DUMMYFUNCTION("""COMPUTED_VALUE"""),42772.7055555555)</f>
        <v>42772.705555555498</v>
      </c>
      <c r="D1699" s="111">
        <f ca="1">IFERROR(__xludf.DUMMYFUNCTION("""COMPUTED_VALUE"""),25.34)</f>
        <v>25.34</v>
      </c>
      <c r="E1699" s="112">
        <f ca="1">IFERROR(__xludf.DUMMYFUNCTION("""COMPUTED_VALUE"""),42773.7055555555)</f>
        <v>42773.705555555498</v>
      </c>
      <c r="F1699" s="111">
        <f ca="1">IFERROR(__xludf.DUMMYFUNCTION("""COMPUTED_VALUE"""),8.21)</f>
        <v>8.2100000000000009</v>
      </c>
      <c r="G1699" s="112">
        <f ca="1">IFERROR(__xludf.DUMMYFUNCTION("""COMPUTED_VALUE"""),42767.7055555555)</f>
        <v>42767.705555555498</v>
      </c>
      <c r="H1699" s="111">
        <f ca="1">IFERROR(__xludf.DUMMYFUNCTION("""COMPUTED_VALUE"""),15.02)</f>
        <v>15.02</v>
      </c>
      <c r="K1699" s="112">
        <f ca="1">IFERROR(__xludf.DUMMYFUNCTION("""COMPUTED_VALUE"""),43220.7055555555)</f>
        <v>43220.705555555498</v>
      </c>
      <c r="L1699" s="111">
        <f ca="1">IFERROR(__xludf.DUMMYFUNCTION("""COMPUTED_VALUE"""),3.34)</f>
        <v>3.34</v>
      </c>
      <c r="M1699" s="112">
        <f ca="1">IFERROR(__xludf.DUMMYFUNCTION("""COMPUTED_VALUE"""),42681.7055555555)</f>
        <v>42681.705555555498</v>
      </c>
      <c r="N1699" s="111">
        <f ca="1">IFERROR(__xludf.DUMMYFUNCTION("""COMPUTED_VALUE"""),18.65)</f>
        <v>18.649999999999999</v>
      </c>
      <c r="O1699" s="112">
        <f ca="1">IFERROR(__xludf.DUMMYFUNCTION("""COMPUTED_VALUE"""),42755.7055555555)</f>
        <v>42755.705555555498</v>
      </c>
      <c r="P1699" s="111">
        <f ca="1">IFERROR(__xludf.DUMMYFUNCTION("""COMPUTED_VALUE"""),32.1)</f>
        <v>32.1</v>
      </c>
      <c r="Q1699" s="112">
        <f ca="1">IFERROR(__xludf.DUMMYFUNCTION("""COMPUTED_VALUE"""),42754.7055555555)</f>
        <v>42754.705555555498</v>
      </c>
      <c r="R1699" s="111">
        <f ca="1">IFERROR(__xludf.DUMMYFUNCTION("""COMPUTED_VALUE"""),28.71)</f>
        <v>28.71</v>
      </c>
      <c r="S1699" s="112">
        <f ca="1">IFERROR(__xludf.DUMMYFUNCTION("""COMPUTED_VALUE"""),42767.7055555555)</f>
        <v>42767.705555555498</v>
      </c>
      <c r="T1699" s="111">
        <f ca="1">IFERROR(__xludf.DUMMYFUNCTION("""COMPUTED_VALUE"""),17.86)</f>
        <v>17.86</v>
      </c>
    </row>
    <row r="1700" spans="1:20" x14ac:dyDescent="0.3">
      <c r="A1700" s="112">
        <f ca="1">IFERROR(__xludf.DUMMYFUNCTION("""COMPUTED_VALUE"""),42766.7055555555)</f>
        <v>42766.705555555498</v>
      </c>
      <c r="B1700" s="111">
        <f ca="1">IFERROR(__xludf.DUMMYFUNCTION("""COMPUTED_VALUE"""),20.6)</f>
        <v>20.6</v>
      </c>
      <c r="C1700" s="112">
        <f ca="1">IFERROR(__xludf.DUMMYFUNCTION("""COMPUTED_VALUE"""),42773.7055555555)</f>
        <v>42773.705555555498</v>
      </c>
      <c r="D1700" s="111">
        <f ca="1">IFERROR(__xludf.DUMMYFUNCTION("""COMPUTED_VALUE"""),25.83)</f>
        <v>25.83</v>
      </c>
      <c r="E1700" s="112">
        <f ca="1">IFERROR(__xludf.DUMMYFUNCTION("""COMPUTED_VALUE"""),42774.7055555555)</f>
        <v>42774.705555555498</v>
      </c>
      <c r="F1700" s="111">
        <f ca="1">IFERROR(__xludf.DUMMYFUNCTION("""COMPUTED_VALUE"""),8.28)</f>
        <v>8.2799999999999994</v>
      </c>
      <c r="G1700" s="112">
        <f ca="1">IFERROR(__xludf.DUMMYFUNCTION("""COMPUTED_VALUE"""),42768.7055555555)</f>
        <v>42768.705555555498</v>
      </c>
      <c r="H1700" s="111">
        <f ca="1">IFERROR(__xludf.DUMMYFUNCTION("""COMPUTED_VALUE"""),14.89)</f>
        <v>14.89</v>
      </c>
      <c r="K1700" s="112">
        <f ca="1">IFERROR(__xludf.DUMMYFUNCTION("""COMPUTED_VALUE"""),43222.7055555555)</f>
        <v>43222.705555555498</v>
      </c>
      <c r="L1700" s="111">
        <f ca="1">IFERROR(__xludf.DUMMYFUNCTION("""COMPUTED_VALUE"""),3.2)</f>
        <v>3.2</v>
      </c>
      <c r="M1700" s="112">
        <f ca="1">IFERROR(__xludf.DUMMYFUNCTION("""COMPUTED_VALUE"""),42682.7055555555)</f>
        <v>42682.705555555498</v>
      </c>
      <c r="N1700" s="111">
        <f ca="1">IFERROR(__xludf.DUMMYFUNCTION("""COMPUTED_VALUE"""),18.64)</f>
        <v>18.64</v>
      </c>
      <c r="O1700" s="112">
        <f ca="1">IFERROR(__xludf.DUMMYFUNCTION("""COMPUTED_VALUE"""),42758.7055555555)</f>
        <v>42758.705555555498</v>
      </c>
      <c r="P1700" s="111">
        <f ca="1">IFERROR(__xludf.DUMMYFUNCTION("""COMPUTED_VALUE"""),33.31)</f>
        <v>33.31</v>
      </c>
      <c r="Q1700" s="112">
        <f ca="1">IFERROR(__xludf.DUMMYFUNCTION("""COMPUTED_VALUE"""),42755.7055555555)</f>
        <v>42755.705555555498</v>
      </c>
      <c r="R1700" s="111">
        <f ca="1">IFERROR(__xludf.DUMMYFUNCTION("""COMPUTED_VALUE"""),29.35)</f>
        <v>29.35</v>
      </c>
      <c r="S1700" s="112">
        <f ca="1">IFERROR(__xludf.DUMMYFUNCTION("""COMPUTED_VALUE"""),42768.7055555555)</f>
        <v>42768.705555555498</v>
      </c>
      <c r="T1700" s="111">
        <f ca="1">IFERROR(__xludf.DUMMYFUNCTION("""COMPUTED_VALUE"""),17.87)</f>
        <v>17.87</v>
      </c>
    </row>
    <row r="1701" spans="1:20" x14ac:dyDescent="0.3">
      <c r="A1701" s="112">
        <f ca="1">IFERROR(__xludf.DUMMYFUNCTION("""COMPUTED_VALUE"""),42767.7055555555)</f>
        <v>42767.705555555498</v>
      </c>
      <c r="B1701" s="111">
        <f ca="1">IFERROR(__xludf.DUMMYFUNCTION("""COMPUTED_VALUE"""),20.75)</f>
        <v>20.75</v>
      </c>
      <c r="C1701" s="112">
        <f ca="1">IFERROR(__xludf.DUMMYFUNCTION("""COMPUTED_VALUE"""),42774.7055555555)</f>
        <v>42774.705555555498</v>
      </c>
      <c r="D1701" s="111">
        <f ca="1">IFERROR(__xludf.DUMMYFUNCTION("""COMPUTED_VALUE"""),26.5)</f>
        <v>26.5</v>
      </c>
      <c r="E1701" s="112">
        <f ca="1">IFERROR(__xludf.DUMMYFUNCTION("""COMPUTED_VALUE"""),42775.7055555555)</f>
        <v>42775.705555555498</v>
      </c>
      <c r="F1701" s="111">
        <f ca="1">IFERROR(__xludf.DUMMYFUNCTION("""COMPUTED_VALUE"""),8.34)</f>
        <v>8.34</v>
      </c>
      <c r="G1701" s="112">
        <f ca="1">IFERROR(__xludf.DUMMYFUNCTION("""COMPUTED_VALUE"""),42769.7055555555)</f>
        <v>42769.705555555498</v>
      </c>
      <c r="H1701" s="111">
        <f ca="1">IFERROR(__xludf.DUMMYFUNCTION("""COMPUTED_VALUE"""),15.34)</f>
        <v>15.34</v>
      </c>
      <c r="K1701" s="112">
        <f ca="1">IFERROR(__xludf.DUMMYFUNCTION("""COMPUTED_VALUE"""),43223.7055555555)</f>
        <v>43223.705555555498</v>
      </c>
      <c r="L1701" s="111">
        <f ca="1">IFERROR(__xludf.DUMMYFUNCTION("""COMPUTED_VALUE"""),3.04)</f>
        <v>3.04</v>
      </c>
      <c r="M1701" s="112">
        <f ca="1">IFERROR(__xludf.DUMMYFUNCTION("""COMPUTED_VALUE"""),42683.7055555555)</f>
        <v>42683.705555555498</v>
      </c>
      <c r="N1701" s="111">
        <f ca="1">IFERROR(__xludf.DUMMYFUNCTION("""COMPUTED_VALUE"""),18.13)</f>
        <v>18.13</v>
      </c>
      <c r="O1701" s="112">
        <f ca="1">IFERROR(__xludf.DUMMYFUNCTION("""COMPUTED_VALUE"""),42759.7055555555)</f>
        <v>42759.705555555498</v>
      </c>
      <c r="P1701" s="111">
        <f ca="1">IFERROR(__xludf.DUMMYFUNCTION("""COMPUTED_VALUE"""),34.13)</f>
        <v>34.130000000000003</v>
      </c>
      <c r="Q1701" s="112">
        <f ca="1">IFERROR(__xludf.DUMMYFUNCTION("""COMPUTED_VALUE"""),42758.7055555555)</f>
        <v>42758.705555555498</v>
      </c>
      <c r="R1701" s="111">
        <f ca="1">IFERROR(__xludf.DUMMYFUNCTION("""COMPUTED_VALUE"""),30.68)</f>
        <v>30.68</v>
      </c>
      <c r="S1701" s="112">
        <f ca="1">IFERROR(__xludf.DUMMYFUNCTION("""COMPUTED_VALUE"""),42769.7055555555)</f>
        <v>42769.705555555498</v>
      </c>
      <c r="T1701" s="111">
        <f ca="1">IFERROR(__xludf.DUMMYFUNCTION("""COMPUTED_VALUE"""),18.53)</f>
        <v>18.53</v>
      </c>
    </row>
    <row r="1702" spans="1:20" x14ac:dyDescent="0.3">
      <c r="A1702" s="112">
        <f ca="1">IFERROR(__xludf.DUMMYFUNCTION("""COMPUTED_VALUE"""),42768.7055555555)</f>
        <v>42768.705555555498</v>
      </c>
      <c r="B1702" s="111">
        <f ca="1">IFERROR(__xludf.DUMMYFUNCTION("""COMPUTED_VALUE"""),21.08)</f>
        <v>21.08</v>
      </c>
      <c r="C1702" s="112">
        <f ca="1">IFERROR(__xludf.DUMMYFUNCTION("""COMPUTED_VALUE"""),42775.7055555555)</f>
        <v>42775.705555555498</v>
      </c>
      <c r="D1702" s="111">
        <f ca="1">IFERROR(__xludf.DUMMYFUNCTION("""COMPUTED_VALUE"""),26.62)</f>
        <v>26.62</v>
      </c>
      <c r="E1702" s="112">
        <f ca="1">IFERROR(__xludf.DUMMYFUNCTION("""COMPUTED_VALUE"""),42776.7055555555)</f>
        <v>42776.705555555498</v>
      </c>
      <c r="F1702" s="111">
        <f ca="1">IFERROR(__xludf.DUMMYFUNCTION("""COMPUTED_VALUE"""),8.42)</f>
        <v>8.42</v>
      </c>
      <c r="G1702" s="112">
        <f ca="1">IFERROR(__xludf.DUMMYFUNCTION("""COMPUTED_VALUE"""),42772.7055555555)</f>
        <v>42772.705555555498</v>
      </c>
      <c r="H1702" s="111">
        <f ca="1">IFERROR(__xludf.DUMMYFUNCTION("""COMPUTED_VALUE"""),14.96)</f>
        <v>14.96</v>
      </c>
      <c r="K1702" s="112">
        <f ca="1">IFERROR(__xludf.DUMMYFUNCTION("""COMPUTED_VALUE"""),43224.7055555555)</f>
        <v>43224.705555555498</v>
      </c>
      <c r="L1702" s="111">
        <f ca="1">IFERROR(__xludf.DUMMYFUNCTION("""COMPUTED_VALUE"""),3.05)</f>
        <v>3.05</v>
      </c>
      <c r="M1702" s="112">
        <f ca="1">IFERROR(__xludf.DUMMYFUNCTION("""COMPUTED_VALUE"""),42684.7055555555)</f>
        <v>42684.705555555498</v>
      </c>
      <c r="N1702" s="111">
        <f ca="1">IFERROR(__xludf.DUMMYFUNCTION("""COMPUTED_VALUE"""),16.51)</f>
        <v>16.510000000000002</v>
      </c>
      <c r="O1702" s="112">
        <f ca="1">IFERROR(__xludf.DUMMYFUNCTION("""COMPUTED_VALUE"""),42761.7055555555)</f>
        <v>42761.705555555498</v>
      </c>
      <c r="P1702" s="111">
        <f ca="1">IFERROR(__xludf.DUMMYFUNCTION("""COMPUTED_VALUE"""),33.6)</f>
        <v>33.6</v>
      </c>
      <c r="Q1702" s="112">
        <f ca="1">IFERROR(__xludf.DUMMYFUNCTION("""COMPUTED_VALUE"""),42759.7055555555)</f>
        <v>42759.705555555498</v>
      </c>
      <c r="R1702" s="111">
        <f ca="1">IFERROR(__xludf.DUMMYFUNCTION("""COMPUTED_VALUE"""),30.1)</f>
        <v>30.1</v>
      </c>
      <c r="S1702" s="112">
        <f ca="1">IFERROR(__xludf.DUMMYFUNCTION("""COMPUTED_VALUE"""),42772.7055555555)</f>
        <v>42772.705555555498</v>
      </c>
      <c r="T1702" s="111">
        <f ca="1">IFERROR(__xludf.DUMMYFUNCTION("""COMPUTED_VALUE"""),18.08)</f>
        <v>18.079999999999998</v>
      </c>
    </row>
    <row r="1703" spans="1:20" x14ac:dyDescent="0.3">
      <c r="A1703" s="112">
        <f ca="1">IFERROR(__xludf.DUMMYFUNCTION("""COMPUTED_VALUE"""),42769.7055555555)</f>
        <v>42769.705555555498</v>
      </c>
      <c r="B1703" s="111">
        <f ca="1">IFERROR(__xludf.DUMMYFUNCTION("""COMPUTED_VALUE"""),21.69)</f>
        <v>21.69</v>
      </c>
      <c r="C1703" s="112">
        <f ca="1">IFERROR(__xludf.DUMMYFUNCTION("""COMPUTED_VALUE"""),42776.7055555555)</f>
        <v>42776.705555555498</v>
      </c>
      <c r="D1703" s="111">
        <f ca="1">IFERROR(__xludf.DUMMYFUNCTION("""COMPUTED_VALUE"""),26.71)</f>
        <v>26.71</v>
      </c>
      <c r="E1703" s="112">
        <f ca="1">IFERROR(__xludf.DUMMYFUNCTION("""COMPUTED_VALUE"""),42779.7055555555)</f>
        <v>42779.705555555498</v>
      </c>
      <c r="F1703" s="111">
        <f ca="1">IFERROR(__xludf.DUMMYFUNCTION("""COMPUTED_VALUE"""),8.4)</f>
        <v>8.4</v>
      </c>
      <c r="G1703" s="112">
        <f ca="1">IFERROR(__xludf.DUMMYFUNCTION("""COMPUTED_VALUE"""),42773.7055555555)</f>
        <v>42773.705555555498</v>
      </c>
      <c r="H1703" s="111">
        <f ca="1">IFERROR(__xludf.DUMMYFUNCTION("""COMPUTED_VALUE"""),14.7)</f>
        <v>14.7</v>
      </c>
      <c r="K1703" s="112">
        <f ca="1">IFERROR(__xludf.DUMMYFUNCTION("""COMPUTED_VALUE"""),43227.7055555555)</f>
        <v>43227.705555555498</v>
      </c>
      <c r="L1703" s="111">
        <f ca="1">IFERROR(__xludf.DUMMYFUNCTION("""COMPUTED_VALUE"""),3.03)</f>
        <v>3.03</v>
      </c>
      <c r="M1703" s="112">
        <f ca="1">IFERROR(__xludf.DUMMYFUNCTION("""COMPUTED_VALUE"""),42685.7055555555)</f>
        <v>42685.705555555498</v>
      </c>
      <c r="N1703" s="111">
        <f ca="1">IFERROR(__xludf.DUMMYFUNCTION("""COMPUTED_VALUE"""),16.54)</f>
        <v>16.54</v>
      </c>
      <c r="O1703" s="112">
        <f ca="1">IFERROR(__xludf.DUMMYFUNCTION("""COMPUTED_VALUE"""),42762.7055555555)</f>
        <v>42762.705555555498</v>
      </c>
      <c r="P1703" s="111">
        <f ca="1">IFERROR(__xludf.DUMMYFUNCTION("""COMPUTED_VALUE"""),33.7)</f>
        <v>33.700000000000003</v>
      </c>
      <c r="Q1703" s="112">
        <f ca="1">IFERROR(__xludf.DUMMYFUNCTION("""COMPUTED_VALUE"""),42761.7055555555)</f>
        <v>42761.705555555498</v>
      </c>
      <c r="R1703" s="111">
        <f ca="1">IFERROR(__xludf.DUMMYFUNCTION("""COMPUTED_VALUE"""),32)</f>
        <v>32</v>
      </c>
      <c r="S1703" s="112">
        <f ca="1">IFERROR(__xludf.DUMMYFUNCTION("""COMPUTED_VALUE"""),42773.7055555555)</f>
        <v>42773.705555555498</v>
      </c>
      <c r="T1703" s="111">
        <f ca="1">IFERROR(__xludf.DUMMYFUNCTION("""COMPUTED_VALUE"""),18.03)</f>
        <v>18.03</v>
      </c>
    </row>
    <row r="1704" spans="1:20" x14ac:dyDescent="0.3">
      <c r="A1704" s="112">
        <f ca="1">IFERROR(__xludf.DUMMYFUNCTION("""COMPUTED_VALUE"""),42772.7055555555)</f>
        <v>42772.705555555498</v>
      </c>
      <c r="B1704" s="111">
        <f ca="1">IFERROR(__xludf.DUMMYFUNCTION("""COMPUTED_VALUE"""),21.32)</f>
        <v>21.32</v>
      </c>
      <c r="C1704" s="112">
        <f ca="1">IFERROR(__xludf.DUMMYFUNCTION("""COMPUTED_VALUE"""),42779.7055555555)</f>
        <v>42779.705555555498</v>
      </c>
      <c r="D1704" s="111">
        <f ca="1">IFERROR(__xludf.DUMMYFUNCTION("""COMPUTED_VALUE"""),26.58)</f>
        <v>26.58</v>
      </c>
      <c r="E1704" s="112">
        <f ca="1">IFERROR(__xludf.DUMMYFUNCTION("""COMPUTED_VALUE"""),42780.7055555555)</f>
        <v>42780.705555555498</v>
      </c>
      <c r="F1704" s="111">
        <f ca="1">IFERROR(__xludf.DUMMYFUNCTION("""COMPUTED_VALUE"""),8.36)</f>
        <v>8.36</v>
      </c>
      <c r="G1704" s="112">
        <f ca="1">IFERROR(__xludf.DUMMYFUNCTION("""COMPUTED_VALUE"""),42774.7055555555)</f>
        <v>42774.705555555498</v>
      </c>
      <c r="H1704" s="111">
        <f ca="1">IFERROR(__xludf.DUMMYFUNCTION("""COMPUTED_VALUE"""),15.1)</f>
        <v>15.1</v>
      </c>
      <c r="K1704" s="112">
        <f ca="1">IFERROR(__xludf.DUMMYFUNCTION("""COMPUTED_VALUE"""),43228.7055555555)</f>
        <v>43228.705555555498</v>
      </c>
      <c r="L1704" s="111">
        <f ca="1">IFERROR(__xludf.DUMMYFUNCTION("""COMPUTED_VALUE"""),3.47)</f>
        <v>3.47</v>
      </c>
      <c r="M1704" s="112">
        <f ca="1">IFERROR(__xludf.DUMMYFUNCTION("""COMPUTED_VALUE"""),42688.7055555555)</f>
        <v>42688.705555555498</v>
      </c>
      <c r="N1704" s="111">
        <f ca="1">IFERROR(__xludf.DUMMYFUNCTION("""COMPUTED_VALUE"""),16.66)</f>
        <v>16.66</v>
      </c>
      <c r="O1704" s="112">
        <f ca="1">IFERROR(__xludf.DUMMYFUNCTION("""COMPUTED_VALUE"""),42765.7055555555)</f>
        <v>42765.705555555498</v>
      </c>
      <c r="P1704" s="111">
        <f ca="1">IFERROR(__xludf.DUMMYFUNCTION("""COMPUTED_VALUE"""),32.25)</f>
        <v>32.25</v>
      </c>
      <c r="Q1704" s="112">
        <f ca="1">IFERROR(__xludf.DUMMYFUNCTION("""COMPUTED_VALUE"""),42762.7055555555)</f>
        <v>42762.705555555498</v>
      </c>
      <c r="R1704" s="111">
        <f ca="1">IFERROR(__xludf.DUMMYFUNCTION("""COMPUTED_VALUE"""),31.39)</f>
        <v>31.39</v>
      </c>
      <c r="S1704" s="112">
        <f ca="1">IFERROR(__xludf.DUMMYFUNCTION("""COMPUTED_VALUE"""),42774.7055555555)</f>
        <v>42774.705555555498</v>
      </c>
      <c r="T1704" s="111">
        <f ca="1">IFERROR(__xludf.DUMMYFUNCTION("""COMPUTED_VALUE"""),17.77)</f>
        <v>17.77</v>
      </c>
    </row>
    <row r="1705" spans="1:20" x14ac:dyDescent="0.3">
      <c r="A1705" s="112">
        <f ca="1">IFERROR(__xludf.DUMMYFUNCTION("""COMPUTED_VALUE"""),42773.7055555555)</f>
        <v>42773.705555555498</v>
      </c>
      <c r="B1705" s="111">
        <f ca="1">IFERROR(__xludf.DUMMYFUNCTION("""COMPUTED_VALUE"""),21.69)</f>
        <v>21.69</v>
      </c>
      <c r="C1705" s="112">
        <f ca="1">IFERROR(__xludf.DUMMYFUNCTION("""COMPUTED_VALUE"""),42780.7055555555)</f>
        <v>42780.705555555498</v>
      </c>
      <c r="D1705" s="111">
        <f ca="1">IFERROR(__xludf.DUMMYFUNCTION("""COMPUTED_VALUE"""),26.67)</f>
        <v>26.67</v>
      </c>
      <c r="E1705" s="112">
        <f ca="1">IFERROR(__xludf.DUMMYFUNCTION("""COMPUTED_VALUE"""),42781.7055555555)</f>
        <v>42781.705555555498</v>
      </c>
      <c r="F1705" s="111">
        <f ca="1">IFERROR(__xludf.DUMMYFUNCTION("""COMPUTED_VALUE"""),8.68)</f>
        <v>8.68</v>
      </c>
      <c r="G1705" s="112">
        <f ca="1">IFERROR(__xludf.DUMMYFUNCTION("""COMPUTED_VALUE"""),42775.7055555555)</f>
        <v>42775.705555555498</v>
      </c>
      <c r="H1705" s="111">
        <f ca="1">IFERROR(__xludf.DUMMYFUNCTION("""COMPUTED_VALUE"""),15.05)</f>
        <v>15.05</v>
      </c>
      <c r="K1705" s="112">
        <f ca="1">IFERROR(__xludf.DUMMYFUNCTION("""COMPUTED_VALUE"""),43229.7055555555)</f>
        <v>43229.705555555498</v>
      </c>
      <c r="L1705" s="111">
        <f ca="1">IFERROR(__xludf.DUMMYFUNCTION("""COMPUTED_VALUE"""),3.52)</f>
        <v>3.52</v>
      </c>
      <c r="M1705" s="112">
        <f ca="1">IFERROR(__xludf.DUMMYFUNCTION("""COMPUTED_VALUE"""),42690.7055555555)</f>
        <v>42690.705555555498</v>
      </c>
      <c r="N1705" s="111">
        <f ca="1">IFERROR(__xludf.DUMMYFUNCTION("""COMPUTED_VALUE"""),16.91)</f>
        <v>16.91</v>
      </c>
      <c r="O1705" s="112">
        <f ca="1">IFERROR(__xludf.DUMMYFUNCTION("""COMPUTED_VALUE"""),42766.7055555555)</f>
        <v>42766.705555555498</v>
      </c>
      <c r="P1705" s="111">
        <f ca="1">IFERROR(__xludf.DUMMYFUNCTION("""COMPUTED_VALUE"""),32.18)</f>
        <v>32.18</v>
      </c>
      <c r="Q1705" s="112">
        <f ca="1">IFERROR(__xludf.DUMMYFUNCTION("""COMPUTED_VALUE"""),42765.7055555555)</f>
        <v>42765.705555555498</v>
      </c>
      <c r="R1705" s="111">
        <f ca="1">IFERROR(__xludf.DUMMYFUNCTION("""COMPUTED_VALUE"""),30.52)</f>
        <v>30.52</v>
      </c>
      <c r="S1705" s="112">
        <f ca="1">IFERROR(__xludf.DUMMYFUNCTION("""COMPUTED_VALUE"""),42775.7055555555)</f>
        <v>42775.705555555498</v>
      </c>
      <c r="T1705" s="111">
        <f ca="1">IFERROR(__xludf.DUMMYFUNCTION("""COMPUTED_VALUE"""),17.88)</f>
        <v>17.88</v>
      </c>
    </row>
    <row r="1706" spans="1:20" x14ac:dyDescent="0.3">
      <c r="A1706" s="112">
        <f ca="1">IFERROR(__xludf.DUMMYFUNCTION("""COMPUTED_VALUE"""),42774.7055555555)</f>
        <v>42774.705555555498</v>
      </c>
      <c r="B1706" s="111">
        <f ca="1">IFERROR(__xludf.DUMMYFUNCTION("""COMPUTED_VALUE"""),21.96)</f>
        <v>21.96</v>
      </c>
      <c r="C1706" s="112">
        <f ca="1">IFERROR(__xludf.DUMMYFUNCTION("""COMPUTED_VALUE"""),42781.7055555555)</f>
        <v>42781.705555555498</v>
      </c>
      <c r="D1706" s="111">
        <f ca="1">IFERROR(__xludf.DUMMYFUNCTION("""COMPUTED_VALUE"""),27.79)</f>
        <v>27.79</v>
      </c>
      <c r="E1706" s="112">
        <f ca="1">IFERROR(__xludf.DUMMYFUNCTION("""COMPUTED_VALUE"""),42782.7055555555)</f>
        <v>42782.705555555498</v>
      </c>
      <c r="F1706" s="111">
        <f ca="1">IFERROR(__xludf.DUMMYFUNCTION("""COMPUTED_VALUE"""),8.66)</f>
        <v>8.66</v>
      </c>
      <c r="G1706" s="112">
        <f ca="1">IFERROR(__xludf.DUMMYFUNCTION("""COMPUTED_VALUE"""),42776.7055555555)</f>
        <v>42776.705555555498</v>
      </c>
      <c r="H1706" s="111">
        <f ca="1">IFERROR(__xludf.DUMMYFUNCTION("""COMPUTED_VALUE"""),15.58)</f>
        <v>15.58</v>
      </c>
      <c r="K1706" s="112">
        <f ca="1">IFERROR(__xludf.DUMMYFUNCTION("""COMPUTED_VALUE"""),43230.7055555555)</f>
        <v>43230.705555555498</v>
      </c>
      <c r="L1706" s="111">
        <f ca="1">IFERROR(__xludf.DUMMYFUNCTION("""COMPUTED_VALUE"""),3.42)</f>
        <v>3.42</v>
      </c>
      <c r="M1706" s="112">
        <f ca="1">IFERROR(__xludf.DUMMYFUNCTION("""COMPUTED_VALUE"""),42691.7055555555)</f>
        <v>42691.705555555498</v>
      </c>
      <c r="N1706" s="111">
        <f ca="1">IFERROR(__xludf.DUMMYFUNCTION("""COMPUTED_VALUE"""),16.38)</f>
        <v>16.38</v>
      </c>
      <c r="O1706" s="112">
        <f ca="1">IFERROR(__xludf.DUMMYFUNCTION("""COMPUTED_VALUE"""),42767.7055555555)</f>
        <v>42767.705555555498</v>
      </c>
      <c r="P1706" s="111">
        <f ca="1">IFERROR(__xludf.DUMMYFUNCTION("""COMPUTED_VALUE"""),32.89)</f>
        <v>32.89</v>
      </c>
      <c r="Q1706" s="112">
        <f ca="1">IFERROR(__xludf.DUMMYFUNCTION("""COMPUTED_VALUE"""),42766.7055555555)</f>
        <v>42766.705555555498</v>
      </c>
      <c r="R1706" s="111">
        <f ca="1">IFERROR(__xludf.DUMMYFUNCTION("""COMPUTED_VALUE"""),31.11)</f>
        <v>31.11</v>
      </c>
      <c r="S1706" s="112">
        <f ca="1">IFERROR(__xludf.DUMMYFUNCTION("""COMPUTED_VALUE"""),42776.7055555555)</f>
        <v>42776.705555555498</v>
      </c>
      <c r="T1706" s="111">
        <f ca="1">IFERROR(__xludf.DUMMYFUNCTION("""COMPUTED_VALUE"""),18.57)</f>
        <v>18.57</v>
      </c>
    </row>
    <row r="1707" spans="1:20" x14ac:dyDescent="0.3">
      <c r="A1707" s="112">
        <f ca="1">IFERROR(__xludf.DUMMYFUNCTION("""COMPUTED_VALUE"""),42775.7055555555)</f>
        <v>42775.705555555498</v>
      </c>
      <c r="B1707" s="111">
        <f ca="1">IFERROR(__xludf.DUMMYFUNCTION("""COMPUTED_VALUE"""),21.36)</f>
        <v>21.36</v>
      </c>
      <c r="C1707" s="112">
        <f ca="1">IFERROR(__xludf.DUMMYFUNCTION("""COMPUTED_VALUE"""),42782.7055555555)</f>
        <v>42782.705555555498</v>
      </c>
      <c r="D1707" s="111">
        <f ca="1">IFERROR(__xludf.DUMMYFUNCTION("""COMPUTED_VALUE"""),27.25)</f>
        <v>27.25</v>
      </c>
      <c r="E1707" s="112">
        <f ca="1">IFERROR(__xludf.DUMMYFUNCTION("""COMPUTED_VALUE"""),42783.7055555555)</f>
        <v>42783.705555555498</v>
      </c>
      <c r="F1707" s="111">
        <f ca="1">IFERROR(__xludf.DUMMYFUNCTION("""COMPUTED_VALUE"""),8.8)</f>
        <v>8.8000000000000007</v>
      </c>
      <c r="G1707" s="112">
        <f ca="1">IFERROR(__xludf.DUMMYFUNCTION("""COMPUTED_VALUE"""),42779.7055555555)</f>
        <v>42779.705555555498</v>
      </c>
      <c r="H1707" s="111">
        <f ca="1">IFERROR(__xludf.DUMMYFUNCTION("""COMPUTED_VALUE"""),15.62)</f>
        <v>15.62</v>
      </c>
      <c r="K1707" s="112">
        <f ca="1">IFERROR(__xludf.DUMMYFUNCTION("""COMPUTED_VALUE"""),43231.7055555555)</f>
        <v>43231.705555555498</v>
      </c>
      <c r="L1707" s="111">
        <f ca="1">IFERROR(__xludf.DUMMYFUNCTION("""COMPUTED_VALUE"""),3.4)</f>
        <v>3.4</v>
      </c>
      <c r="M1707" s="112">
        <f ca="1">IFERROR(__xludf.DUMMYFUNCTION("""COMPUTED_VALUE"""),42692.7055555555)</f>
        <v>42692.705555555498</v>
      </c>
      <c r="N1707" s="111">
        <f ca="1">IFERROR(__xludf.DUMMYFUNCTION("""COMPUTED_VALUE"""),16.67)</f>
        <v>16.670000000000002</v>
      </c>
      <c r="O1707" s="112">
        <f ca="1">IFERROR(__xludf.DUMMYFUNCTION("""COMPUTED_VALUE"""),42768.7055555555)</f>
        <v>42768.705555555498</v>
      </c>
      <c r="P1707" s="111">
        <f ca="1">IFERROR(__xludf.DUMMYFUNCTION("""COMPUTED_VALUE"""),32.66)</f>
        <v>32.659999999999997</v>
      </c>
      <c r="Q1707" s="112">
        <f ca="1">IFERROR(__xludf.DUMMYFUNCTION("""COMPUTED_VALUE"""),42767.7055555555)</f>
        <v>42767.705555555498</v>
      </c>
      <c r="R1707" s="111">
        <f ca="1">IFERROR(__xludf.DUMMYFUNCTION("""COMPUTED_VALUE"""),31.26)</f>
        <v>31.26</v>
      </c>
      <c r="S1707" s="112">
        <f ca="1">IFERROR(__xludf.DUMMYFUNCTION("""COMPUTED_VALUE"""),42779.7055555555)</f>
        <v>42779.705555555498</v>
      </c>
      <c r="T1707" s="111">
        <f ca="1">IFERROR(__xludf.DUMMYFUNCTION("""COMPUTED_VALUE"""),18.66)</f>
        <v>18.66</v>
      </c>
    </row>
    <row r="1708" spans="1:20" x14ac:dyDescent="0.3">
      <c r="A1708" s="112">
        <f ca="1">IFERROR(__xludf.DUMMYFUNCTION("""COMPUTED_VALUE"""),42776.7055555555)</f>
        <v>42776.705555555498</v>
      </c>
      <c r="B1708" s="111">
        <f ca="1">IFERROR(__xludf.DUMMYFUNCTION("""COMPUTED_VALUE"""),22.38)</f>
        <v>22.38</v>
      </c>
      <c r="C1708" s="112">
        <f ca="1">IFERROR(__xludf.DUMMYFUNCTION("""COMPUTED_VALUE"""),42783.7055555555)</f>
        <v>42783.705555555498</v>
      </c>
      <c r="D1708" s="111">
        <f ca="1">IFERROR(__xludf.DUMMYFUNCTION("""COMPUTED_VALUE"""),27.23)</f>
        <v>27.23</v>
      </c>
      <c r="E1708" s="112">
        <f ca="1">IFERROR(__xludf.DUMMYFUNCTION("""COMPUTED_VALUE"""),42786.7055555555)</f>
        <v>42786.705555555498</v>
      </c>
      <c r="F1708" s="111">
        <f ca="1">IFERROR(__xludf.DUMMYFUNCTION("""COMPUTED_VALUE"""),8.92)</f>
        <v>8.92</v>
      </c>
      <c r="G1708" s="112">
        <f ca="1">IFERROR(__xludf.DUMMYFUNCTION("""COMPUTED_VALUE"""),42780.7055555555)</f>
        <v>42780.705555555498</v>
      </c>
      <c r="H1708" s="111">
        <f ca="1">IFERROR(__xludf.DUMMYFUNCTION("""COMPUTED_VALUE"""),15.82)</f>
        <v>15.82</v>
      </c>
      <c r="K1708" s="112">
        <f ca="1">IFERROR(__xludf.DUMMYFUNCTION("""COMPUTED_VALUE"""),43234.7055555555)</f>
        <v>43234.705555555498</v>
      </c>
      <c r="L1708" s="111">
        <f ca="1">IFERROR(__xludf.DUMMYFUNCTION("""COMPUTED_VALUE"""),3.38)</f>
        <v>3.38</v>
      </c>
      <c r="M1708" s="112">
        <f ca="1">IFERROR(__xludf.DUMMYFUNCTION("""COMPUTED_VALUE"""),42695.7055555555)</f>
        <v>42695.705555555498</v>
      </c>
      <c r="N1708" s="111">
        <f ca="1">IFERROR(__xludf.DUMMYFUNCTION("""COMPUTED_VALUE"""),16.76)</f>
        <v>16.760000000000002</v>
      </c>
      <c r="O1708" s="112">
        <f ca="1">IFERROR(__xludf.DUMMYFUNCTION("""COMPUTED_VALUE"""),42769.7055555555)</f>
        <v>42769.705555555498</v>
      </c>
      <c r="P1708" s="111">
        <f ca="1">IFERROR(__xludf.DUMMYFUNCTION("""COMPUTED_VALUE"""),30.61)</f>
        <v>30.61</v>
      </c>
      <c r="Q1708" s="112">
        <f ca="1">IFERROR(__xludf.DUMMYFUNCTION("""COMPUTED_VALUE"""),42768.7055555555)</f>
        <v>42768.705555555498</v>
      </c>
      <c r="R1708" s="111">
        <f ca="1">IFERROR(__xludf.DUMMYFUNCTION("""COMPUTED_VALUE"""),30.97)</f>
        <v>30.97</v>
      </c>
      <c r="S1708" s="112">
        <f ca="1">IFERROR(__xludf.DUMMYFUNCTION("""COMPUTED_VALUE"""),42780.7055555555)</f>
        <v>42780.705555555498</v>
      </c>
      <c r="T1708" s="111">
        <f ca="1">IFERROR(__xludf.DUMMYFUNCTION("""COMPUTED_VALUE"""),19.08)</f>
        <v>19.079999999999998</v>
      </c>
    </row>
    <row r="1709" spans="1:20" x14ac:dyDescent="0.3">
      <c r="A1709" s="112">
        <f ca="1">IFERROR(__xludf.DUMMYFUNCTION("""COMPUTED_VALUE"""),42779.7055555555)</f>
        <v>42779.705555555498</v>
      </c>
      <c r="B1709" s="111">
        <f ca="1">IFERROR(__xludf.DUMMYFUNCTION("""COMPUTED_VALUE"""),22.61)</f>
        <v>22.61</v>
      </c>
      <c r="C1709" s="112">
        <f ca="1">IFERROR(__xludf.DUMMYFUNCTION("""COMPUTED_VALUE"""),42786.7055555555)</f>
        <v>42786.705555555498</v>
      </c>
      <c r="D1709" s="111">
        <f ca="1">IFERROR(__xludf.DUMMYFUNCTION("""COMPUTED_VALUE"""),27.36)</f>
        <v>27.36</v>
      </c>
      <c r="E1709" s="112">
        <f ca="1">IFERROR(__xludf.DUMMYFUNCTION("""COMPUTED_VALUE"""),42787.7055555555)</f>
        <v>42787.705555555498</v>
      </c>
      <c r="F1709" s="111">
        <f ca="1">IFERROR(__xludf.DUMMYFUNCTION("""COMPUTED_VALUE"""),8.92)</f>
        <v>8.92</v>
      </c>
      <c r="G1709" s="112">
        <f ca="1">IFERROR(__xludf.DUMMYFUNCTION("""COMPUTED_VALUE"""),42781.7055555555)</f>
        <v>42781.705555555498</v>
      </c>
      <c r="H1709" s="111">
        <f ca="1">IFERROR(__xludf.DUMMYFUNCTION("""COMPUTED_VALUE"""),15.84)</f>
        <v>15.84</v>
      </c>
      <c r="K1709" s="112">
        <f ca="1">IFERROR(__xludf.DUMMYFUNCTION("""COMPUTED_VALUE"""),43235.7055555555)</f>
        <v>43235.705555555498</v>
      </c>
      <c r="L1709" s="111">
        <f ca="1">IFERROR(__xludf.DUMMYFUNCTION("""COMPUTED_VALUE"""),3.33)</f>
        <v>3.33</v>
      </c>
      <c r="M1709" s="112">
        <f ca="1">IFERROR(__xludf.DUMMYFUNCTION("""COMPUTED_VALUE"""),42696.7055555555)</f>
        <v>42696.705555555498</v>
      </c>
      <c r="N1709" s="111">
        <f ca="1">IFERROR(__xludf.DUMMYFUNCTION("""COMPUTED_VALUE"""),16.88)</f>
        <v>16.88</v>
      </c>
      <c r="O1709" s="112">
        <f ca="1">IFERROR(__xludf.DUMMYFUNCTION("""COMPUTED_VALUE"""),42772.7055555555)</f>
        <v>42772.705555555498</v>
      </c>
      <c r="P1709" s="111">
        <f ca="1">IFERROR(__xludf.DUMMYFUNCTION("""COMPUTED_VALUE"""),29.92)</f>
        <v>29.92</v>
      </c>
      <c r="Q1709" s="112">
        <f ca="1">IFERROR(__xludf.DUMMYFUNCTION("""COMPUTED_VALUE"""),42769.7055555555)</f>
        <v>42769.705555555498</v>
      </c>
      <c r="R1709" s="111">
        <f ca="1">IFERROR(__xludf.DUMMYFUNCTION("""COMPUTED_VALUE"""),30.89)</f>
        <v>30.89</v>
      </c>
      <c r="S1709" s="112">
        <f ca="1">IFERROR(__xludf.DUMMYFUNCTION("""COMPUTED_VALUE"""),42781.7055555555)</f>
        <v>42781.705555555498</v>
      </c>
      <c r="T1709" s="111">
        <f ca="1">IFERROR(__xludf.DUMMYFUNCTION("""COMPUTED_VALUE"""),19.45)</f>
        <v>19.45</v>
      </c>
    </row>
    <row r="1710" spans="1:20" x14ac:dyDescent="0.3">
      <c r="A1710" s="112">
        <f ca="1">IFERROR(__xludf.DUMMYFUNCTION("""COMPUTED_VALUE"""),42780.7055555555)</f>
        <v>42780.705555555498</v>
      </c>
      <c r="B1710" s="111">
        <f ca="1">IFERROR(__xludf.DUMMYFUNCTION("""COMPUTED_VALUE"""),21.92)</f>
        <v>21.92</v>
      </c>
      <c r="C1710" s="112">
        <f ca="1">IFERROR(__xludf.DUMMYFUNCTION("""COMPUTED_VALUE"""),42787.7055555555)</f>
        <v>42787.705555555498</v>
      </c>
      <c r="D1710" s="111">
        <f ca="1">IFERROR(__xludf.DUMMYFUNCTION("""COMPUTED_VALUE"""),27.23)</f>
        <v>27.23</v>
      </c>
      <c r="E1710" s="112">
        <f ca="1">IFERROR(__xludf.DUMMYFUNCTION("""COMPUTED_VALUE"""),42788.7055555555)</f>
        <v>42788.705555555498</v>
      </c>
      <c r="F1710" s="111">
        <f ca="1">IFERROR(__xludf.DUMMYFUNCTION("""COMPUTED_VALUE"""),8.96)</f>
        <v>8.9600000000000009</v>
      </c>
      <c r="G1710" s="112">
        <f ca="1">IFERROR(__xludf.DUMMYFUNCTION("""COMPUTED_VALUE"""),42782.7055555555)</f>
        <v>42782.705555555498</v>
      </c>
      <c r="H1710" s="111">
        <f ca="1">IFERROR(__xludf.DUMMYFUNCTION("""COMPUTED_VALUE"""),15.86)</f>
        <v>15.86</v>
      </c>
      <c r="K1710" s="112">
        <f ca="1">IFERROR(__xludf.DUMMYFUNCTION("""COMPUTED_VALUE"""),43236.7055555555)</f>
        <v>43236.705555555498</v>
      </c>
      <c r="L1710" s="111">
        <f ca="1">IFERROR(__xludf.DUMMYFUNCTION("""COMPUTED_VALUE"""),3.51)</f>
        <v>3.51</v>
      </c>
      <c r="M1710" s="112">
        <f ca="1">IFERROR(__xludf.DUMMYFUNCTION("""COMPUTED_VALUE"""),42697.7055555555)</f>
        <v>42697.705555555498</v>
      </c>
      <c r="N1710" s="111">
        <f ca="1">IFERROR(__xludf.DUMMYFUNCTION("""COMPUTED_VALUE"""),16.95)</f>
        <v>16.95</v>
      </c>
      <c r="O1710" s="112">
        <f ca="1">IFERROR(__xludf.DUMMYFUNCTION("""COMPUTED_VALUE"""),42773.7055555555)</f>
        <v>42773.705555555498</v>
      </c>
      <c r="P1710" s="111">
        <f ca="1">IFERROR(__xludf.DUMMYFUNCTION("""COMPUTED_VALUE"""),30.24)</f>
        <v>30.24</v>
      </c>
      <c r="Q1710" s="112">
        <f ca="1">IFERROR(__xludf.DUMMYFUNCTION("""COMPUTED_VALUE"""),42772.7055555555)</f>
        <v>42772.705555555498</v>
      </c>
      <c r="R1710" s="111">
        <f ca="1">IFERROR(__xludf.DUMMYFUNCTION("""COMPUTED_VALUE"""),30.12)</f>
        <v>30.12</v>
      </c>
      <c r="S1710" s="112">
        <f ca="1">IFERROR(__xludf.DUMMYFUNCTION("""COMPUTED_VALUE"""),42782.7055555555)</f>
        <v>42782.705555555498</v>
      </c>
      <c r="T1710" s="111">
        <f ca="1">IFERROR(__xludf.DUMMYFUNCTION("""COMPUTED_VALUE"""),19.45)</f>
        <v>19.45</v>
      </c>
    </row>
    <row r="1711" spans="1:20" x14ac:dyDescent="0.3">
      <c r="A1711" s="112">
        <f ca="1">IFERROR(__xludf.DUMMYFUNCTION("""COMPUTED_VALUE"""),42781.7055555555)</f>
        <v>42781.705555555498</v>
      </c>
      <c r="B1711" s="111">
        <f ca="1">IFERROR(__xludf.DUMMYFUNCTION("""COMPUTED_VALUE"""),22.07)</f>
        <v>22.07</v>
      </c>
      <c r="C1711" s="112">
        <f ca="1">IFERROR(__xludf.DUMMYFUNCTION("""COMPUTED_VALUE"""),42788.7055555555)</f>
        <v>42788.705555555498</v>
      </c>
      <c r="D1711" s="111">
        <f ca="1">IFERROR(__xludf.DUMMYFUNCTION("""COMPUTED_VALUE"""),27.31)</f>
        <v>27.31</v>
      </c>
      <c r="E1711" s="112">
        <f ca="1">IFERROR(__xludf.DUMMYFUNCTION("""COMPUTED_VALUE"""),42789.7055555555)</f>
        <v>42789.705555555498</v>
      </c>
      <c r="F1711" s="111">
        <f ca="1">IFERROR(__xludf.DUMMYFUNCTION("""COMPUTED_VALUE"""),8.85)</f>
        <v>8.85</v>
      </c>
      <c r="G1711" s="112">
        <f ca="1">IFERROR(__xludf.DUMMYFUNCTION("""COMPUTED_VALUE"""),42783.7055555555)</f>
        <v>42783.705555555498</v>
      </c>
      <c r="H1711" s="111">
        <f ca="1">IFERROR(__xludf.DUMMYFUNCTION("""COMPUTED_VALUE"""),15.61)</f>
        <v>15.61</v>
      </c>
      <c r="K1711" s="112">
        <f ca="1">IFERROR(__xludf.DUMMYFUNCTION("""COMPUTED_VALUE"""),43237.7055555555)</f>
        <v>43237.705555555498</v>
      </c>
      <c r="L1711" s="111">
        <f ca="1">IFERROR(__xludf.DUMMYFUNCTION("""COMPUTED_VALUE"""),3.42)</f>
        <v>3.42</v>
      </c>
      <c r="M1711" s="112">
        <f ca="1">IFERROR(__xludf.DUMMYFUNCTION("""COMPUTED_VALUE"""),42698.7055555555)</f>
        <v>42698.705555555498</v>
      </c>
      <c r="N1711" s="111">
        <f ca="1">IFERROR(__xludf.DUMMYFUNCTION("""COMPUTED_VALUE"""),16.79)</f>
        <v>16.79</v>
      </c>
      <c r="O1711" s="112">
        <f ca="1">IFERROR(__xludf.DUMMYFUNCTION("""COMPUTED_VALUE"""),42774.7055555555)</f>
        <v>42774.705555555498</v>
      </c>
      <c r="P1711" s="111">
        <f ca="1">IFERROR(__xludf.DUMMYFUNCTION("""COMPUTED_VALUE"""),30.59)</f>
        <v>30.59</v>
      </c>
      <c r="Q1711" s="112">
        <f ca="1">IFERROR(__xludf.DUMMYFUNCTION("""COMPUTED_VALUE"""),42773.7055555555)</f>
        <v>42773.705555555498</v>
      </c>
      <c r="R1711" s="111">
        <f ca="1">IFERROR(__xludf.DUMMYFUNCTION("""COMPUTED_VALUE"""),30.4)</f>
        <v>30.4</v>
      </c>
      <c r="S1711" s="112">
        <f ca="1">IFERROR(__xludf.DUMMYFUNCTION("""COMPUTED_VALUE"""),42783.7055555555)</f>
        <v>42783.705555555498</v>
      </c>
      <c r="T1711" s="111">
        <f ca="1">IFERROR(__xludf.DUMMYFUNCTION("""COMPUTED_VALUE"""),19.38)</f>
        <v>19.38</v>
      </c>
    </row>
    <row r="1712" spans="1:20" x14ac:dyDescent="0.3">
      <c r="A1712" s="112">
        <f ca="1">IFERROR(__xludf.DUMMYFUNCTION("""COMPUTED_VALUE"""),42782.7055555555)</f>
        <v>42782.705555555498</v>
      </c>
      <c r="B1712" s="111">
        <f ca="1">IFERROR(__xludf.DUMMYFUNCTION("""COMPUTED_VALUE"""),21.9)</f>
        <v>21.9</v>
      </c>
      <c r="C1712" s="112">
        <f ca="1">IFERROR(__xludf.DUMMYFUNCTION("""COMPUTED_VALUE"""),42789.7055555555)</f>
        <v>42789.705555555498</v>
      </c>
      <c r="D1712" s="111">
        <f ca="1">IFERROR(__xludf.DUMMYFUNCTION("""COMPUTED_VALUE"""),26.9)</f>
        <v>26.9</v>
      </c>
      <c r="E1712" s="112">
        <f ca="1">IFERROR(__xludf.DUMMYFUNCTION("""COMPUTED_VALUE"""),42790.7055555555)</f>
        <v>42790.705555555498</v>
      </c>
      <c r="F1712" s="111">
        <f ca="1">IFERROR(__xludf.DUMMYFUNCTION("""COMPUTED_VALUE"""),8.69)</f>
        <v>8.69</v>
      </c>
      <c r="G1712" s="112">
        <f ca="1">IFERROR(__xludf.DUMMYFUNCTION("""COMPUTED_VALUE"""),42786.7055555555)</f>
        <v>42786.705555555498</v>
      </c>
      <c r="H1712" s="111">
        <f ca="1">IFERROR(__xludf.DUMMYFUNCTION("""COMPUTED_VALUE"""),15.92)</f>
        <v>15.92</v>
      </c>
      <c r="K1712" s="112">
        <f ca="1">IFERROR(__xludf.DUMMYFUNCTION("""COMPUTED_VALUE"""),43238.7055555555)</f>
        <v>43238.705555555498</v>
      </c>
      <c r="L1712" s="111">
        <f ca="1">IFERROR(__xludf.DUMMYFUNCTION("""COMPUTED_VALUE"""),3.29)</f>
        <v>3.29</v>
      </c>
      <c r="M1712" s="112">
        <f ca="1">IFERROR(__xludf.DUMMYFUNCTION("""COMPUTED_VALUE"""),42699.7055555555)</f>
        <v>42699.705555555498</v>
      </c>
      <c r="N1712" s="111">
        <f ca="1">IFERROR(__xludf.DUMMYFUNCTION("""COMPUTED_VALUE"""),16.87)</f>
        <v>16.87</v>
      </c>
      <c r="O1712" s="112">
        <f ca="1">IFERROR(__xludf.DUMMYFUNCTION("""COMPUTED_VALUE"""),42775.7055555555)</f>
        <v>42775.705555555498</v>
      </c>
      <c r="P1712" s="111">
        <f ca="1">IFERROR(__xludf.DUMMYFUNCTION("""COMPUTED_VALUE"""),31.08)</f>
        <v>31.08</v>
      </c>
      <c r="Q1712" s="112">
        <f ca="1">IFERROR(__xludf.DUMMYFUNCTION("""COMPUTED_VALUE"""),42774.7055555555)</f>
        <v>42774.705555555498</v>
      </c>
      <c r="R1712" s="111">
        <f ca="1">IFERROR(__xludf.DUMMYFUNCTION("""COMPUTED_VALUE"""),30.72)</f>
        <v>30.72</v>
      </c>
      <c r="S1712" s="112">
        <f ca="1">IFERROR(__xludf.DUMMYFUNCTION("""COMPUTED_VALUE"""),42786.7055555555)</f>
        <v>42786.705555555498</v>
      </c>
      <c r="T1712" s="111">
        <f ca="1">IFERROR(__xludf.DUMMYFUNCTION("""COMPUTED_VALUE"""),19.53)</f>
        <v>19.53</v>
      </c>
    </row>
    <row r="1713" spans="1:20" x14ac:dyDescent="0.3">
      <c r="A1713" s="112">
        <f ca="1">IFERROR(__xludf.DUMMYFUNCTION("""COMPUTED_VALUE"""),42783.7055555555)</f>
        <v>42783.705555555498</v>
      </c>
      <c r="B1713" s="111">
        <f ca="1">IFERROR(__xludf.DUMMYFUNCTION("""COMPUTED_VALUE"""),21.53)</f>
        <v>21.53</v>
      </c>
      <c r="C1713" s="112">
        <f ca="1">IFERROR(__xludf.DUMMYFUNCTION("""COMPUTED_VALUE"""),42790.7055555555)</f>
        <v>42790.705555555498</v>
      </c>
      <c r="D1713" s="111">
        <f ca="1">IFERROR(__xludf.DUMMYFUNCTION("""COMPUTED_VALUE"""),26.69)</f>
        <v>26.69</v>
      </c>
      <c r="E1713" s="112">
        <f ca="1">IFERROR(__xludf.DUMMYFUNCTION("""COMPUTED_VALUE"""),42795.7055555555)</f>
        <v>42795.705555555498</v>
      </c>
      <c r="F1713" s="111">
        <f ca="1">IFERROR(__xludf.DUMMYFUNCTION("""COMPUTED_VALUE"""),8.65)</f>
        <v>8.65</v>
      </c>
      <c r="G1713" s="112">
        <f ca="1">IFERROR(__xludf.DUMMYFUNCTION("""COMPUTED_VALUE"""),42787.7055555555)</f>
        <v>42787.705555555498</v>
      </c>
      <c r="H1713" s="111">
        <f ca="1">IFERROR(__xludf.DUMMYFUNCTION("""COMPUTED_VALUE"""),16.09)</f>
        <v>16.09</v>
      </c>
      <c r="K1713" s="112">
        <f ca="1">IFERROR(__xludf.DUMMYFUNCTION("""COMPUTED_VALUE"""),43241.7055555555)</f>
        <v>43241.705555555498</v>
      </c>
      <c r="L1713" s="111">
        <f ca="1">IFERROR(__xludf.DUMMYFUNCTION("""COMPUTED_VALUE"""),3.42)</f>
        <v>3.42</v>
      </c>
      <c r="M1713" s="112">
        <f ca="1">IFERROR(__xludf.DUMMYFUNCTION("""COMPUTED_VALUE"""),42702.7055555555)</f>
        <v>42702.705555555498</v>
      </c>
      <c r="N1713" s="111">
        <f ca="1">IFERROR(__xludf.DUMMYFUNCTION("""COMPUTED_VALUE"""),17.08)</f>
        <v>17.079999999999998</v>
      </c>
      <c r="O1713" s="112">
        <f ca="1">IFERROR(__xludf.DUMMYFUNCTION("""COMPUTED_VALUE"""),42776.7055555555)</f>
        <v>42776.705555555498</v>
      </c>
      <c r="P1713" s="111">
        <f ca="1">IFERROR(__xludf.DUMMYFUNCTION("""COMPUTED_VALUE"""),32.8)</f>
        <v>32.799999999999997</v>
      </c>
      <c r="Q1713" s="112">
        <f ca="1">IFERROR(__xludf.DUMMYFUNCTION("""COMPUTED_VALUE"""),42775.7055555555)</f>
        <v>42775.705555555498</v>
      </c>
      <c r="R1713" s="111">
        <f ca="1">IFERROR(__xludf.DUMMYFUNCTION("""COMPUTED_VALUE"""),30.62)</f>
        <v>30.62</v>
      </c>
      <c r="S1713" s="112">
        <f ca="1">IFERROR(__xludf.DUMMYFUNCTION("""COMPUTED_VALUE"""),42787.7055555555)</f>
        <v>42787.705555555498</v>
      </c>
      <c r="T1713" s="111">
        <f ca="1">IFERROR(__xludf.DUMMYFUNCTION("""COMPUTED_VALUE"""),19.8)</f>
        <v>19.8</v>
      </c>
    </row>
    <row r="1714" spans="1:20" x14ac:dyDescent="0.3">
      <c r="A1714" s="112">
        <f ca="1">IFERROR(__xludf.DUMMYFUNCTION("""COMPUTED_VALUE"""),42786.7055555555)</f>
        <v>42786.705555555498</v>
      </c>
      <c r="B1714" s="111">
        <f ca="1">IFERROR(__xludf.DUMMYFUNCTION("""COMPUTED_VALUE"""),21.56)</f>
        <v>21.56</v>
      </c>
      <c r="C1714" s="112">
        <f ca="1">IFERROR(__xludf.DUMMYFUNCTION("""COMPUTED_VALUE"""),42795.7055555555)</f>
        <v>42795.705555555498</v>
      </c>
      <c r="D1714" s="111">
        <f ca="1">IFERROR(__xludf.DUMMYFUNCTION("""COMPUTED_VALUE"""),26.63)</f>
        <v>26.63</v>
      </c>
      <c r="E1714" s="112">
        <f ca="1">IFERROR(__xludf.DUMMYFUNCTION("""COMPUTED_VALUE"""),42796.7055555555)</f>
        <v>42796.705555555498</v>
      </c>
      <c r="F1714" s="111">
        <f ca="1">IFERROR(__xludf.DUMMYFUNCTION("""COMPUTED_VALUE"""),8.55)</f>
        <v>8.5500000000000007</v>
      </c>
      <c r="G1714" s="112">
        <f ca="1">IFERROR(__xludf.DUMMYFUNCTION("""COMPUTED_VALUE"""),42788.7055555555)</f>
        <v>42788.705555555498</v>
      </c>
      <c r="H1714" s="111">
        <f ca="1">IFERROR(__xludf.DUMMYFUNCTION("""COMPUTED_VALUE"""),15.7)</f>
        <v>15.7</v>
      </c>
      <c r="K1714" s="112">
        <f ca="1">IFERROR(__xludf.DUMMYFUNCTION("""COMPUTED_VALUE"""),43242.7055555555)</f>
        <v>43242.705555555498</v>
      </c>
      <c r="L1714" s="111">
        <f ca="1">IFERROR(__xludf.DUMMYFUNCTION("""COMPUTED_VALUE"""),3.56)</f>
        <v>3.56</v>
      </c>
      <c r="M1714" s="112">
        <f ca="1">IFERROR(__xludf.DUMMYFUNCTION("""COMPUTED_VALUE"""),42703.7055555555)</f>
        <v>42703.705555555498</v>
      </c>
      <c r="N1714" s="111">
        <f ca="1">IFERROR(__xludf.DUMMYFUNCTION("""COMPUTED_VALUE"""),16.54)</f>
        <v>16.54</v>
      </c>
      <c r="O1714" s="112">
        <f ca="1">IFERROR(__xludf.DUMMYFUNCTION("""COMPUTED_VALUE"""),42779.7055555555)</f>
        <v>42779.705555555498</v>
      </c>
      <c r="P1714" s="111">
        <f ca="1">IFERROR(__xludf.DUMMYFUNCTION("""COMPUTED_VALUE"""),35.81)</f>
        <v>35.81</v>
      </c>
      <c r="Q1714" s="112">
        <f ca="1">IFERROR(__xludf.DUMMYFUNCTION("""COMPUTED_VALUE"""),42776.7055555555)</f>
        <v>42776.705555555498</v>
      </c>
      <c r="R1714" s="111">
        <f ca="1">IFERROR(__xludf.DUMMYFUNCTION("""COMPUTED_VALUE"""),31.18)</f>
        <v>31.18</v>
      </c>
      <c r="S1714" s="112">
        <f ca="1">IFERROR(__xludf.DUMMYFUNCTION("""COMPUTED_VALUE"""),42788.7055555555)</f>
        <v>42788.705555555498</v>
      </c>
      <c r="T1714" s="111">
        <f ca="1">IFERROR(__xludf.DUMMYFUNCTION("""COMPUTED_VALUE"""),20.05)</f>
        <v>20.05</v>
      </c>
    </row>
    <row r="1715" spans="1:20" x14ac:dyDescent="0.3">
      <c r="A1715" s="112">
        <f ca="1">IFERROR(__xludf.DUMMYFUNCTION("""COMPUTED_VALUE"""),42787.7055555555)</f>
        <v>42787.705555555498</v>
      </c>
      <c r="B1715" s="111">
        <f ca="1">IFERROR(__xludf.DUMMYFUNCTION("""COMPUTED_VALUE"""),20.83)</f>
        <v>20.83</v>
      </c>
      <c r="C1715" s="112">
        <f ca="1">IFERROR(__xludf.DUMMYFUNCTION("""COMPUTED_VALUE"""),42796.7055555555)</f>
        <v>42796.705555555498</v>
      </c>
      <c r="D1715" s="111">
        <f ca="1">IFERROR(__xludf.DUMMYFUNCTION("""COMPUTED_VALUE"""),26.36)</f>
        <v>26.36</v>
      </c>
      <c r="E1715" s="112">
        <f ca="1">IFERROR(__xludf.DUMMYFUNCTION("""COMPUTED_VALUE"""),42797.7055555555)</f>
        <v>42797.705555555498</v>
      </c>
      <c r="F1715" s="111">
        <f ca="1">IFERROR(__xludf.DUMMYFUNCTION("""COMPUTED_VALUE"""),8.65)</f>
        <v>8.65</v>
      </c>
      <c r="G1715" s="112">
        <f ca="1">IFERROR(__xludf.DUMMYFUNCTION("""COMPUTED_VALUE"""),42789.7055555555)</f>
        <v>42789.705555555498</v>
      </c>
      <c r="H1715" s="111">
        <f ca="1">IFERROR(__xludf.DUMMYFUNCTION("""COMPUTED_VALUE"""),15.56)</f>
        <v>15.56</v>
      </c>
      <c r="K1715" s="112">
        <f ca="1">IFERROR(__xludf.DUMMYFUNCTION("""COMPUTED_VALUE"""),43243.7055555555)</f>
        <v>43243.705555555498</v>
      </c>
      <c r="L1715" s="111">
        <f ca="1">IFERROR(__xludf.DUMMYFUNCTION("""COMPUTED_VALUE"""),3.5)</f>
        <v>3.5</v>
      </c>
      <c r="M1715" s="112">
        <f ca="1">IFERROR(__xludf.DUMMYFUNCTION("""COMPUTED_VALUE"""),42704.7055555555)</f>
        <v>42704.705555555498</v>
      </c>
      <c r="N1715" s="111">
        <f ca="1">IFERROR(__xludf.DUMMYFUNCTION("""COMPUTED_VALUE"""),16.93)</f>
        <v>16.93</v>
      </c>
      <c r="O1715" s="112">
        <f ca="1">IFERROR(__xludf.DUMMYFUNCTION("""COMPUTED_VALUE"""),42780.7055555555)</f>
        <v>42780.705555555498</v>
      </c>
      <c r="P1715" s="111">
        <f ca="1">IFERROR(__xludf.DUMMYFUNCTION("""COMPUTED_VALUE"""),34.4)</f>
        <v>34.4</v>
      </c>
      <c r="Q1715" s="112">
        <f ca="1">IFERROR(__xludf.DUMMYFUNCTION("""COMPUTED_VALUE"""),42779.7055555555)</f>
        <v>42779.705555555498</v>
      </c>
      <c r="R1715" s="111">
        <f ca="1">IFERROR(__xludf.DUMMYFUNCTION("""COMPUTED_VALUE"""),31.38)</f>
        <v>31.38</v>
      </c>
      <c r="S1715" s="112">
        <f ca="1">IFERROR(__xludf.DUMMYFUNCTION("""COMPUTED_VALUE"""),42789.7055555555)</f>
        <v>42789.705555555498</v>
      </c>
      <c r="T1715" s="111">
        <f ca="1">IFERROR(__xludf.DUMMYFUNCTION("""COMPUTED_VALUE"""),19.98)</f>
        <v>19.98</v>
      </c>
    </row>
    <row r="1716" spans="1:20" x14ac:dyDescent="0.3">
      <c r="A1716" s="112">
        <f ca="1">IFERROR(__xludf.DUMMYFUNCTION("""COMPUTED_VALUE"""),42788.7055555555)</f>
        <v>42788.705555555498</v>
      </c>
      <c r="B1716" s="111">
        <f ca="1">IFERROR(__xludf.DUMMYFUNCTION("""COMPUTED_VALUE"""),21)</f>
        <v>21</v>
      </c>
      <c r="C1716" s="112">
        <f ca="1">IFERROR(__xludf.DUMMYFUNCTION("""COMPUTED_VALUE"""),42797.7055555555)</f>
        <v>42797.705555555498</v>
      </c>
      <c r="D1716" s="111">
        <f ca="1">IFERROR(__xludf.DUMMYFUNCTION("""COMPUTED_VALUE"""),26.84)</f>
        <v>26.84</v>
      </c>
      <c r="E1716" s="112">
        <f ca="1">IFERROR(__xludf.DUMMYFUNCTION("""COMPUTED_VALUE"""),42800.7055555555)</f>
        <v>42800.705555555498</v>
      </c>
      <c r="F1716" s="111">
        <f ca="1">IFERROR(__xludf.DUMMYFUNCTION("""COMPUTED_VALUE"""),8.72)</f>
        <v>8.7200000000000006</v>
      </c>
      <c r="G1716" s="112">
        <f ca="1">IFERROR(__xludf.DUMMYFUNCTION("""COMPUTED_VALUE"""),42790.7055555555)</f>
        <v>42790.705555555498</v>
      </c>
      <c r="H1716" s="111">
        <f ca="1">IFERROR(__xludf.DUMMYFUNCTION("""COMPUTED_VALUE"""),15.18)</f>
        <v>15.18</v>
      </c>
      <c r="K1716" s="112">
        <f ca="1">IFERROR(__xludf.DUMMYFUNCTION("""COMPUTED_VALUE"""),43244.7055555555)</f>
        <v>43244.705555555498</v>
      </c>
      <c r="L1716" s="111">
        <f ca="1">IFERROR(__xludf.DUMMYFUNCTION("""COMPUTED_VALUE"""),3.53)</f>
        <v>3.53</v>
      </c>
      <c r="M1716" s="112">
        <f ca="1">IFERROR(__xludf.DUMMYFUNCTION("""COMPUTED_VALUE"""),42705.7055555555)</f>
        <v>42705.705555555498</v>
      </c>
      <c r="N1716" s="111">
        <f ca="1">IFERROR(__xludf.DUMMYFUNCTION("""COMPUTED_VALUE"""),15.99)</f>
        <v>15.99</v>
      </c>
      <c r="O1716" s="112">
        <f ca="1">IFERROR(__xludf.DUMMYFUNCTION("""COMPUTED_VALUE"""),42781.7055555555)</f>
        <v>42781.705555555498</v>
      </c>
      <c r="P1716" s="111">
        <f ca="1">IFERROR(__xludf.DUMMYFUNCTION("""COMPUTED_VALUE"""),33.82)</f>
        <v>33.82</v>
      </c>
      <c r="Q1716" s="112">
        <f ca="1">IFERROR(__xludf.DUMMYFUNCTION("""COMPUTED_VALUE"""),42780.7055555555)</f>
        <v>42780.705555555498</v>
      </c>
      <c r="R1716" s="111">
        <f ca="1">IFERROR(__xludf.DUMMYFUNCTION("""COMPUTED_VALUE"""),31.48)</f>
        <v>31.48</v>
      </c>
      <c r="S1716" s="112">
        <f ca="1">IFERROR(__xludf.DUMMYFUNCTION("""COMPUTED_VALUE"""),42790.7055555555)</f>
        <v>42790.705555555498</v>
      </c>
      <c r="T1716" s="111">
        <f ca="1">IFERROR(__xludf.DUMMYFUNCTION("""COMPUTED_VALUE"""),19.2)</f>
        <v>19.2</v>
      </c>
    </row>
    <row r="1717" spans="1:20" x14ac:dyDescent="0.3">
      <c r="A1717" s="112">
        <f ca="1">IFERROR(__xludf.DUMMYFUNCTION("""COMPUTED_VALUE"""),42789.7055555555)</f>
        <v>42789.705555555498</v>
      </c>
      <c r="B1717" s="111">
        <f ca="1">IFERROR(__xludf.DUMMYFUNCTION("""COMPUTED_VALUE"""),21.15)</f>
        <v>21.15</v>
      </c>
      <c r="C1717" s="112">
        <f ca="1">IFERROR(__xludf.DUMMYFUNCTION("""COMPUTED_VALUE"""),42800.7055555555)</f>
        <v>42800.705555555498</v>
      </c>
      <c r="D1717" s="111">
        <f ca="1">IFERROR(__xludf.DUMMYFUNCTION("""COMPUTED_VALUE"""),26.73)</f>
        <v>26.73</v>
      </c>
      <c r="E1717" s="112">
        <f ca="1">IFERROR(__xludf.DUMMYFUNCTION("""COMPUTED_VALUE"""),42801.7055555555)</f>
        <v>42801.705555555498</v>
      </c>
      <c r="F1717" s="111">
        <f ca="1">IFERROR(__xludf.DUMMYFUNCTION("""COMPUTED_VALUE"""),8.59)</f>
        <v>8.59</v>
      </c>
      <c r="G1717" s="112">
        <f ca="1">IFERROR(__xludf.DUMMYFUNCTION("""COMPUTED_VALUE"""),42795.7055555555)</f>
        <v>42795.705555555498</v>
      </c>
      <c r="H1717" s="111">
        <f ca="1">IFERROR(__xludf.DUMMYFUNCTION("""COMPUTED_VALUE"""),15.52)</f>
        <v>15.52</v>
      </c>
      <c r="K1717" s="112">
        <f ca="1">IFERROR(__xludf.DUMMYFUNCTION("""COMPUTED_VALUE"""),43248.7055555555)</f>
        <v>43248.705555555498</v>
      </c>
      <c r="L1717" s="111">
        <f ca="1">IFERROR(__xludf.DUMMYFUNCTION("""COMPUTED_VALUE"""),3.28)</f>
        <v>3.28</v>
      </c>
      <c r="M1717" s="112">
        <f ca="1">IFERROR(__xludf.DUMMYFUNCTION("""COMPUTED_VALUE"""),42706.7055555555)</f>
        <v>42706.705555555498</v>
      </c>
      <c r="N1717" s="111">
        <f ca="1">IFERROR(__xludf.DUMMYFUNCTION("""COMPUTED_VALUE"""),16.23)</f>
        <v>16.23</v>
      </c>
      <c r="O1717" s="112">
        <f ca="1">IFERROR(__xludf.DUMMYFUNCTION("""COMPUTED_VALUE"""),42782.7055555555)</f>
        <v>42782.705555555498</v>
      </c>
      <c r="P1717" s="111">
        <f ca="1">IFERROR(__xludf.DUMMYFUNCTION("""COMPUTED_VALUE"""),33.77)</f>
        <v>33.770000000000003</v>
      </c>
      <c r="Q1717" s="112">
        <f ca="1">IFERROR(__xludf.DUMMYFUNCTION("""COMPUTED_VALUE"""),42781.7055555555)</f>
        <v>42781.705555555498</v>
      </c>
      <c r="R1717" s="111">
        <f ca="1">IFERROR(__xludf.DUMMYFUNCTION("""COMPUTED_VALUE"""),31.86)</f>
        <v>31.86</v>
      </c>
      <c r="S1717" s="112">
        <f ca="1">IFERROR(__xludf.DUMMYFUNCTION("""COMPUTED_VALUE"""),42795.7055555555)</f>
        <v>42795.705555555498</v>
      </c>
      <c r="T1717" s="111">
        <f ca="1">IFERROR(__xludf.DUMMYFUNCTION("""COMPUTED_VALUE"""),19.63)</f>
        <v>19.63</v>
      </c>
    </row>
    <row r="1718" spans="1:20" x14ac:dyDescent="0.3">
      <c r="A1718" s="112">
        <f ca="1">IFERROR(__xludf.DUMMYFUNCTION("""COMPUTED_VALUE"""),42790.7055555555)</f>
        <v>42790.705555555498</v>
      </c>
      <c r="B1718" s="111">
        <f ca="1">IFERROR(__xludf.DUMMYFUNCTION("""COMPUTED_VALUE"""),21.25)</f>
        <v>21.25</v>
      </c>
      <c r="C1718" s="112">
        <f ca="1">IFERROR(__xludf.DUMMYFUNCTION("""COMPUTED_VALUE"""),42801.7055555555)</f>
        <v>42801.705555555498</v>
      </c>
      <c r="D1718" s="111">
        <f ca="1">IFERROR(__xludf.DUMMYFUNCTION("""COMPUTED_VALUE"""),26.29)</f>
        <v>26.29</v>
      </c>
      <c r="E1718" s="112">
        <f ca="1">IFERROR(__xludf.DUMMYFUNCTION("""COMPUTED_VALUE"""),42802.7055555555)</f>
        <v>42802.705555555498</v>
      </c>
      <c r="F1718" s="111">
        <f ca="1">IFERROR(__xludf.DUMMYFUNCTION("""COMPUTED_VALUE"""),8.42)</f>
        <v>8.42</v>
      </c>
      <c r="G1718" s="112">
        <f ca="1">IFERROR(__xludf.DUMMYFUNCTION("""COMPUTED_VALUE"""),42796.7055555555)</f>
        <v>42796.705555555498</v>
      </c>
      <c r="H1718" s="111">
        <f ca="1">IFERROR(__xludf.DUMMYFUNCTION("""COMPUTED_VALUE"""),15.11)</f>
        <v>15.11</v>
      </c>
      <c r="K1718" s="112">
        <f ca="1">IFERROR(__xludf.DUMMYFUNCTION("""COMPUTED_VALUE"""),43249.7055555555)</f>
        <v>43249.705555555498</v>
      </c>
      <c r="L1718" s="111">
        <f ca="1">IFERROR(__xludf.DUMMYFUNCTION("""COMPUTED_VALUE"""),3.27)</f>
        <v>3.27</v>
      </c>
      <c r="M1718" s="112">
        <f ca="1">IFERROR(__xludf.DUMMYFUNCTION("""COMPUTED_VALUE"""),42709.7055555555)</f>
        <v>42709.705555555498</v>
      </c>
      <c r="N1718" s="111">
        <f ca="1">IFERROR(__xludf.DUMMYFUNCTION("""COMPUTED_VALUE"""),16.15)</f>
        <v>16.149999999999999</v>
      </c>
      <c r="O1718" s="112">
        <f ca="1">IFERROR(__xludf.DUMMYFUNCTION("""COMPUTED_VALUE"""),42783.7055555555)</f>
        <v>42783.705555555498</v>
      </c>
      <c r="P1718" s="111">
        <f ca="1">IFERROR(__xludf.DUMMYFUNCTION("""COMPUTED_VALUE"""),34.07)</f>
        <v>34.07</v>
      </c>
      <c r="Q1718" s="112">
        <f ca="1">IFERROR(__xludf.DUMMYFUNCTION("""COMPUTED_VALUE"""),42782.7055555555)</f>
        <v>42782.705555555498</v>
      </c>
      <c r="R1718" s="111">
        <f ca="1">IFERROR(__xludf.DUMMYFUNCTION("""COMPUTED_VALUE"""),32.89)</f>
        <v>32.89</v>
      </c>
      <c r="S1718" s="112">
        <f ca="1">IFERROR(__xludf.DUMMYFUNCTION("""COMPUTED_VALUE"""),42796.7055555555)</f>
        <v>42796.705555555498</v>
      </c>
      <c r="T1718" s="111">
        <f ca="1">IFERROR(__xludf.DUMMYFUNCTION("""COMPUTED_VALUE"""),19.37)</f>
        <v>19.37</v>
      </c>
    </row>
    <row r="1719" spans="1:20" x14ac:dyDescent="0.3">
      <c r="A1719" s="112">
        <f ca="1">IFERROR(__xludf.DUMMYFUNCTION("""COMPUTED_VALUE"""),42795.7055555555)</f>
        <v>42795.705555555498</v>
      </c>
      <c r="B1719" s="111">
        <f ca="1">IFERROR(__xludf.DUMMYFUNCTION("""COMPUTED_VALUE"""),21.45)</f>
        <v>21.45</v>
      </c>
      <c r="C1719" s="112">
        <f ca="1">IFERROR(__xludf.DUMMYFUNCTION("""COMPUTED_VALUE"""),42802.7055555555)</f>
        <v>42802.705555555498</v>
      </c>
      <c r="D1719" s="111">
        <f ca="1">IFERROR(__xludf.DUMMYFUNCTION("""COMPUTED_VALUE"""),25.99)</f>
        <v>25.99</v>
      </c>
      <c r="E1719" s="112">
        <f ca="1">IFERROR(__xludf.DUMMYFUNCTION("""COMPUTED_VALUE"""),42803.7055555555)</f>
        <v>42803.705555555498</v>
      </c>
      <c r="F1719" s="111">
        <f ca="1">IFERROR(__xludf.DUMMYFUNCTION("""COMPUTED_VALUE"""),8.35)</f>
        <v>8.35</v>
      </c>
      <c r="G1719" s="112">
        <f ca="1">IFERROR(__xludf.DUMMYFUNCTION("""COMPUTED_VALUE"""),42797.7055555555)</f>
        <v>42797.705555555498</v>
      </c>
      <c r="H1719" s="111">
        <f ca="1">IFERROR(__xludf.DUMMYFUNCTION("""COMPUTED_VALUE"""),15.32)</f>
        <v>15.32</v>
      </c>
      <c r="K1719" s="112">
        <f ca="1">IFERROR(__xludf.DUMMYFUNCTION("""COMPUTED_VALUE"""),43250.7055555555)</f>
        <v>43250.705555555498</v>
      </c>
      <c r="L1719" s="111">
        <f ca="1">IFERROR(__xludf.DUMMYFUNCTION("""COMPUTED_VALUE"""),3.39)</f>
        <v>3.39</v>
      </c>
      <c r="M1719" s="112">
        <f ca="1">IFERROR(__xludf.DUMMYFUNCTION("""COMPUTED_VALUE"""),42710.7055555555)</f>
        <v>42710.705555555498</v>
      </c>
      <c r="N1719" s="111">
        <f ca="1">IFERROR(__xludf.DUMMYFUNCTION("""COMPUTED_VALUE"""),16.49)</f>
        <v>16.489999999999998</v>
      </c>
      <c r="O1719" s="112">
        <f ca="1">IFERROR(__xludf.DUMMYFUNCTION("""COMPUTED_VALUE"""),42786.7055555555)</f>
        <v>42786.705555555498</v>
      </c>
      <c r="P1719" s="111">
        <f ca="1">IFERROR(__xludf.DUMMYFUNCTION("""COMPUTED_VALUE"""),36.43)</f>
        <v>36.43</v>
      </c>
      <c r="Q1719" s="112">
        <f ca="1">IFERROR(__xludf.DUMMYFUNCTION("""COMPUTED_VALUE"""),42783.7055555555)</f>
        <v>42783.705555555498</v>
      </c>
      <c r="R1719" s="111">
        <f ca="1">IFERROR(__xludf.DUMMYFUNCTION("""COMPUTED_VALUE"""),32.91)</f>
        <v>32.909999999999997</v>
      </c>
      <c r="S1719" s="112">
        <f ca="1">IFERROR(__xludf.DUMMYFUNCTION("""COMPUTED_VALUE"""),42797.7055555555)</f>
        <v>42797.705555555498</v>
      </c>
      <c r="T1719" s="111">
        <f ca="1">IFERROR(__xludf.DUMMYFUNCTION("""COMPUTED_VALUE"""),19.58)</f>
        <v>19.579999999999998</v>
      </c>
    </row>
    <row r="1720" spans="1:20" x14ac:dyDescent="0.3">
      <c r="A1720" s="112">
        <f ca="1">IFERROR(__xludf.DUMMYFUNCTION("""COMPUTED_VALUE"""),42796.7055555555)</f>
        <v>42796.705555555498</v>
      </c>
      <c r="B1720" s="111">
        <f ca="1">IFERROR(__xludf.DUMMYFUNCTION("""COMPUTED_VALUE"""),20.22)</f>
        <v>20.22</v>
      </c>
      <c r="C1720" s="112">
        <f ca="1">IFERROR(__xludf.DUMMYFUNCTION("""COMPUTED_VALUE"""),42803.7055555555)</f>
        <v>42803.705555555498</v>
      </c>
      <c r="D1720" s="111">
        <f ca="1">IFERROR(__xludf.DUMMYFUNCTION("""COMPUTED_VALUE"""),26.07)</f>
        <v>26.07</v>
      </c>
      <c r="E1720" s="112">
        <f ca="1">IFERROR(__xludf.DUMMYFUNCTION("""COMPUTED_VALUE"""),42804.7055555555)</f>
        <v>42804.705555555498</v>
      </c>
      <c r="F1720" s="111">
        <f ca="1">IFERROR(__xludf.DUMMYFUNCTION("""COMPUTED_VALUE"""),8.38)</f>
        <v>8.3800000000000008</v>
      </c>
      <c r="G1720" s="112">
        <f ca="1">IFERROR(__xludf.DUMMYFUNCTION("""COMPUTED_VALUE"""),42800.7055555555)</f>
        <v>42800.705555555498</v>
      </c>
      <c r="H1720" s="111">
        <f ca="1">IFERROR(__xludf.DUMMYFUNCTION("""COMPUTED_VALUE"""),15.1)</f>
        <v>15.1</v>
      </c>
      <c r="K1720" s="112">
        <f ca="1">IFERROR(__xludf.DUMMYFUNCTION("""COMPUTED_VALUE"""),43252.7055555555)</f>
        <v>43252.705555555498</v>
      </c>
      <c r="L1720" s="111">
        <f ca="1">IFERROR(__xludf.DUMMYFUNCTION("""COMPUTED_VALUE"""),3.61)</f>
        <v>3.61</v>
      </c>
      <c r="M1720" s="112">
        <f ca="1">IFERROR(__xludf.DUMMYFUNCTION("""COMPUTED_VALUE"""),42711.7055555555)</f>
        <v>42711.705555555498</v>
      </c>
      <c r="N1720" s="111">
        <f ca="1">IFERROR(__xludf.DUMMYFUNCTION("""COMPUTED_VALUE"""),16.39)</f>
        <v>16.39</v>
      </c>
      <c r="O1720" s="112">
        <f ca="1">IFERROR(__xludf.DUMMYFUNCTION("""COMPUTED_VALUE"""),42787.7055555555)</f>
        <v>42787.705555555498</v>
      </c>
      <c r="P1720" s="111">
        <f ca="1">IFERROR(__xludf.DUMMYFUNCTION("""COMPUTED_VALUE"""),35.54)</f>
        <v>35.54</v>
      </c>
      <c r="Q1720" s="112">
        <f ca="1">IFERROR(__xludf.DUMMYFUNCTION("""COMPUTED_VALUE"""),42786.7055555555)</f>
        <v>42786.705555555498</v>
      </c>
      <c r="R1720" s="111">
        <f ca="1">IFERROR(__xludf.DUMMYFUNCTION("""COMPUTED_VALUE"""),33.44)</f>
        <v>33.44</v>
      </c>
      <c r="S1720" s="112">
        <f ca="1">IFERROR(__xludf.DUMMYFUNCTION("""COMPUTED_VALUE"""),42800.7055555555)</f>
        <v>42800.705555555498</v>
      </c>
      <c r="T1720" s="111">
        <f ca="1">IFERROR(__xludf.DUMMYFUNCTION("""COMPUTED_VALUE"""),19.81)</f>
        <v>19.809999999999999</v>
      </c>
    </row>
    <row r="1721" spans="1:20" x14ac:dyDescent="0.3">
      <c r="A1721" s="112">
        <f ca="1">IFERROR(__xludf.DUMMYFUNCTION("""COMPUTED_VALUE"""),42797.7055555555)</f>
        <v>42797.705555555498</v>
      </c>
      <c r="B1721" s="111">
        <f ca="1">IFERROR(__xludf.DUMMYFUNCTION("""COMPUTED_VALUE"""),20.84)</f>
        <v>20.84</v>
      </c>
      <c r="C1721" s="112">
        <f ca="1">IFERROR(__xludf.DUMMYFUNCTION("""COMPUTED_VALUE"""),42804.7055555555)</f>
        <v>42804.705555555498</v>
      </c>
      <c r="D1721" s="111">
        <f ca="1">IFERROR(__xludf.DUMMYFUNCTION("""COMPUTED_VALUE"""),26.08)</f>
        <v>26.08</v>
      </c>
      <c r="E1721" s="112">
        <f ca="1">IFERROR(__xludf.DUMMYFUNCTION("""COMPUTED_VALUE"""),42807.7055555555)</f>
        <v>42807.705555555498</v>
      </c>
      <c r="F1721" s="111">
        <f ca="1">IFERROR(__xludf.DUMMYFUNCTION("""COMPUTED_VALUE"""),8.5)</f>
        <v>8.5</v>
      </c>
      <c r="G1721" s="112">
        <f ca="1">IFERROR(__xludf.DUMMYFUNCTION("""COMPUTED_VALUE"""),42801.7055555555)</f>
        <v>42801.705555555498</v>
      </c>
      <c r="H1721" s="111">
        <f ca="1">IFERROR(__xludf.DUMMYFUNCTION("""COMPUTED_VALUE"""),15.18)</f>
        <v>15.18</v>
      </c>
      <c r="K1721" s="112">
        <f ca="1">IFERROR(__xludf.DUMMYFUNCTION("""COMPUTED_VALUE"""),43255.7055555555)</f>
        <v>43255.705555555498</v>
      </c>
      <c r="L1721" s="111">
        <f ca="1">IFERROR(__xludf.DUMMYFUNCTION("""COMPUTED_VALUE"""),3.89)</f>
        <v>3.89</v>
      </c>
      <c r="M1721" s="112">
        <f ca="1">IFERROR(__xludf.DUMMYFUNCTION("""COMPUTED_VALUE"""),42712.7055555555)</f>
        <v>42712.705555555498</v>
      </c>
      <c r="N1721" s="111">
        <f ca="1">IFERROR(__xludf.DUMMYFUNCTION("""COMPUTED_VALUE"""),16.22)</f>
        <v>16.22</v>
      </c>
      <c r="O1721" s="112">
        <f ca="1">IFERROR(__xludf.DUMMYFUNCTION("""COMPUTED_VALUE"""),42788.7055555555)</f>
        <v>42788.705555555498</v>
      </c>
      <c r="P1721" s="111">
        <f ca="1">IFERROR(__xludf.DUMMYFUNCTION("""COMPUTED_VALUE"""),34.69)</f>
        <v>34.69</v>
      </c>
      <c r="Q1721" s="112">
        <f ca="1">IFERROR(__xludf.DUMMYFUNCTION("""COMPUTED_VALUE"""),42787.7055555555)</f>
        <v>42787.705555555498</v>
      </c>
      <c r="R1721" s="111">
        <f ca="1">IFERROR(__xludf.DUMMYFUNCTION("""COMPUTED_VALUE"""),34)</f>
        <v>34</v>
      </c>
      <c r="S1721" s="112">
        <f ca="1">IFERROR(__xludf.DUMMYFUNCTION("""COMPUTED_VALUE"""),42801.7055555555)</f>
        <v>42801.705555555498</v>
      </c>
      <c r="T1721" s="111">
        <f ca="1">IFERROR(__xludf.DUMMYFUNCTION("""COMPUTED_VALUE"""),19.46)</f>
        <v>19.46</v>
      </c>
    </row>
    <row r="1722" spans="1:20" x14ac:dyDescent="0.3">
      <c r="A1722" s="112">
        <f ca="1">IFERROR(__xludf.DUMMYFUNCTION("""COMPUTED_VALUE"""),42800.7055555555)</f>
        <v>42800.705555555498</v>
      </c>
      <c r="B1722" s="111">
        <f ca="1">IFERROR(__xludf.DUMMYFUNCTION("""COMPUTED_VALUE"""),21.46)</f>
        <v>21.46</v>
      </c>
      <c r="C1722" s="112">
        <f ca="1">IFERROR(__xludf.DUMMYFUNCTION("""COMPUTED_VALUE"""),42807.7055555555)</f>
        <v>42807.705555555498</v>
      </c>
      <c r="D1722" s="111">
        <f ca="1">IFERROR(__xludf.DUMMYFUNCTION("""COMPUTED_VALUE"""),26.55)</f>
        <v>26.55</v>
      </c>
      <c r="E1722" s="112">
        <f ca="1">IFERROR(__xludf.DUMMYFUNCTION("""COMPUTED_VALUE"""),42808.7055555555)</f>
        <v>42808.705555555498</v>
      </c>
      <c r="F1722" s="111">
        <f ca="1">IFERROR(__xludf.DUMMYFUNCTION("""COMPUTED_VALUE"""),8.41)</f>
        <v>8.41</v>
      </c>
      <c r="G1722" s="112">
        <f ca="1">IFERROR(__xludf.DUMMYFUNCTION("""COMPUTED_VALUE"""),42802.7055555555)</f>
        <v>42802.705555555498</v>
      </c>
      <c r="H1722" s="111">
        <f ca="1">IFERROR(__xludf.DUMMYFUNCTION("""COMPUTED_VALUE"""),14.55)</f>
        <v>14.55</v>
      </c>
      <c r="K1722" s="112">
        <f ca="1">IFERROR(__xludf.DUMMYFUNCTION("""COMPUTED_VALUE"""),43256.7055555555)</f>
        <v>43256.705555555498</v>
      </c>
      <c r="L1722" s="111">
        <f ca="1">IFERROR(__xludf.DUMMYFUNCTION("""COMPUTED_VALUE"""),3.78)</f>
        <v>3.78</v>
      </c>
      <c r="M1722" s="112">
        <f ca="1">IFERROR(__xludf.DUMMYFUNCTION("""COMPUTED_VALUE"""),42713.7055555555)</f>
        <v>42713.705555555498</v>
      </c>
      <c r="N1722" s="111">
        <f ca="1">IFERROR(__xludf.DUMMYFUNCTION("""COMPUTED_VALUE"""),16.44)</f>
        <v>16.440000000000001</v>
      </c>
      <c r="O1722" s="112">
        <f ca="1">IFERROR(__xludf.DUMMYFUNCTION("""COMPUTED_VALUE"""),42789.7055555555)</f>
        <v>42789.705555555498</v>
      </c>
      <c r="P1722" s="111">
        <f ca="1">IFERROR(__xludf.DUMMYFUNCTION("""COMPUTED_VALUE"""),33.17)</f>
        <v>33.17</v>
      </c>
      <c r="Q1722" s="112">
        <f ca="1">IFERROR(__xludf.DUMMYFUNCTION("""COMPUTED_VALUE"""),42788.7055555555)</f>
        <v>42788.705555555498</v>
      </c>
      <c r="R1722" s="111">
        <f ca="1">IFERROR(__xludf.DUMMYFUNCTION("""COMPUTED_VALUE"""),34.09)</f>
        <v>34.090000000000003</v>
      </c>
      <c r="S1722" s="112">
        <f ca="1">IFERROR(__xludf.DUMMYFUNCTION("""COMPUTED_VALUE"""),42802.7055555555)</f>
        <v>42802.705555555498</v>
      </c>
      <c r="T1722" s="111">
        <f ca="1">IFERROR(__xludf.DUMMYFUNCTION("""COMPUTED_VALUE"""),19.29)</f>
        <v>19.29</v>
      </c>
    </row>
    <row r="1723" spans="1:20" x14ac:dyDescent="0.3">
      <c r="A1723" s="112">
        <f ca="1">IFERROR(__xludf.DUMMYFUNCTION("""COMPUTED_VALUE"""),42801.7055555555)</f>
        <v>42801.705555555498</v>
      </c>
      <c r="B1723" s="111">
        <f ca="1">IFERROR(__xludf.DUMMYFUNCTION("""COMPUTED_VALUE"""),20.84)</f>
        <v>20.84</v>
      </c>
      <c r="C1723" s="112">
        <f ca="1">IFERROR(__xludf.DUMMYFUNCTION("""COMPUTED_VALUE"""),42808.7055555555)</f>
        <v>42808.705555555498</v>
      </c>
      <c r="D1723" s="111">
        <f ca="1">IFERROR(__xludf.DUMMYFUNCTION("""COMPUTED_VALUE"""),26.29)</f>
        <v>26.29</v>
      </c>
      <c r="E1723" s="112">
        <f ca="1">IFERROR(__xludf.DUMMYFUNCTION("""COMPUTED_VALUE"""),42809.7055555555)</f>
        <v>42809.705555555498</v>
      </c>
      <c r="F1723" s="111">
        <f ca="1">IFERROR(__xludf.DUMMYFUNCTION("""COMPUTED_VALUE"""),8.62)</f>
        <v>8.6199999999999992</v>
      </c>
      <c r="G1723" s="112">
        <f ca="1">IFERROR(__xludf.DUMMYFUNCTION("""COMPUTED_VALUE"""),42803.7055555555)</f>
        <v>42803.705555555498</v>
      </c>
      <c r="H1723" s="111">
        <f ca="1">IFERROR(__xludf.DUMMYFUNCTION("""COMPUTED_VALUE"""),14.5)</f>
        <v>14.5</v>
      </c>
      <c r="K1723" s="112">
        <f ca="1">IFERROR(__xludf.DUMMYFUNCTION("""COMPUTED_VALUE"""),43257.7055555555)</f>
        <v>43257.705555555498</v>
      </c>
      <c r="L1723" s="111">
        <f ca="1">IFERROR(__xludf.DUMMYFUNCTION("""COMPUTED_VALUE"""),3.57)</f>
        <v>3.57</v>
      </c>
      <c r="M1723" s="112">
        <f ca="1">IFERROR(__xludf.DUMMYFUNCTION("""COMPUTED_VALUE"""),42716.7055555555)</f>
        <v>42716.705555555498</v>
      </c>
      <c r="N1723" s="111">
        <f ca="1">IFERROR(__xludf.DUMMYFUNCTION("""COMPUTED_VALUE"""),15.75)</f>
        <v>15.75</v>
      </c>
      <c r="O1723" s="112">
        <f ca="1">IFERROR(__xludf.DUMMYFUNCTION("""COMPUTED_VALUE"""),42790.7055555555)</f>
        <v>42790.705555555498</v>
      </c>
      <c r="P1723" s="111">
        <f ca="1">IFERROR(__xludf.DUMMYFUNCTION("""COMPUTED_VALUE"""),32.72)</f>
        <v>32.72</v>
      </c>
      <c r="Q1723" s="112">
        <f ca="1">IFERROR(__xludf.DUMMYFUNCTION("""COMPUTED_VALUE"""),42789.7055555555)</f>
        <v>42789.705555555498</v>
      </c>
      <c r="R1723" s="111">
        <f ca="1">IFERROR(__xludf.DUMMYFUNCTION("""COMPUTED_VALUE"""),33.35)</f>
        <v>33.35</v>
      </c>
      <c r="S1723" s="112">
        <f ca="1">IFERROR(__xludf.DUMMYFUNCTION("""COMPUTED_VALUE"""),42803.7055555555)</f>
        <v>42803.705555555498</v>
      </c>
      <c r="T1723" s="111">
        <f ca="1">IFERROR(__xludf.DUMMYFUNCTION("""COMPUTED_VALUE"""),19.46)</f>
        <v>19.46</v>
      </c>
    </row>
    <row r="1724" spans="1:20" x14ac:dyDescent="0.3">
      <c r="A1724" s="112">
        <f ca="1">IFERROR(__xludf.DUMMYFUNCTION("""COMPUTED_VALUE"""),42802.7055555555)</f>
        <v>42802.705555555498</v>
      </c>
      <c r="B1724" s="111">
        <f ca="1">IFERROR(__xludf.DUMMYFUNCTION("""COMPUTED_VALUE"""),20.39)</f>
        <v>20.39</v>
      </c>
      <c r="C1724" s="112">
        <f ca="1">IFERROR(__xludf.DUMMYFUNCTION("""COMPUTED_VALUE"""),42809.7055555555)</f>
        <v>42809.705555555498</v>
      </c>
      <c r="D1724" s="111">
        <f ca="1">IFERROR(__xludf.DUMMYFUNCTION("""COMPUTED_VALUE"""),26.55)</f>
        <v>26.55</v>
      </c>
      <c r="E1724" s="112">
        <f ca="1">IFERROR(__xludf.DUMMYFUNCTION("""COMPUTED_VALUE"""),42810.7055555555)</f>
        <v>42810.705555555498</v>
      </c>
      <c r="F1724" s="111">
        <f ca="1">IFERROR(__xludf.DUMMYFUNCTION("""COMPUTED_VALUE"""),8.62)</f>
        <v>8.6199999999999992</v>
      </c>
      <c r="G1724" s="112">
        <f ca="1">IFERROR(__xludf.DUMMYFUNCTION("""COMPUTED_VALUE"""),42804.7055555555)</f>
        <v>42804.705555555498</v>
      </c>
      <c r="H1724" s="111">
        <f ca="1">IFERROR(__xludf.DUMMYFUNCTION("""COMPUTED_VALUE"""),14.31)</f>
        <v>14.31</v>
      </c>
      <c r="K1724" s="112">
        <f ca="1">IFERROR(__xludf.DUMMYFUNCTION("""COMPUTED_VALUE"""),43258.7055555555)</f>
        <v>43258.705555555498</v>
      </c>
      <c r="L1724" s="111">
        <f ca="1">IFERROR(__xludf.DUMMYFUNCTION("""COMPUTED_VALUE"""),3.33)</f>
        <v>3.33</v>
      </c>
      <c r="M1724" s="112">
        <f ca="1">IFERROR(__xludf.DUMMYFUNCTION("""COMPUTED_VALUE"""),42717.7055555555)</f>
        <v>42717.705555555498</v>
      </c>
      <c r="N1724" s="111">
        <f ca="1">IFERROR(__xludf.DUMMYFUNCTION("""COMPUTED_VALUE"""),15.82)</f>
        <v>15.82</v>
      </c>
      <c r="O1724" s="112">
        <f ca="1">IFERROR(__xludf.DUMMYFUNCTION("""COMPUTED_VALUE"""),42795.7055555555)</f>
        <v>42795.705555555498</v>
      </c>
      <c r="P1724" s="111">
        <f ca="1">IFERROR(__xludf.DUMMYFUNCTION("""COMPUTED_VALUE"""),33.17)</f>
        <v>33.17</v>
      </c>
      <c r="Q1724" s="112">
        <f ca="1">IFERROR(__xludf.DUMMYFUNCTION("""COMPUTED_VALUE"""),42790.7055555555)</f>
        <v>42790.705555555498</v>
      </c>
      <c r="R1724" s="111">
        <f ca="1">IFERROR(__xludf.DUMMYFUNCTION("""COMPUTED_VALUE"""),33.1)</f>
        <v>33.1</v>
      </c>
      <c r="S1724" s="112">
        <f ca="1">IFERROR(__xludf.DUMMYFUNCTION("""COMPUTED_VALUE"""),42804.7055555555)</f>
        <v>42804.705555555498</v>
      </c>
      <c r="T1724" s="111">
        <f ca="1">IFERROR(__xludf.DUMMYFUNCTION("""COMPUTED_VALUE"""),19.71)</f>
        <v>19.71</v>
      </c>
    </row>
    <row r="1725" spans="1:20" x14ac:dyDescent="0.3">
      <c r="A1725" s="112">
        <f ca="1">IFERROR(__xludf.DUMMYFUNCTION("""COMPUTED_VALUE"""),42803.7055555555)</f>
        <v>42803.705555555498</v>
      </c>
      <c r="B1725" s="111">
        <f ca="1">IFERROR(__xludf.DUMMYFUNCTION("""COMPUTED_VALUE"""),20.44)</f>
        <v>20.440000000000001</v>
      </c>
      <c r="C1725" s="112">
        <f ca="1">IFERROR(__xludf.DUMMYFUNCTION("""COMPUTED_VALUE"""),42810.7055555555)</f>
        <v>42810.705555555498</v>
      </c>
      <c r="D1725" s="111">
        <f ca="1">IFERROR(__xludf.DUMMYFUNCTION("""COMPUTED_VALUE"""),26.21)</f>
        <v>26.21</v>
      </c>
      <c r="E1725" s="112">
        <f ca="1">IFERROR(__xludf.DUMMYFUNCTION("""COMPUTED_VALUE"""),42811.7055555555)</f>
        <v>42811.705555555498</v>
      </c>
      <c r="F1725" s="111">
        <f ca="1">IFERROR(__xludf.DUMMYFUNCTION("""COMPUTED_VALUE"""),8.46)</f>
        <v>8.4600000000000009</v>
      </c>
      <c r="G1725" s="112">
        <f ca="1">IFERROR(__xludf.DUMMYFUNCTION("""COMPUTED_VALUE"""),42807.7055555555)</f>
        <v>42807.705555555498</v>
      </c>
      <c r="H1725" s="111">
        <f ca="1">IFERROR(__xludf.DUMMYFUNCTION("""COMPUTED_VALUE"""),14.37)</f>
        <v>14.37</v>
      </c>
      <c r="K1725" s="112">
        <f ca="1">IFERROR(__xludf.DUMMYFUNCTION("""COMPUTED_VALUE"""),43259.7055555555)</f>
        <v>43259.705555555498</v>
      </c>
      <c r="L1725" s="111">
        <f ca="1">IFERROR(__xludf.DUMMYFUNCTION("""COMPUTED_VALUE"""),3.3)</f>
        <v>3.3</v>
      </c>
      <c r="M1725" s="112">
        <f ca="1">IFERROR(__xludf.DUMMYFUNCTION("""COMPUTED_VALUE"""),42718.7055555555)</f>
        <v>42718.705555555498</v>
      </c>
      <c r="N1725" s="111">
        <f ca="1">IFERROR(__xludf.DUMMYFUNCTION("""COMPUTED_VALUE"""),15.63)</f>
        <v>15.63</v>
      </c>
      <c r="O1725" s="112">
        <f ca="1">IFERROR(__xludf.DUMMYFUNCTION("""COMPUTED_VALUE"""),42796.7055555555)</f>
        <v>42796.705555555498</v>
      </c>
      <c r="P1725" s="111">
        <f ca="1">IFERROR(__xludf.DUMMYFUNCTION("""COMPUTED_VALUE"""),31.46)</f>
        <v>31.46</v>
      </c>
      <c r="Q1725" s="112">
        <f ca="1">IFERROR(__xludf.DUMMYFUNCTION("""COMPUTED_VALUE"""),42795.7055555555)</f>
        <v>42795.705555555498</v>
      </c>
      <c r="R1725" s="111">
        <f ca="1">IFERROR(__xludf.DUMMYFUNCTION("""COMPUTED_VALUE"""),33.6)</f>
        <v>33.6</v>
      </c>
      <c r="S1725" s="112">
        <f ca="1">IFERROR(__xludf.DUMMYFUNCTION("""COMPUTED_VALUE"""),42807.7055555555)</f>
        <v>42807.705555555498</v>
      </c>
      <c r="T1725" s="111">
        <f ca="1">IFERROR(__xludf.DUMMYFUNCTION("""COMPUTED_VALUE"""),20.26)</f>
        <v>20.260000000000002</v>
      </c>
    </row>
    <row r="1726" spans="1:20" x14ac:dyDescent="0.3">
      <c r="A1726" s="112">
        <f ca="1">IFERROR(__xludf.DUMMYFUNCTION("""COMPUTED_VALUE"""),42804.7055555555)</f>
        <v>42804.705555555498</v>
      </c>
      <c r="B1726" s="111">
        <f ca="1">IFERROR(__xludf.DUMMYFUNCTION("""COMPUTED_VALUE"""),20.14)</f>
        <v>20.14</v>
      </c>
      <c r="C1726" s="112">
        <f ca="1">IFERROR(__xludf.DUMMYFUNCTION("""COMPUTED_VALUE"""),42811.7055555555)</f>
        <v>42811.705555555498</v>
      </c>
      <c r="D1726" s="111">
        <f ca="1">IFERROR(__xludf.DUMMYFUNCTION("""COMPUTED_VALUE"""),25.45)</f>
        <v>25.45</v>
      </c>
      <c r="E1726" s="112">
        <f ca="1">IFERROR(__xludf.DUMMYFUNCTION("""COMPUTED_VALUE"""),42814.7055555555)</f>
        <v>42814.705555555498</v>
      </c>
      <c r="F1726" s="111">
        <f ca="1">IFERROR(__xludf.DUMMYFUNCTION("""COMPUTED_VALUE"""),8.44)</f>
        <v>8.44</v>
      </c>
      <c r="G1726" s="112">
        <f ca="1">IFERROR(__xludf.DUMMYFUNCTION("""COMPUTED_VALUE"""),42808.7055555555)</f>
        <v>42808.705555555498</v>
      </c>
      <c r="H1726" s="111">
        <f ca="1">IFERROR(__xludf.DUMMYFUNCTION("""COMPUTED_VALUE"""),13.59)</f>
        <v>13.59</v>
      </c>
      <c r="K1726" s="112">
        <f ca="1">IFERROR(__xludf.DUMMYFUNCTION("""COMPUTED_VALUE"""),43262.7055555555)</f>
        <v>43262.705555555498</v>
      </c>
      <c r="L1726" s="111">
        <f ca="1">IFERROR(__xludf.DUMMYFUNCTION("""COMPUTED_VALUE"""),3.32)</f>
        <v>3.32</v>
      </c>
      <c r="M1726" s="112">
        <f ca="1">IFERROR(__xludf.DUMMYFUNCTION("""COMPUTED_VALUE"""),42719.7055555555)</f>
        <v>42719.705555555498</v>
      </c>
      <c r="N1726" s="111">
        <f ca="1">IFERROR(__xludf.DUMMYFUNCTION("""COMPUTED_VALUE"""),15.68)</f>
        <v>15.68</v>
      </c>
      <c r="O1726" s="112">
        <f ca="1">IFERROR(__xludf.DUMMYFUNCTION("""COMPUTED_VALUE"""),42797.7055555555)</f>
        <v>42797.705555555498</v>
      </c>
      <c r="P1726" s="111">
        <f ca="1">IFERROR(__xludf.DUMMYFUNCTION("""COMPUTED_VALUE"""),31.82)</f>
        <v>31.82</v>
      </c>
      <c r="Q1726" s="112">
        <f ca="1">IFERROR(__xludf.DUMMYFUNCTION("""COMPUTED_VALUE"""),42796.7055555555)</f>
        <v>42796.705555555498</v>
      </c>
      <c r="R1726" s="111">
        <f ca="1">IFERROR(__xludf.DUMMYFUNCTION("""COMPUTED_VALUE"""),33.26)</f>
        <v>33.26</v>
      </c>
      <c r="S1726" s="112">
        <f ca="1">IFERROR(__xludf.DUMMYFUNCTION("""COMPUTED_VALUE"""),42808.7055555555)</f>
        <v>42808.705555555498</v>
      </c>
      <c r="T1726" s="111">
        <f ca="1">IFERROR(__xludf.DUMMYFUNCTION("""COMPUTED_VALUE"""),19.83)</f>
        <v>19.829999999999998</v>
      </c>
    </row>
    <row r="1727" spans="1:20" x14ac:dyDescent="0.3">
      <c r="A1727" s="112">
        <f ca="1">IFERROR(__xludf.DUMMYFUNCTION("""COMPUTED_VALUE"""),42807.7055555555)</f>
        <v>42807.705555555498</v>
      </c>
      <c r="B1727" s="111">
        <f ca="1">IFERROR(__xludf.DUMMYFUNCTION("""COMPUTED_VALUE"""),20.08)</f>
        <v>20.079999999999998</v>
      </c>
      <c r="C1727" s="112">
        <f ca="1">IFERROR(__xludf.DUMMYFUNCTION("""COMPUTED_VALUE"""),42814.7055555555)</f>
        <v>42814.705555555498</v>
      </c>
      <c r="D1727" s="111">
        <f ca="1">IFERROR(__xludf.DUMMYFUNCTION("""COMPUTED_VALUE"""),25.73)</f>
        <v>25.73</v>
      </c>
      <c r="E1727" s="112">
        <f ca="1">IFERROR(__xludf.DUMMYFUNCTION("""COMPUTED_VALUE"""),42815.7055555555)</f>
        <v>42815.705555555498</v>
      </c>
      <c r="F1727" s="111">
        <f ca="1">IFERROR(__xludf.DUMMYFUNCTION("""COMPUTED_VALUE"""),8.15)</f>
        <v>8.15</v>
      </c>
      <c r="G1727" s="112">
        <f ca="1">IFERROR(__xludf.DUMMYFUNCTION("""COMPUTED_VALUE"""),42809.7055555555)</f>
        <v>42809.705555555498</v>
      </c>
      <c r="H1727" s="111">
        <f ca="1">IFERROR(__xludf.DUMMYFUNCTION("""COMPUTED_VALUE"""),14.2)</f>
        <v>14.2</v>
      </c>
      <c r="K1727" s="112">
        <f ca="1">IFERROR(__xludf.DUMMYFUNCTION("""COMPUTED_VALUE"""),43263.7055555555)</f>
        <v>43263.705555555498</v>
      </c>
      <c r="L1727" s="111">
        <f ca="1">IFERROR(__xludf.DUMMYFUNCTION("""COMPUTED_VALUE"""),3.44)</f>
        <v>3.44</v>
      </c>
      <c r="M1727" s="112">
        <f ca="1">IFERROR(__xludf.DUMMYFUNCTION("""COMPUTED_VALUE"""),42720.7055555555)</f>
        <v>42720.705555555498</v>
      </c>
      <c r="N1727" s="111">
        <f ca="1">IFERROR(__xludf.DUMMYFUNCTION("""COMPUTED_VALUE"""),15.6)</f>
        <v>15.6</v>
      </c>
      <c r="O1727" s="112">
        <f ca="1">IFERROR(__xludf.DUMMYFUNCTION("""COMPUTED_VALUE"""),42800.7055555555)</f>
        <v>42800.705555555498</v>
      </c>
      <c r="P1727" s="111">
        <f ca="1">IFERROR(__xludf.DUMMYFUNCTION("""COMPUTED_VALUE"""),31.1)</f>
        <v>31.1</v>
      </c>
      <c r="Q1727" s="112">
        <f ca="1">IFERROR(__xludf.DUMMYFUNCTION("""COMPUTED_VALUE"""),42797.7055555555)</f>
        <v>42797.705555555498</v>
      </c>
      <c r="R1727" s="111">
        <f ca="1">IFERROR(__xludf.DUMMYFUNCTION("""COMPUTED_VALUE"""),34.88)</f>
        <v>34.880000000000003</v>
      </c>
      <c r="S1727" s="112">
        <f ca="1">IFERROR(__xludf.DUMMYFUNCTION("""COMPUTED_VALUE"""),42809.7055555555)</f>
        <v>42809.705555555498</v>
      </c>
      <c r="T1727" s="111">
        <f ca="1">IFERROR(__xludf.DUMMYFUNCTION("""COMPUTED_VALUE"""),20.44)</f>
        <v>20.440000000000001</v>
      </c>
    </row>
    <row r="1728" spans="1:20" x14ac:dyDescent="0.3">
      <c r="A1728" s="112">
        <f ca="1">IFERROR(__xludf.DUMMYFUNCTION("""COMPUTED_VALUE"""),42808.7055555555)</f>
        <v>42808.705555555498</v>
      </c>
      <c r="B1728" s="111">
        <f ca="1">IFERROR(__xludf.DUMMYFUNCTION("""COMPUTED_VALUE"""),19.21)</f>
        <v>19.21</v>
      </c>
      <c r="C1728" s="112">
        <f ca="1">IFERROR(__xludf.DUMMYFUNCTION("""COMPUTED_VALUE"""),42815.7055555555)</f>
        <v>42815.705555555498</v>
      </c>
      <c r="D1728" s="111">
        <f ca="1">IFERROR(__xludf.DUMMYFUNCTION("""COMPUTED_VALUE"""),25.18)</f>
        <v>25.18</v>
      </c>
      <c r="E1728" s="112">
        <f ca="1">IFERROR(__xludf.DUMMYFUNCTION("""COMPUTED_VALUE"""),42816.7055555555)</f>
        <v>42816.705555555498</v>
      </c>
      <c r="F1728" s="111">
        <f ca="1">IFERROR(__xludf.DUMMYFUNCTION("""COMPUTED_VALUE"""),8.35)</f>
        <v>8.35</v>
      </c>
      <c r="G1728" s="112">
        <f ca="1">IFERROR(__xludf.DUMMYFUNCTION("""COMPUTED_VALUE"""),42810.7055555555)</f>
        <v>42810.705555555498</v>
      </c>
      <c r="H1728" s="111">
        <f ca="1">IFERROR(__xludf.DUMMYFUNCTION("""COMPUTED_VALUE"""),13.71)</f>
        <v>13.71</v>
      </c>
      <c r="K1728" s="112">
        <f ca="1">IFERROR(__xludf.DUMMYFUNCTION("""COMPUTED_VALUE"""),43264.7055555555)</f>
        <v>43264.705555555498</v>
      </c>
      <c r="L1728" s="111">
        <f ca="1">IFERROR(__xludf.DUMMYFUNCTION("""COMPUTED_VALUE"""),3.51)</f>
        <v>3.51</v>
      </c>
      <c r="M1728" s="112">
        <f ca="1">IFERROR(__xludf.DUMMYFUNCTION("""COMPUTED_VALUE"""),42723.7055555555)</f>
        <v>42723.705555555498</v>
      </c>
      <c r="N1728" s="111">
        <f ca="1">IFERROR(__xludf.DUMMYFUNCTION("""COMPUTED_VALUE"""),15.25)</f>
        <v>15.25</v>
      </c>
      <c r="O1728" s="112">
        <f ca="1">IFERROR(__xludf.DUMMYFUNCTION("""COMPUTED_VALUE"""),42801.7055555555)</f>
        <v>42801.705555555498</v>
      </c>
      <c r="P1728" s="111">
        <f ca="1">IFERROR(__xludf.DUMMYFUNCTION("""COMPUTED_VALUE"""),30.92)</f>
        <v>30.92</v>
      </c>
      <c r="Q1728" s="112">
        <f ca="1">IFERROR(__xludf.DUMMYFUNCTION("""COMPUTED_VALUE"""),42800.7055555555)</f>
        <v>42800.705555555498</v>
      </c>
      <c r="R1728" s="111">
        <f ca="1">IFERROR(__xludf.DUMMYFUNCTION("""COMPUTED_VALUE"""),35.16)</f>
        <v>35.159999999999997</v>
      </c>
      <c r="S1728" s="112">
        <f ca="1">IFERROR(__xludf.DUMMYFUNCTION("""COMPUTED_VALUE"""),42810.7055555555)</f>
        <v>42810.705555555498</v>
      </c>
      <c r="T1728" s="111">
        <f ca="1">IFERROR(__xludf.DUMMYFUNCTION("""COMPUTED_VALUE"""),20.29)</f>
        <v>20.29</v>
      </c>
    </row>
    <row r="1729" spans="1:20" x14ac:dyDescent="0.3">
      <c r="A1729" s="112">
        <f ca="1">IFERROR(__xludf.DUMMYFUNCTION("""COMPUTED_VALUE"""),42809.7055555555)</f>
        <v>42809.705555555498</v>
      </c>
      <c r="B1729" s="111">
        <f ca="1">IFERROR(__xludf.DUMMYFUNCTION("""COMPUTED_VALUE"""),19.56)</f>
        <v>19.559999999999999</v>
      </c>
      <c r="C1729" s="112">
        <f ca="1">IFERROR(__xludf.DUMMYFUNCTION("""COMPUTED_VALUE"""),42816.7055555555)</f>
        <v>42816.705555555498</v>
      </c>
      <c r="D1729" s="111">
        <f ca="1">IFERROR(__xludf.DUMMYFUNCTION("""COMPUTED_VALUE"""),25.39)</f>
        <v>25.39</v>
      </c>
      <c r="E1729" s="112">
        <f ca="1">IFERROR(__xludf.DUMMYFUNCTION("""COMPUTED_VALUE"""),42817.7055555555)</f>
        <v>42817.705555555498</v>
      </c>
      <c r="F1729" s="111">
        <f ca="1">IFERROR(__xludf.DUMMYFUNCTION("""COMPUTED_VALUE"""),8.29)</f>
        <v>8.2899999999999991</v>
      </c>
      <c r="G1729" s="112">
        <f ca="1">IFERROR(__xludf.DUMMYFUNCTION("""COMPUTED_VALUE"""),42811.7055555555)</f>
        <v>42811.705555555498</v>
      </c>
      <c r="H1729" s="111">
        <f ca="1">IFERROR(__xludf.DUMMYFUNCTION("""COMPUTED_VALUE"""),13.16)</f>
        <v>13.16</v>
      </c>
      <c r="K1729" s="112">
        <f ca="1">IFERROR(__xludf.DUMMYFUNCTION("""COMPUTED_VALUE"""),43265.7055555555)</f>
        <v>43265.705555555498</v>
      </c>
      <c r="L1729" s="111">
        <f ca="1">IFERROR(__xludf.DUMMYFUNCTION("""COMPUTED_VALUE"""),3.73)</f>
        <v>3.73</v>
      </c>
      <c r="M1729" s="112">
        <f ca="1">IFERROR(__xludf.DUMMYFUNCTION("""COMPUTED_VALUE"""),42724.7055555555)</f>
        <v>42724.705555555498</v>
      </c>
      <c r="N1729" s="111">
        <f ca="1">IFERROR(__xludf.DUMMYFUNCTION("""COMPUTED_VALUE"""),15.58)</f>
        <v>15.58</v>
      </c>
      <c r="O1729" s="112">
        <f ca="1">IFERROR(__xludf.DUMMYFUNCTION("""COMPUTED_VALUE"""),42802.7055555555)</f>
        <v>42802.705555555498</v>
      </c>
      <c r="P1729" s="111">
        <f ca="1">IFERROR(__xludf.DUMMYFUNCTION("""COMPUTED_VALUE"""),30.12)</f>
        <v>30.12</v>
      </c>
      <c r="Q1729" s="112">
        <f ca="1">IFERROR(__xludf.DUMMYFUNCTION("""COMPUTED_VALUE"""),42801.7055555555)</f>
        <v>42801.705555555498</v>
      </c>
      <c r="R1729" s="111">
        <f ca="1">IFERROR(__xludf.DUMMYFUNCTION("""COMPUTED_VALUE"""),34.73)</f>
        <v>34.729999999999997</v>
      </c>
      <c r="S1729" s="112">
        <f ca="1">IFERROR(__xludf.DUMMYFUNCTION("""COMPUTED_VALUE"""),42811.7055555555)</f>
        <v>42811.705555555498</v>
      </c>
      <c r="T1729" s="111">
        <f ca="1">IFERROR(__xludf.DUMMYFUNCTION("""COMPUTED_VALUE"""),19.83)</f>
        <v>19.829999999999998</v>
      </c>
    </row>
    <row r="1730" spans="1:20" x14ac:dyDescent="0.3">
      <c r="A1730" s="112">
        <f ca="1">IFERROR(__xludf.DUMMYFUNCTION("""COMPUTED_VALUE"""),42810.7055555555)</f>
        <v>42810.705555555498</v>
      </c>
      <c r="B1730" s="111">
        <f ca="1">IFERROR(__xludf.DUMMYFUNCTION("""COMPUTED_VALUE"""),19.1)</f>
        <v>19.100000000000001</v>
      </c>
      <c r="C1730" s="112">
        <f ca="1">IFERROR(__xludf.DUMMYFUNCTION("""COMPUTED_VALUE"""),42817.7055555555)</f>
        <v>42817.705555555498</v>
      </c>
      <c r="D1730" s="111">
        <f ca="1">IFERROR(__xludf.DUMMYFUNCTION("""COMPUTED_VALUE"""),25.25)</f>
        <v>25.25</v>
      </c>
      <c r="E1730" s="112">
        <f ca="1">IFERROR(__xludf.DUMMYFUNCTION("""COMPUTED_VALUE"""),42818.7055555555)</f>
        <v>42818.705555555498</v>
      </c>
      <c r="F1730" s="111">
        <f ca="1">IFERROR(__xludf.DUMMYFUNCTION("""COMPUTED_VALUE"""),8.36)</f>
        <v>8.36</v>
      </c>
      <c r="G1730" s="112">
        <f ca="1">IFERROR(__xludf.DUMMYFUNCTION("""COMPUTED_VALUE"""),42814.7055555555)</f>
        <v>42814.705555555498</v>
      </c>
      <c r="H1730" s="111">
        <f ca="1">IFERROR(__xludf.DUMMYFUNCTION("""COMPUTED_VALUE"""),13.6)</f>
        <v>13.6</v>
      </c>
      <c r="K1730" s="112">
        <f ca="1">IFERROR(__xludf.DUMMYFUNCTION("""COMPUTED_VALUE"""),43266.7055555555)</f>
        <v>43266.705555555498</v>
      </c>
      <c r="L1730" s="111">
        <f ca="1">IFERROR(__xludf.DUMMYFUNCTION("""COMPUTED_VALUE"""),3.75)</f>
        <v>3.75</v>
      </c>
      <c r="M1730" s="112">
        <f ca="1">IFERROR(__xludf.DUMMYFUNCTION("""COMPUTED_VALUE"""),42725.7055555555)</f>
        <v>42725.705555555498</v>
      </c>
      <c r="N1730" s="111">
        <f ca="1">IFERROR(__xludf.DUMMYFUNCTION("""COMPUTED_VALUE"""),15.45)</f>
        <v>15.45</v>
      </c>
      <c r="O1730" s="112">
        <f ca="1">IFERROR(__xludf.DUMMYFUNCTION("""COMPUTED_VALUE"""),42803.7055555555)</f>
        <v>42803.705555555498</v>
      </c>
      <c r="P1730" s="111">
        <f ca="1">IFERROR(__xludf.DUMMYFUNCTION("""COMPUTED_VALUE"""),30.18)</f>
        <v>30.18</v>
      </c>
      <c r="Q1730" s="112">
        <f ca="1">IFERROR(__xludf.DUMMYFUNCTION("""COMPUTED_VALUE"""),42802.7055555555)</f>
        <v>42802.705555555498</v>
      </c>
      <c r="R1730" s="111">
        <f ca="1">IFERROR(__xludf.DUMMYFUNCTION("""COMPUTED_VALUE"""),33.91)</f>
        <v>33.909999999999997</v>
      </c>
      <c r="S1730" s="112">
        <f ca="1">IFERROR(__xludf.DUMMYFUNCTION("""COMPUTED_VALUE"""),42814.7055555555)</f>
        <v>42814.705555555498</v>
      </c>
      <c r="T1730" s="111">
        <f ca="1">IFERROR(__xludf.DUMMYFUNCTION("""COMPUTED_VALUE"""),20.14)</f>
        <v>20.14</v>
      </c>
    </row>
    <row r="1731" spans="1:20" x14ac:dyDescent="0.3">
      <c r="A1731" s="112">
        <f ca="1">IFERROR(__xludf.DUMMYFUNCTION("""COMPUTED_VALUE"""),42811.7055555555)</f>
        <v>42811.705555555498</v>
      </c>
      <c r="B1731" s="111">
        <f ca="1">IFERROR(__xludf.DUMMYFUNCTION("""COMPUTED_VALUE"""),18.82)</f>
        <v>18.82</v>
      </c>
      <c r="C1731" s="112">
        <f ca="1">IFERROR(__xludf.DUMMYFUNCTION("""COMPUTED_VALUE"""),42818.7055555555)</f>
        <v>42818.705555555498</v>
      </c>
      <c r="D1731" s="111">
        <f ca="1">IFERROR(__xludf.DUMMYFUNCTION("""COMPUTED_VALUE"""),25.52)</f>
        <v>25.52</v>
      </c>
      <c r="E1731" s="112">
        <f ca="1">IFERROR(__xludf.DUMMYFUNCTION("""COMPUTED_VALUE"""),42821.7055555555)</f>
        <v>42821.705555555498</v>
      </c>
      <c r="F1731" s="111">
        <f ca="1">IFERROR(__xludf.DUMMYFUNCTION("""COMPUTED_VALUE"""),8.44)</f>
        <v>8.44</v>
      </c>
      <c r="G1731" s="112">
        <f ca="1">IFERROR(__xludf.DUMMYFUNCTION("""COMPUTED_VALUE"""),42815.7055555555)</f>
        <v>42815.705555555498</v>
      </c>
      <c r="H1731" s="111">
        <f ca="1">IFERROR(__xludf.DUMMYFUNCTION("""COMPUTED_VALUE"""),13)</f>
        <v>13</v>
      </c>
      <c r="K1731" s="112">
        <f ca="1">IFERROR(__xludf.DUMMYFUNCTION("""COMPUTED_VALUE"""),43269.7055555555)</f>
        <v>43269.705555555498</v>
      </c>
      <c r="L1731" s="111">
        <f ca="1">IFERROR(__xludf.DUMMYFUNCTION("""COMPUTED_VALUE"""),3.68)</f>
        <v>3.68</v>
      </c>
      <c r="M1731" s="112">
        <f ca="1">IFERROR(__xludf.DUMMYFUNCTION("""COMPUTED_VALUE"""),42726.7055555555)</f>
        <v>42726.705555555498</v>
      </c>
      <c r="N1731" s="111">
        <f ca="1">IFERROR(__xludf.DUMMYFUNCTION("""COMPUTED_VALUE"""),15.23)</f>
        <v>15.23</v>
      </c>
      <c r="O1731" s="112">
        <f ca="1">IFERROR(__xludf.DUMMYFUNCTION("""COMPUTED_VALUE"""),42804.7055555555)</f>
        <v>42804.705555555498</v>
      </c>
      <c r="P1731" s="111">
        <f ca="1">IFERROR(__xludf.DUMMYFUNCTION("""COMPUTED_VALUE"""),29.65)</f>
        <v>29.65</v>
      </c>
      <c r="Q1731" s="112">
        <f ca="1">IFERROR(__xludf.DUMMYFUNCTION("""COMPUTED_VALUE"""),42803.7055555555)</f>
        <v>42803.705555555498</v>
      </c>
      <c r="R1731" s="111">
        <f ca="1">IFERROR(__xludf.DUMMYFUNCTION("""COMPUTED_VALUE"""),33.56)</f>
        <v>33.56</v>
      </c>
      <c r="S1731" s="112">
        <f ca="1">IFERROR(__xludf.DUMMYFUNCTION("""COMPUTED_VALUE"""),42815.7055555555)</f>
        <v>42815.705555555498</v>
      </c>
      <c r="T1731" s="111">
        <f ca="1">IFERROR(__xludf.DUMMYFUNCTION("""COMPUTED_VALUE"""),19.9)</f>
        <v>19.899999999999999</v>
      </c>
    </row>
    <row r="1732" spans="1:20" x14ac:dyDescent="0.3">
      <c r="A1732" s="112">
        <f ca="1">IFERROR(__xludf.DUMMYFUNCTION("""COMPUTED_VALUE"""),42814.7055555555)</f>
        <v>42814.705555555498</v>
      </c>
      <c r="B1732" s="111">
        <f ca="1">IFERROR(__xludf.DUMMYFUNCTION("""COMPUTED_VALUE"""),19.25)</f>
        <v>19.25</v>
      </c>
      <c r="C1732" s="112">
        <f ca="1">IFERROR(__xludf.DUMMYFUNCTION("""COMPUTED_VALUE"""),42821.7055555555)</f>
        <v>42821.705555555498</v>
      </c>
      <c r="D1732" s="111">
        <f ca="1">IFERROR(__xludf.DUMMYFUNCTION("""COMPUTED_VALUE"""),25.71)</f>
        <v>25.71</v>
      </c>
      <c r="E1732" s="112">
        <f ca="1">IFERROR(__xludf.DUMMYFUNCTION("""COMPUTED_VALUE"""),42822.7055555555)</f>
        <v>42822.705555555498</v>
      </c>
      <c r="F1732" s="111">
        <f ca="1">IFERROR(__xludf.DUMMYFUNCTION("""COMPUTED_VALUE"""),8.38)</f>
        <v>8.3800000000000008</v>
      </c>
      <c r="G1732" s="112">
        <f ca="1">IFERROR(__xludf.DUMMYFUNCTION("""COMPUTED_VALUE"""),42816.7055555555)</f>
        <v>42816.705555555498</v>
      </c>
      <c r="H1732" s="111">
        <f ca="1">IFERROR(__xludf.DUMMYFUNCTION("""COMPUTED_VALUE"""),13.66)</f>
        <v>13.66</v>
      </c>
      <c r="K1732" s="112">
        <f ca="1">IFERROR(__xludf.DUMMYFUNCTION("""COMPUTED_VALUE"""),43270.7055555555)</f>
        <v>43270.705555555498</v>
      </c>
      <c r="L1732" s="111">
        <f ca="1">IFERROR(__xludf.DUMMYFUNCTION("""COMPUTED_VALUE"""),3.87)</f>
        <v>3.87</v>
      </c>
      <c r="M1732" s="112">
        <f ca="1">IFERROR(__xludf.DUMMYFUNCTION("""COMPUTED_VALUE"""),42727.7055555555)</f>
        <v>42727.705555555498</v>
      </c>
      <c r="N1732" s="111">
        <f ca="1">IFERROR(__xludf.DUMMYFUNCTION("""COMPUTED_VALUE"""),15.54)</f>
        <v>15.54</v>
      </c>
      <c r="O1732" s="112">
        <f ca="1">IFERROR(__xludf.DUMMYFUNCTION("""COMPUTED_VALUE"""),42807.7055555555)</f>
        <v>42807.705555555498</v>
      </c>
      <c r="P1732" s="111">
        <f ca="1">IFERROR(__xludf.DUMMYFUNCTION("""COMPUTED_VALUE"""),31.01)</f>
        <v>31.01</v>
      </c>
      <c r="Q1732" s="112">
        <f ca="1">IFERROR(__xludf.DUMMYFUNCTION("""COMPUTED_VALUE"""),42804.7055555555)</f>
        <v>42804.705555555498</v>
      </c>
      <c r="R1732" s="111">
        <f ca="1">IFERROR(__xludf.DUMMYFUNCTION("""COMPUTED_VALUE"""),33.69)</f>
        <v>33.69</v>
      </c>
      <c r="S1732" s="112">
        <f ca="1">IFERROR(__xludf.DUMMYFUNCTION("""COMPUTED_VALUE"""),42816.7055555555)</f>
        <v>42816.705555555498</v>
      </c>
      <c r="T1732" s="111">
        <f ca="1">IFERROR(__xludf.DUMMYFUNCTION("""COMPUTED_VALUE"""),19.62)</f>
        <v>19.62</v>
      </c>
    </row>
    <row r="1733" spans="1:20" x14ac:dyDescent="0.3">
      <c r="A1733" s="112">
        <f ca="1">IFERROR(__xludf.DUMMYFUNCTION("""COMPUTED_VALUE"""),42815.7055555555)</f>
        <v>42815.705555555498</v>
      </c>
      <c r="B1733" s="111">
        <f ca="1">IFERROR(__xludf.DUMMYFUNCTION("""COMPUTED_VALUE"""),18.56)</f>
        <v>18.559999999999999</v>
      </c>
      <c r="C1733" s="112">
        <f ca="1">IFERROR(__xludf.DUMMYFUNCTION("""COMPUTED_VALUE"""),42822.7055555555)</f>
        <v>42822.705555555498</v>
      </c>
      <c r="D1733" s="111">
        <f ca="1">IFERROR(__xludf.DUMMYFUNCTION("""COMPUTED_VALUE"""),25.62)</f>
        <v>25.62</v>
      </c>
      <c r="E1733" s="112">
        <f ca="1">IFERROR(__xludf.DUMMYFUNCTION("""COMPUTED_VALUE"""),42823.7055555555)</f>
        <v>42823.705555555498</v>
      </c>
      <c r="F1733" s="111">
        <f ca="1">IFERROR(__xludf.DUMMYFUNCTION("""COMPUTED_VALUE"""),8.46)</f>
        <v>8.4600000000000009</v>
      </c>
      <c r="G1733" s="112">
        <f ca="1">IFERROR(__xludf.DUMMYFUNCTION("""COMPUTED_VALUE"""),42817.7055555555)</f>
        <v>42817.705555555498</v>
      </c>
      <c r="H1733" s="111">
        <f ca="1">IFERROR(__xludf.DUMMYFUNCTION("""COMPUTED_VALUE"""),13.57)</f>
        <v>13.57</v>
      </c>
      <c r="K1733" s="112">
        <f ca="1">IFERROR(__xludf.DUMMYFUNCTION("""COMPUTED_VALUE"""),43271.7055555555)</f>
        <v>43271.705555555498</v>
      </c>
      <c r="L1733" s="111">
        <f ca="1">IFERROR(__xludf.DUMMYFUNCTION("""COMPUTED_VALUE"""),3.8)</f>
        <v>3.8</v>
      </c>
      <c r="M1733" s="112">
        <f ca="1">IFERROR(__xludf.DUMMYFUNCTION("""COMPUTED_VALUE"""),42730.7055555555)</f>
        <v>42730.705555555498</v>
      </c>
      <c r="N1733" s="111">
        <f ca="1">IFERROR(__xludf.DUMMYFUNCTION("""COMPUTED_VALUE"""),15.83)</f>
        <v>15.83</v>
      </c>
      <c r="O1733" s="112">
        <f ca="1">IFERROR(__xludf.DUMMYFUNCTION("""COMPUTED_VALUE"""),42808.7055555555)</f>
        <v>42808.705555555498</v>
      </c>
      <c r="P1733" s="111">
        <f ca="1">IFERROR(__xludf.DUMMYFUNCTION("""COMPUTED_VALUE"""),31.17)</f>
        <v>31.17</v>
      </c>
      <c r="Q1733" s="112">
        <f ca="1">IFERROR(__xludf.DUMMYFUNCTION("""COMPUTED_VALUE"""),42807.7055555555)</f>
        <v>42807.705555555498</v>
      </c>
      <c r="R1733" s="111">
        <f ca="1">IFERROR(__xludf.DUMMYFUNCTION("""COMPUTED_VALUE"""),34.05)</f>
        <v>34.049999999999997</v>
      </c>
      <c r="S1733" s="112">
        <f ca="1">IFERROR(__xludf.DUMMYFUNCTION("""COMPUTED_VALUE"""),42817.7055555555)</f>
        <v>42817.705555555498</v>
      </c>
      <c r="T1733" s="111">
        <f ca="1">IFERROR(__xludf.DUMMYFUNCTION("""COMPUTED_VALUE"""),19.68)</f>
        <v>19.68</v>
      </c>
    </row>
    <row r="1734" spans="1:20" x14ac:dyDescent="0.3">
      <c r="A1734" s="112">
        <f ca="1">IFERROR(__xludf.DUMMYFUNCTION("""COMPUTED_VALUE"""),42816.7055555555)</f>
        <v>42816.705555555498</v>
      </c>
      <c r="B1734" s="111">
        <f ca="1">IFERROR(__xludf.DUMMYFUNCTION("""COMPUTED_VALUE"""),18.87)</f>
        <v>18.87</v>
      </c>
      <c r="C1734" s="112">
        <f ca="1">IFERROR(__xludf.DUMMYFUNCTION("""COMPUTED_VALUE"""),42823.7055555555)</f>
        <v>42823.705555555498</v>
      </c>
      <c r="D1734" s="111">
        <f ca="1">IFERROR(__xludf.DUMMYFUNCTION("""COMPUTED_VALUE"""),26)</f>
        <v>26</v>
      </c>
      <c r="E1734" s="112">
        <f ca="1">IFERROR(__xludf.DUMMYFUNCTION("""COMPUTED_VALUE"""),42824.7055555555)</f>
        <v>42824.705555555498</v>
      </c>
      <c r="F1734" s="111">
        <f ca="1">IFERROR(__xludf.DUMMYFUNCTION("""COMPUTED_VALUE"""),8.35)</f>
        <v>8.35</v>
      </c>
      <c r="G1734" s="112">
        <f ca="1">IFERROR(__xludf.DUMMYFUNCTION("""COMPUTED_VALUE"""),42818.7055555555)</f>
        <v>42818.705555555498</v>
      </c>
      <c r="H1734" s="111">
        <f ca="1">IFERROR(__xludf.DUMMYFUNCTION("""COMPUTED_VALUE"""),13.48)</f>
        <v>13.48</v>
      </c>
      <c r="K1734" s="112">
        <f ca="1">IFERROR(__xludf.DUMMYFUNCTION("""COMPUTED_VALUE"""),43272.7055555555)</f>
        <v>43272.705555555498</v>
      </c>
      <c r="L1734" s="111">
        <f ca="1">IFERROR(__xludf.DUMMYFUNCTION("""COMPUTED_VALUE"""),3.8)</f>
        <v>3.8</v>
      </c>
      <c r="M1734" s="112">
        <f ca="1">IFERROR(__xludf.DUMMYFUNCTION("""COMPUTED_VALUE"""),42731.7055555555)</f>
        <v>42731.705555555498</v>
      </c>
      <c r="N1734" s="111">
        <f ca="1">IFERROR(__xludf.DUMMYFUNCTION("""COMPUTED_VALUE"""),15.68)</f>
        <v>15.68</v>
      </c>
      <c r="O1734" s="112">
        <f ca="1">IFERROR(__xludf.DUMMYFUNCTION("""COMPUTED_VALUE"""),42809.7055555555)</f>
        <v>42809.705555555498</v>
      </c>
      <c r="P1734" s="111">
        <f ca="1">IFERROR(__xludf.DUMMYFUNCTION("""COMPUTED_VALUE"""),33.32)</f>
        <v>33.32</v>
      </c>
      <c r="Q1734" s="112">
        <f ca="1">IFERROR(__xludf.DUMMYFUNCTION("""COMPUTED_VALUE"""),42808.7055555555)</f>
        <v>42808.705555555498</v>
      </c>
      <c r="R1734" s="111">
        <f ca="1">IFERROR(__xludf.DUMMYFUNCTION("""COMPUTED_VALUE"""),33.91)</f>
        <v>33.909999999999997</v>
      </c>
      <c r="S1734" s="112">
        <f ca="1">IFERROR(__xludf.DUMMYFUNCTION("""COMPUTED_VALUE"""),42818.7055555555)</f>
        <v>42818.705555555498</v>
      </c>
      <c r="T1734" s="111">
        <f ca="1">IFERROR(__xludf.DUMMYFUNCTION("""COMPUTED_VALUE"""),20.51)</f>
        <v>20.51</v>
      </c>
    </row>
    <row r="1735" spans="1:20" x14ac:dyDescent="0.3">
      <c r="A1735" s="112">
        <f ca="1">IFERROR(__xludf.DUMMYFUNCTION("""COMPUTED_VALUE"""),42817.7055555555)</f>
        <v>42817.705555555498</v>
      </c>
      <c r="B1735" s="111">
        <f ca="1">IFERROR(__xludf.DUMMYFUNCTION("""COMPUTED_VALUE"""),18.48)</f>
        <v>18.48</v>
      </c>
      <c r="C1735" s="112">
        <f ca="1">IFERROR(__xludf.DUMMYFUNCTION("""COMPUTED_VALUE"""),42824.7055555555)</f>
        <v>42824.705555555498</v>
      </c>
      <c r="D1735" s="111">
        <f ca="1">IFERROR(__xludf.DUMMYFUNCTION("""COMPUTED_VALUE"""),25.69)</f>
        <v>25.69</v>
      </c>
      <c r="E1735" s="112">
        <f ca="1">IFERROR(__xludf.DUMMYFUNCTION("""COMPUTED_VALUE"""),42825.7055555555)</f>
        <v>42825.705555555498</v>
      </c>
      <c r="F1735" s="111">
        <f ca="1">IFERROR(__xludf.DUMMYFUNCTION("""COMPUTED_VALUE"""),8.23)</f>
        <v>8.23</v>
      </c>
      <c r="G1735" s="112">
        <f ca="1">IFERROR(__xludf.DUMMYFUNCTION("""COMPUTED_VALUE"""),42821.7055555555)</f>
        <v>42821.705555555498</v>
      </c>
      <c r="H1735" s="111">
        <f ca="1">IFERROR(__xludf.DUMMYFUNCTION("""COMPUTED_VALUE"""),13.77)</f>
        <v>13.77</v>
      </c>
      <c r="K1735" s="112">
        <f ca="1">IFERROR(__xludf.DUMMYFUNCTION("""COMPUTED_VALUE"""),43273.7055555555)</f>
        <v>43273.705555555498</v>
      </c>
      <c r="L1735" s="111">
        <f ca="1">IFERROR(__xludf.DUMMYFUNCTION("""COMPUTED_VALUE"""),3.84)</f>
        <v>3.84</v>
      </c>
      <c r="M1735" s="112">
        <f ca="1">IFERROR(__xludf.DUMMYFUNCTION("""COMPUTED_VALUE"""),42732.7055555555)</f>
        <v>42732.705555555498</v>
      </c>
      <c r="N1735" s="111">
        <f ca="1">IFERROR(__xludf.DUMMYFUNCTION("""COMPUTED_VALUE"""),16.24)</f>
        <v>16.239999999999998</v>
      </c>
      <c r="O1735" s="112">
        <f ca="1">IFERROR(__xludf.DUMMYFUNCTION("""COMPUTED_VALUE"""),42810.7055555555)</f>
        <v>42810.705555555498</v>
      </c>
      <c r="P1735" s="111">
        <f ca="1">IFERROR(__xludf.DUMMYFUNCTION("""COMPUTED_VALUE"""),32.53)</f>
        <v>32.53</v>
      </c>
      <c r="Q1735" s="112">
        <f ca="1">IFERROR(__xludf.DUMMYFUNCTION("""COMPUTED_VALUE"""),42809.7055555555)</f>
        <v>42809.705555555498</v>
      </c>
      <c r="R1735" s="111">
        <f ca="1">IFERROR(__xludf.DUMMYFUNCTION("""COMPUTED_VALUE"""),34.19)</f>
        <v>34.19</v>
      </c>
      <c r="S1735" s="112">
        <f ca="1">IFERROR(__xludf.DUMMYFUNCTION("""COMPUTED_VALUE"""),42821.7055555555)</f>
        <v>42821.705555555498</v>
      </c>
      <c r="T1735" s="111">
        <f ca="1">IFERROR(__xludf.DUMMYFUNCTION("""COMPUTED_VALUE"""),20.18)</f>
        <v>20.18</v>
      </c>
    </row>
    <row r="1736" spans="1:20" x14ac:dyDescent="0.3">
      <c r="A1736" s="112">
        <f ca="1">IFERROR(__xludf.DUMMYFUNCTION("""COMPUTED_VALUE"""),42818.7055555555)</f>
        <v>42818.705555555498</v>
      </c>
      <c r="B1736" s="111">
        <f ca="1">IFERROR(__xludf.DUMMYFUNCTION("""COMPUTED_VALUE"""),18.81)</f>
        <v>18.809999999999999</v>
      </c>
      <c r="C1736" s="112">
        <f ca="1">IFERROR(__xludf.DUMMYFUNCTION("""COMPUTED_VALUE"""),42825.7055555555)</f>
        <v>42825.705555555498</v>
      </c>
      <c r="D1736" s="111">
        <f ca="1">IFERROR(__xludf.DUMMYFUNCTION("""COMPUTED_VALUE"""),25.27)</f>
        <v>25.27</v>
      </c>
      <c r="E1736" s="112">
        <f ca="1">IFERROR(__xludf.DUMMYFUNCTION("""COMPUTED_VALUE"""),42828.7055555555)</f>
        <v>42828.705555555498</v>
      </c>
      <c r="F1736" s="111">
        <f ca="1">IFERROR(__xludf.DUMMYFUNCTION("""COMPUTED_VALUE"""),8.29)</f>
        <v>8.2899999999999991</v>
      </c>
      <c r="G1736" s="112">
        <f ca="1">IFERROR(__xludf.DUMMYFUNCTION("""COMPUTED_VALUE"""),42822.7055555555)</f>
        <v>42822.705555555498</v>
      </c>
      <c r="H1736" s="111">
        <f ca="1">IFERROR(__xludf.DUMMYFUNCTION("""COMPUTED_VALUE"""),13.95)</f>
        <v>13.95</v>
      </c>
      <c r="K1736" s="112">
        <f ca="1">IFERROR(__xludf.DUMMYFUNCTION("""COMPUTED_VALUE"""),43276.7055555555)</f>
        <v>43276.705555555498</v>
      </c>
      <c r="L1736" s="111">
        <f ca="1">IFERROR(__xludf.DUMMYFUNCTION("""COMPUTED_VALUE"""),3.84)</f>
        <v>3.84</v>
      </c>
      <c r="M1736" s="112">
        <f ca="1">IFERROR(__xludf.DUMMYFUNCTION("""COMPUTED_VALUE"""),42733.7055555555)</f>
        <v>42733.705555555498</v>
      </c>
      <c r="N1736" s="111">
        <f ca="1">IFERROR(__xludf.DUMMYFUNCTION("""COMPUTED_VALUE"""),16.51)</f>
        <v>16.510000000000002</v>
      </c>
      <c r="O1736" s="112">
        <f ca="1">IFERROR(__xludf.DUMMYFUNCTION("""COMPUTED_VALUE"""),42811.7055555555)</f>
        <v>42811.705555555498</v>
      </c>
      <c r="P1736" s="111">
        <f ca="1">IFERROR(__xludf.DUMMYFUNCTION("""COMPUTED_VALUE"""),31.3)</f>
        <v>31.3</v>
      </c>
      <c r="Q1736" s="112">
        <f ca="1">IFERROR(__xludf.DUMMYFUNCTION("""COMPUTED_VALUE"""),42810.7055555555)</f>
        <v>42810.705555555498</v>
      </c>
      <c r="R1736" s="111">
        <f ca="1">IFERROR(__xludf.DUMMYFUNCTION("""COMPUTED_VALUE"""),33.73)</f>
        <v>33.729999999999997</v>
      </c>
      <c r="S1736" s="112">
        <f ca="1">IFERROR(__xludf.DUMMYFUNCTION("""COMPUTED_VALUE"""),42822.7055555555)</f>
        <v>42822.705555555498</v>
      </c>
      <c r="T1736" s="111">
        <f ca="1">IFERROR(__xludf.DUMMYFUNCTION("""COMPUTED_VALUE"""),20.55)</f>
        <v>20.55</v>
      </c>
    </row>
    <row r="1737" spans="1:20" x14ac:dyDescent="0.3">
      <c r="A1737" s="112">
        <f ca="1">IFERROR(__xludf.DUMMYFUNCTION("""COMPUTED_VALUE"""),42821.7055555555)</f>
        <v>42821.705555555498</v>
      </c>
      <c r="B1737" s="111">
        <f ca="1">IFERROR(__xludf.DUMMYFUNCTION("""COMPUTED_VALUE"""),17.79)</f>
        <v>17.79</v>
      </c>
      <c r="C1737" s="112">
        <f ca="1">IFERROR(__xludf.DUMMYFUNCTION("""COMPUTED_VALUE"""),42828.7055555555)</f>
        <v>42828.705555555498</v>
      </c>
      <c r="D1737" s="111">
        <f ca="1">IFERROR(__xludf.DUMMYFUNCTION("""COMPUTED_VALUE"""),25.68)</f>
        <v>25.68</v>
      </c>
      <c r="E1737" s="112">
        <f ca="1">IFERROR(__xludf.DUMMYFUNCTION("""COMPUTED_VALUE"""),42829.7055555555)</f>
        <v>42829.705555555498</v>
      </c>
      <c r="F1737" s="111">
        <f ca="1">IFERROR(__xludf.DUMMYFUNCTION("""COMPUTED_VALUE"""),8.41)</f>
        <v>8.41</v>
      </c>
      <c r="G1737" s="112">
        <f ca="1">IFERROR(__xludf.DUMMYFUNCTION("""COMPUTED_VALUE"""),42823.7055555555)</f>
        <v>42823.705555555498</v>
      </c>
      <c r="H1737" s="111">
        <f ca="1">IFERROR(__xludf.DUMMYFUNCTION("""COMPUTED_VALUE"""),14.45)</f>
        <v>14.45</v>
      </c>
      <c r="K1737" s="112">
        <f ca="1">IFERROR(__xludf.DUMMYFUNCTION("""COMPUTED_VALUE"""),43277.7055555555)</f>
        <v>43277.705555555498</v>
      </c>
      <c r="L1737" s="111">
        <f ca="1">IFERROR(__xludf.DUMMYFUNCTION("""COMPUTED_VALUE"""),3.87)</f>
        <v>3.87</v>
      </c>
      <c r="M1737" s="112">
        <f ca="1">IFERROR(__xludf.DUMMYFUNCTION("""COMPUTED_VALUE"""),42737.7055555555)</f>
        <v>42737.705555555498</v>
      </c>
      <c r="N1737" s="111">
        <f ca="1">IFERROR(__xludf.DUMMYFUNCTION("""COMPUTED_VALUE"""),16.39)</f>
        <v>16.39</v>
      </c>
      <c r="O1737" s="112">
        <f ca="1">IFERROR(__xludf.DUMMYFUNCTION("""COMPUTED_VALUE"""),42814.7055555555)</f>
        <v>42814.705555555498</v>
      </c>
      <c r="P1737" s="111">
        <f ca="1">IFERROR(__xludf.DUMMYFUNCTION("""COMPUTED_VALUE"""),31.63)</f>
        <v>31.63</v>
      </c>
      <c r="Q1737" s="112">
        <f ca="1">IFERROR(__xludf.DUMMYFUNCTION("""COMPUTED_VALUE"""),42811.7055555555)</f>
        <v>42811.705555555498</v>
      </c>
      <c r="R1737" s="111">
        <f ca="1">IFERROR(__xludf.DUMMYFUNCTION("""COMPUTED_VALUE"""),32.81)</f>
        <v>32.81</v>
      </c>
      <c r="S1737" s="112">
        <f ca="1">IFERROR(__xludf.DUMMYFUNCTION("""COMPUTED_VALUE"""),42823.7055555555)</f>
        <v>42823.705555555498</v>
      </c>
      <c r="T1737" s="111">
        <f ca="1">IFERROR(__xludf.DUMMYFUNCTION("""COMPUTED_VALUE"""),20.96)</f>
        <v>20.96</v>
      </c>
    </row>
    <row r="1738" spans="1:20" x14ac:dyDescent="0.3">
      <c r="A1738" s="112">
        <f ca="1">IFERROR(__xludf.DUMMYFUNCTION("""COMPUTED_VALUE"""),42822.7055555555)</f>
        <v>42822.705555555498</v>
      </c>
      <c r="B1738" s="111">
        <f ca="1">IFERROR(__xludf.DUMMYFUNCTION("""COMPUTED_VALUE"""),17.15)</f>
        <v>17.149999999999999</v>
      </c>
      <c r="C1738" s="112">
        <f ca="1">IFERROR(__xludf.DUMMYFUNCTION("""COMPUTED_VALUE"""),42829.7055555555)</f>
        <v>42829.705555555498</v>
      </c>
      <c r="D1738" s="111">
        <f ca="1">IFERROR(__xludf.DUMMYFUNCTION("""COMPUTED_VALUE"""),25.81)</f>
        <v>25.81</v>
      </c>
      <c r="E1738" s="112">
        <f ca="1">IFERROR(__xludf.DUMMYFUNCTION("""COMPUTED_VALUE"""),42830.7055555555)</f>
        <v>42830.705555555498</v>
      </c>
      <c r="F1738" s="111">
        <f ca="1">IFERROR(__xludf.DUMMYFUNCTION("""COMPUTED_VALUE"""),8.31)</f>
        <v>8.31</v>
      </c>
      <c r="G1738" s="112">
        <f ca="1">IFERROR(__xludf.DUMMYFUNCTION("""COMPUTED_VALUE"""),42824.7055555555)</f>
        <v>42824.705555555498</v>
      </c>
      <c r="H1738" s="111">
        <f ca="1">IFERROR(__xludf.DUMMYFUNCTION("""COMPUTED_VALUE"""),14.45)</f>
        <v>14.45</v>
      </c>
      <c r="K1738" s="112">
        <f ca="1">IFERROR(__xludf.DUMMYFUNCTION("""COMPUTED_VALUE"""),43278.7055555555)</f>
        <v>43278.705555555498</v>
      </c>
      <c r="L1738" s="111">
        <f ca="1">IFERROR(__xludf.DUMMYFUNCTION("""COMPUTED_VALUE"""),3.8)</f>
        <v>3.8</v>
      </c>
      <c r="M1738" s="112">
        <f ca="1">IFERROR(__xludf.DUMMYFUNCTION("""COMPUTED_VALUE"""),42738.7055555555)</f>
        <v>42738.705555555498</v>
      </c>
      <c r="N1738" s="111">
        <f ca="1">IFERROR(__xludf.DUMMYFUNCTION("""COMPUTED_VALUE"""),17.08)</f>
        <v>17.079999999999998</v>
      </c>
      <c r="O1738" s="112">
        <f ca="1">IFERROR(__xludf.DUMMYFUNCTION("""COMPUTED_VALUE"""),42815.7055555555)</f>
        <v>42815.705555555498</v>
      </c>
      <c r="P1738" s="111">
        <f ca="1">IFERROR(__xludf.DUMMYFUNCTION("""COMPUTED_VALUE"""),29.04)</f>
        <v>29.04</v>
      </c>
      <c r="Q1738" s="112">
        <f ca="1">IFERROR(__xludf.DUMMYFUNCTION("""COMPUTED_VALUE"""),42814.7055555555)</f>
        <v>42814.705555555498</v>
      </c>
      <c r="R1738" s="111">
        <f ca="1">IFERROR(__xludf.DUMMYFUNCTION("""COMPUTED_VALUE"""),32.75)</f>
        <v>32.75</v>
      </c>
      <c r="S1738" s="112">
        <f ca="1">IFERROR(__xludf.DUMMYFUNCTION("""COMPUTED_VALUE"""),42824.7055555555)</f>
        <v>42824.705555555498</v>
      </c>
      <c r="T1738" s="111">
        <f ca="1">IFERROR(__xludf.DUMMYFUNCTION("""COMPUTED_VALUE"""),20.9)</f>
        <v>20.9</v>
      </c>
    </row>
    <row r="1739" spans="1:20" x14ac:dyDescent="0.3">
      <c r="A1739" s="112">
        <f ca="1">IFERROR(__xludf.DUMMYFUNCTION("""COMPUTED_VALUE"""),42823.7055555555)</f>
        <v>42823.705555555498</v>
      </c>
      <c r="B1739" s="111">
        <f ca="1">IFERROR(__xludf.DUMMYFUNCTION("""COMPUTED_VALUE"""),16.96)</f>
        <v>16.96</v>
      </c>
      <c r="C1739" s="112">
        <f ca="1">IFERROR(__xludf.DUMMYFUNCTION("""COMPUTED_VALUE"""),42830.7055555555)</f>
        <v>42830.705555555498</v>
      </c>
      <c r="D1739" s="111">
        <f ca="1">IFERROR(__xludf.DUMMYFUNCTION("""COMPUTED_VALUE"""),25.34)</f>
        <v>25.34</v>
      </c>
      <c r="E1739" s="112">
        <f ca="1">IFERROR(__xludf.DUMMYFUNCTION("""COMPUTED_VALUE"""),42831.7055555555)</f>
        <v>42831.705555555498</v>
      </c>
      <c r="F1739" s="111">
        <f ca="1">IFERROR(__xludf.DUMMYFUNCTION("""COMPUTED_VALUE"""),8.2)</f>
        <v>8.1999999999999993</v>
      </c>
      <c r="G1739" s="112">
        <f ca="1">IFERROR(__xludf.DUMMYFUNCTION("""COMPUTED_VALUE"""),42825.7055555555)</f>
        <v>42825.705555555498</v>
      </c>
      <c r="H1739" s="111">
        <f ca="1">IFERROR(__xludf.DUMMYFUNCTION("""COMPUTED_VALUE"""),14.49)</f>
        <v>14.49</v>
      </c>
      <c r="K1739" s="112">
        <f ca="1">IFERROR(__xludf.DUMMYFUNCTION("""COMPUTED_VALUE"""),43279.7055555555)</f>
        <v>43279.705555555498</v>
      </c>
      <c r="L1739" s="111">
        <f ca="1">IFERROR(__xludf.DUMMYFUNCTION("""COMPUTED_VALUE"""),3.86)</f>
        <v>3.86</v>
      </c>
      <c r="M1739" s="112">
        <f ca="1">IFERROR(__xludf.DUMMYFUNCTION("""COMPUTED_VALUE"""),42739.7055555555)</f>
        <v>42739.705555555498</v>
      </c>
      <c r="N1739" s="111">
        <f ca="1">IFERROR(__xludf.DUMMYFUNCTION("""COMPUTED_VALUE"""),16.97)</f>
        <v>16.97</v>
      </c>
      <c r="O1739" s="112">
        <f ca="1">IFERROR(__xludf.DUMMYFUNCTION("""COMPUTED_VALUE"""),42816.7055555555)</f>
        <v>42816.705555555498</v>
      </c>
      <c r="P1739" s="111">
        <f ca="1">IFERROR(__xludf.DUMMYFUNCTION("""COMPUTED_VALUE"""),29.4)</f>
        <v>29.4</v>
      </c>
      <c r="Q1739" s="112">
        <f ca="1">IFERROR(__xludf.DUMMYFUNCTION("""COMPUTED_VALUE"""),42815.7055555555)</f>
        <v>42815.705555555498</v>
      </c>
      <c r="R1739" s="111">
        <f ca="1">IFERROR(__xludf.DUMMYFUNCTION("""COMPUTED_VALUE"""),31.97)</f>
        <v>31.97</v>
      </c>
      <c r="S1739" s="112">
        <f ca="1">IFERROR(__xludf.DUMMYFUNCTION("""COMPUTED_VALUE"""),42825.7055555555)</f>
        <v>42825.705555555498</v>
      </c>
      <c r="T1739" s="111">
        <f ca="1">IFERROR(__xludf.DUMMYFUNCTION("""COMPUTED_VALUE"""),20.89)</f>
        <v>20.89</v>
      </c>
    </row>
    <row r="1740" spans="1:20" x14ac:dyDescent="0.3">
      <c r="A1740" s="112">
        <f ca="1">IFERROR(__xludf.DUMMYFUNCTION("""COMPUTED_VALUE"""),42824.7055555555)</f>
        <v>42824.705555555498</v>
      </c>
      <c r="B1740" s="111">
        <f ca="1">IFERROR(__xludf.DUMMYFUNCTION("""COMPUTED_VALUE"""),17.02)</f>
        <v>17.02</v>
      </c>
      <c r="C1740" s="112">
        <f ca="1">IFERROR(__xludf.DUMMYFUNCTION("""COMPUTED_VALUE"""),42831.7055555555)</f>
        <v>42831.705555555498</v>
      </c>
      <c r="D1740" s="111">
        <f ca="1">IFERROR(__xludf.DUMMYFUNCTION("""COMPUTED_VALUE"""),25.14)</f>
        <v>25.14</v>
      </c>
      <c r="E1740" s="112">
        <f ca="1">IFERROR(__xludf.DUMMYFUNCTION("""COMPUTED_VALUE"""),42832.7055555555)</f>
        <v>42832.705555555498</v>
      </c>
      <c r="F1740" s="111">
        <f ca="1">IFERROR(__xludf.DUMMYFUNCTION("""COMPUTED_VALUE"""),8.24)</f>
        <v>8.24</v>
      </c>
      <c r="G1740" s="112">
        <f ca="1">IFERROR(__xludf.DUMMYFUNCTION("""COMPUTED_VALUE"""),42828.7055555555)</f>
        <v>42828.705555555498</v>
      </c>
      <c r="H1740" s="111">
        <f ca="1">IFERROR(__xludf.DUMMYFUNCTION("""COMPUTED_VALUE"""),14.67)</f>
        <v>14.67</v>
      </c>
      <c r="K1740" s="112">
        <f ca="1">IFERROR(__xludf.DUMMYFUNCTION("""COMPUTED_VALUE"""),43280.7055555555)</f>
        <v>43280.705555555498</v>
      </c>
      <c r="L1740" s="111">
        <f ca="1">IFERROR(__xludf.DUMMYFUNCTION("""COMPUTED_VALUE"""),4)</f>
        <v>4</v>
      </c>
      <c r="M1740" s="112">
        <f ca="1">IFERROR(__xludf.DUMMYFUNCTION("""COMPUTED_VALUE"""),42740.7055555555)</f>
        <v>42740.705555555498</v>
      </c>
      <c r="N1740" s="111">
        <f ca="1">IFERROR(__xludf.DUMMYFUNCTION("""COMPUTED_VALUE"""),17.16)</f>
        <v>17.16</v>
      </c>
      <c r="O1740" s="112">
        <f ca="1">IFERROR(__xludf.DUMMYFUNCTION("""COMPUTED_VALUE"""),42817.7055555555)</f>
        <v>42817.705555555498</v>
      </c>
      <c r="P1740" s="111">
        <f ca="1">IFERROR(__xludf.DUMMYFUNCTION("""COMPUTED_VALUE"""),29.24)</f>
        <v>29.24</v>
      </c>
      <c r="Q1740" s="112">
        <f ca="1">IFERROR(__xludf.DUMMYFUNCTION("""COMPUTED_VALUE"""),42816.7055555555)</f>
        <v>42816.705555555498</v>
      </c>
      <c r="R1740" s="111">
        <f ca="1">IFERROR(__xludf.DUMMYFUNCTION("""COMPUTED_VALUE"""),33.05)</f>
        <v>33.049999999999997</v>
      </c>
      <c r="S1740" s="112">
        <f ca="1">IFERROR(__xludf.DUMMYFUNCTION("""COMPUTED_VALUE"""),42828.7055555555)</f>
        <v>42828.705555555498</v>
      </c>
      <c r="T1740" s="111">
        <f ca="1">IFERROR(__xludf.DUMMYFUNCTION("""COMPUTED_VALUE"""),20.84)</f>
        <v>20.84</v>
      </c>
    </row>
    <row r="1741" spans="1:20" x14ac:dyDescent="0.3">
      <c r="A1741" s="112">
        <f ca="1">IFERROR(__xludf.DUMMYFUNCTION("""COMPUTED_VALUE"""),42825.7055555555)</f>
        <v>42825.705555555498</v>
      </c>
      <c r="B1741" s="111">
        <f ca="1">IFERROR(__xludf.DUMMYFUNCTION("""COMPUTED_VALUE"""),16.91)</f>
        <v>16.91</v>
      </c>
      <c r="C1741" s="112">
        <f ca="1">IFERROR(__xludf.DUMMYFUNCTION("""COMPUTED_VALUE"""),42832.7055555555)</f>
        <v>42832.705555555498</v>
      </c>
      <c r="D1741" s="111">
        <f ca="1">IFERROR(__xludf.DUMMYFUNCTION("""COMPUTED_VALUE"""),25.33)</f>
        <v>25.33</v>
      </c>
      <c r="E1741" s="112">
        <f ca="1">IFERROR(__xludf.DUMMYFUNCTION("""COMPUTED_VALUE"""),42835.7055555555)</f>
        <v>42835.705555555498</v>
      </c>
      <c r="F1741" s="111">
        <f ca="1">IFERROR(__xludf.DUMMYFUNCTION("""COMPUTED_VALUE"""),8.28)</f>
        <v>8.2799999999999994</v>
      </c>
      <c r="G1741" s="112">
        <f ca="1">IFERROR(__xludf.DUMMYFUNCTION("""COMPUTED_VALUE"""),42829.7055555555)</f>
        <v>42829.705555555498</v>
      </c>
      <c r="H1741" s="111">
        <f ca="1">IFERROR(__xludf.DUMMYFUNCTION("""COMPUTED_VALUE"""),14.85)</f>
        <v>14.85</v>
      </c>
      <c r="K1741" s="112">
        <f ca="1">IFERROR(__xludf.DUMMYFUNCTION("""COMPUTED_VALUE"""),43283.7055555555)</f>
        <v>43283.705555555498</v>
      </c>
      <c r="L1741" s="111">
        <f ca="1">IFERROR(__xludf.DUMMYFUNCTION("""COMPUTED_VALUE"""),3.92)</f>
        <v>3.92</v>
      </c>
      <c r="M1741" s="112">
        <f ca="1">IFERROR(__xludf.DUMMYFUNCTION("""COMPUTED_VALUE"""),42741.7055555555)</f>
        <v>42741.705555555498</v>
      </c>
      <c r="N1741" s="111">
        <f ca="1">IFERROR(__xludf.DUMMYFUNCTION("""COMPUTED_VALUE"""),17.26)</f>
        <v>17.260000000000002</v>
      </c>
      <c r="O1741" s="112">
        <f ca="1">IFERROR(__xludf.DUMMYFUNCTION("""COMPUTED_VALUE"""),42818.7055555555)</f>
        <v>42818.705555555498</v>
      </c>
      <c r="P1741" s="111">
        <f ca="1">IFERROR(__xludf.DUMMYFUNCTION("""COMPUTED_VALUE"""),29)</f>
        <v>29</v>
      </c>
      <c r="Q1741" s="112">
        <f ca="1">IFERROR(__xludf.DUMMYFUNCTION("""COMPUTED_VALUE"""),42817.7055555555)</f>
        <v>42817.705555555498</v>
      </c>
      <c r="R1741" s="111">
        <f ca="1">IFERROR(__xludf.DUMMYFUNCTION("""COMPUTED_VALUE"""),33.05)</f>
        <v>33.049999999999997</v>
      </c>
      <c r="S1741" s="112">
        <f ca="1">IFERROR(__xludf.DUMMYFUNCTION("""COMPUTED_VALUE"""),42829.7055555555)</f>
        <v>42829.705555555498</v>
      </c>
      <c r="T1741" s="111">
        <f ca="1">IFERROR(__xludf.DUMMYFUNCTION("""COMPUTED_VALUE"""),20.92)</f>
        <v>20.92</v>
      </c>
    </row>
    <row r="1742" spans="1:20" x14ac:dyDescent="0.3">
      <c r="A1742" s="112">
        <f ca="1">IFERROR(__xludf.DUMMYFUNCTION("""COMPUTED_VALUE"""),42828.7055555555)</f>
        <v>42828.705555555498</v>
      </c>
      <c r="B1742" s="111">
        <f ca="1">IFERROR(__xludf.DUMMYFUNCTION("""COMPUTED_VALUE"""),17.01)</f>
        <v>17.010000000000002</v>
      </c>
      <c r="C1742" s="112">
        <f ca="1">IFERROR(__xludf.DUMMYFUNCTION("""COMPUTED_VALUE"""),42835.7055555555)</f>
        <v>42835.705555555498</v>
      </c>
      <c r="D1742" s="111">
        <f ca="1">IFERROR(__xludf.DUMMYFUNCTION("""COMPUTED_VALUE"""),25.29)</f>
        <v>25.29</v>
      </c>
      <c r="E1742" s="112">
        <f ca="1">IFERROR(__xludf.DUMMYFUNCTION("""COMPUTED_VALUE"""),42836.7055555555)</f>
        <v>42836.705555555498</v>
      </c>
      <c r="F1742" s="111">
        <f ca="1">IFERROR(__xludf.DUMMYFUNCTION("""COMPUTED_VALUE"""),8.31)</f>
        <v>8.31</v>
      </c>
      <c r="G1742" s="112">
        <f ca="1">IFERROR(__xludf.DUMMYFUNCTION("""COMPUTED_VALUE"""),42830.7055555555)</f>
        <v>42830.705555555498</v>
      </c>
      <c r="H1742" s="111">
        <f ca="1">IFERROR(__xludf.DUMMYFUNCTION("""COMPUTED_VALUE"""),14.57)</f>
        <v>14.57</v>
      </c>
      <c r="K1742" s="112">
        <f ca="1">IFERROR(__xludf.DUMMYFUNCTION("""COMPUTED_VALUE"""),43284.7055555555)</f>
        <v>43284.705555555498</v>
      </c>
      <c r="L1742" s="111">
        <f ca="1">IFERROR(__xludf.DUMMYFUNCTION("""COMPUTED_VALUE"""),3.89)</f>
        <v>3.89</v>
      </c>
      <c r="M1742" s="112">
        <f ca="1">IFERROR(__xludf.DUMMYFUNCTION("""COMPUTED_VALUE"""),42744.7055555555)</f>
        <v>42744.705555555498</v>
      </c>
      <c r="N1742" s="111">
        <f ca="1">IFERROR(__xludf.DUMMYFUNCTION("""COMPUTED_VALUE"""),17.29)</f>
        <v>17.29</v>
      </c>
      <c r="O1742" s="112">
        <f ca="1">IFERROR(__xludf.DUMMYFUNCTION("""COMPUTED_VALUE"""),42821.7055555555)</f>
        <v>42821.705555555498</v>
      </c>
      <c r="P1742" s="111">
        <f ca="1">IFERROR(__xludf.DUMMYFUNCTION("""COMPUTED_VALUE"""),29.39)</f>
        <v>29.39</v>
      </c>
      <c r="Q1742" s="112">
        <f ca="1">IFERROR(__xludf.DUMMYFUNCTION("""COMPUTED_VALUE"""),42818.7055555555)</f>
        <v>42818.705555555498</v>
      </c>
      <c r="R1742" s="111">
        <f ca="1">IFERROR(__xludf.DUMMYFUNCTION("""COMPUTED_VALUE"""),33.2)</f>
        <v>33.200000000000003</v>
      </c>
      <c r="S1742" s="112">
        <f ca="1">IFERROR(__xludf.DUMMYFUNCTION("""COMPUTED_VALUE"""),42830.7055555555)</f>
        <v>42830.705555555498</v>
      </c>
      <c r="T1742" s="111">
        <f ca="1">IFERROR(__xludf.DUMMYFUNCTION("""COMPUTED_VALUE"""),21.31)</f>
        <v>21.31</v>
      </c>
    </row>
    <row r="1743" spans="1:20" x14ac:dyDescent="0.3">
      <c r="A1743" s="112">
        <f ca="1">IFERROR(__xludf.DUMMYFUNCTION("""COMPUTED_VALUE"""),42829.7055555555)</f>
        <v>42829.705555555498</v>
      </c>
      <c r="B1743" s="111">
        <f ca="1">IFERROR(__xludf.DUMMYFUNCTION("""COMPUTED_VALUE"""),16.92)</f>
        <v>16.920000000000002</v>
      </c>
      <c r="C1743" s="112">
        <f ca="1">IFERROR(__xludf.DUMMYFUNCTION("""COMPUTED_VALUE"""),42836.7055555555)</f>
        <v>42836.705555555498</v>
      </c>
      <c r="D1743" s="111">
        <f ca="1">IFERROR(__xludf.DUMMYFUNCTION("""COMPUTED_VALUE"""),25.24)</f>
        <v>25.24</v>
      </c>
      <c r="E1743" s="112">
        <f ca="1">IFERROR(__xludf.DUMMYFUNCTION("""COMPUTED_VALUE"""),42837.7055555555)</f>
        <v>42837.705555555498</v>
      </c>
      <c r="F1743" s="111">
        <f ca="1">IFERROR(__xludf.DUMMYFUNCTION("""COMPUTED_VALUE"""),8.27)</f>
        <v>8.27</v>
      </c>
      <c r="G1743" s="112">
        <f ca="1">IFERROR(__xludf.DUMMYFUNCTION("""COMPUTED_VALUE"""),42831.7055555555)</f>
        <v>42831.705555555498</v>
      </c>
      <c r="H1743" s="111">
        <f ca="1">IFERROR(__xludf.DUMMYFUNCTION("""COMPUTED_VALUE"""),14.53)</f>
        <v>14.53</v>
      </c>
      <c r="K1743" s="112">
        <f ca="1">IFERROR(__xludf.DUMMYFUNCTION("""COMPUTED_VALUE"""),43285.7055555555)</f>
        <v>43285.705555555498</v>
      </c>
      <c r="L1743" s="111">
        <f ca="1">IFERROR(__xludf.DUMMYFUNCTION("""COMPUTED_VALUE"""),3.89)</f>
        <v>3.89</v>
      </c>
      <c r="M1743" s="112">
        <f ca="1">IFERROR(__xludf.DUMMYFUNCTION("""COMPUTED_VALUE"""),42745.7055555555)</f>
        <v>42745.705555555498</v>
      </c>
      <c r="N1743" s="111">
        <f ca="1">IFERROR(__xludf.DUMMYFUNCTION("""COMPUTED_VALUE"""),17.29)</f>
        <v>17.29</v>
      </c>
      <c r="O1743" s="112">
        <f ca="1">IFERROR(__xludf.DUMMYFUNCTION("""COMPUTED_VALUE"""),42822.7055555555)</f>
        <v>42822.705555555498</v>
      </c>
      <c r="P1743" s="111">
        <f ca="1">IFERROR(__xludf.DUMMYFUNCTION("""COMPUTED_VALUE"""),29.81)</f>
        <v>29.81</v>
      </c>
      <c r="Q1743" s="112">
        <f ca="1">IFERROR(__xludf.DUMMYFUNCTION("""COMPUTED_VALUE"""),42821.7055555555)</f>
        <v>42821.705555555498</v>
      </c>
      <c r="R1743" s="111">
        <f ca="1">IFERROR(__xludf.DUMMYFUNCTION("""COMPUTED_VALUE"""),33.31)</f>
        <v>33.31</v>
      </c>
      <c r="S1743" s="112">
        <f ca="1">IFERROR(__xludf.DUMMYFUNCTION("""COMPUTED_VALUE"""),42831.7055555555)</f>
        <v>42831.705555555498</v>
      </c>
      <c r="T1743" s="111">
        <f ca="1">IFERROR(__xludf.DUMMYFUNCTION("""COMPUTED_VALUE"""),21.19)</f>
        <v>21.19</v>
      </c>
    </row>
    <row r="1744" spans="1:20" x14ac:dyDescent="0.3">
      <c r="A1744" s="112">
        <f ca="1">IFERROR(__xludf.DUMMYFUNCTION("""COMPUTED_VALUE"""),42830.7055555555)</f>
        <v>42830.705555555498</v>
      </c>
      <c r="B1744" s="111">
        <f ca="1">IFERROR(__xludf.DUMMYFUNCTION("""COMPUTED_VALUE"""),16.32)</f>
        <v>16.32</v>
      </c>
      <c r="C1744" s="112">
        <f ca="1">IFERROR(__xludf.DUMMYFUNCTION("""COMPUTED_VALUE"""),42837.7055555555)</f>
        <v>42837.705555555498</v>
      </c>
      <c r="D1744" s="111">
        <f ca="1">IFERROR(__xludf.DUMMYFUNCTION("""COMPUTED_VALUE"""),25.21)</f>
        <v>25.21</v>
      </c>
      <c r="E1744" s="112">
        <f ca="1">IFERROR(__xludf.DUMMYFUNCTION("""COMPUTED_VALUE"""),42838.7055555555)</f>
        <v>42838.705555555498</v>
      </c>
      <c r="F1744" s="111">
        <f ca="1">IFERROR(__xludf.DUMMYFUNCTION("""COMPUTED_VALUE"""),8.06)</f>
        <v>8.06</v>
      </c>
      <c r="G1744" s="112">
        <f ca="1">IFERROR(__xludf.DUMMYFUNCTION("""COMPUTED_VALUE"""),42832.7055555555)</f>
        <v>42832.705555555498</v>
      </c>
      <c r="H1744" s="111">
        <f ca="1">IFERROR(__xludf.DUMMYFUNCTION("""COMPUTED_VALUE"""),14.7)</f>
        <v>14.7</v>
      </c>
      <c r="K1744" s="112">
        <f ca="1">IFERROR(__xludf.DUMMYFUNCTION("""COMPUTED_VALUE"""),43286.7055555555)</f>
        <v>43286.705555555498</v>
      </c>
      <c r="L1744" s="111">
        <f ca="1">IFERROR(__xludf.DUMMYFUNCTION("""COMPUTED_VALUE"""),3.75)</f>
        <v>3.75</v>
      </c>
      <c r="M1744" s="112">
        <f ca="1">IFERROR(__xludf.DUMMYFUNCTION("""COMPUTED_VALUE"""),42746.7055555555)</f>
        <v>42746.705555555498</v>
      </c>
      <c r="N1744" s="111">
        <f ca="1">IFERROR(__xludf.DUMMYFUNCTION("""COMPUTED_VALUE"""),17.42)</f>
        <v>17.420000000000002</v>
      </c>
      <c r="O1744" s="112">
        <f ca="1">IFERROR(__xludf.DUMMYFUNCTION("""COMPUTED_VALUE"""),42823.7055555555)</f>
        <v>42823.705555555498</v>
      </c>
      <c r="P1744" s="111">
        <f ca="1">IFERROR(__xludf.DUMMYFUNCTION("""COMPUTED_VALUE"""),30.11)</f>
        <v>30.11</v>
      </c>
      <c r="Q1744" s="112">
        <f ca="1">IFERROR(__xludf.DUMMYFUNCTION("""COMPUTED_VALUE"""),42822.7055555555)</f>
        <v>42822.705555555498</v>
      </c>
      <c r="R1744" s="111">
        <f ca="1">IFERROR(__xludf.DUMMYFUNCTION("""COMPUTED_VALUE"""),33.1)</f>
        <v>33.1</v>
      </c>
      <c r="S1744" s="112">
        <f ca="1">IFERROR(__xludf.DUMMYFUNCTION("""COMPUTED_VALUE"""),42832.7055555555)</f>
        <v>42832.705555555498</v>
      </c>
      <c r="T1744" s="111">
        <f ca="1">IFERROR(__xludf.DUMMYFUNCTION("""COMPUTED_VALUE"""),21.33)</f>
        <v>21.33</v>
      </c>
    </row>
    <row r="1745" spans="1:20" x14ac:dyDescent="0.3">
      <c r="A1745" s="112">
        <f ca="1">IFERROR(__xludf.DUMMYFUNCTION("""COMPUTED_VALUE"""),42831.7055555555)</f>
        <v>42831.705555555498</v>
      </c>
      <c r="B1745" s="111">
        <f ca="1">IFERROR(__xludf.DUMMYFUNCTION("""COMPUTED_VALUE"""),15.79)</f>
        <v>15.79</v>
      </c>
      <c r="C1745" s="112">
        <f ca="1">IFERROR(__xludf.DUMMYFUNCTION("""COMPUTED_VALUE"""),42838.7055555555)</f>
        <v>42838.705555555498</v>
      </c>
      <c r="D1745" s="111">
        <f ca="1">IFERROR(__xludf.DUMMYFUNCTION("""COMPUTED_VALUE"""),24.75)</f>
        <v>24.75</v>
      </c>
      <c r="E1745" s="112">
        <f ca="1">IFERROR(__xludf.DUMMYFUNCTION("""COMPUTED_VALUE"""),42842.7055555555)</f>
        <v>42842.705555555498</v>
      </c>
      <c r="F1745" s="111">
        <f ca="1">IFERROR(__xludf.DUMMYFUNCTION("""COMPUTED_VALUE"""),8.28)</f>
        <v>8.2799999999999994</v>
      </c>
      <c r="G1745" s="112">
        <f ca="1">IFERROR(__xludf.DUMMYFUNCTION("""COMPUTED_VALUE"""),42835.7055555555)</f>
        <v>42835.705555555498</v>
      </c>
      <c r="H1745" s="111">
        <f ca="1">IFERROR(__xludf.DUMMYFUNCTION("""COMPUTED_VALUE"""),14.94)</f>
        <v>14.94</v>
      </c>
      <c r="K1745" s="112">
        <f ca="1">IFERROR(__xludf.DUMMYFUNCTION("""COMPUTED_VALUE"""),43287.7055555555)</f>
        <v>43287.705555555498</v>
      </c>
      <c r="L1745" s="111">
        <f ca="1">IFERROR(__xludf.DUMMYFUNCTION("""COMPUTED_VALUE"""),3.8)</f>
        <v>3.8</v>
      </c>
      <c r="M1745" s="112">
        <f ca="1">IFERROR(__xludf.DUMMYFUNCTION("""COMPUTED_VALUE"""),42747.7055555555)</f>
        <v>42747.705555555498</v>
      </c>
      <c r="N1745" s="111">
        <f ca="1">IFERROR(__xludf.DUMMYFUNCTION("""COMPUTED_VALUE"""),17.83)</f>
        <v>17.829999999999998</v>
      </c>
      <c r="O1745" s="112">
        <f ca="1">IFERROR(__xludf.DUMMYFUNCTION("""COMPUTED_VALUE"""),42824.7055555555)</f>
        <v>42824.705555555498</v>
      </c>
      <c r="P1745" s="111">
        <f ca="1">IFERROR(__xludf.DUMMYFUNCTION("""COMPUTED_VALUE"""),30.1)</f>
        <v>30.1</v>
      </c>
      <c r="Q1745" s="112">
        <f ca="1">IFERROR(__xludf.DUMMYFUNCTION("""COMPUTED_VALUE"""),42823.7055555555)</f>
        <v>42823.705555555498</v>
      </c>
      <c r="R1745" s="111">
        <f ca="1">IFERROR(__xludf.DUMMYFUNCTION("""COMPUTED_VALUE"""),34.3)</f>
        <v>34.299999999999997</v>
      </c>
      <c r="S1745" s="112">
        <f ca="1">IFERROR(__xludf.DUMMYFUNCTION("""COMPUTED_VALUE"""),42835.7055555555)</f>
        <v>42835.705555555498</v>
      </c>
      <c r="T1745" s="111">
        <f ca="1">IFERROR(__xludf.DUMMYFUNCTION("""COMPUTED_VALUE"""),21.7)</f>
        <v>21.7</v>
      </c>
    </row>
    <row r="1746" spans="1:20" x14ac:dyDescent="0.3">
      <c r="A1746" s="112">
        <f ca="1">IFERROR(__xludf.DUMMYFUNCTION("""COMPUTED_VALUE"""),42832.7055555555)</f>
        <v>42832.705555555498</v>
      </c>
      <c r="B1746" s="111">
        <f ca="1">IFERROR(__xludf.DUMMYFUNCTION("""COMPUTED_VALUE"""),15.59)</f>
        <v>15.59</v>
      </c>
      <c r="C1746" s="112">
        <f ca="1">IFERROR(__xludf.DUMMYFUNCTION("""COMPUTED_VALUE"""),42842.7055555555)</f>
        <v>42842.705555555498</v>
      </c>
      <c r="D1746" s="111">
        <f ca="1">IFERROR(__xludf.DUMMYFUNCTION("""COMPUTED_VALUE"""),25.85)</f>
        <v>25.85</v>
      </c>
      <c r="E1746" s="112">
        <f ca="1">IFERROR(__xludf.DUMMYFUNCTION("""COMPUTED_VALUE"""),42843.7055555555)</f>
        <v>42843.705555555498</v>
      </c>
      <c r="F1746" s="111">
        <f ca="1">IFERROR(__xludf.DUMMYFUNCTION("""COMPUTED_VALUE"""),8.35)</f>
        <v>8.35</v>
      </c>
      <c r="G1746" s="112">
        <f ca="1">IFERROR(__xludf.DUMMYFUNCTION("""COMPUTED_VALUE"""),42836.7055555555)</f>
        <v>42836.705555555498</v>
      </c>
      <c r="H1746" s="111">
        <f ca="1">IFERROR(__xludf.DUMMYFUNCTION("""COMPUTED_VALUE"""),14.68)</f>
        <v>14.68</v>
      </c>
      <c r="K1746" s="112">
        <f ca="1">IFERROR(__xludf.DUMMYFUNCTION("""COMPUTED_VALUE"""),43291.7055555555)</f>
        <v>43291.705555555498</v>
      </c>
      <c r="L1746" s="111">
        <f ca="1">IFERROR(__xludf.DUMMYFUNCTION("""COMPUTED_VALUE"""),3.69)</f>
        <v>3.69</v>
      </c>
      <c r="M1746" s="112">
        <f ca="1">IFERROR(__xludf.DUMMYFUNCTION("""COMPUTED_VALUE"""),42748.7055555555)</f>
        <v>42748.705555555498</v>
      </c>
      <c r="N1746" s="111">
        <f ca="1">IFERROR(__xludf.DUMMYFUNCTION("""COMPUTED_VALUE"""),17.68)</f>
        <v>17.68</v>
      </c>
      <c r="O1746" s="112">
        <f ca="1">IFERROR(__xludf.DUMMYFUNCTION("""COMPUTED_VALUE"""),42825.7055555555)</f>
        <v>42825.705555555498</v>
      </c>
      <c r="P1746" s="111">
        <f ca="1">IFERROR(__xludf.DUMMYFUNCTION("""COMPUTED_VALUE"""),29.79)</f>
        <v>29.79</v>
      </c>
      <c r="Q1746" s="112">
        <f ca="1">IFERROR(__xludf.DUMMYFUNCTION("""COMPUTED_VALUE"""),42824.7055555555)</f>
        <v>42824.705555555498</v>
      </c>
      <c r="R1746" s="111">
        <f ca="1">IFERROR(__xludf.DUMMYFUNCTION("""COMPUTED_VALUE"""),34.07)</f>
        <v>34.07</v>
      </c>
      <c r="S1746" s="112">
        <f ca="1">IFERROR(__xludf.DUMMYFUNCTION("""COMPUTED_VALUE"""),42836.7055555555)</f>
        <v>42836.705555555498</v>
      </c>
      <c r="T1746" s="111">
        <f ca="1">IFERROR(__xludf.DUMMYFUNCTION("""COMPUTED_VALUE"""),21.56)</f>
        <v>21.56</v>
      </c>
    </row>
    <row r="1747" spans="1:20" x14ac:dyDescent="0.3">
      <c r="A1747" s="112">
        <f ca="1">IFERROR(__xludf.DUMMYFUNCTION("""COMPUTED_VALUE"""),42835.7055555555)</f>
        <v>42835.705555555498</v>
      </c>
      <c r="B1747" s="111">
        <f ca="1">IFERROR(__xludf.DUMMYFUNCTION("""COMPUTED_VALUE"""),15.21)</f>
        <v>15.21</v>
      </c>
      <c r="C1747" s="112">
        <f ca="1">IFERROR(__xludf.DUMMYFUNCTION("""COMPUTED_VALUE"""),42843.7055555555)</f>
        <v>42843.705555555498</v>
      </c>
      <c r="D1747" s="111">
        <f ca="1">IFERROR(__xludf.DUMMYFUNCTION("""COMPUTED_VALUE"""),25.76)</f>
        <v>25.76</v>
      </c>
      <c r="E1747" s="112">
        <f ca="1">IFERROR(__xludf.DUMMYFUNCTION("""COMPUTED_VALUE"""),42844.7055555555)</f>
        <v>42844.705555555498</v>
      </c>
      <c r="F1747" s="111">
        <f ca="1">IFERROR(__xludf.DUMMYFUNCTION("""COMPUTED_VALUE"""),8.21)</f>
        <v>8.2100000000000009</v>
      </c>
      <c r="G1747" s="112">
        <f ca="1">IFERROR(__xludf.DUMMYFUNCTION("""COMPUTED_VALUE"""),42837.7055555555)</f>
        <v>42837.705555555498</v>
      </c>
      <c r="H1747" s="111">
        <f ca="1">IFERROR(__xludf.DUMMYFUNCTION("""COMPUTED_VALUE"""),14.65)</f>
        <v>14.65</v>
      </c>
      <c r="K1747" s="112">
        <f ca="1">IFERROR(__xludf.DUMMYFUNCTION("""COMPUTED_VALUE"""),43292.7055555555)</f>
        <v>43292.705555555498</v>
      </c>
      <c r="L1747" s="111">
        <f ca="1">IFERROR(__xludf.DUMMYFUNCTION("""COMPUTED_VALUE"""),3.58)</f>
        <v>3.58</v>
      </c>
      <c r="M1747" s="112">
        <f ca="1">IFERROR(__xludf.DUMMYFUNCTION("""COMPUTED_VALUE"""),42751.7055555555)</f>
        <v>42751.705555555498</v>
      </c>
      <c r="N1747" s="111">
        <f ca="1">IFERROR(__xludf.DUMMYFUNCTION("""COMPUTED_VALUE"""),17.72)</f>
        <v>17.72</v>
      </c>
      <c r="O1747" s="112">
        <f ca="1">IFERROR(__xludf.DUMMYFUNCTION("""COMPUTED_VALUE"""),42828.7055555555)</f>
        <v>42828.705555555498</v>
      </c>
      <c r="P1747" s="111">
        <f ca="1">IFERROR(__xludf.DUMMYFUNCTION("""COMPUTED_VALUE"""),29.51)</f>
        <v>29.51</v>
      </c>
      <c r="Q1747" s="112">
        <f ca="1">IFERROR(__xludf.DUMMYFUNCTION("""COMPUTED_VALUE"""),42825.7055555555)</f>
        <v>42825.705555555498</v>
      </c>
      <c r="R1747" s="111">
        <f ca="1">IFERROR(__xludf.DUMMYFUNCTION("""COMPUTED_VALUE"""),33.77)</f>
        <v>33.770000000000003</v>
      </c>
      <c r="S1747" s="112">
        <f ca="1">IFERROR(__xludf.DUMMYFUNCTION("""COMPUTED_VALUE"""),42837.7055555555)</f>
        <v>42837.705555555498</v>
      </c>
      <c r="T1747" s="111">
        <f ca="1">IFERROR(__xludf.DUMMYFUNCTION("""COMPUTED_VALUE"""),21.81)</f>
        <v>21.81</v>
      </c>
    </row>
    <row r="1748" spans="1:20" x14ac:dyDescent="0.3">
      <c r="A1748" s="112">
        <f ca="1">IFERROR(__xludf.DUMMYFUNCTION("""COMPUTED_VALUE"""),42836.7055555555)</f>
        <v>42836.705555555498</v>
      </c>
      <c r="B1748" s="111">
        <f ca="1">IFERROR(__xludf.DUMMYFUNCTION("""COMPUTED_VALUE"""),15.58)</f>
        <v>15.58</v>
      </c>
      <c r="C1748" s="112">
        <f ca="1">IFERROR(__xludf.DUMMYFUNCTION("""COMPUTED_VALUE"""),42844.7055555555)</f>
        <v>42844.705555555498</v>
      </c>
      <c r="D1748" s="111">
        <f ca="1">IFERROR(__xludf.DUMMYFUNCTION("""COMPUTED_VALUE"""),25.53)</f>
        <v>25.53</v>
      </c>
      <c r="E1748" s="112">
        <f ca="1">IFERROR(__xludf.DUMMYFUNCTION("""COMPUTED_VALUE"""),42845.7055555555)</f>
        <v>42845.705555555498</v>
      </c>
      <c r="F1748" s="111">
        <f ca="1">IFERROR(__xludf.DUMMYFUNCTION("""COMPUTED_VALUE"""),8.14)</f>
        <v>8.14</v>
      </c>
      <c r="G1748" s="112">
        <f ca="1">IFERROR(__xludf.DUMMYFUNCTION("""COMPUTED_VALUE"""),42838.7055555555)</f>
        <v>42838.705555555498</v>
      </c>
      <c r="H1748" s="111">
        <f ca="1">IFERROR(__xludf.DUMMYFUNCTION("""COMPUTED_VALUE"""),14.08)</f>
        <v>14.08</v>
      </c>
      <c r="K1748" s="112">
        <f ca="1">IFERROR(__xludf.DUMMYFUNCTION("""COMPUTED_VALUE"""),43293.7055555555)</f>
        <v>43293.705555555498</v>
      </c>
      <c r="L1748" s="111">
        <f ca="1">IFERROR(__xludf.DUMMYFUNCTION("""COMPUTED_VALUE"""),3.86)</f>
        <v>3.86</v>
      </c>
      <c r="M1748" s="112">
        <f ca="1">IFERROR(__xludf.DUMMYFUNCTION("""COMPUTED_VALUE"""),42752.7055555555)</f>
        <v>42752.705555555498</v>
      </c>
      <c r="N1748" s="111">
        <f ca="1">IFERROR(__xludf.DUMMYFUNCTION("""COMPUTED_VALUE"""),18.23)</f>
        <v>18.23</v>
      </c>
      <c r="O1748" s="112">
        <f ca="1">IFERROR(__xludf.DUMMYFUNCTION("""COMPUTED_VALUE"""),42829.7055555555)</f>
        <v>42829.705555555498</v>
      </c>
      <c r="P1748" s="111">
        <f ca="1">IFERROR(__xludf.DUMMYFUNCTION("""COMPUTED_VALUE"""),30.65)</f>
        <v>30.65</v>
      </c>
      <c r="Q1748" s="112">
        <f ca="1">IFERROR(__xludf.DUMMYFUNCTION("""COMPUTED_VALUE"""),42828.7055555555)</f>
        <v>42828.705555555498</v>
      </c>
      <c r="R1748" s="111">
        <f ca="1">IFERROR(__xludf.DUMMYFUNCTION("""COMPUTED_VALUE"""),33.87)</f>
        <v>33.869999999999997</v>
      </c>
      <c r="S1748" s="112">
        <f ca="1">IFERROR(__xludf.DUMMYFUNCTION("""COMPUTED_VALUE"""),42838.7055555555)</f>
        <v>42838.705555555498</v>
      </c>
      <c r="T1748" s="111">
        <f ca="1">IFERROR(__xludf.DUMMYFUNCTION("""COMPUTED_VALUE"""),21.79)</f>
        <v>21.79</v>
      </c>
    </row>
    <row r="1749" spans="1:20" x14ac:dyDescent="0.3">
      <c r="A1749" s="112">
        <f ca="1">IFERROR(__xludf.DUMMYFUNCTION("""COMPUTED_VALUE"""),42837.7055555555)</f>
        <v>42837.705555555498</v>
      </c>
      <c r="B1749" s="111">
        <f ca="1">IFERROR(__xludf.DUMMYFUNCTION("""COMPUTED_VALUE"""),15.73)</f>
        <v>15.73</v>
      </c>
      <c r="C1749" s="112">
        <f ca="1">IFERROR(__xludf.DUMMYFUNCTION("""COMPUTED_VALUE"""),42845.7055555555)</f>
        <v>42845.705555555498</v>
      </c>
      <c r="D1749" s="111">
        <f ca="1">IFERROR(__xludf.DUMMYFUNCTION("""COMPUTED_VALUE"""),25.16)</f>
        <v>25.16</v>
      </c>
      <c r="E1749" s="112">
        <f ca="1">IFERROR(__xludf.DUMMYFUNCTION("""COMPUTED_VALUE"""),42849.7055555555)</f>
        <v>42849.705555555498</v>
      </c>
      <c r="F1749" s="111">
        <f ca="1">IFERROR(__xludf.DUMMYFUNCTION("""COMPUTED_VALUE"""),8.34)</f>
        <v>8.34</v>
      </c>
      <c r="G1749" s="112">
        <f ca="1">IFERROR(__xludf.DUMMYFUNCTION("""COMPUTED_VALUE"""),42842.7055555555)</f>
        <v>42842.705555555498</v>
      </c>
      <c r="H1749" s="111">
        <f ca="1">IFERROR(__xludf.DUMMYFUNCTION("""COMPUTED_VALUE"""),14.28)</f>
        <v>14.28</v>
      </c>
      <c r="K1749" s="112">
        <f ca="1">IFERROR(__xludf.DUMMYFUNCTION("""COMPUTED_VALUE"""),43294.7055555555)</f>
        <v>43294.705555555498</v>
      </c>
      <c r="L1749" s="111">
        <f ca="1">IFERROR(__xludf.DUMMYFUNCTION("""COMPUTED_VALUE"""),3.93)</f>
        <v>3.93</v>
      </c>
      <c r="M1749" s="112">
        <f ca="1">IFERROR(__xludf.DUMMYFUNCTION("""COMPUTED_VALUE"""),42753.7055555555)</f>
        <v>42753.705555555498</v>
      </c>
      <c r="N1749" s="111">
        <f ca="1">IFERROR(__xludf.DUMMYFUNCTION("""COMPUTED_VALUE"""),18.04)</f>
        <v>18.04</v>
      </c>
      <c r="O1749" s="112">
        <f ca="1">IFERROR(__xludf.DUMMYFUNCTION("""COMPUTED_VALUE"""),42830.7055555555)</f>
        <v>42830.705555555498</v>
      </c>
      <c r="P1749" s="111">
        <f ca="1">IFERROR(__xludf.DUMMYFUNCTION("""COMPUTED_VALUE"""),29.45)</f>
        <v>29.45</v>
      </c>
      <c r="Q1749" s="112">
        <f ca="1">IFERROR(__xludf.DUMMYFUNCTION("""COMPUTED_VALUE"""),42829.7055555555)</f>
        <v>42829.705555555498</v>
      </c>
      <c r="R1749" s="111">
        <f ca="1">IFERROR(__xludf.DUMMYFUNCTION("""COMPUTED_VALUE"""),34)</f>
        <v>34</v>
      </c>
      <c r="S1749" s="112">
        <f ca="1">IFERROR(__xludf.DUMMYFUNCTION("""COMPUTED_VALUE"""),42842.7055555555)</f>
        <v>42842.705555555498</v>
      </c>
      <c r="T1749" s="111">
        <f ca="1">IFERROR(__xludf.DUMMYFUNCTION("""COMPUTED_VALUE"""),22.1)</f>
        <v>22.1</v>
      </c>
    </row>
    <row r="1750" spans="1:20" x14ac:dyDescent="0.3">
      <c r="A1750" s="112">
        <f ca="1">IFERROR(__xludf.DUMMYFUNCTION("""COMPUTED_VALUE"""),42838.7055555555)</f>
        <v>42838.705555555498</v>
      </c>
      <c r="B1750" s="111">
        <f ca="1">IFERROR(__xludf.DUMMYFUNCTION("""COMPUTED_VALUE"""),15.15)</f>
        <v>15.15</v>
      </c>
      <c r="C1750" s="112">
        <f ca="1">IFERROR(__xludf.DUMMYFUNCTION("""COMPUTED_VALUE"""),42849.7055555555)</f>
        <v>42849.705555555498</v>
      </c>
      <c r="D1750" s="111">
        <f ca="1">IFERROR(__xludf.DUMMYFUNCTION("""COMPUTED_VALUE"""),25.65)</f>
        <v>25.65</v>
      </c>
      <c r="E1750" s="112">
        <f ca="1">IFERROR(__xludf.DUMMYFUNCTION("""COMPUTED_VALUE"""),42850.7055555555)</f>
        <v>42850.705555555498</v>
      </c>
      <c r="F1750" s="111">
        <f ca="1">IFERROR(__xludf.DUMMYFUNCTION("""COMPUTED_VALUE"""),8.35)</f>
        <v>8.35</v>
      </c>
      <c r="G1750" s="112">
        <f ca="1">IFERROR(__xludf.DUMMYFUNCTION("""COMPUTED_VALUE"""),42843.7055555555)</f>
        <v>42843.705555555498</v>
      </c>
      <c r="H1750" s="111">
        <f ca="1">IFERROR(__xludf.DUMMYFUNCTION("""COMPUTED_VALUE"""),14.1)</f>
        <v>14.1</v>
      </c>
      <c r="K1750" s="112">
        <f ca="1">IFERROR(__xludf.DUMMYFUNCTION("""COMPUTED_VALUE"""),43297.7055555555)</f>
        <v>43297.705555555498</v>
      </c>
      <c r="L1750" s="111">
        <f ca="1">IFERROR(__xludf.DUMMYFUNCTION("""COMPUTED_VALUE"""),3.99)</f>
        <v>3.99</v>
      </c>
      <c r="M1750" s="112">
        <f ca="1">IFERROR(__xludf.DUMMYFUNCTION("""COMPUTED_VALUE"""),42754.7055555555)</f>
        <v>42754.705555555498</v>
      </c>
      <c r="N1750" s="111">
        <f ca="1">IFERROR(__xludf.DUMMYFUNCTION("""COMPUTED_VALUE"""),18.03)</f>
        <v>18.03</v>
      </c>
      <c r="O1750" s="112">
        <f ca="1">IFERROR(__xludf.DUMMYFUNCTION("""COMPUTED_VALUE"""),42831.7055555555)</f>
        <v>42831.705555555498</v>
      </c>
      <c r="P1750" s="111">
        <f ca="1">IFERROR(__xludf.DUMMYFUNCTION("""COMPUTED_VALUE"""),28.91)</f>
        <v>28.91</v>
      </c>
      <c r="Q1750" s="112">
        <f ca="1">IFERROR(__xludf.DUMMYFUNCTION("""COMPUTED_VALUE"""),42830.7055555555)</f>
        <v>42830.705555555498</v>
      </c>
      <c r="R1750" s="111">
        <f ca="1">IFERROR(__xludf.DUMMYFUNCTION("""COMPUTED_VALUE"""),33.42)</f>
        <v>33.42</v>
      </c>
      <c r="S1750" s="112">
        <f ca="1">IFERROR(__xludf.DUMMYFUNCTION("""COMPUTED_VALUE"""),42843.7055555555)</f>
        <v>42843.705555555498</v>
      </c>
      <c r="T1750" s="111">
        <f ca="1">IFERROR(__xludf.DUMMYFUNCTION("""COMPUTED_VALUE"""),22.28)</f>
        <v>22.28</v>
      </c>
    </row>
    <row r="1751" spans="1:20" x14ac:dyDescent="0.3">
      <c r="A1751" s="112">
        <f ca="1">IFERROR(__xludf.DUMMYFUNCTION("""COMPUTED_VALUE"""),42842.7055555555)</f>
        <v>42842.705555555498</v>
      </c>
      <c r="B1751" s="111">
        <f ca="1">IFERROR(__xludf.DUMMYFUNCTION("""COMPUTED_VALUE"""),15.36)</f>
        <v>15.36</v>
      </c>
      <c r="C1751" s="112">
        <f ca="1">IFERROR(__xludf.DUMMYFUNCTION("""COMPUTED_VALUE"""),42850.7055555555)</f>
        <v>42850.705555555498</v>
      </c>
      <c r="D1751" s="111">
        <f ca="1">IFERROR(__xludf.DUMMYFUNCTION("""COMPUTED_VALUE"""),25.81)</f>
        <v>25.81</v>
      </c>
      <c r="E1751" s="112">
        <f ca="1">IFERROR(__xludf.DUMMYFUNCTION("""COMPUTED_VALUE"""),42851.7055555555)</f>
        <v>42851.705555555498</v>
      </c>
      <c r="F1751" s="111">
        <f ca="1">IFERROR(__xludf.DUMMYFUNCTION("""COMPUTED_VALUE"""),8.33)</f>
        <v>8.33</v>
      </c>
      <c r="G1751" s="112">
        <f ca="1">IFERROR(__xludf.DUMMYFUNCTION("""COMPUTED_VALUE"""),42844.7055555555)</f>
        <v>42844.705555555498</v>
      </c>
      <c r="H1751" s="111">
        <f ca="1">IFERROR(__xludf.DUMMYFUNCTION("""COMPUTED_VALUE"""),13.6)</f>
        <v>13.6</v>
      </c>
      <c r="K1751" s="112">
        <f ca="1">IFERROR(__xludf.DUMMYFUNCTION("""COMPUTED_VALUE"""),43298.7055555555)</f>
        <v>43298.705555555498</v>
      </c>
      <c r="L1751" s="111">
        <f ca="1">IFERROR(__xludf.DUMMYFUNCTION("""COMPUTED_VALUE"""),4.13)</f>
        <v>4.13</v>
      </c>
      <c r="M1751" s="112">
        <f ca="1">IFERROR(__xludf.DUMMYFUNCTION("""COMPUTED_VALUE"""),42755.7055555555)</f>
        <v>42755.705555555498</v>
      </c>
      <c r="N1751" s="111">
        <f ca="1">IFERROR(__xludf.DUMMYFUNCTION("""COMPUTED_VALUE"""),17.94)</f>
        <v>17.940000000000001</v>
      </c>
      <c r="O1751" s="112">
        <f ca="1">IFERROR(__xludf.DUMMYFUNCTION("""COMPUTED_VALUE"""),42832.7055555555)</f>
        <v>42832.705555555498</v>
      </c>
      <c r="P1751" s="111">
        <f ca="1">IFERROR(__xludf.DUMMYFUNCTION("""COMPUTED_VALUE"""),29.15)</f>
        <v>29.15</v>
      </c>
      <c r="Q1751" s="112">
        <f ca="1">IFERROR(__xludf.DUMMYFUNCTION("""COMPUTED_VALUE"""),42831.7055555555)</f>
        <v>42831.705555555498</v>
      </c>
      <c r="R1751" s="111">
        <f ca="1">IFERROR(__xludf.DUMMYFUNCTION("""COMPUTED_VALUE"""),32.64)</f>
        <v>32.64</v>
      </c>
      <c r="S1751" s="112">
        <f ca="1">IFERROR(__xludf.DUMMYFUNCTION("""COMPUTED_VALUE"""),42844.7055555555)</f>
        <v>42844.705555555498</v>
      </c>
      <c r="T1751" s="111">
        <f ca="1">IFERROR(__xludf.DUMMYFUNCTION("""COMPUTED_VALUE"""),21.6)</f>
        <v>21.6</v>
      </c>
    </row>
    <row r="1752" spans="1:20" x14ac:dyDescent="0.3">
      <c r="A1752" s="112">
        <f ca="1">IFERROR(__xludf.DUMMYFUNCTION("""COMPUTED_VALUE"""),42843.7055555555)</f>
        <v>42843.705555555498</v>
      </c>
      <c r="B1752" s="111">
        <f ca="1">IFERROR(__xludf.DUMMYFUNCTION("""COMPUTED_VALUE"""),15.43)</f>
        <v>15.43</v>
      </c>
      <c r="C1752" s="112">
        <f ca="1">IFERROR(__xludf.DUMMYFUNCTION("""COMPUTED_VALUE"""),42851.7055555555)</f>
        <v>42851.705555555498</v>
      </c>
      <c r="D1752" s="111">
        <f ca="1">IFERROR(__xludf.DUMMYFUNCTION("""COMPUTED_VALUE"""),25.86)</f>
        <v>25.86</v>
      </c>
      <c r="E1752" s="112">
        <f ca="1">IFERROR(__xludf.DUMMYFUNCTION("""COMPUTED_VALUE"""),42852.7055555555)</f>
        <v>42852.705555555498</v>
      </c>
      <c r="F1752" s="111">
        <f ca="1">IFERROR(__xludf.DUMMYFUNCTION("""COMPUTED_VALUE"""),8.43)</f>
        <v>8.43</v>
      </c>
      <c r="G1752" s="112">
        <f ca="1">IFERROR(__xludf.DUMMYFUNCTION("""COMPUTED_VALUE"""),42845.7055555555)</f>
        <v>42845.705555555498</v>
      </c>
      <c r="H1752" s="111">
        <f ca="1">IFERROR(__xludf.DUMMYFUNCTION("""COMPUTED_VALUE"""),13.88)</f>
        <v>13.88</v>
      </c>
      <c r="K1752" s="112">
        <f ca="1">IFERROR(__xludf.DUMMYFUNCTION("""COMPUTED_VALUE"""),43299.7055555555)</f>
        <v>43299.705555555498</v>
      </c>
      <c r="L1752" s="111">
        <f ca="1">IFERROR(__xludf.DUMMYFUNCTION("""COMPUTED_VALUE"""),3.97)</f>
        <v>3.97</v>
      </c>
      <c r="M1752" s="112">
        <f ca="1">IFERROR(__xludf.DUMMYFUNCTION("""COMPUTED_VALUE"""),42758.7055555555)</f>
        <v>42758.705555555498</v>
      </c>
      <c r="N1752" s="111">
        <f ca="1">IFERROR(__xludf.DUMMYFUNCTION("""COMPUTED_VALUE"""),18.35)</f>
        <v>18.350000000000001</v>
      </c>
      <c r="O1752" s="112">
        <f ca="1">IFERROR(__xludf.DUMMYFUNCTION("""COMPUTED_VALUE"""),42835.7055555555)</f>
        <v>42835.705555555498</v>
      </c>
      <c r="P1752" s="111">
        <f ca="1">IFERROR(__xludf.DUMMYFUNCTION("""COMPUTED_VALUE"""),29.03)</f>
        <v>29.03</v>
      </c>
      <c r="Q1752" s="112">
        <f ca="1">IFERROR(__xludf.DUMMYFUNCTION("""COMPUTED_VALUE"""),42832.7055555555)</f>
        <v>42832.705555555498</v>
      </c>
      <c r="R1752" s="111">
        <f ca="1">IFERROR(__xludf.DUMMYFUNCTION("""COMPUTED_VALUE"""),32.5)</f>
        <v>32.5</v>
      </c>
      <c r="S1752" s="112">
        <f ca="1">IFERROR(__xludf.DUMMYFUNCTION("""COMPUTED_VALUE"""),42845.7055555555)</f>
        <v>42845.705555555498</v>
      </c>
      <c r="T1752" s="111">
        <f ca="1">IFERROR(__xludf.DUMMYFUNCTION("""COMPUTED_VALUE"""),21.83)</f>
        <v>21.83</v>
      </c>
    </row>
    <row r="1753" spans="1:20" x14ac:dyDescent="0.3">
      <c r="A1753" s="112">
        <f ca="1">IFERROR(__xludf.DUMMYFUNCTION("""COMPUTED_VALUE"""),42844.7055555555)</f>
        <v>42844.705555555498</v>
      </c>
      <c r="B1753" s="111">
        <f ca="1">IFERROR(__xludf.DUMMYFUNCTION("""COMPUTED_VALUE"""),15.09)</f>
        <v>15.09</v>
      </c>
      <c r="C1753" s="112">
        <f ca="1">IFERROR(__xludf.DUMMYFUNCTION("""COMPUTED_VALUE"""),42852.7055555555)</f>
        <v>42852.705555555498</v>
      </c>
      <c r="D1753" s="111">
        <f ca="1">IFERROR(__xludf.DUMMYFUNCTION("""COMPUTED_VALUE"""),26.01)</f>
        <v>26.01</v>
      </c>
      <c r="E1753" s="112">
        <f ca="1">IFERROR(__xludf.DUMMYFUNCTION("""COMPUTED_VALUE"""),42853.7055555555)</f>
        <v>42853.705555555498</v>
      </c>
      <c r="F1753" s="111">
        <f ca="1">IFERROR(__xludf.DUMMYFUNCTION("""COMPUTED_VALUE"""),8.56)</f>
        <v>8.56</v>
      </c>
      <c r="G1753" s="112">
        <f ca="1">IFERROR(__xludf.DUMMYFUNCTION("""COMPUTED_VALUE"""),42849.7055555555)</f>
        <v>42849.705555555498</v>
      </c>
      <c r="H1753" s="111">
        <f ca="1">IFERROR(__xludf.DUMMYFUNCTION("""COMPUTED_VALUE"""),14.03)</f>
        <v>14.03</v>
      </c>
      <c r="K1753" s="112">
        <f ca="1">IFERROR(__xludf.DUMMYFUNCTION("""COMPUTED_VALUE"""),43300.7055555555)</f>
        <v>43300.705555555498</v>
      </c>
      <c r="L1753" s="111">
        <f ca="1">IFERROR(__xludf.DUMMYFUNCTION("""COMPUTED_VALUE"""),4.03)</f>
        <v>4.03</v>
      </c>
      <c r="M1753" s="112">
        <f ca="1">IFERROR(__xludf.DUMMYFUNCTION("""COMPUTED_VALUE"""),42759.7055555555)</f>
        <v>42759.705555555498</v>
      </c>
      <c r="N1753" s="111">
        <f ca="1">IFERROR(__xludf.DUMMYFUNCTION("""COMPUTED_VALUE"""),18.28)</f>
        <v>18.28</v>
      </c>
      <c r="O1753" s="112">
        <f ca="1">IFERROR(__xludf.DUMMYFUNCTION("""COMPUTED_VALUE"""),42836.7055555555)</f>
        <v>42836.705555555498</v>
      </c>
      <c r="P1753" s="111">
        <f ca="1">IFERROR(__xludf.DUMMYFUNCTION("""COMPUTED_VALUE"""),28.66)</f>
        <v>28.66</v>
      </c>
      <c r="Q1753" s="112">
        <f ca="1">IFERROR(__xludf.DUMMYFUNCTION("""COMPUTED_VALUE"""),42835.7055555555)</f>
        <v>42835.705555555498</v>
      </c>
      <c r="R1753" s="111">
        <f ca="1">IFERROR(__xludf.DUMMYFUNCTION("""COMPUTED_VALUE"""),32.79)</f>
        <v>32.79</v>
      </c>
      <c r="S1753" s="112">
        <f ca="1">IFERROR(__xludf.DUMMYFUNCTION("""COMPUTED_VALUE"""),42849.7055555555)</f>
        <v>42849.705555555498</v>
      </c>
      <c r="T1753" s="111">
        <f ca="1">IFERROR(__xludf.DUMMYFUNCTION("""COMPUTED_VALUE"""),22.04)</f>
        <v>22.04</v>
      </c>
    </row>
    <row r="1754" spans="1:20" x14ac:dyDescent="0.3">
      <c r="A1754" s="112">
        <f ca="1">IFERROR(__xludf.DUMMYFUNCTION("""COMPUTED_VALUE"""),42845.7055555555)</f>
        <v>42845.705555555498</v>
      </c>
      <c r="B1754" s="111">
        <f ca="1">IFERROR(__xludf.DUMMYFUNCTION("""COMPUTED_VALUE"""),15.51)</f>
        <v>15.51</v>
      </c>
      <c r="C1754" s="112">
        <f ca="1">IFERROR(__xludf.DUMMYFUNCTION("""COMPUTED_VALUE"""),42853.7055555555)</f>
        <v>42853.705555555498</v>
      </c>
      <c r="D1754" s="111">
        <f ca="1">IFERROR(__xludf.DUMMYFUNCTION("""COMPUTED_VALUE"""),26.17)</f>
        <v>26.17</v>
      </c>
      <c r="E1754" s="112">
        <f ca="1">IFERROR(__xludf.DUMMYFUNCTION("""COMPUTED_VALUE"""),42857.7055555555)</f>
        <v>42857.705555555498</v>
      </c>
      <c r="F1754" s="111">
        <f ca="1">IFERROR(__xludf.DUMMYFUNCTION("""COMPUTED_VALUE"""),8.73)</f>
        <v>8.73</v>
      </c>
      <c r="G1754" s="112">
        <f ca="1">IFERROR(__xludf.DUMMYFUNCTION("""COMPUTED_VALUE"""),42850.7055555555)</f>
        <v>42850.705555555498</v>
      </c>
      <c r="H1754" s="111">
        <f ca="1">IFERROR(__xludf.DUMMYFUNCTION("""COMPUTED_VALUE"""),14.34)</f>
        <v>14.34</v>
      </c>
      <c r="K1754" s="112">
        <f ca="1">IFERROR(__xludf.DUMMYFUNCTION("""COMPUTED_VALUE"""),43301.7055555555)</f>
        <v>43301.705555555498</v>
      </c>
      <c r="L1754" s="111">
        <f ca="1">IFERROR(__xludf.DUMMYFUNCTION("""COMPUTED_VALUE"""),4.09)</f>
        <v>4.09</v>
      </c>
      <c r="M1754" s="112">
        <f ca="1">IFERROR(__xludf.DUMMYFUNCTION("""COMPUTED_VALUE"""),42761.7055555555)</f>
        <v>42761.705555555498</v>
      </c>
      <c r="N1754" s="111">
        <f ca="1">IFERROR(__xludf.DUMMYFUNCTION("""COMPUTED_VALUE"""),18.69)</f>
        <v>18.690000000000001</v>
      </c>
      <c r="O1754" s="112">
        <f ca="1">IFERROR(__xludf.DUMMYFUNCTION("""COMPUTED_VALUE"""),42837.7055555555)</f>
        <v>42837.705555555498</v>
      </c>
      <c r="P1754" s="111">
        <f ca="1">IFERROR(__xludf.DUMMYFUNCTION("""COMPUTED_VALUE"""),27.42)</f>
        <v>27.42</v>
      </c>
      <c r="Q1754" s="112">
        <f ca="1">IFERROR(__xludf.DUMMYFUNCTION("""COMPUTED_VALUE"""),42836.7055555555)</f>
        <v>42836.705555555498</v>
      </c>
      <c r="R1754" s="111">
        <f ca="1">IFERROR(__xludf.DUMMYFUNCTION("""COMPUTED_VALUE"""),32.82)</f>
        <v>32.82</v>
      </c>
      <c r="S1754" s="112">
        <f ca="1">IFERROR(__xludf.DUMMYFUNCTION("""COMPUTED_VALUE"""),42850.7055555555)</f>
        <v>42850.705555555498</v>
      </c>
      <c r="T1754" s="111">
        <f ca="1">IFERROR(__xludf.DUMMYFUNCTION("""COMPUTED_VALUE"""),22.09)</f>
        <v>22.09</v>
      </c>
    </row>
    <row r="1755" spans="1:20" x14ac:dyDescent="0.3">
      <c r="A1755" s="112">
        <f ca="1">IFERROR(__xludf.DUMMYFUNCTION("""COMPUTED_VALUE"""),42849.7055555555)</f>
        <v>42849.705555555498</v>
      </c>
      <c r="B1755" s="111">
        <f ca="1">IFERROR(__xludf.DUMMYFUNCTION("""COMPUTED_VALUE"""),15.81)</f>
        <v>15.81</v>
      </c>
      <c r="C1755" s="112">
        <f ca="1">IFERROR(__xludf.DUMMYFUNCTION("""COMPUTED_VALUE"""),42857.7055555555)</f>
        <v>42857.705555555498</v>
      </c>
      <c r="D1755" s="111">
        <f ca="1">IFERROR(__xludf.DUMMYFUNCTION("""COMPUTED_VALUE"""),26.7)</f>
        <v>26.7</v>
      </c>
      <c r="E1755" s="112">
        <f ca="1">IFERROR(__xludf.DUMMYFUNCTION("""COMPUTED_VALUE"""),42858.7055555555)</f>
        <v>42858.705555555498</v>
      </c>
      <c r="F1755" s="111">
        <f ca="1">IFERROR(__xludf.DUMMYFUNCTION("""COMPUTED_VALUE"""),8.64)</f>
        <v>8.64</v>
      </c>
      <c r="G1755" s="112">
        <f ca="1">IFERROR(__xludf.DUMMYFUNCTION("""COMPUTED_VALUE"""),42851.7055555555)</f>
        <v>42851.705555555498</v>
      </c>
      <c r="H1755" s="111">
        <f ca="1">IFERROR(__xludf.DUMMYFUNCTION("""COMPUTED_VALUE"""),14)</f>
        <v>14</v>
      </c>
      <c r="K1755" s="112">
        <f ca="1">IFERROR(__xludf.DUMMYFUNCTION("""COMPUTED_VALUE"""),43304.7055555555)</f>
        <v>43304.705555555498</v>
      </c>
      <c r="L1755" s="111">
        <f ca="1">IFERROR(__xludf.DUMMYFUNCTION("""COMPUTED_VALUE"""),4.06)</f>
        <v>4.0599999999999996</v>
      </c>
      <c r="M1755" s="112">
        <f ca="1">IFERROR(__xludf.DUMMYFUNCTION("""COMPUTED_VALUE"""),42762.7055555555)</f>
        <v>42762.705555555498</v>
      </c>
      <c r="N1755" s="111">
        <f ca="1">IFERROR(__xludf.DUMMYFUNCTION("""COMPUTED_VALUE"""),18.75)</f>
        <v>18.75</v>
      </c>
      <c r="O1755" s="112">
        <f ca="1">IFERROR(__xludf.DUMMYFUNCTION("""COMPUTED_VALUE"""),42838.7055555555)</f>
        <v>42838.705555555498</v>
      </c>
      <c r="P1755" s="111">
        <f ca="1">IFERROR(__xludf.DUMMYFUNCTION("""COMPUTED_VALUE"""),27.42)</f>
        <v>27.42</v>
      </c>
      <c r="Q1755" s="112">
        <f ca="1">IFERROR(__xludf.DUMMYFUNCTION("""COMPUTED_VALUE"""),42837.7055555555)</f>
        <v>42837.705555555498</v>
      </c>
      <c r="R1755" s="111">
        <f ca="1">IFERROR(__xludf.DUMMYFUNCTION("""COMPUTED_VALUE"""),32.28)</f>
        <v>32.28</v>
      </c>
      <c r="S1755" s="112">
        <f ca="1">IFERROR(__xludf.DUMMYFUNCTION("""COMPUTED_VALUE"""),42851.7055555555)</f>
        <v>42851.705555555498</v>
      </c>
      <c r="T1755" s="111">
        <f ca="1">IFERROR(__xludf.DUMMYFUNCTION("""COMPUTED_VALUE"""),21.61)</f>
        <v>21.61</v>
      </c>
    </row>
    <row r="1756" spans="1:20" x14ac:dyDescent="0.3">
      <c r="A1756" s="112">
        <f ca="1">IFERROR(__xludf.DUMMYFUNCTION("""COMPUTED_VALUE"""),42850.7055555555)</f>
        <v>42850.705555555498</v>
      </c>
      <c r="B1756" s="111">
        <f ca="1">IFERROR(__xludf.DUMMYFUNCTION("""COMPUTED_VALUE"""),16.82)</f>
        <v>16.82</v>
      </c>
      <c r="C1756" s="112">
        <f ca="1">IFERROR(__xludf.DUMMYFUNCTION("""COMPUTED_VALUE"""),42858.7055555555)</f>
        <v>42858.705555555498</v>
      </c>
      <c r="D1756" s="111">
        <f ca="1">IFERROR(__xludf.DUMMYFUNCTION("""COMPUTED_VALUE"""),26.26)</f>
        <v>26.26</v>
      </c>
      <c r="E1756" s="112">
        <f ca="1">IFERROR(__xludf.DUMMYFUNCTION("""COMPUTED_VALUE"""),42859.7055555555)</f>
        <v>42859.705555555498</v>
      </c>
      <c r="F1756" s="111">
        <f ca="1">IFERROR(__xludf.DUMMYFUNCTION("""COMPUTED_VALUE"""),8.44)</f>
        <v>8.44</v>
      </c>
      <c r="G1756" s="112">
        <f ca="1">IFERROR(__xludf.DUMMYFUNCTION("""COMPUTED_VALUE"""),42852.7055555555)</f>
        <v>42852.705555555498</v>
      </c>
      <c r="H1756" s="111">
        <f ca="1">IFERROR(__xludf.DUMMYFUNCTION("""COMPUTED_VALUE"""),13.73)</f>
        <v>13.73</v>
      </c>
      <c r="K1756" s="112">
        <f ca="1">IFERROR(__xludf.DUMMYFUNCTION("""COMPUTED_VALUE"""),43305.7055555555)</f>
        <v>43305.705555555498</v>
      </c>
      <c r="L1756" s="111">
        <f ca="1">IFERROR(__xludf.DUMMYFUNCTION("""COMPUTED_VALUE"""),4.18)</f>
        <v>4.18</v>
      </c>
      <c r="M1756" s="112">
        <f ca="1">IFERROR(__xludf.DUMMYFUNCTION("""COMPUTED_VALUE"""),42765.7055555555)</f>
        <v>42765.705555555498</v>
      </c>
      <c r="N1756" s="111">
        <f ca="1">IFERROR(__xludf.DUMMYFUNCTION("""COMPUTED_VALUE"""),18.42)</f>
        <v>18.420000000000002</v>
      </c>
      <c r="O1756" s="112">
        <f ca="1">IFERROR(__xludf.DUMMYFUNCTION("""COMPUTED_VALUE"""),42842.7055555555)</f>
        <v>42842.705555555498</v>
      </c>
      <c r="P1756" s="111">
        <f ca="1">IFERROR(__xludf.DUMMYFUNCTION("""COMPUTED_VALUE"""),27.43)</f>
        <v>27.43</v>
      </c>
      <c r="Q1756" s="112">
        <f ca="1">IFERROR(__xludf.DUMMYFUNCTION("""COMPUTED_VALUE"""),42838.7055555555)</f>
        <v>42838.705555555498</v>
      </c>
      <c r="R1756" s="111">
        <f ca="1">IFERROR(__xludf.DUMMYFUNCTION("""COMPUTED_VALUE"""),30.6)</f>
        <v>30.6</v>
      </c>
      <c r="S1756" s="112">
        <f ca="1">IFERROR(__xludf.DUMMYFUNCTION("""COMPUTED_VALUE"""),42852.7055555555)</f>
        <v>42852.705555555498</v>
      </c>
      <c r="T1756" s="111">
        <f ca="1">IFERROR(__xludf.DUMMYFUNCTION("""COMPUTED_VALUE"""),21.71)</f>
        <v>21.71</v>
      </c>
    </row>
    <row r="1757" spans="1:20" x14ac:dyDescent="0.3">
      <c r="A1757" s="112">
        <f ca="1">IFERROR(__xludf.DUMMYFUNCTION("""COMPUTED_VALUE"""),42851.7055555555)</f>
        <v>42851.705555555498</v>
      </c>
      <c r="B1757" s="111">
        <f ca="1">IFERROR(__xludf.DUMMYFUNCTION("""COMPUTED_VALUE"""),16.97)</f>
        <v>16.97</v>
      </c>
      <c r="C1757" s="112">
        <f ca="1">IFERROR(__xludf.DUMMYFUNCTION("""COMPUTED_VALUE"""),42859.7055555555)</f>
        <v>42859.705555555498</v>
      </c>
      <c r="D1757" s="111">
        <f ca="1">IFERROR(__xludf.DUMMYFUNCTION("""COMPUTED_VALUE"""),25.4)</f>
        <v>25.4</v>
      </c>
      <c r="E1757" s="112">
        <f ca="1">IFERROR(__xludf.DUMMYFUNCTION("""COMPUTED_VALUE"""),42860.7055555555)</f>
        <v>42860.705555555498</v>
      </c>
      <c r="F1757" s="111">
        <f ca="1">IFERROR(__xludf.DUMMYFUNCTION("""COMPUTED_VALUE"""),8.68)</f>
        <v>8.68</v>
      </c>
      <c r="G1757" s="112">
        <f ca="1">IFERROR(__xludf.DUMMYFUNCTION("""COMPUTED_VALUE"""),42853.7055555555)</f>
        <v>42853.705555555498</v>
      </c>
      <c r="H1757" s="111">
        <f ca="1">IFERROR(__xludf.DUMMYFUNCTION("""COMPUTED_VALUE"""),13.97)</f>
        <v>13.97</v>
      </c>
      <c r="K1757" s="112">
        <f ca="1">IFERROR(__xludf.DUMMYFUNCTION("""COMPUTED_VALUE"""),43306.7055555555)</f>
        <v>43306.705555555498</v>
      </c>
      <c r="L1757" s="111">
        <f ca="1">IFERROR(__xludf.DUMMYFUNCTION("""COMPUTED_VALUE"""),4.16)</f>
        <v>4.16</v>
      </c>
      <c r="M1757" s="112">
        <f ca="1">IFERROR(__xludf.DUMMYFUNCTION("""COMPUTED_VALUE"""),42766.7055555555)</f>
        <v>42766.705555555498</v>
      </c>
      <c r="N1757" s="111">
        <f ca="1">IFERROR(__xludf.DUMMYFUNCTION("""COMPUTED_VALUE"""),18.61)</f>
        <v>18.61</v>
      </c>
      <c r="O1757" s="112">
        <f ca="1">IFERROR(__xludf.DUMMYFUNCTION("""COMPUTED_VALUE"""),42843.7055555555)</f>
        <v>42843.705555555498</v>
      </c>
      <c r="P1757" s="111">
        <f ca="1">IFERROR(__xludf.DUMMYFUNCTION("""COMPUTED_VALUE"""),26.61)</f>
        <v>26.61</v>
      </c>
      <c r="Q1757" s="112">
        <f ca="1">IFERROR(__xludf.DUMMYFUNCTION("""COMPUTED_VALUE"""),42842.7055555555)</f>
        <v>42842.705555555498</v>
      </c>
      <c r="R1757" s="111">
        <f ca="1">IFERROR(__xludf.DUMMYFUNCTION("""COMPUTED_VALUE"""),32.02)</f>
        <v>32.020000000000003</v>
      </c>
      <c r="S1757" s="112">
        <f ca="1">IFERROR(__xludf.DUMMYFUNCTION("""COMPUTED_VALUE"""),42853.7055555555)</f>
        <v>42853.705555555498</v>
      </c>
      <c r="T1757" s="111">
        <f ca="1">IFERROR(__xludf.DUMMYFUNCTION("""COMPUTED_VALUE"""),22.22)</f>
        <v>22.22</v>
      </c>
    </row>
    <row r="1758" spans="1:20" x14ac:dyDescent="0.3">
      <c r="A1758" s="112">
        <f ca="1">IFERROR(__xludf.DUMMYFUNCTION("""COMPUTED_VALUE"""),42852.7055555555)</f>
        <v>42852.705555555498</v>
      </c>
      <c r="B1758" s="111">
        <f ca="1">IFERROR(__xludf.DUMMYFUNCTION("""COMPUTED_VALUE"""),16.97)</f>
        <v>16.97</v>
      </c>
      <c r="C1758" s="112">
        <f ca="1">IFERROR(__xludf.DUMMYFUNCTION("""COMPUTED_VALUE"""),42860.7055555555)</f>
        <v>42860.705555555498</v>
      </c>
      <c r="D1758" s="111">
        <f ca="1">IFERROR(__xludf.DUMMYFUNCTION("""COMPUTED_VALUE"""),25.8)</f>
        <v>25.8</v>
      </c>
      <c r="E1758" s="112">
        <f ca="1">IFERROR(__xludf.DUMMYFUNCTION("""COMPUTED_VALUE"""),42863.7055555555)</f>
        <v>42863.705555555498</v>
      </c>
      <c r="F1758" s="111">
        <f ca="1">IFERROR(__xludf.DUMMYFUNCTION("""COMPUTED_VALUE"""),8.66)</f>
        <v>8.66</v>
      </c>
      <c r="G1758" s="112">
        <f ca="1">IFERROR(__xludf.DUMMYFUNCTION("""COMPUTED_VALUE"""),42857.7055555555)</f>
        <v>42857.705555555498</v>
      </c>
      <c r="H1758" s="111">
        <f ca="1">IFERROR(__xludf.DUMMYFUNCTION("""COMPUTED_VALUE"""),13.99)</f>
        <v>13.99</v>
      </c>
      <c r="K1758" s="112">
        <f ca="1">IFERROR(__xludf.DUMMYFUNCTION("""COMPUTED_VALUE"""),43307.7055555555)</f>
        <v>43307.705555555498</v>
      </c>
      <c r="L1758" s="111">
        <f ca="1">IFERROR(__xludf.DUMMYFUNCTION("""COMPUTED_VALUE"""),4.11)</f>
        <v>4.1100000000000003</v>
      </c>
      <c r="M1758" s="112">
        <f ca="1">IFERROR(__xludf.DUMMYFUNCTION("""COMPUTED_VALUE"""),42767.7055555555)</f>
        <v>42767.705555555498</v>
      </c>
      <c r="N1758" s="111">
        <f ca="1">IFERROR(__xludf.DUMMYFUNCTION("""COMPUTED_VALUE"""),18.46)</f>
        <v>18.46</v>
      </c>
      <c r="O1758" s="112">
        <f ca="1">IFERROR(__xludf.DUMMYFUNCTION("""COMPUTED_VALUE"""),42844.7055555555)</f>
        <v>42844.705555555498</v>
      </c>
      <c r="P1758" s="111">
        <f ca="1">IFERROR(__xludf.DUMMYFUNCTION("""COMPUTED_VALUE"""),26.67)</f>
        <v>26.67</v>
      </c>
      <c r="Q1758" s="112">
        <f ca="1">IFERROR(__xludf.DUMMYFUNCTION("""COMPUTED_VALUE"""),42843.7055555555)</f>
        <v>42843.705555555498</v>
      </c>
      <c r="R1758" s="111">
        <f ca="1">IFERROR(__xludf.DUMMYFUNCTION("""COMPUTED_VALUE"""),32.33)</f>
        <v>32.33</v>
      </c>
      <c r="S1758" s="112">
        <f ca="1">IFERROR(__xludf.DUMMYFUNCTION("""COMPUTED_VALUE"""),42857.7055555555)</f>
        <v>42857.705555555498</v>
      </c>
      <c r="T1758" s="111">
        <f ca="1">IFERROR(__xludf.DUMMYFUNCTION("""COMPUTED_VALUE"""),22.61)</f>
        <v>22.61</v>
      </c>
    </row>
    <row r="1759" spans="1:20" x14ac:dyDescent="0.3">
      <c r="A1759" s="112">
        <f ca="1">IFERROR(__xludf.DUMMYFUNCTION("""COMPUTED_VALUE"""),42853.7055555555)</f>
        <v>42853.705555555498</v>
      </c>
      <c r="B1759" s="111">
        <f ca="1">IFERROR(__xludf.DUMMYFUNCTION("""COMPUTED_VALUE"""),17.86)</f>
        <v>17.86</v>
      </c>
      <c r="C1759" s="112">
        <f ca="1">IFERROR(__xludf.DUMMYFUNCTION("""COMPUTED_VALUE"""),42863.7055555555)</f>
        <v>42863.705555555498</v>
      </c>
      <c r="D1759" s="111">
        <f ca="1">IFERROR(__xludf.DUMMYFUNCTION("""COMPUTED_VALUE"""),25.86)</f>
        <v>25.86</v>
      </c>
      <c r="E1759" s="112">
        <f ca="1">IFERROR(__xludf.DUMMYFUNCTION("""COMPUTED_VALUE"""),42864.7055555555)</f>
        <v>42864.705555555498</v>
      </c>
      <c r="F1759" s="111">
        <f ca="1">IFERROR(__xludf.DUMMYFUNCTION("""COMPUTED_VALUE"""),8.68)</f>
        <v>8.68</v>
      </c>
      <c r="G1759" s="112">
        <f ca="1">IFERROR(__xludf.DUMMYFUNCTION("""COMPUTED_VALUE"""),42858.7055555555)</f>
        <v>42858.705555555498</v>
      </c>
      <c r="H1759" s="111">
        <f ca="1">IFERROR(__xludf.DUMMYFUNCTION("""COMPUTED_VALUE"""),14.16)</f>
        <v>14.16</v>
      </c>
      <c r="K1759" s="112">
        <f ca="1">IFERROR(__xludf.DUMMYFUNCTION("""COMPUTED_VALUE"""),43308.7055555555)</f>
        <v>43308.705555555498</v>
      </c>
      <c r="L1759" s="111">
        <f ca="1">IFERROR(__xludf.DUMMYFUNCTION("""COMPUTED_VALUE"""),4.06)</f>
        <v>4.0599999999999996</v>
      </c>
      <c r="M1759" s="112">
        <f ca="1">IFERROR(__xludf.DUMMYFUNCTION("""COMPUTED_VALUE"""),42768.7055555555)</f>
        <v>42768.705555555498</v>
      </c>
      <c r="N1759" s="111">
        <f ca="1">IFERROR(__xludf.DUMMYFUNCTION("""COMPUTED_VALUE"""),17.76)</f>
        <v>17.760000000000002</v>
      </c>
      <c r="O1759" s="112">
        <f ca="1">IFERROR(__xludf.DUMMYFUNCTION("""COMPUTED_VALUE"""),42845.7055555555)</f>
        <v>42845.705555555498</v>
      </c>
      <c r="P1759" s="111">
        <f ca="1">IFERROR(__xludf.DUMMYFUNCTION("""COMPUTED_VALUE"""),28.05)</f>
        <v>28.05</v>
      </c>
      <c r="Q1759" s="112">
        <f ca="1">IFERROR(__xludf.DUMMYFUNCTION("""COMPUTED_VALUE"""),42844.7055555555)</f>
        <v>42844.705555555498</v>
      </c>
      <c r="R1759" s="111">
        <f ca="1">IFERROR(__xludf.DUMMYFUNCTION("""COMPUTED_VALUE"""),31.15)</f>
        <v>31.15</v>
      </c>
      <c r="S1759" s="112">
        <f ca="1">IFERROR(__xludf.DUMMYFUNCTION("""COMPUTED_VALUE"""),42858.7055555555)</f>
        <v>42858.705555555498</v>
      </c>
      <c r="T1759" s="111">
        <f ca="1">IFERROR(__xludf.DUMMYFUNCTION("""COMPUTED_VALUE"""),22.67)</f>
        <v>22.67</v>
      </c>
    </row>
    <row r="1760" spans="1:20" x14ac:dyDescent="0.3">
      <c r="A1760" s="112">
        <f ca="1">IFERROR(__xludf.DUMMYFUNCTION("""COMPUTED_VALUE"""),42857.7055555555)</f>
        <v>42857.705555555498</v>
      </c>
      <c r="B1760" s="111">
        <f ca="1">IFERROR(__xludf.DUMMYFUNCTION("""COMPUTED_VALUE"""),17.79)</f>
        <v>17.79</v>
      </c>
      <c r="C1760" s="112">
        <f ca="1">IFERROR(__xludf.DUMMYFUNCTION("""COMPUTED_VALUE"""),42864.7055555555)</f>
        <v>42864.705555555498</v>
      </c>
      <c r="D1760" s="111">
        <f ca="1">IFERROR(__xludf.DUMMYFUNCTION("""COMPUTED_VALUE"""),25.93)</f>
        <v>25.93</v>
      </c>
      <c r="E1760" s="112">
        <f ca="1">IFERROR(__xludf.DUMMYFUNCTION("""COMPUTED_VALUE"""),42865.7055555555)</f>
        <v>42865.705555555498</v>
      </c>
      <c r="F1760" s="111">
        <f ca="1">IFERROR(__xludf.DUMMYFUNCTION("""COMPUTED_VALUE"""),8.74)</f>
        <v>8.74</v>
      </c>
      <c r="G1760" s="112">
        <f ca="1">IFERROR(__xludf.DUMMYFUNCTION("""COMPUTED_VALUE"""),42859.7055555555)</f>
        <v>42859.705555555498</v>
      </c>
      <c r="H1760" s="111">
        <f ca="1">IFERROR(__xludf.DUMMYFUNCTION("""COMPUTED_VALUE"""),13.6)</f>
        <v>13.6</v>
      </c>
      <c r="K1760" s="112">
        <f ca="1">IFERROR(__xludf.DUMMYFUNCTION("""COMPUTED_VALUE"""),43311.7055555555)</f>
        <v>43311.705555555498</v>
      </c>
      <c r="L1760" s="111">
        <f ca="1">IFERROR(__xludf.DUMMYFUNCTION("""COMPUTED_VALUE"""),4.06)</f>
        <v>4.0599999999999996</v>
      </c>
      <c r="M1760" s="112">
        <f ca="1">IFERROR(__xludf.DUMMYFUNCTION("""COMPUTED_VALUE"""),42769.7055555555)</f>
        <v>42769.705555555498</v>
      </c>
      <c r="N1760" s="111">
        <f ca="1">IFERROR(__xludf.DUMMYFUNCTION("""COMPUTED_VALUE"""),18.19)</f>
        <v>18.190000000000001</v>
      </c>
      <c r="O1760" s="112">
        <f ca="1">IFERROR(__xludf.DUMMYFUNCTION("""COMPUTED_VALUE"""),42849.7055555555)</f>
        <v>42849.705555555498</v>
      </c>
      <c r="P1760" s="111">
        <f ca="1">IFERROR(__xludf.DUMMYFUNCTION("""COMPUTED_VALUE"""),27.45)</f>
        <v>27.45</v>
      </c>
      <c r="Q1760" s="112">
        <f ca="1">IFERROR(__xludf.DUMMYFUNCTION("""COMPUTED_VALUE"""),42845.7055555555)</f>
        <v>42845.705555555498</v>
      </c>
      <c r="R1760" s="111">
        <f ca="1">IFERROR(__xludf.DUMMYFUNCTION("""COMPUTED_VALUE"""),31.4)</f>
        <v>31.4</v>
      </c>
      <c r="S1760" s="112">
        <f ca="1">IFERROR(__xludf.DUMMYFUNCTION("""COMPUTED_VALUE"""),42859.7055555555)</f>
        <v>42859.705555555498</v>
      </c>
      <c r="T1760" s="111">
        <f ca="1">IFERROR(__xludf.DUMMYFUNCTION("""COMPUTED_VALUE"""),22.6)</f>
        <v>22.6</v>
      </c>
    </row>
    <row r="1761" spans="1:20" x14ac:dyDescent="0.3">
      <c r="A1761" s="112">
        <f ca="1">IFERROR(__xludf.DUMMYFUNCTION("""COMPUTED_VALUE"""),42858.7055555555)</f>
        <v>42858.705555555498</v>
      </c>
      <c r="B1761" s="111">
        <f ca="1">IFERROR(__xludf.DUMMYFUNCTION("""COMPUTED_VALUE"""),17.47)</f>
        <v>17.47</v>
      </c>
      <c r="C1761" s="112">
        <f ca="1">IFERROR(__xludf.DUMMYFUNCTION("""COMPUTED_VALUE"""),42865.7055555555)</f>
        <v>42865.705555555498</v>
      </c>
      <c r="D1761" s="111">
        <f ca="1">IFERROR(__xludf.DUMMYFUNCTION("""COMPUTED_VALUE"""),26.05)</f>
        <v>26.05</v>
      </c>
      <c r="E1761" s="112">
        <f ca="1">IFERROR(__xludf.DUMMYFUNCTION("""COMPUTED_VALUE"""),42866.7055555555)</f>
        <v>42866.705555555498</v>
      </c>
      <c r="F1761" s="111">
        <f ca="1">IFERROR(__xludf.DUMMYFUNCTION("""COMPUTED_VALUE"""),8.89)</f>
        <v>8.89</v>
      </c>
      <c r="G1761" s="112">
        <f ca="1">IFERROR(__xludf.DUMMYFUNCTION("""COMPUTED_VALUE"""),42860.7055555555)</f>
        <v>42860.705555555498</v>
      </c>
      <c r="H1761" s="111">
        <f ca="1">IFERROR(__xludf.DUMMYFUNCTION("""COMPUTED_VALUE"""),14.21)</f>
        <v>14.21</v>
      </c>
      <c r="K1761" s="112">
        <f ca="1">IFERROR(__xludf.DUMMYFUNCTION("""COMPUTED_VALUE"""),43312.7055555555)</f>
        <v>43312.705555555498</v>
      </c>
      <c r="L1761" s="111">
        <f ca="1">IFERROR(__xludf.DUMMYFUNCTION("""COMPUTED_VALUE"""),4.13)</f>
        <v>4.13</v>
      </c>
      <c r="M1761" s="112">
        <f ca="1">IFERROR(__xludf.DUMMYFUNCTION("""COMPUTED_VALUE"""),42772.7055555555)</f>
        <v>42772.705555555498</v>
      </c>
      <c r="N1761" s="111">
        <f ca="1">IFERROR(__xludf.DUMMYFUNCTION("""COMPUTED_VALUE"""),17.82)</f>
        <v>17.82</v>
      </c>
      <c r="O1761" s="112">
        <f ca="1">IFERROR(__xludf.DUMMYFUNCTION("""COMPUTED_VALUE"""),42850.7055555555)</f>
        <v>42850.705555555498</v>
      </c>
      <c r="P1761" s="111">
        <f ca="1">IFERROR(__xludf.DUMMYFUNCTION("""COMPUTED_VALUE"""),28.35)</f>
        <v>28.35</v>
      </c>
      <c r="Q1761" s="112">
        <f ca="1">IFERROR(__xludf.DUMMYFUNCTION("""COMPUTED_VALUE"""),42849.7055555555)</f>
        <v>42849.705555555498</v>
      </c>
      <c r="R1761" s="111">
        <f ca="1">IFERROR(__xludf.DUMMYFUNCTION("""COMPUTED_VALUE"""),32.3)</f>
        <v>32.299999999999997</v>
      </c>
      <c r="S1761" s="112">
        <f ca="1">IFERROR(__xludf.DUMMYFUNCTION("""COMPUTED_VALUE"""),42860.7055555555)</f>
        <v>42860.705555555498</v>
      </c>
      <c r="T1761" s="111">
        <f ca="1">IFERROR(__xludf.DUMMYFUNCTION("""COMPUTED_VALUE"""),22.4)</f>
        <v>22.4</v>
      </c>
    </row>
    <row r="1762" spans="1:20" x14ac:dyDescent="0.3">
      <c r="A1762" s="112">
        <f ca="1">IFERROR(__xludf.DUMMYFUNCTION("""COMPUTED_VALUE"""),42859.7055555555)</f>
        <v>42859.705555555498</v>
      </c>
      <c r="B1762" s="111">
        <f ca="1">IFERROR(__xludf.DUMMYFUNCTION("""COMPUTED_VALUE"""),16.49)</f>
        <v>16.489999999999998</v>
      </c>
      <c r="C1762" s="112">
        <f ca="1">IFERROR(__xludf.DUMMYFUNCTION("""COMPUTED_VALUE"""),42866.7055555555)</f>
        <v>42866.705555555498</v>
      </c>
      <c r="D1762" s="111">
        <f ca="1">IFERROR(__xludf.DUMMYFUNCTION("""COMPUTED_VALUE"""),26.5)</f>
        <v>26.5</v>
      </c>
      <c r="E1762" s="112">
        <f ca="1">IFERROR(__xludf.DUMMYFUNCTION("""COMPUTED_VALUE"""),42867.7055555555)</f>
        <v>42867.705555555498</v>
      </c>
      <c r="F1762" s="111">
        <f ca="1">IFERROR(__xludf.DUMMYFUNCTION("""COMPUTED_VALUE"""),8.92)</f>
        <v>8.92</v>
      </c>
      <c r="G1762" s="112">
        <f ca="1">IFERROR(__xludf.DUMMYFUNCTION("""COMPUTED_VALUE"""),42863.7055555555)</f>
        <v>42863.705555555498</v>
      </c>
      <c r="H1762" s="111">
        <f ca="1">IFERROR(__xludf.DUMMYFUNCTION("""COMPUTED_VALUE"""),14.08)</f>
        <v>14.08</v>
      </c>
      <c r="K1762" s="112">
        <f ca="1">IFERROR(__xludf.DUMMYFUNCTION("""COMPUTED_VALUE"""),43313.7055555555)</f>
        <v>43313.705555555498</v>
      </c>
      <c r="L1762" s="111">
        <f ca="1">IFERROR(__xludf.DUMMYFUNCTION("""COMPUTED_VALUE"""),4.2)</f>
        <v>4.2</v>
      </c>
      <c r="M1762" s="112">
        <f ca="1">IFERROR(__xludf.DUMMYFUNCTION("""COMPUTED_VALUE"""),42773.7055555555)</f>
        <v>42773.705555555498</v>
      </c>
      <c r="N1762" s="111">
        <f ca="1">IFERROR(__xludf.DUMMYFUNCTION("""COMPUTED_VALUE"""),17.79)</f>
        <v>17.79</v>
      </c>
      <c r="O1762" s="112">
        <f ca="1">IFERROR(__xludf.DUMMYFUNCTION("""COMPUTED_VALUE"""),42851.7055555555)</f>
        <v>42851.705555555498</v>
      </c>
      <c r="P1762" s="111">
        <f ca="1">IFERROR(__xludf.DUMMYFUNCTION("""COMPUTED_VALUE"""),27.73)</f>
        <v>27.73</v>
      </c>
      <c r="Q1762" s="112">
        <f ca="1">IFERROR(__xludf.DUMMYFUNCTION("""COMPUTED_VALUE"""),42850.7055555555)</f>
        <v>42850.705555555498</v>
      </c>
      <c r="R1762" s="111">
        <f ca="1">IFERROR(__xludf.DUMMYFUNCTION("""COMPUTED_VALUE"""),32.5)</f>
        <v>32.5</v>
      </c>
      <c r="S1762" s="112">
        <f ca="1">IFERROR(__xludf.DUMMYFUNCTION("""COMPUTED_VALUE"""),42863.7055555555)</f>
        <v>42863.705555555498</v>
      </c>
      <c r="T1762" s="111">
        <f ca="1">IFERROR(__xludf.DUMMYFUNCTION("""COMPUTED_VALUE"""),22.5)</f>
        <v>22.5</v>
      </c>
    </row>
    <row r="1763" spans="1:20" x14ac:dyDescent="0.3">
      <c r="A1763" s="112">
        <f ca="1">IFERROR(__xludf.DUMMYFUNCTION("""COMPUTED_VALUE"""),42860.7055555555)</f>
        <v>42860.705555555498</v>
      </c>
      <c r="B1763" s="111">
        <f ca="1">IFERROR(__xludf.DUMMYFUNCTION("""COMPUTED_VALUE"""),16.32)</f>
        <v>16.32</v>
      </c>
      <c r="C1763" s="112">
        <f ca="1">IFERROR(__xludf.DUMMYFUNCTION("""COMPUTED_VALUE"""),42867.7055555555)</f>
        <v>42867.705555555498</v>
      </c>
      <c r="D1763" s="111">
        <f ca="1">IFERROR(__xludf.DUMMYFUNCTION("""COMPUTED_VALUE"""),26.75)</f>
        <v>26.75</v>
      </c>
      <c r="E1763" s="112">
        <f ca="1">IFERROR(__xludf.DUMMYFUNCTION("""COMPUTED_VALUE"""),42870.7055555555)</f>
        <v>42870.705555555498</v>
      </c>
      <c r="F1763" s="111">
        <f ca="1">IFERROR(__xludf.DUMMYFUNCTION("""COMPUTED_VALUE"""),8.92)</f>
        <v>8.92</v>
      </c>
      <c r="G1763" s="112">
        <f ca="1">IFERROR(__xludf.DUMMYFUNCTION("""COMPUTED_VALUE"""),42864.7055555555)</f>
        <v>42864.705555555498</v>
      </c>
      <c r="H1763" s="111">
        <f ca="1">IFERROR(__xludf.DUMMYFUNCTION("""COMPUTED_VALUE"""),14.14)</f>
        <v>14.14</v>
      </c>
      <c r="K1763" s="112">
        <f ca="1">IFERROR(__xludf.DUMMYFUNCTION("""COMPUTED_VALUE"""),43314.7055555555)</f>
        <v>43314.705555555498</v>
      </c>
      <c r="L1763" s="111">
        <f ca="1">IFERROR(__xludf.DUMMYFUNCTION("""COMPUTED_VALUE"""),4.28)</f>
        <v>4.28</v>
      </c>
      <c r="M1763" s="112">
        <f ca="1">IFERROR(__xludf.DUMMYFUNCTION("""COMPUTED_VALUE"""),42774.7055555555)</f>
        <v>42774.705555555498</v>
      </c>
      <c r="N1763" s="111">
        <f ca="1">IFERROR(__xludf.DUMMYFUNCTION("""COMPUTED_VALUE"""),18.12)</f>
        <v>18.12</v>
      </c>
      <c r="O1763" s="112">
        <f ca="1">IFERROR(__xludf.DUMMYFUNCTION("""COMPUTED_VALUE"""),42852.7055555555)</f>
        <v>42852.705555555498</v>
      </c>
      <c r="P1763" s="111">
        <f ca="1">IFERROR(__xludf.DUMMYFUNCTION("""COMPUTED_VALUE"""),26.83)</f>
        <v>26.83</v>
      </c>
      <c r="Q1763" s="112">
        <f ca="1">IFERROR(__xludf.DUMMYFUNCTION("""COMPUTED_VALUE"""),42851.7055555555)</f>
        <v>42851.705555555498</v>
      </c>
      <c r="R1763" s="111">
        <f ca="1">IFERROR(__xludf.DUMMYFUNCTION("""COMPUTED_VALUE"""),32.11)</f>
        <v>32.11</v>
      </c>
      <c r="S1763" s="112">
        <f ca="1">IFERROR(__xludf.DUMMYFUNCTION("""COMPUTED_VALUE"""),42864.7055555555)</f>
        <v>42864.705555555498</v>
      </c>
      <c r="T1763" s="111">
        <f ca="1">IFERROR(__xludf.DUMMYFUNCTION("""COMPUTED_VALUE"""),23.23)</f>
        <v>23.23</v>
      </c>
    </row>
    <row r="1764" spans="1:20" x14ac:dyDescent="0.3">
      <c r="A1764" s="112">
        <f ca="1">IFERROR(__xludf.DUMMYFUNCTION("""COMPUTED_VALUE"""),42863.7055555555)</f>
        <v>42863.705555555498</v>
      </c>
      <c r="B1764" s="111">
        <f ca="1">IFERROR(__xludf.DUMMYFUNCTION("""COMPUTED_VALUE"""),15.79)</f>
        <v>15.79</v>
      </c>
      <c r="C1764" s="112">
        <f ca="1">IFERROR(__xludf.DUMMYFUNCTION("""COMPUTED_VALUE"""),42870.7055555555)</f>
        <v>42870.705555555498</v>
      </c>
      <c r="D1764" s="111">
        <f ca="1">IFERROR(__xludf.DUMMYFUNCTION("""COMPUTED_VALUE"""),26.87)</f>
        <v>26.87</v>
      </c>
      <c r="E1764" s="112">
        <f ca="1">IFERROR(__xludf.DUMMYFUNCTION("""COMPUTED_VALUE"""),42871.7055555555)</f>
        <v>42871.705555555498</v>
      </c>
      <c r="F1764" s="111">
        <f ca="1">IFERROR(__xludf.DUMMYFUNCTION("""COMPUTED_VALUE"""),8.89)</f>
        <v>8.89</v>
      </c>
      <c r="G1764" s="112">
        <f ca="1">IFERROR(__xludf.DUMMYFUNCTION("""COMPUTED_VALUE"""),42865.7055555555)</f>
        <v>42865.705555555498</v>
      </c>
      <c r="H1764" s="111">
        <f ca="1">IFERROR(__xludf.DUMMYFUNCTION("""COMPUTED_VALUE"""),14.73)</f>
        <v>14.73</v>
      </c>
      <c r="K1764" s="112">
        <f ca="1">IFERROR(__xludf.DUMMYFUNCTION("""COMPUTED_VALUE"""),43315.7055555555)</f>
        <v>43315.705555555498</v>
      </c>
      <c r="L1764" s="111">
        <f ca="1">IFERROR(__xludf.DUMMYFUNCTION("""COMPUTED_VALUE"""),4.28)</f>
        <v>4.28</v>
      </c>
      <c r="M1764" s="112">
        <f ca="1">IFERROR(__xludf.DUMMYFUNCTION("""COMPUTED_VALUE"""),42775.7055555555)</f>
        <v>42775.705555555498</v>
      </c>
      <c r="N1764" s="111">
        <f ca="1">IFERROR(__xludf.DUMMYFUNCTION("""COMPUTED_VALUE"""),18.23)</f>
        <v>18.23</v>
      </c>
      <c r="O1764" s="112">
        <f ca="1">IFERROR(__xludf.DUMMYFUNCTION("""COMPUTED_VALUE"""),42853.7055555555)</f>
        <v>42853.705555555498</v>
      </c>
      <c r="P1764" s="111">
        <f ca="1">IFERROR(__xludf.DUMMYFUNCTION("""COMPUTED_VALUE"""),27.47)</f>
        <v>27.47</v>
      </c>
      <c r="Q1764" s="112">
        <f ca="1">IFERROR(__xludf.DUMMYFUNCTION("""COMPUTED_VALUE"""),42852.7055555555)</f>
        <v>42852.705555555498</v>
      </c>
      <c r="R1764" s="111">
        <f ca="1">IFERROR(__xludf.DUMMYFUNCTION("""COMPUTED_VALUE"""),32.56)</f>
        <v>32.56</v>
      </c>
      <c r="S1764" s="112">
        <f ca="1">IFERROR(__xludf.DUMMYFUNCTION("""COMPUTED_VALUE"""),42865.7055555555)</f>
        <v>42865.705555555498</v>
      </c>
      <c r="T1764" s="111">
        <f ca="1">IFERROR(__xludf.DUMMYFUNCTION("""COMPUTED_VALUE"""),24.26)</f>
        <v>24.26</v>
      </c>
    </row>
    <row r="1765" spans="1:20" x14ac:dyDescent="0.3">
      <c r="A1765" s="112">
        <f ca="1">IFERROR(__xludf.DUMMYFUNCTION("""COMPUTED_VALUE"""),42864.7055555555)</f>
        <v>42864.705555555498</v>
      </c>
      <c r="B1765" s="111">
        <f ca="1">IFERROR(__xludf.DUMMYFUNCTION("""COMPUTED_VALUE"""),16.33)</f>
        <v>16.329999999999998</v>
      </c>
      <c r="C1765" s="112">
        <f ca="1">IFERROR(__xludf.DUMMYFUNCTION("""COMPUTED_VALUE"""),42871.7055555555)</f>
        <v>42871.705555555498</v>
      </c>
      <c r="D1765" s="111">
        <f ca="1">IFERROR(__xludf.DUMMYFUNCTION("""COMPUTED_VALUE"""),26.83)</f>
        <v>26.83</v>
      </c>
      <c r="E1765" s="112">
        <f ca="1">IFERROR(__xludf.DUMMYFUNCTION("""COMPUTED_VALUE"""),42872.7055555555)</f>
        <v>42872.705555555498</v>
      </c>
      <c r="F1765" s="111">
        <f ca="1">IFERROR(__xludf.DUMMYFUNCTION("""COMPUTED_VALUE"""),8.72)</f>
        <v>8.7200000000000006</v>
      </c>
      <c r="G1765" s="112">
        <f ca="1">IFERROR(__xludf.DUMMYFUNCTION("""COMPUTED_VALUE"""),42866.7055555555)</f>
        <v>42866.705555555498</v>
      </c>
      <c r="H1765" s="111">
        <f ca="1">IFERROR(__xludf.DUMMYFUNCTION("""COMPUTED_VALUE"""),14.82)</f>
        <v>14.82</v>
      </c>
      <c r="K1765" s="112">
        <f ca="1">IFERROR(__xludf.DUMMYFUNCTION("""COMPUTED_VALUE"""),43318.7055555555)</f>
        <v>43318.705555555498</v>
      </c>
      <c r="L1765" s="111">
        <f ca="1">IFERROR(__xludf.DUMMYFUNCTION("""COMPUTED_VALUE"""),4.31)</f>
        <v>4.3099999999999996</v>
      </c>
      <c r="M1765" s="112">
        <f ca="1">IFERROR(__xludf.DUMMYFUNCTION("""COMPUTED_VALUE"""),42776.7055555555)</f>
        <v>42776.705555555498</v>
      </c>
      <c r="N1765" s="111">
        <f ca="1">IFERROR(__xludf.DUMMYFUNCTION("""COMPUTED_VALUE"""),18.5)</f>
        <v>18.5</v>
      </c>
      <c r="O1765" s="112">
        <f ca="1">IFERROR(__xludf.DUMMYFUNCTION("""COMPUTED_VALUE"""),42857.7055555555)</f>
        <v>42857.705555555498</v>
      </c>
      <c r="P1765" s="111">
        <f ca="1">IFERROR(__xludf.DUMMYFUNCTION("""COMPUTED_VALUE"""),28.06)</f>
        <v>28.06</v>
      </c>
      <c r="Q1765" s="112">
        <f ca="1">IFERROR(__xludf.DUMMYFUNCTION("""COMPUTED_VALUE"""),42853.7055555555)</f>
        <v>42853.705555555498</v>
      </c>
      <c r="R1765" s="111">
        <f ca="1">IFERROR(__xludf.DUMMYFUNCTION("""COMPUTED_VALUE"""),32.85)</f>
        <v>32.85</v>
      </c>
      <c r="S1765" s="112">
        <f ca="1">IFERROR(__xludf.DUMMYFUNCTION("""COMPUTED_VALUE"""),42866.7055555555)</f>
        <v>42866.705555555498</v>
      </c>
      <c r="T1765" s="111">
        <f ca="1">IFERROR(__xludf.DUMMYFUNCTION("""COMPUTED_VALUE"""),24.21)</f>
        <v>24.21</v>
      </c>
    </row>
    <row r="1766" spans="1:20" x14ac:dyDescent="0.3">
      <c r="A1766" s="112">
        <f ca="1">IFERROR(__xludf.DUMMYFUNCTION("""COMPUTED_VALUE"""),42865.7055555555)</f>
        <v>42865.705555555498</v>
      </c>
      <c r="B1766" s="111">
        <f ca="1">IFERROR(__xludf.DUMMYFUNCTION("""COMPUTED_VALUE"""),15.9)</f>
        <v>15.9</v>
      </c>
      <c r="C1766" s="112">
        <f ca="1">IFERROR(__xludf.DUMMYFUNCTION("""COMPUTED_VALUE"""),42872.7055555555)</f>
        <v>42872.705555555498</v>
      </c>
      <c r="D1766" s="111">
        <f ca="1">IFERROR(__xludf.DUMMYFUNCTION("""COMPUTED_VALUE"""),26.29)</f>
        <v>26.29</v>
      </c>
      <c r="E1766" s="112">
        <f ca="1">IFERROR(__xludf.DUMMYFUNCTION("""COMPUTED_VALUE"""),42873.7055555555)</f>
        <v>42873.705555555498</v>
      </c>
      <c r="F1766" s="111">
        <f ca="1">IFERROR(__xludf.DUMMYFUNCTION("""COMPUTED_VALUE"""),7.88)</f>
        <v>7.88</v>
      </c>
      <c r="G1766" s="112">
        <f ca="1">IFERROR(__xludf.DUMMYFUNCTION("""COMPUTED_VALUE"""),42867.7055555555)</f>
        <v>42867.705555555498</v>
      </c>
      <c r="H1766" s="111">
        <f ca="1">IFERROR(__xludf.DUMMYFUNCTION("""COMPUTED_VALUE"""),15.45)</f>
        <v>15.45</v>
      </c>
      <c r="K1766" s="112">
        <f ca="1">IFERROR(__xludf.DUMMYFUNCTION("""COMPUTED_VALUE"""),43319.7055555555)</f>
        <v>43319.705555555498</v>
      </c>
      <c r="L1766" s="111">
        <f ca="1">IFERROR(__xludf.DUMMYFUNCTION("""COMPUTED_VALUE"""),4.56)</f>
        <v>4.5599999999999996</v>
      </c>
      <c r="M1766" s="112">
        <f ca="1">IFERROR(__xludf.DUMMYFUNCTION("""COMPUTED_VALUE"""),42779.7055555555)</f>
        <v>42779.705555555498</v>
      </c>
      <c r="N1766" s="111">
        <f ca="1">IFERROR(__xludf.DUMMYFUNCTION("""COMPUTED_VALUE"""),18.55)</f>
        <v>18.55</v>
      </c>
      <c r="O1766" s="112">
        <f ca="1">IFERROR(__xludf.DUMMYFUNCTION("""COMPUTED_VALUE"""),42858.7055555555)</f>
        <v>42858.705555555498</v>
      </c>
      <c r="P1766" s="111">
        <f ca="1">IFERROR(__xludf.DUMMYFUNCTION("""COMPUTED_VALUE"""),26.32)</f>
        <v>26.32</v>
      </c>
      <c r="Q1766" s="112">
        <f ca="1">IFERROR(__xludf.DUMMYFUNCTION("""COMPUTED_VALUE"""),42857.7055555555)</f>
        <v>42857.705555555498</v>
      </c>
      <c r="R1766" s="111">
        <f ca="1">IFERROR(__xludf.DUMMYFUNCTION("""COMPUTED_VALUE"""),33.89)</f>
        <v>33.89</v>
      </c>
      <c r="S1766" s="112">
        <f ca="1">IFERROR(__xludf.DUMMYFUNCTION("""COMPUTED_VALUE"""),42867.7055555555)</f>
        <v>42867.705555555498</v>
      </c>
      <c r="T1766" s="111">
        <f ca="1">IFERROR(__xludf.DUMMYFUNCTION("""COMPUTED_VALUE"""),24.26)</f>
        <v>24.26</v>
      </c>
    </row>
    <row r="1767" spans="1:20" x14ac:dyDescent="0.3">
      <c r="A1767" s="112">
        <f ca="1">IFERROR(__xludf.DUMMYFUNCTION("""COMPUTED_VALUE"""),42866.7055555555)</f>
        <v>42866.705555555498</v>
      </c>
      <c r="B1767" s="111">
        <f ca="1">IFERROR(__xludf.DUMMYFUNCTION("""COMPUTED_VALUE"""),17.26)</f>
        <v>17.260000000000002</v>
      </c>
      <c r="C1767" s="112">
        <f ca="1">IFERROR(__xludf.DUMMYFUNCTION("""COMPUTED_VALUE"""),42873.7055555555)</f>
        <v>42873.705555555498</v>
      </c>
      <c r="D1767" s="111">
        <f ca="1">IFERROR(__xludf.DUMMYFUNCTION("""COMPUTED_VALUE"""),23.12)</f>
        <v>23.12</v>
      </c>
      <c r="E1767" s="112">
        <f ca="1">IFERROR(__xludf.DUMMYFUNCTION("""COMPUTED_VALUE"""),42874.7055555555)</f>
        <v>42874.705555555498</v>
      </c>
      <c r="F1767" s="111">
        <f ca="1">IFERROR(__xludf.DUMMYFUNCTION("""COMPUTED_VALUE"""),7.93)</f>
        <v>7.93</v>
      </c>
      <c r="G1767" s="112">
        <f ca="1">IFERROR(__xludf.DUMMYFUNCTION("""COMPUTED_VALUE"""),42870.7055555555)</f>
        <v>42870.705555555498</v>
      </c>
      <c r="H1767" s="111">
        <f ca="1">IFERROR(__xludf.DUMMYFUNCTION("""COMPUTED_VALUE"""),15.68)</f>
        <v>15.68</v>
      </c>
      <c r="K1767" s="112">
        <f ca="1">IFERROR(__xludf.DUMMYFUNCTION("""COMPUTED_VALUE"""),43320.7055555555)</f>
        <v>43320.705555555498</v>
      </c>
      <c r="L1767" s="111">
        <f ca="1">IFERROR(__xludf.DUMMYFUNCTION("""COMPUTED_VALUE"""),4.38)</f>
        <v>4.38</v>
      </c>
      <c r="M1767" s="112">
        <f ca="1">IFERROR(__xludf.DUMMYFUNCTION("""COMPUTED_VALUE"""),42780.7055555555)</f>
        <v>42780.705555555498</v>
      </c>
      <c r="N1767" s="111">
        <f ca="1">IFERROR(__xludf.DUMMYFUNCTION("""COMPUTED_VALUE"""),18.44)</f>
        <v>18.440000000000001</v>
      </c>
      <c r="O1767" s="112">
        <f ca="1">IFERROR(__xludf.DUMMYFUNCTION("""COMPUTED_VALUE"""),42859.7055555555)</f>
        <v>42859.705555555498</v>
      </c>
      <c r="P1767" s="111">
        <f ca="1">IFERROR(__xludf.DUMMYFUNCTION("""COMPUTED_VALUE"""),25.35)</f>
        <v>25.35</v>
      </c>
      <c r="Q1767" s="112">
        <f ca="1">IFERROR(__xludf.DUMMYFUNCTION("""COMPUTED_VALUE"""),42858.7055555555)</f>
        <v>42858.705555555498</v>
      </c>
      <c r="R1767" s="111">
        <f ca="1">IFERROR(__xludf.DUMMYFUNCTION("""COMPUTED_VALUE"""),33.78)</f>
        <v>33.78</v>
      </c>
      <c r="S1767" s="112">
        <f ca="1">IFERROR(__xludf.DUMMYFUNCTION("""COMPUTED_VALUE"""),42870.7055555555)</f>
        <v>42870.705555555498</v>
      </c>
      <c r="T1767" s="111">
        <f ca="1">IFERROR(__xludf.DUMMYFUNCTION("""COMPUTED_VALUE"""),23.97)</f>
        <v>23.97</v>
      </c>
    </row>
    <row r="1768" spans="1:20" x14ac:dyDescent="0.3">
      <c r="A1768" s="112">
        <f ca="1">IFERROR(__xludf.DUMMYFUNCTION("""COMPUTED_VALUE"""),42867.7055555555)</f>
        <v>42867.705555555498</v>
      </c>
      <c r="B1768" s="111">
        <f ca="1">IFERROR(__xludf.DUMMYFUNCTION("""COMPUTED_VALUE"""),17.31)</f>
        <v>17.309999999999999</v>
      </c>
      <c r="C1768" s="112">
        <f ca="1">IFERROR(__xludf.DUMMYFUNCTION("""COMPUTED_VALUE"""),42874.7055555555)</f>
        <v>42874.705555555498</v>
      </c>
      <c r="D1768" s="111">
        <f ca="1">IFERROR(__xludf.DUMMYFUNCTION("""COMPUTED_VALUE"""),23.72)</f>
        <v>23.72</v>
      </c>
      <c r="E1768" s="112">
        <f ca="1">IFERROR(__xludf.DUMMYFUNCTION("""COMPUTED_VALUE"""),42877.7055555555)</f>
        <v>42877.705555555498</v>
      </c>
      <c r="F1768" s="111">
        <f ca="1">IFERROR(__xludf.DUMMYFUNCTION("""COMPUTED_VALUE"""),7.71)</f>
        <v>7.71</v>
      </c>
      <c r="G1768" s="112">
        <f ca="1">IFERROR(__xludf.DUMMYFUNCTION("""COMPUTED_VALUE"""),42871.7055555555)</f>
        <v>42871.705555555498</v>
      </c>
      <c r="H1768" s="111">
        <f ca="1">IFERROR(__xludf.DUMMYFUNCTION("""COMPUTED_VALUE"""),15.7)</f>
        <v>15.7</v>
      </c>
      <c r="K1768" s="112">
        <f ca="1">IFERROR(__xludf.DUMMYFUNCTION("""COMPUTED_VALUE"""),43321.7055555555)</f>
        <v>43321.705555555498</v>
      </c>
      <c r="L1768" s="111">
        <f ca="1">IFERROR(__xludf.DUMMYFUNCTION("""COMPUTED_VALUE"""),4.59)</f>
        <v>4.59</v>
      </c>
      <c r="M1768" s="112">
        <f ca="1">IFERROR(__xludf.DUMMYFUNCTION("""COMPUTED_VALUE"""),42781.7055555555)</f>
        <v>42781.705555555498</v>
      </c>
      <c r="N1768" s="111">
        <f ca="1">IFERROR(__xludf.DUMMYFUNCTION("""COMPUTED_VALUE"""),18.83)</f>
        <v>18.829999999999998</v>
      </c>
      <c r="O1768" s="112">
        <f ca="1">IFERROR(__xludf.DUMMYFUNCTION("""COMPUTED_VALUE"""),42860.7055555555)</f>
        <v>42860.705555555498</v>
      </c>
      <c r="P1768" s="111">
        <f ca="1">IFERROR(__xludf.DUMMYFUNCTION("""COMPUTED_VALUE"""),26.05)</f>
        <v>26.05</v>
      </c>
      <c r="Q1768" s="112">
        <f ca="1">IFERROR(__xludf.DUMMYFUNCTION("""COMPUTED_VALUE"""),42859.7055555555)</f>
        <v>42859.705555555498</v>
      </c>
      <c r="R1768" s="111">
        <f ca="1">IFERROR(__xludf.DUMMYFUNCTION("""COMPUTED_VALUE"""),32.36)</f>
        <v>32.36</v>
      </c>
      <c r="S1768" s="112">
        <f ca="1">IFERROR(__xludf.DUMMYFUNCTION("""COMPUTED_VALUE"""),42871.7055555555)</f>
        <v>42871.705555555498</v>
      </c>
      <c r="T1768" s="111">
        <f ca="1">IFERROR(__xludf.DUMMYFUNCTION("""COMPUTED_VALUE"""),24.05)</f>
        <v>24.05</v>
      </c>
    </row>
    <row r="1769" spans="1:20" x14ac:dyDescent="0.3">
      <c r="A1769" s="112">
        <f ca="1">IFERROR(__xludf.DUMMYFUNCTION("""COMPUTED_VALUE"""),42870.7055555555)</f>
        <v>42870.705555555498</v>
      </c>
      <c r="B1769" s="111">
        <f ca="1">IFERROR(__xludf.DUMMYFUNCTION("""COMPUTED_VALUE"""),16.86)</f>
        <v>16.86</v>
      </c>
      <c r="C1769" s="112">
        <f ca="1">IFERROR(__xludf.DUMMYFUNCTION("""COMPUTED_VALUE"""),42877.7055555555)</f>
        <v>42877.705555555498</v>
      </c>
      <c r="D1769" s="111">
        <f ca="1">IFERROR(__xludf.DUMMYFUNCTION("""COMPUTED_VALUE"""),23.25)</f>
        <v>23.25</v>
      </c>
      <c r="E1769" s="112">
        <f ca="1">IFERROR(__xludf.DUMMYFUNCTION("""COMPUTED_VALUE"""),42878.7055555555)</f>
        <v>42878.705555555498</v>
      </c>
      <c r="F1769" s="111">
        <f ca="1">IFERROR(__xludf.DUMMYFUNCTION("""COMPUTED_VALUE"""),7.8)</f>
        <v>7.8</v>
      </c>
      <c r="G1769" s="112">
        <f ca="1">IFERROR(__xludf.DUMMYFUNCTION("""COMPUTED_VALUE"""),42872.7055555555)</f>
        <v>42872.705555555498</v>
      </c>
      <c r="H1769" s="111">
        <f ca="1">IFERROR(__xludf.DUMMYFUNCTION("""COMPUTED_VALUE"""),15.61)</f>
        <v>15.61</v>
      </c>
      <c r="K1769" s="112">
        <f ca="1">IFERROR(__xludf.DUMMYFUNCTION("""COMPUTED_VALUE"""),43322.7055555555)</f>
        <v>43322.705555555498</v>
      </c>
      <c r="L1769" s="111">
        <f ca="1">IFERROR(__xludf.DUMMYFUNCTION("""COMPUTED_VALUE"""),4.35)</f>
        <v>4.3499999999999996</v>
      </c>
      <c r="M1769" s="112">
        <f ca="1">IFERROR(__xludf.DUMMYFUNCTION("""COMPUTED_VALUE"""),42782.7055555555)</f>
        <v>42782.705555555498</v>
      </c>
      <c r="N1769" s="111">
        <f ca="1">IFERROR(__xludf.DUMMYFUNCTION("""COMPUTED_VALUE"""),18.77)</f>
        <v>18.77</v>
      </c>
      <c r="O1769" s="112">
        <f ca="1">IFERROR(__xludf.DUMMYFUNCTION("""COMPUTED_VALUE"""),42863.7055555555)</f>
        <v>42863.705555555498</v>
      </c>
      <c r="P1769" s="111">
        <f ca="1">IFERROR(__xludf.DUMMYFUNCTION("""COMPUTED_VALUE"""),26.03)</f>
        <v>26.03</v>
      </c>
      <c r="Q1769" s="112">
        <f ca="1">IFERROR(__xludf.DUMMYFUNCTION("""COMPUTED_VALUE"""),42860.7055555555)</f>
        <v>42860.705555555498</v>
      </c>
      <c r="R1769" s="111">
        <f ca="1">IFERROR(__xludf.DUMMYFUNCTION("""COMPUTED_VALUE"""),33.11)</f>
        <v>33.11</v>
      </c>
      <c r="S1769" s="112">
        <f ca="1">IFERROR(__xludf.DUMMYFUNCTION("""COMPUTED_VALUE"""),42872.7055555555)</f>
        <v>42872.705555555498</v>
      </c>
      <c r="T1769" s="111">
        <f ca="1">IFERROR(__xludf.DUMMYFUNCTION("""COMPUTED_VALUE"""),23.79)</f>
        <v>23.79</v>
      </c>
    </row>
    <row r="1770" spans="1:20" x14ac:dyDescent="0.3">
      <c r="A1770" s="112">
        <f ca="1">IFERROR(__xludf.DUMMYFUNCTION("""COMPUTED_VALUE"""),42871.7055555555)</f>
        <v>42871.705555555498</v>
      </c>
      <c r="B1770" s="111">
        <f ca="1">IFERROR(__xludf.DUMMYFUNCTION("""COMPUTED_VALUE"""),16.28)</f>
        <v>16.28</v>
      </c>
      <c r="C1770" s="112">
        <f ca="1">IFERROR(__xludf.DUMMYFUNCTION("""COMPUTED_VALUE"""),42878.7055555555)</f>
        <v>42878.705555555498</v>
      </c>
      <c r="D1770" s="111">
        <f ca="1">IFERROR(__xludf.DUMMYFUNCTION("""COMPUTED_VALUE"""),23.62)</f>
        <v>23.62</v>
      </c>
      <c r="E1770" s="112">
        <f ca="1">IFERROR(__xludf.DUMMYFUNCTION("""COMPUTED_VALUE"""),42879.7055555555)</f>
        <v>42879.705555555498</v>
      </c>
      <c r="F1770" s="111">
        <f ca="1">IFERROR(__xludf.DUMMYFUNCTION("""COMPUTED_VALUE"""),7.8)</f>
        <v>7.8</v>
      </c>
      <c r="G1770" s="112">
        <f ca="1">IFERROR(__xludf.DUMMYFUNCTION("""COMPUTED_VALUE"""),42873.7055555555)</f>
        <v>42873.705555555498</v>
      </c>
      <c r="H1770" s="111">
        <f ca="1">IFERROR(__xludf.DUMMYFUNCTION("""COMPUTED_VALUE"""),13.15)</f>
        <v>13.15</v>
      </c>
      <c r="K1770" s="112">
        <f ca="1">IFERROR(__xludf.DUMMYFUNCTION("""COMPUTED_VALUE"""),43325.7055555555)</f>
        <v>43325.705555555498</v>
      </c>
      <c r="L1770" s="111">
        <f ca="1">IFERROR(__xludf.DUMMYFUNCTION("""COMPUTED_VALUE"""),4.41)</f>
        <v>4.41</v>
      </c>
      <c r="M1770" s="112">
        <f ca="1">IFERROR(__xludf.DUMMYFUNCTION("""COMPUTED_VALUE"""),42783.7055555555)</f>
        <v>42783.705555555498</v>
      </c>
      <c r="N1770" s="111">
        <f ca="1">IFERROR(__xludf.DUMMYFUNCTION("""COMPUTED_VALUE"""),18.73)</f>
        <v>18.73</v>
      </c>
      <c r="O1770" s="112">
        <f ca="1">IFERROR(__xludf.DUMMYFUNCTION("""COMPUTED_VALUE"""),42864.7055555555)</f>
        <v>42864.705555555498</v>
      </c>
      <c r="P1770" s="111">
        <f ca="1">IFERROR(__xludf.DUMMYFUNCTION("""COMPUTED_VALUE"""),26.5)</f>
        <v>26.5</v>
      </c>
      <c r="Q1770" s="112">
        <f ca="1">IFERROR(__xludf.DUMMYFUNCTION("""COMPUTED_VALUE"""),42863.7055555555)</f>
        <v>42863.705555555498</v>
      </c>
      <c r="R1770" s="111">
        <f ca="1">IFERROR(__xludf.DUMMYFUNCTION("""COMPUTED_VALUE"""),32.28)</f>
        <v>32.28</v>
      </c>
      <c r="S1770" s="112">
        <f ca="1">IFERROR(__xludf.DUMMYFUNCTION("""COMPUTED_VALUE"""),42873.7055555555)</f>
        <v>42873.705555555498</v>
      </c>
      <c r="T1770" s="111">
        <f ca="1">IFERROR(__xludf.DUMMYFUNCTION("""COMPUTED_VALUE"""),21.94)</f>
        <v>21.94</v>
      </c>
    </row>
    <row r="1771" spans="1:20" x14ac:dyDescent="0.3">
      <c r="A1771" s="112">
        <f ca="1">IFERROR(__xludf.DUMMYFUNCTION("""COMPUTED_VALUE"""),42872.7055555555)</f>
        <v>42872.705555555498</v>
      </c>
      <c r="B1771" s="111">
        <f ca="1">IFERROR(__xludf.DUMMYFUNCTION("""COMPUTED_VALUE"""),15.7)</f>
        <v>15.7</v>
      </c>
      <c r="C1771" s="112">
        <f ca="1">IFERROR(__xludf.DUMMYFUNCTION("""COMPUTED_VALUE"""),42879.7055555555)</f>
        <v>42879.705555555498</v>
      </c>
      <c r="D1771" s="111">
        <f ca="1">IFERROR(__xludf.DUMMYFUNCTION("""COMPUTED_VALUE"""),23.81)</f>
        <v>23.81</v>
      </c>
      <c r="E1771" s="112">
        <f ca="1">IFERROR(__xludf.DUMMYFUNCTION("""COMPUTED_VALUE"""),42880.7055555555)</f>
        <v>42880.705555555498</v>
      </c>
      <c r="F1771" s="111">
        <f ca="1">IFERROR(__xludf.DUMMYFUNCTION("""COMPUTED_VALUE"""),7.62)</f>
        <v>7.62</v>
      </c>
      <c r="G1771" s="112">
        <f ca="1">IFERROR(__xludf.DUMMYFUNCTION("""COMPUTED_VALUE"""),42874.7055555555)</f>
        <v>42874.705555555498</v>
      </c>
      <c r="H1771" s="111">
        <f ca="1">IFERROR(__xludf.DUMMYFUNCTION("""COMPUTED_VALUE"""),13.62)</f>
        <v>13.62</v>
      </c>
      <c r="K1771" s="112">
        <f ca="1">IFERROR(__xludf.DUMMYFUNCTION("""COMPUTED_VALUE"""),43326.7055555555)</f>
        <v>43326.705555555498</v>
      </c>
      <c r="L1771" s="111">
        <f ca="1">IFERROR(__xludf.DUMMYFUNCTION("""COMPUTED_VALUE"""),4.43)</f>
        <v>4.43</v>
      </c>
      <c r="M1771" s="112">
        <f ca="1">IFERROR(__xludf.DUMMYFUNCTION("""COMPUTED_VALUE"""),42786.7055555555)</f>
        <v>42786.705555555498</v>
      </c>
      <c r="N1771" s="111">
        <f ca="1">IFERROR(__xludf.DUMMYFUNCTION("""COMPUTED_VALUE"""),18.81)</f>
        <v>18.809999999999999</v>
      </c>
      <c r="O1771" s="112">
        <f ca="1">IFERROR(__xludf.DUMMYFUNCTION("""COMPUTED_VALUE"""),42865.7055555555)</f>
        <v>42865.705555555498</v>
      </c>
      <c r="P1771" s="111">
        <f ca="1">IFERROR(__xludf.DUMMYFUNCTION("""COMPUTED_VALUE"""),26.56)</f>
        <v>26.56</v>
      </c>
      <c r="Q1771" s="112">
        <f ca="1">IFERROR(__xludf.DUMMYFUNCTION("""COMPUTED_VALUE"""),42864.7055555555)</f>
        <v>42864.705555555498</v>
      </c>
      <c r="R1771" s="111">
        <f ca="1">IFERROR(__xludf.DUMMYFUNCTION("""COMPUTED_VALUE"""),32.4)</f>
        <v>32.4</v>
      </c>
      <c r="S1771" s="112">
        <f ca="1">IFERROR(__xludf.DUMMYFUNCTION("""COMPUTED_VALUE"""),42874.7055555555)</f>
        <v>42874.705555555498</v>
      </c>
      <c r="T1771" s="111">
        <f ca="1">IFERROR(__xludf.DUMMYFUNCTION("""COMPUTED_VALUE"""),22.23)</f>
        <v>22.23</v>
      </c>
    </row>
    <row r="1772" spans="1:20" x14ac:dyDescent="0.3">
      <c r="A1772" s="112">
        <f ca="1">IFERROR(__xludf.DUMMYFUNCTION("""COMPUTED_VALUE"""),42873.7055555555)</f>
        <v>42873.705555555498</v>
      </c>
      <c r="B1772" s="111">
        <f ca="1">IFERROR(__xludf.DUMMYFUNCTION("""COMPUTED_VALUE"""),12.41)</f>
        <v>12.41</v>
      </c>
      <c r="C1772" s="112">
        <f ca="1">IFERROR(__xludf.DUMMYFUNCTION("""COMPUTED_VALUE"""),42880.7055555555)</f>
        <v>42880.705555555498</v>
      </c>
      <c r="D1772" s="111">
        <f ca="1">IFERROR(__xludf.DUMMYFUNCTION("""COMPUTED_VALUE"""),23.37)</f>
        <v>23.37</v>
      </c>
      <c r="E1772" s="112">
        <f ca="1">IFERROR(__xludf.DUMMYFUNCTION("""COMPUTED_VALUE"""),42881.7055555555)</f>
        <v>42881.705555555498</v>
      </c>
      <c r="F1772" s="111">
        <f ca="1">IFERROR(__xludf.DUMMYFUNCTION("""COMPUTED_VALUE"""),7.77)</f>
        <v>7.77</v>
      </c>
      <c r="G1772" s="112">
        <f ca="1">IFERROR(__xludf.DUMMYFUNCTION("""COMPUTED_VALUE"""),42877.7055555555)</f>
        <v>42877.705555555498</v>
      </c>
      <c r="H1772" s="111">
        <f ca="1">IFERROR(__xludf.DUMMYFUNCTION("""COMPUTED_VALUE"""),13.4)</f>
        <v>13.4</v>
      </c>
      <c r="K1772" s="112">
        <f ca="1">IFERROR(__xludf.DUMMYFUNCTION("""COMPUTED_VALUE"""),43327.7055555555)</f>
        <v>43327.705555555498</v>
      </c>
      <c r="L1772" s="111">
        <f ca="1">IFERROR(__xludf.DUMMYFUNCTION("""COMPUTED_VALUE"""),4.33)</f>
        <v>4.33</v>
      </c>
      <c r="M1772" s="112">
        <f ca="1">IFERROR(__xludf.DUMMYFUNCTION("""COMPUTED_VALUE"""),42787.7055555555)</f>
        <v>42787.705555555498</v>
      </c>
      <c r="N1772" s="111">
        <f ca="1">IFERROR(__xludf.DUMMYFUNCTION("""COMPUTED_VALUE"""),19.33)</f>
        <v>19.329999999999998</v>
      </c>
      <c r="O1772" s="112">
        <f ca="1">IFERROR(__xludf.DUMMYFUNCTION("""COMPUTED_VALUE"""),42866.7055555555)</f>
        <v>42866.705555555498</v>
      </c>
      <c r="P1772" s="111">
        <f ca="1">IFERROR(__xludf.DUMMYFUNCTION("""COMPUTED_VALUE"""),26.32)</f>
        <v>26.32</v>
      </c>
      <c r="Q1772" s="112">
        <f ca="1">IFERROR(__xludf.DUMMYFUNCTION("""COMPUTED_VALUE"""),42865.7055555555)</f>
        <v>42865.705555555498</v>
      </c>
      <c r="R1772" s="111">
        <f ca="1">IFERROR(__xludf.DUMMYFUNCTION("""COMPUTED_VALUE"""),33.35)</f>
        <v>33.35</v>
      </c>
      <c r="S1772" s="112">
        <f ca="1">IFERROR(__xludf.DUMMYFUNCTION("""COMPUTED_VALUE"""),42877.7055555555)</f>
        <v>42877.705555555498</v>
      </c>
      <c r="T1772" s="111">
        <f ca="1">IFERROR(__xludf.DUMMYFUNCTION("""COMPUTED_VALUE"""),21.06)</f>
        <v>21.06</v>
      </c>
    </row>
    <row r="1773" spans="1:20" x14ac:dyDescent="0.3">
      <c r="A1773" s="112">
        <f ca="1">IFERROR(__xludf.DUMMYFUNCTION("""COMPUTED_VALUE"""),42874.7055555555)</f>
        <v>42874.705555555498</v>
      </c>
      <c r="B1773" s="111">
        <f ca="1">IFERROR(__xludf.DUMMYFUNCTION("""COMPUTED_VALUE"""),12.72)</f>
        <v>12.72</v>
      </c>
      <c r="C1773" s="112">
        <f ca="1">IFERROR(__xludf.DUMMYFUNCTION("""COMPUTED_VALUE"""),42881.7055555555)</f>
        <v>42881.705555555498</v>
      </c>
      <c r="D1773" s="111">
        <f ca="1">IFERROR(__xludf.DUMMYFUNCTION("""COMPUTED_VALUE"""),24)</f>
        <v>24</v>
      </c>
      <c r="E1773" s="112">
        <f ca="1">IFERROR(__xludf.DUMMYFUNCTION("""COMPUTED_VALUE"""),42884.7055555555)</f>
        <v>42884.705555555498</v>
      </c>
      <c r="F1773" s="111">
        <f ca="1">IFERROR(__xludf.DUMMYFUNCTION("""COMPUTED_VALUE"""),7.75)</f>
        <v>7.75</v>
      </c>
      <c r="G1773" s="112">
        <f ca="1">IFERROR(__xludf.DUMMYFUNCTION("""COMPUTED_VALUE"""),42878.7055555555)</f>
        <v>42878.705555555498</v>
      </c>
      <c r="H1773" s="111">
        <f ca="1">IFERROR(__xludf.DUMMYFUNCTION("""COMPUTED_VALUE"""),13.49)</f>
        <v>13.49</v>
      </c>
      <c r="K1773" s="112">
        <f ca="1">IFERROR(__xludf.DUMMYFUNCTION("""COMPUTED_VALUE"""),43328.7055555555)</f>
        <v>43328.705555555498</v>
      </c>
      <c r="L1773" s="111">
        <f ca="1">IFERROR(__xludf.DUMMYFUNCTION("""COMPUTED_VALUE"""),4.26)</f>
        <v>4.26</v>
      </c>
      <c r="M1773" s="112">
        <f ca="1">IFERROR(__xludf.DUMMYFUNCTION("""COMPUTED_VALUE"""),42788.7055555555)</f>
        <v>42788.705555555498</v>
      </c>
      <c r="N1773" s="111">
        <f ca="1">IFERROR(__xludf.DUMMYFUNCTION("""COMPUTED_VALUE"""),19.46)</f>
        <v>19.46</v>
      </c>
      <c r="O1773" s="112">
        <f ca="1">IFERROR(__xludf.DUMMYFUNCTION("""COMPUTED_VALUE"""),42867.7055555555)</f>
        <v>42867.705555555498</v>
      </c>
      <c r="P1773" s="111">
        <f ca="1">IFERROR(__xludf.DUMMYFUNCTION("""COMPUTED_VALUE"""),25.91)</f>
        <v>25.91</v>
      </c>
      <c r="Q1773" s="112">
        <f ca="1">IFERROR(__xludf.DUMMYFUNCTION("""COMPUTED_VALUE"""),42866.7055555555)</f>
        <v>42866.705555555498</v>
      </c>
      <c r="R1773" s="111">
        <f ca="1">IFERROR(__xludf.DUMMYFUNCTION("""COMPUTED_VALUE"""),34.39)</f>
        <v>34.39</v>
      </c>
      <c r="S1773" s="112">
        <f ca="1">IFERROR(__xludf.DUMMYFUNCTION("""COMPUTED_VALUE"""),42878.7055555555)</f>
        <v>42878.705555555498</v>
      </c>
      <c r="T1773" s="111">
        <f ca="1">IFERROR(__xludf.DUMMYFUNCTION("""COMPUTED_VALUE"""),21.98)</f>
        <v>21.98</v>
      </c>
    </row>
    <row r="1774" spans="1:20" x14ac:dyDescent="0.3">
      <c r="A1774" s="112">
        <f ca="1">IFERROR(__xludf.DUMMYFUNCTION("""COMPUTED_VALUE"""),42877.7055555555)</f>
        <v>42877.705555555498</v>
      </c>
      <c r="B1774" s="111">
        <f ca="1">IFERROR(__xludf.DUMMYFUNCTION("""COMPUTED_VALUE"""),12.26)</f>
        <v>12.26</v>
      </c>
      <c r="C1774" s="112">
        <f ca="1">IFERROR(__xludf.DUMMYFUNCTION("""COMPUTED_VALUE"""),42884.7055555555)</f>
        <v>42884.705555555498</v>
      </c>
      <c r="D1774" s="111">
        <f ca="1">IFERROR(__xludf.DUMMYFUNCTION("""COMPUTED_VALUE"""),23.88)</f>
        <v>23.88</v>
      </c>
      <c r="E1774" s="112">
        <f ca="1">IFERROR(__xludf.DUMMYFUNCTION("""COMPUTED_VALUE"""),42885.7055555555)</f>
        <v>42885.705555555498</v>
      </c>
      <c r="F1774" s="111">
        <f ca="1">IFERROR(__xludf.DUMMYFUNCTION("""COMPUTED_VALUE"""),7.82)</f>
        <v>7.82</v>
      </c>
      <c r="G1774" s="112">
        <f ca="1">IFERROR(__xludf.DUMMYFUNCTION("""COMPUTED_VALUE"""),42879.7055555555)</f>
        <v>42879.705555555498</v>
      </c>
      <c r="H1774" s="111">
        <f ca="1">IFERROR(__xludf.DUMMYFUNCTION("""COMPUTED_VALUE"""),14.05)</f>
        <v>14.05</v>
      </c>
      <c r="K1774" s="112">
        <f ca="1">IFERROR(__xludf.DUMMYFUNCTION("""COMPUTED_VALUE"""),43329.7055555555)</f>
        <v>43329.705555555498</v>
      </c>
      <c r="L1774" s="111">
        <f ca="1">IFERROR(__xludf.DUMMYFUNCTION("""COMPUTED_VALUE"""),4.18)</f>
        <v>4.18</v>
      </c>
      <c r="M1774" s="112">
        <f ca="1">IFERROR(__xludf.DUMMYFUNCTION("""COMPUTED_VALUE"""),42789.7055555555)</f>
        <v>42789.705555555498</v>
      </c>
      <c r="N1774" s="111">
        <f ca="1">IFERROR(__xludf.DUMMYFUNCTION("""COMPUTED_VALUE"""),19.16)</f>
        <v>19.16</v>
      </c>
      <c r="O1774" s="112">
        <f ca="1">IFERROR(__xludf.DUMMYFUNCTION("""COMPUTED_VALUE"""),42870.7055555555)</f>
        <v>42870.705555555498</v>
      </c>
      <c r="P1774" s="111">
        <f ca="1">IFERROR(__xludf.DUMMYFUNCTION("""COMPUTED_VALUE"""),26.65)</f>
        <v>26.65</v>
      </c>
      <c r="Q1774" s="112">
        <f ca="1">IFERROR(__xludf.DUMMYFUNCTION("""COMPUTED_VALUE"""),42867.7055555555)</f>
        <v>42867.705555555498</v>
      </c>
      <c r="R1774" s="111">
        <f ca="1">IFERROR(__xludf.DUMMYFUNCTION("""COMPUTED_VALUE"""),35.39)</f>
        <v>35.39</v>
      </c>
      <c r="S1774" s="112">
        <f ca="1">IFERROR(__xludf.DUMMYFUNCTION("""COMPUTED_VALUE"""),42879.7055555555)</f>
        <v>42879.705555555498</v>
      </c>
      <c r="T1774" s="111">
        <f ca="1">IFERROR(__xludf.DUMMYFUNCTION("""COMPUTED_VALUE"""),22.64)</f>
        <v>22.64</v>
      </c>
    </row>
    <row r="1775" spans="1:20" x14ac:dyDescent="0.3">
      <c r="A1775" s="112">
        <f ca="1">IFERROR(__xludf.DUMMYFUNCTION("""COMPUTED_VALUE"""),42878.7055555555)</f>
        <v>42878.705555555498</v>
      </c>
      <c r="B1775" s="111">
        <f ca="1">IFERROR(__xludf.DUMMYFUNCTION("""COMPUTED_VALUE"""),12.92)</f>
        <v>12.92</v>
      </c>
      <c r="C1775" s="112">
        <f ca="1">IFERROR(__xludf.DUMMYFUNCTION("""COMPUTED_VALUE"""),42885.7055555555)</f>
        <v>42885.705555555498</v>
      </c>
      <c r="D1775" s="111">
        <f ca="1">IFERROR(__xludf.DUMMYFUNCTION("""COMPUTED_VALUE"""),23.95)</f>
        <v>23.95</v>
      </c>
      <c r="E1775" s="112">
        <f ca="1">IFERROR(__xludf.DUMMYFUNCTION("""COMPUTED_VALUE"""),42886.7055555555)</f>
        <v>42886.705555555498</v>
      </c>
      <c r="F1775" s="111">
        <f ca="1">IFERROR(__xludf.DUMMYFUNCTION("""COMPUTED_VALUE"""),7.75)</f>
        <v>7.75</v>
      </c>
      <c r="G1775" s="112">
        <f ca="1">IFERROR(__xludf.DUMMYFUNCTION("""COMPUTED_VALUE"""),42880.7055555555)</f>
        <v>42880.705555555498</v>
      </c>
      <c r="H1775" s="111">
        <f ca="1">IFERROR(__xludf.DUMMYFUNCTION("""COMPUTED_VALUE"""),13.74)</f>
        <v>13.74</v>
      </c>
      <c r="K1775" s="112">
        <f ca="1">IFERROR(__xludf.DUMMYFUNCTION("""COMPUTED_VALUE"""),43332.7055555555)</f>
        <v>43332.705555555498</v>
      </c>
      <c r="L1775" s="111">
        <f ca="1">IFERROR(__xludf.DUMMYFUNCTION("""COMPUTED_VALUE"""),4.33)</f>
        <v>4.33</v>
      </c>
      <c r="M1775" s="112">
        <f ca="1">IFERROR(__xludf.DUMMYFUNCTION("""COMPUTED_VALUE"""),42790.7055555555)</f>
        <v>42790.705555555498</v>
      </c>
      <c r="N1775" s="111">
        <f ca="1">IFERROR(__xludf.DUMMYFUNCTION("""COMPUTED_VALUE"""),19.02)</f>
        <v>19.02</v>
      </c>
      <c r="O1775" s="112">
        <f ca="1">IFERROR(__xludf.DUMMYFUNCTION("""COMPUTED_VALUE"""),42871.7055555555)</f>
        <v>42871.705555555498</v>
      </c>
      <c r="P1775" s="111">
        <f ca="1">IFERROR(__xludf.DUMMYFUNCTION("""COMPUTED_VALUE"""),27.26)</f>
        <v>27.26</v>
      </c>
      <c r="Q1775" s="112">
        <f ca="1">IFERROR(__xludf.DUMMYFUNCTION("""COMPUTED_VALUE"""),42870.7055555555)</f>
        <v>42870.705555555498</v>
      </c>
      <c r="R1775" s="111">
        <f ca="1">IFERROR(__xludf.DUMMYFUNCTION("""COMPUTED_VALUE"""),34.75)</f>
        <v>34.75</v>
      </c>
      <c r="S1775" s="112">
        <f ca="1">IFERROR(__xludf.DUMMYFUNCTION("""COMPUTED_VALUE"""),42880.7055555555)</f>
        <v>42880.705555555498</v>
      </c>
      <c r="T1775" s="111">
        <f ca="1">IFERROR(__xludf.DUMMYFUNCTION("""COMPUTED_VALUE"""),22.23)</f>
        <v>22.23</v>
      </c>
    </row>
    <row r="1776" spans="1:20" x14ac:dyDescent="0.3">
      <c r="A1776" s="112">
        <f ca="1">IFERROR(__xludf.DUMMYFUNCTION("""COMPUTED_VALUE"""),42879.7055555555)</f>
        <v>42879.705555555498</v>
      </c>
      <c r="B1776" s="111">
        <f ca="1">IFERROR(__xludf.DUMMYFUNCTION("""COMPUTED_VALUE"""),13.78)</f>
        <v>13.78</v>
      </c>
      <c r="C1776" s="112">
        <f ca="1">IFERROR(__xludf.DUMMYFUNCTION("""COMPUTED_VALUE"""),42886.7055555555)</f>
        <v>42886.705555555498</v>
      </c>
      <c r="D1776" s="111">
        <f ca="1">IFERROR(__xludf.DUMMYFUNCTION("""COMPUTED_VALUE"""),23.7)</f>
        <v>23.7</v>
      </c>
      <c r="E1776" s="112">
        <f ca="1">IFERROR(__xludf.DUMMYFUNCTION("""COMPUTED_VALUE"""),42887.7055555555)</f>
        <v>42887.705555555498</v>
      </c>
      <c r="F1776" s="111">
        <f ca="1">IFERROR(__xludf.DUMMYFUNCTION("""COMPUTED_VALUE"""),7.58)</f>
        <v>7.58</v>
      </c>
      <c r="G1776" s="112">
        <f ca="1">IFERROR(__xludf.DUMMYFUNCTION("""COMPUTED_VALUE"""),42881.7055555555)</f>
        <v>42881.705555555498</v>
      </c>
      <c r="H1776" s="111">
        <f ca="1">IFERROR(__xludf.DUMMYFUNCTION("""COMPUTED_VALUE"""),13.68)</f>
        <v>13.68</v>
      </c>
      <c r="K1776" s="112">
        <f ca="1">IFERROR(__xludf.DUMMYFUNCTION("""COMPUTED_VALUE"""),43333.7055555555)</f>
        <v>43333.705555555498</v>
      </c>
      <c r="L1776" s="111">
        <f ca="1">IFERROR(__xludf.DUMMYFUNCTION("""COMPUTED_VALUE"""),4.14)</f>
        <v>4.1399999999999997</v>
      </c>
      <c r="M1776" s="112">
        <f ca="1">IFERROR(__xludf.DUMMYFUNCTION("""COMPUTED_VALUE"""),42795.7055555555)</f>
        <v>42795.705555555498</v>
      </c>
      <c r="N1776" s="111">
        <f ca="1">IFERROR(__xludf.DUMMYFUNCTION("""COMPUTED_VALUE"""),18.85)</f>
        <v>18.850000000000001</v>
      </c>
      <c r="O1776" s="112">
        <f ca="1">IFERROR(__xludf.DUMMYFUNCTION("""COMPUTED_VALUE"""),42872.7055555555)</f>
        <v>42872.705555555498</v>
      </c>
      <c r="P1776" s="111">
        <f ca="1">IFERROR(__xludf.DUMMYFUNCTION("""COMPUTED_VALUE"""),26.84)</f>
        <v>26.84</v>
      </c>
      <c r="Q1776" s="112">
        <f ca="1">IFERROR(__xludf.DUMMYFUNCTION("""COMPUTED_VALUE"""),42871.7055555555)</f>
        <v>42871.705555555498</v>
      </c>
      <c r="R1776" s="111">
        <f ca="1">IFERROR(__xludf.DUMMYFUNCTION("""COMPUTED_VALUE"""),34.75)</f>
        <v>34.75</v>
      </c>
      <c r="S1776" s="112">
        <f ca="1">IFERROR(__xludf.DUMMYFUNCTION("""COMPUTED_VALUE"""),42881.7055555555)</f>
        <v>42881.705555555498</v>
      </c>
      <c r="T1776" s="111">
        <f ca="1">IFERROR(__xludf.DUMMYFUNCTION("""COMPUTED_VALUE"""),22.43)</f>
        <v>22.43</v>
      </c>
    </row>
    <row r="1777" spans="1:20" x14ac:dyDescent="0.3">
      <c r="A1777" s="112">
        <f ca="1">IFERROR(__xludf.DUMMYFUNCTION("""COMPUTED_VALUE"""),42880.7055555555)</f>
        <v>42880.705555555498</v>
      </c>
      <c r="B1777" s="111">
        <f ca="1">IFERROR(__xludf.DUMMYFUNCTION("""COMPUTED_VALUE"""),13.54)</f>
        <v>13.54</v>
      </c>
      <c r="C1777" s="112">
        <f ca="1">IFERROR(__xludf.DUMMYFUNCTION("""COMPUTED_VALUE"""),42887.7055555555)</f>
        <v>42887.705555555498</v>
      </c>
      <c r="D1777" s="111">
        <f ca="1">IFERROR(__xludf.DUMMYFUNCTION("""COMPUTED_VALUE"""),23.42)</f>
        <v>23.42</v>
      </c>
      <c r="E1777" s="112">
        <f ca="1">IFERROR(__xludf.DUMMYFUNCTION("""COMPUTED_VALUE"""),42888.7055555555)</f>
        <v>42888.705555555498</v>
      </c>
      <c r="F1777" s="111">
        <f ca="1">IFERROR(__xludf.DUMMYFUNCTION("""COMPUTED_VALUE"""),7.62)</f>
        <v>7.62</v>
      </c>
      <c r="G1777" s="112">
        <f ca="1">IFERROR(__xludf.DUMMYFUNCTION("""COMPUTED_VALUE"""),42884.7055555555)</f>
        <v>42884.705555555498</v>
      </c>
      <c r="H1777" s="111">
        <f ca="1">IFERROR(__xludf.DUMMYFUNCTION("""COMPUTED_VALUE"""),13.57)</f>
        <v>13.57</v>
      </c>
      <c r="K1777" s="112">
        <f ca="1">IFERROR(__xludf.DUMMYFUNCTION("""COMPUTED_VALUE"""),43334.7055555555)</f>
        <v>43334.705555555498</v>
      </c>
      <c r="L1777" s="111">
        <f ca="1">IFERROR(__xludf.DUMMYFUNCTION("""COMPUTED_VALUE"""),4.2)</f>
        <v>4.2</v>
      </c>
      <c r="M1777" s="112">
        <f ca="1">IFERROR(__xludf.DUMMYFUNCTION("""COMPUTED_VALUE"""),42796.7055555555)</f>
        <v>42796.705555555498</v>
      </c>
      <c r="N1777" s="111">
        <f ca="1">IFERROR(__xludf.DUMMYFUNCTION("""COMPUTED_VALUE"""),18.78)</f>
        <v>18.78</v>
      </c>
      <c r="O1777" s="112">
        <f ca="1">IFERROR(__xludf.DUMMYFUNCTION("""COMPUTED_VALUE"""),42873.7055555555)</f>
        <v>42873.705555555498</v>
      </c>
      <c r="P1777" s="111">
        <f ca="1">IFERROR(__xludf.DUMMYFUNCTION("""COMPUTED_VALUE"""),26.86)</f>
        <v>26.86</v>
      </c>
      <c r="Q1777" s="112">
        <f ca="1">IFERROR(__xludf.DUMMYFUNCTION("""COMPUTED_VALUE"""),42872.7055555555)</f>
        <v>42872.705555555498</v>
      </c>
      <c r="R1777" s="111">
        <f ca="1">IFERROR(__xludf.DUMMYFUNCTION("""COMPUTED_VALUE"""),33.81)</f>
        <v>33.81</v>
      </c>
      <c r="S1777" s="112">
        <f ca="1">IFERROR(__xludf.DUMMYFUNCTION("""COMPUTED_VALUE"""),42884.7055555555)</f>
        <v>42884.705555555498</v>
      </c>
      <c r="T1777" s="111">
        <f ca="1">IFERROR(__xludf.DUMMYFUNCTION("""COMPUTED_VALUE"""),21.94)</f>
        <v>21.94</v>
      </c>
    </row>
    <row r="1778" spans="1:20" x14ac:dyDescent="0.3">
      <c r="A1778" s="112">
        <f ca="1">IFERROR(__xludf.DUMMYFUNCTION("""COMPUTED_VALUE"""),42881.7055555555)</f>
        <v>42881.705555555498</v>
      </c>
      <c r="B1778" s="111">
        <f ca="1">IFERROR(__xludf.DUMMYFUNCTION("""COMPUTED_VALUE"""),14.03)</f>
        <v>14.03</v>
      </c>
      <c r="C1778" s="112">
        <f ca="1">IFERROR(__xludf.DUMMYFUNCTION("""COMPUTED_VALUE"""),42888.7055555555)</f>
        <v>42888.705555555498</v>
      </c>
      <c r="D1778" s="111">
        <f ca="1">IFERROR(__xludf.DUMMYFUNCTION("""COMPUTED_VALUE"""),23.65)</f>
        <v>23.65</v>
      </c>
      <c r="E1778" s="112">
        <f ca="1">IFERROR(__xludf.DUMMYFUNCTION("""COMPUTED_VALUE"""),42891.7055555555)</f>
        <v>42891.705555555498</v>
      </c>
      <c r="F1778" s="111">
        <f ca="1">IFERROR(__xludf.DUMMYFUNCTION("""COMPUTED_VALUE"""),7.58)</f>
        <v>7.58</v>
      </c>
      <c r="G1778" s="112">
        <f ca="1">IFERROR(__xludf.DUMMYFUNCTION("""COMPUTED_VALUE"""),42885.7055555555)</f>
        <v>42885.705555555498</v>
      </c>
      <c r="H1778" s="111">
        <f ca="1">IFERROR(__xludf.DUMMYFUNCTION("""COMPUTED_VALUE"""),13.36)</f>
        <v>13.36</v>
      </c>
      <c r="K1778" s="112">
        <f ca="1">IFERROR(__xludf.DUMMYFUNCTION("""COMPUTED_VALUE"""),43335.7055555555)</f>
        <v>43335.705555555498</v>
      </c>
      <c r="L1778" s="111">
        <f ca="1">IFERROR(__xludf.DUMMYFUNCTION("""COMPUTED_VALUE"""),4.15)</f>
        <v>4.1500000000000004</v>
      </c>
      <c r="M1778" s="112">
        <f ca="1">IFERROR(__xludf.DUMMYFUNCTION("""COMPUTED_VALUE"""),42797.7055555555)</f>
        <v>42797.705555555498</v>
      </c>
      <c r="N1778" s="111">
        <f ca="1">IFERROR(__xludf.DUMMYFUNCTION("""COMPUTED_VALUE"""),19.23)</f>
        <v>19.23</v>
      </c>
      <c r="O1778" s="112">
        <f ca="1">IFERROR(__xludf.DUMMYFUNCTION("""COMPUTED_VALUE"""),42874.7055555555)</f>
        <v>42874.705555555498</v>
      </c>
      <c r="P1778" s="111">
        <f ca="1">IFERROR(__xludf.DUMMYFUNCTION("""COMPUTED_VALUE"""),27.25)</f>
        <v>27.25</v>
      </c>
      <c r="Q1778" s="112">
        <f ca="1">IFERROR(__xludf.DUMMYFUNCTION("""COMPUTED_VALUE"""),42873.7055555555)</f>
        <v>42873.705555555498</v>
      </c>
      <c r="R1778" s="111">
        <f ca="1">IFERROR(__xludf.DUMMYFUNCTION("""COMPUTED_VALUE"""),27.08)</f>
        <v>27.08</v>
      </c>
      <c r="S1778" s="112">
        <f ca="1">IFERROR(__xludf.DUMMYFUNCTION("""COMPUTED_VALUE"""),42885.7055555555)</f>
        <v>42885.705555555498</v>
      </c>
      <c r="T1778" s="111">
        <f ca="1">IFERROR(__xludf.DUMMYFUNCTION("""COMPUTED_VALUE"""),22.22)</f>
        <v>22.22</v>
      </c>
    </row>
    <row r="1779" spans="1:20" x14ac:dyDescent="0.3">
      <c r="A1779" s="112">
        <f ca="1">IFERROR(__xludf.DUMMYFUNCTION("""COMPUTED_VALUE"""),42884.7055555555)</f>
        <v>42884.705555555498</v>
      </c>
      <c r="B1779" s="111">
        <f ca="1">IFERROR(__xludf.DUMMYFUNCTION("""COMPUTED_VALUE"""),13.85)</f>
        <v>13.85</v>
      </c>
      <c r="C1779" s="112">
        <f ca="1">IFERROR(__xludf.DUMMYFUNCTION("""COMPUTED_VALUE"""),42891.7055555555)</f>
        <v>42891.705555555498</v>
      </c>
      <c r="D1779" s="111">
        <f ca="1">IFERROR(__xludf.DUMMYFUNCTION("""COMPUTED_VALUE"""),23.63)</f>
        <v>23.63</v>
      </c>
      <c r="E1779" s="112">
        <f ca="1">IFERROR(__xludf.DUMMYFUNCTION("""COMPUTED_VALUE"""),42892.7055555555)</f>
        <v>42892.705555555498</v>
      </c>
      <c r="F1779" s="111">
        <f ca="1">IFERROR(__xludf.DUMMYFUNCTION("""COMPUTED_VALUE"""),7.69)</f>
        <v>7.69</v>
      </c>
      <c r="G1779" s="112">
        <f ca="1">IFERROR(__xludf.DUMMYFUNCTION("""COMPUTED_VALUE"""),42886.7055555555)</f>
        <v>42886.705555555498</v>
      </c>
      <c r="H1779" s="111">
        <f ca="1">IFERROR(__xludf.DUMMYFUNCTION("""COMPUTED_VALUE"""),12.96)</f>
        <v>12.96</v>
      </c>
      <c r="K1779" s="112">
        <f ca="1">IFERROR(__xludf.DUMMYFUNCTION("""COMPUTED_VALUE"""),43336.7055555555)</f>
        <v>43336.705555555498</v>
      </c>
      <c r="L1779" s="111">
        <f ca="1">IFERROR(__xludf.DUMMYFUNCTION("""COMPUTED_VALUE"""),4.13)</f>
        <v>4.13</v>
      </c>
      <c r="M1779" s="112">
        <f ca="1">IFERROR(__xludf.DUMMYFUNCTION("""COMPUTED_VALUE"""),42800.7055555555)</f>
        <v>42800.705555555498</v>
      </c>
      <c r="N1779" s="111">
        <f ca="1">IFERROR(__xludf.DUMMYFUNCTION("""COMPUTED_VALUE"""),19.04)</f>
        <v>19.04</v>
      </c>
      <c r="O1779" s="112">
        <f ca="1">IFERROR(__xludf.DUMMYFUNCTION("""COMPUTED_VALUE"""),42877.7055555555)</f>
        <v>42877.705555555498</v>
      </c>
      <c r="P1779" s="111">
        <f ca="1">IFERROR(__xludf.DUMMYFUNCTION("""COMPUTED_VALUE"""),27.92)</f>
        <v>27.92</v>
      </c>
      <c r="Q1779" s="112">
        <f ca="1">IFERROR(__xludf.DUMMYFUNCTION("""COMPUTED_VALUE"""),42874.7055555555)</f>
        <v>42874.705555555498</v>
      </c>
      <c r="R1779" s="111">
        <f ca="1">IFERROR(__xludf.DUMMYFUNCTION("""COMPUTED_VALUE"""),27.98)</f>
        <v>27.98</v>
      </c>
      <c r="S1779" s="112">
        <f ca="1">IFERROR(__xludf.DUMMYFUNCTION("""COMPUTED_VALUE"""),42886.7055555555)</f>
        <v>42886.705555555498</v>
      </c>
      <c r="T1779" s="111">
        <f ca="1">IFERROR(__xludf.DUMMYFUNCTION("""COMPUTED_VALUE"""),21.79)</f>
        <v>21.79</v>
      </c>
    </row>
    <row r="1780" spans="1:20" x14ac:dyDescent="0.3">
      <c r="A1780" s="112">
        <f ca="1">IFERROR(__xludf.DUMMYFUNCTION("""COMPUTED_VALUE"""),42885.7055555555)</f>
        <v>42885.705555555498</v>
      </c>
      <c r="B1780" s="111">
        <f ca="1">IFERROR(__xludf.DUMMYFUNCTION("""COMPUTED_VALUE"""),13.85)</f>
        <v>13.85</v>
      </c>
      <c r="C1780" s="112">
        <f ca="1">IFERROR(__xludf.DUMMYFUNCTION("""COMPUTED_VALUE"""),42892.7055555555)</f>
        <v>42892.705555555498</v>
      </c>
      <c r="D1780" s="111">
        <f ca="1">IFERROR(__xludf.DUMMYFUNCTION("""COMPUTED_VALUE"""),24.01)</f>
        <v>24.01</v>
      </c>
      <c r="E1780" s="112">
        <f ca="1">IFERROR(__xludf.DUMMYFUNCTION("""COMPUTED_VALUE"""),42893.7055555555)</f>
        <v>42893.705555555498</v>
      </c>
      <c r="F1780" s="111">
        <f ca="1">IFERROR(__xludf.DUMMYFUNCTION("""COMPUTED_VALUE"""),7.82)</f>
        <v>7.82</v>
      </c>
      <c r="G1780" s="112">
        <f ca="1">IFERROR(__xludf.DUMMYFUNCTION("""COMPUTED_VALUE"""),42887.7055555555)</f>
        <v>42887.705555555498</v>
      </c>
      <c r="H1780" s="111">
        <f ca="1">IFERROR(__xludf.DUMMYFUNCTION("""COMPUTED_VALUE"""),12.82)</f>
        <v>12.82</v>
      </c>
      <c r="K1780" s="112">
        <f ca="1">IFERROR(__xludf.DUMMYFUNCTION("""COMPUTED_VALUE"""),43339.7055555555)</f>
        <v>43339.705555555498</v>
      </c>
      <c r="L1780" s="111">
        <f ca="1">IFERROR(__xludf.DUMMYFUNCTION("""COMPUTED_VALUE"""),4.11)</f>
        <v>4.1100000000000003</v>
      </c>
      <c r="M1780" s="112">
        <f ca="1">IFERROR(__xludf.DUMMYFUNCTION("""COMPUTED_VALUE"""),42801.7055555555)</f>
        <v>42801.705555555498</v>
      </c>
      <c r="N1780" s="111">
        <f ca="1">IFERROR(__xludf.DUMMYFUNCTION("""COMPUTED_VALUE"""),18.78)</f>
        <v>18.78</v>
      </c>
      <c r="O1780" s="112">
        <f ca="1">IFERROR(__xludf.DUMMYFUNCTION("""COMPUTED_VALUE"""),42878.7055555555)</f>
        <v>42878.705555555498</v>
      </c>
      <c r="P1780" s="111">
        <f ca="1">IFERROR(__xludf.DUMMYFUNCTION("""COMPUTED_VALUE"""),28.26)</f>
        <v>28.26</v>
      </c>
      <c r="Q1780" s="112">
        <f ca="1">IFERROR(__xludf.DUMMYFUNCTION("""COMPUTED_VALUE"""),42877.7055555555)</f>
        <v>42877.705555555498</v>
      </c>
      <c r="R1780" s="111">
        <f ca="1">IFERROR(__xludf.DUMMYFUNCTION("""COMPUTED_VALUE"""),26.68)</f>
        <v>26.68</v>
      </c>
      <c r="S1780" s="112">
        <f ca="1">IFERROR(__xludf.DUMMYFUNCTION("""COMPUTED_VALUE"""),42887.7055555555)</f>
        <v>42887.705555555498</v>
      </c>
      <c r="T1780" s="111">
        <f ca="1">IFERROR(__xludf.DUMMYFUNCTION("""COMPUTED_VALUE"""),21.85)</f>
        <v>21.85</v>
      </c>
    </row>
    <row r="1781" spans="1:20" x14ac:dyDescent="0.3">
      <c r="A1781" s="112">
        <f ca="1">IFERROR(__xludf.DUMMYFUNCTION("""COMPUTED_VALUE"""),42886.7055555555)</f>
        <v>42886.705555555498</v>
      </c>
      <c r="B1781" s="111">
        <f ca="1">IFERROR(__xludf.DUMMYFUNCTION("""COMPUTED_VALUE"""),13.6)</f>
        <v>13.6</v>
      </c>
      <c r="C1781" s="112">
        <f ca="1">IFERROR(__xludf.DUMMYFUNCTION("""COMPUTED_VALUE"""),42893.7055555555)</f>
        <v>42893.705555555498</v>
      </c>
      <c r="D1781" s="111">
        <f ca="1">IFERROR(__xludf.DUMMYFUNCTION("""COMPUTED_VALUE"""),24.4)</f>
        <v>24.4</v>
      </c>
      <c r="E1781" s="112">
        <f ca="1">IFERROR(__xludf.DUMMYFUNCTION("""COMPUTED_VALUE"""),42894.7055555555)</f>
        <v>42894.705555555498</v>
      </c>
      <c r="F1781" s="111">
        <f ca="1">IFERROR(__xludf.DUMMYFUNCTION("""COMPUTED_VALUE"""),7.76)</f>
        <v>7.76</v>
      </c>
      <c r="G1781" s="112">
        <f ca="1">IFERROR(__xludf.DUMMYFUNCTION("""COMPUTED_VALUE"""),42888.7055555555)</f>
        <v>42888.705555555498</v>
      </c>
      <c r="H1781" s="111">
        <f ca="1">IFERROR(__xludf.DUMMYFUNCTION("""COMPUTED_VALUE"""),13.05)</f>
        <v>13.05</v>
      </c>
      <c r="K1781" s="112">
        <f ca="1">IFERROR(__xludf.DUMMYFUNCTION("""COMPUTED_VALUE"""),43340.7055555555)</f>
        <v>43340.705555555498</v>
      </c>
      <c r="L1781" s="111">
        <f ca="1">IFERROR(__xludf.DUMMYFUNCTION("""COMPUTED_VALUE"""),4.04)</f>
        <v>4.04</v>
      </c>
      <c r="M1781" s="112">
        <f ca="1">IFERROR(__xludf.DUMMYFUNCTION("""COMPUTED_VALUE"""),42802.7055555555)</f>
        <v>42802.705555555498</v>
      </c>
      <c r="N1781" s="111">
        <f ca="1">IFERROR(__xludf.DUMMYFUNCTION("""COMPUTED_VALUE"""),18.46)</f>
        <v>18.46</v>
      </c>
      <c r="O1781" s="112">
        <f ca="1">IFERROR(__xludf.DUMMYFUNCTION("""COMPUTED_VALUE"""),42879.7055555555)</f>
        <v>42879.705555555498</v>
      </c>
      <c r="P1781" s="111">
        <f ca="1">IFERROR(__xludf.DUMMYFUNCTION("""COMPUTED_VALUE"""),27.52)</f>
        <v>27.52</v>
      </c>
      <c r="Q1781" s="112">
        <f ca="1">IFERROR(__xludf.DUMMYFUNCTION("""COMPUTED_VALUE"""),42878.7055555555)</f>
        <v>42878.705555555498</v>
      </c>
      <c r="R1781" s="111">
        <f ca="1">IFERROR(__xludf.DUMMYFUNCTION("""COMPUTED_VALUE"""),27.12)</f>
        <v>27.12</v>
      </c>
      <c r="S1781" s="112">
        <f ca="1">IFERROR(__xludf.DUMMYFUNCTION("""COMPUTED_VALUE"""),42888.7055555555)</f>
        <v>42888.705555555498</v>
      </c>
      <c r="T1781" s="111">
        <f ca="1">IFERROR(__xludf.DUMMYFUNCTION("""COMPUTED_VALUE"""),22.19)</f>
        <v>22.19</v>
      </c>
    </row>
    <row r="1782" spans="1:20" x14ac:dyDescent="0.3">
      <c r="A1782" s="112">
        <f ca="1">IFERROR(__xludf.DUMMYFUNCTION("""COMPUTED_VALUE"""),42887.7055555555)</f>
        <v>42887.705555555498</v>
      </c>
      <c r="B1782" s="111">
        <f ca="1">IFERROR(__xludf.DUMMYFUNCTION("""COMPUTED_VALUE"""),13.05)</f>
        <v>13.05</v>
      </c>
      <c r="C1782" s="112">
        <f ca="1">IFERROR(__xludf.DUMMYFUNCTION("""COMPUTED_VALUE"""),42894.7055555555)</f>
        <v>42894.705555555498</v>
      </c>
      <c r="D1782" s="111">
        <f ca="1">IFERROR(__xludf.DUMMYFUNCTION("""COMPUTED_VALUE"""),24.15)</f>
        <v>24.15</v>
      </c>
      <c r="E1782" s="112">
        <f ca="1">IFERROR(__xludf.DUMMYFUNCTION("""COMPUTED_VALUE"""),42895.7055555555)</f>
        <v>42895.705555555498</v>
      </c>
      <c r="F1782" s="111">
        <f ca="1">IFERROR(__xludf.DUMMYFUNCTION("""COMPUTED_VALUE"""),7.63)</f>
        <v>7.63</v>
      </c>
      <c r="G1782" s="112">
        <f ca="1">IFERROR(__xludf.DUMMYFUNCTION("""COMPUTED_VALUE"""),42891.7055555555)</f>
        <v>42891.705555555498</v>
      </c>
      <c r="H1782" s="111">
        <f ca="1">IFERROR(__xludf.DUMMYFUNCTION("""COMPUTED_VALUE"""),13.18)</f>
        <v>13.18</v>
      </c>
      <c r="K1782" s="112">
        <f ca="1">IFERROR(__xludf.DUMMYFUNCTION("""COMPUTED_VALUE"""),43341.7055555555)</f>
        <v>43341.705555555498</v>
      </c>
      <c r="L1782" s="111">
        <f ca="1">IFERROR(__xludf.DUMMYFUNCTION("""COMPUTED_VALUE"""),4.13)</f>
        <v>4.13</v>
      </c>
      <c r="M1782" s="112">
        <f ca="1">IFERROR(__xludf.DUMMYFUNCTION("""COMPUTED_VALUE"""),42803.7055555555)</f>
        <v>42803.705555555498</v>
      </c>
      <c r="N1782" s="111">
        <f ca="1">IFERROR(__xludf.DUMMYFUNCTION("""COMPUTED_VALUE"""),18.3)</f>
        <v>18.3</v>
      </c>
      <c r="O1782" s="112">
        <f ca="1">IFERROR(__xludf.DUMMYFUNCTION("""COMPUTED_VALUE"""),42880.7055555555)</f>
        <v>42880.705555555498</v>
      </c>
      <c r="P1782" s="111">
        <f ca="1">IFERROR(__xludf.DUMMYFUNCTION("""COMPUTED_VALUE"""),27.7)</f>
        <v>27.7</v>
      </c>
      <c r="Q1782" s="112">
        <f ca="1">IFERROR(__xludf.DUMMYFUNCTION("""COMPUTED_VALUE"""),42879.7055555555)</f>
        <v>42879.705555555498</v>
      </c>
      <c r="R1782" s="111">
        <f ca="1">IFERROR(__xludf.DUMMYFUNCTION("""COMPUTED_VALUE"""),27.6)</f>
        <v>27.6</v>
      </c>
      <c r="S1782" s="112">
        <f ca="1">IFERROR(__xludf.DUMMYFUNCTION("""COMPUTED_VALUE"""),42891.7055555555)</f>
        <v>42891.705555555498</v>
      </c>
      <c r="T1782" s="111">
        <f ca="1">IFERROR(__xludf.DUMMYFUNCTION("""COMPUTED_VALUE"""),22.23)</f>
        <v>22.23</v>
      </c>
    </row>
    <row r="1783" spans="1:20" x14ac:dyDescent="0.3">
      <c r="A1783" s="112">
        <f ca="1">IFERROR(__xludf.DUMMYFUNCTION("""COMPUTED_VALUE"""),42888.7055555555)</f>
        <v>42888.705555555498</v>
      </c>
      <c r="B1783" s="111">
        <f ca="1">IFERROR(__xludf.DUMMYFUNCTION("""COMPUTED_VALUE"""),13.1)</f>
        <v>13.1</v>
      </c>
      <c r="C1783" s="112">
        <f ca="1">IFERROR(__xludf.DUMMYFUNCTION("""COMPUTED_VALUE"""),42895.7055555555)</f>
        <v>42895.705555555498</v>
      </c>
      <c r="D1783" s="111">
        <f ca="1">IFERROR(__xludf.DUMMYFUNCTION("""COMPUTED_VALUE"""),23.77)</f>
        <v>23.77</v>
      </c>
      <c r="E1783" s="112">
        <f ca="1">IFERROR(__xludf.DUMMYFUNCTION("""COMPUTED_VALUE"""),42898.7055555555)</f>
        <v>42898.705555555498</v>
      </c>
      <c r="F1783" s="111">
        <f ca="1">IFERROR(__xludf.DUMMYFUNCTION("""COMPUTED_VALUE"""),7.63)</f>
        <v>7.63</v>
      </c>
      <c r="G1783" s="112">
        <f ca="1">IFERROR(__xludf.DUMMYFUNCTION("""COMPUTED_VALUE"""),42892.7055555555)</f>
        <v>42892.705555555498</v>
      </c>
      <c r="H1783" s="111">
        <f ca="1">IFERROR(__xludf.DUMMYFUNCTION("""COMPUTED_VALUE"""),13.18)</f>
        <v>13.18</v>
      </c>
      <c r="K1783" s="112">
        <f ca="1">IFERROR(__xludf.DUMMYFUNCTION("""COMPUTED_VALUE"""),43342.7055555555)</f>
        <v>43342.705555555498</v>
      </c>
      <c r="L1783" s="111">
        <f ca="1">IFERROR(__xludf.DUMMYFUNCTION("""COMPUTED_VALUE"""),3.99)</f>
        <v>3.99</v>
      </c>
      <c r="M1783" s="112">
        <f ca="1">IFERROR(__xludf.DUMMYFUNCTION("""COMPUTED_VALUE"""),42804.7055555555)</f>
        <v>42804.705555555498</v>
      </c>
      <c r="N1783" s="111">
        <f ca="1">IFERROR(__xludf.DUMMYFUNCTION("""COMPUTED_VALUE"""),18.2)</f>
        <v>18.2</v>
      </c>
      <c r="O1783" s="112">
        <f ca="1">IFERROR(__xludf.DUMMYFUNCTION("""COMPUTED_VALUE"""),42881.7055555555)</f>
        <v>42881.705555555498</v>
      </c>
      <c r="P1783" s="111">
        <f ca="1">IFERROR(__xludf.DUMMYFUNCTION("""COMPUTED_VALUE"""),27.86)</f>
        <v>27.86</v>
      </c>
      <c r="Q1783" s="112">
        <f ca="1">IFERROR(__xludf.DUMMYFUNCTION("""COMPUTED_VALUE"""),42880.7055555555)</f>
        <v>42880.705555555498</v>
      </c>
      <c r="R1783" s="111">
        <f ca="1">IFERROR(__xludf.DUMMYFUNCTION("""COMPUTED_VALUE"""),27.71)</f>
        <v>27.71</v>
      </c>
      <c r="S1783" s="112">
        <f ca="1">IFERROR(__xludf.DUMMYFUNCTION("""COMPUTED_VALUE"""),42892.7055555555)</f>
        <v>42892.705555555498</v>
      </c>
      <c r="T1783" s="111">
        <f ca="1">IFERROR(__xludf.DUMMYFUNCTION("""COMPUTED_VALUE"""),22.35)</f>
        <v>22.35</v>
      </c>
    </row>
    <row r="1784" spans="1:20" x14ac:dyDescent="0.3">
      <c r="A1784" s="112">
        <f ca="1">IFERROR(__xludf.DUMMYFUNCTION("""COMPUTED_VALUE"""),42891.7055555555)</f>
        <v>42891.705555555498</v>
      </c>
      <c r="B1784" s="111">
        <f ca="1">IFERROR(__xludf.DUMMYFUNCTION("""COMPUTED_VALUE"""),12.87)</f>
        <v>12.87</v>
      </c>
      <c r="C1784" s="112">
        <f ca="1">IFERROR(__xludf.DUMMYFUNCTION("""COMPUTED_VALUE"""),42898.7055555555)</f>
        <v>42898.705555555498</v>
      </c>
      <c r="D1784" s="111">
        <f ca="1">IFERROR(__xludf.DUMMYFUNCTION("""COMPUTED_VALUE"""),23.77)</f>
        <v>23.77</v>
      </c>
      <c r="E1784" s="112">
        <f ca="1">IFERROR(__xludf.DUMMYFUNCTION("""COMPUTED_VALUE"""),42899.7055555555)</f>
        <v>42899.705555555498</v>
      </c>
      <c r="F1784" s="111">
        <f ca="1">IFERROR(__xludf.DUMMYFUNCTION("""COMPUTED_VALUE"""),7.68)</f>
        <v>7.68</v>
      </c>
      <c r="G1784" s="112">
        <f ca="1">IFERROR(__xludf.DUMMYFUNCTION("""COMPUTED_VALUE"""),42893.7055555555)</f>
        <v>42893.705555555498</v>
      </c>
      <c r="H1784" s="111">
        <f ca="1">IFERROR(__xludf.DUMMYFUNCTION("""COMPUTED_VALUE"""),12.87)</f>
        <v>12.87</v>
      </c>
      <c r="K1784" s="112">
        <f ca="1">IFERROR(__xludf.DUMMYFUNCTION("""COMPUTED_VALUE"""),43343.7055555555)</f>
        <v>43343.705555555498</v>
      </c>
      <c r="L1784" s="111">
        <f ca="1">IFERROR(__xludf.DUMMYFUNCTION("""COMPUTED_VALUE"""),4.07)</f>
        <v>4.07</v>
      </c>
      <c r="M1784" s="112">
        <f ca="1">IFERROR(__xludf.DUMMYFUNCTION("""COMPUTED_VALUE"""),42807.7055555555)</f>
        <v>42807.705555555498</v>
      </c>
      <c r="N1784" s="111">
        <f ca="1">IFERROR(__xludf.DUMMYFUNCTION("""COMPUTED_VALUE"""),18.42)</f>
        <v>18.420000000000002</v>
      </c>
      <c r="O1784" s="112">
        <f ca="1">IFERROR(__xludf.DUMMYFUNCTION("""COMPUTED_VALUE"""),42884.7055555555)</f>
        <v>42884.705555555498</v>
      </c>
      <c r="P1784" s="111">
        <f ca="1">IFERROR(__xludf.DUMMYFUNCTION("""COMPUTED_VALUE"""),28.06)</f>
        <v>28.06</v>
      </c>
      <c r="Q1784" s="112">
        <f ca="1">IFERROR(__xludf.DUMMYFUNCTION("""COMPUTED_VALUE"""),42881.7055555555)</f>
        <v>42881.705555555498</v>
      </c>
      <c r="R1784" s="111">
        <f ca="1">IFERROR(__xludf.DUMMYFUNCTION("""COMPUTED_VALUE"""),28.86)</f>
        <v>28.86</v>
      </c>
      <c r="S1784" s="112">
        <f ca="1">IFERROR(__xludf.DUMMYFUNCTION("""COMPUTED_VALUE"""),42893.7055555555)</f>
        <v>42893.705555555498</v>
      </c>
      <c r="T1784" s="111">
        <f ca="1">IFERROR(__xludf.DUMMYFUNCTION("""COMPUTED_VALUE"""),22.64)</f>
        <v>22.64</v>
      </c>
    </row>
    <row r="1785" spans="1:20" x14ac:dyDescent="0.3">
      <c r="A1785" s="112">
        <f ca="1">IFERROR(__xludf.DUMMYFUNCTION("""COMPUTED_VALUE"""),42892.7055555555)</f>
        <v>42892.705555555498</v>
      </c>
      <c r="B1785" s="111">
        <f ca="1">IFERROR(__xludf.DUMMYFUNCTION("""COMPUTED_VALUE"""),13.15)</f>
        <v>13.15</v>
      </c>
      <c r="C1785" s="112">
        <f ca="1">IFERROR(__xludf.DUMMYFUNCTION("""COMPUTED_VALUE"""),42899.7055555555)</f>
        <v>42899.705555555498</v>
      </c>
      <c r="D1785" s="111">
        <f ca="1">IFERROR(__xludf.DUMMYFUNCTION("""COMPUTED_VALUE"""),24.06)</f>
        <v>24.06</v>
      </c>
      <c r="E1785" s="112">
        <f ca="1">IFERROR(__xludf.DUMMYFUNCTION("""COMPUTED_VALUE"""),42900.7055555555)</f>
        <v>42900.705555555498</v>
      </c>
      <c r="F1785" s="111">
        <f ca="1">IFERROR(__xludf.DUMMYFUNCTION("""COMPUTED_VALUE"""),7.76)</f>
        <v>7.76</v>
      </c>
      <c r="G1785" s="112">
        <f ca="1">IFERROR(__xludf.DUMMYFUNCTION("""COMPUTED_VALUE"""),42894.7055555555)</f>
        <v>42894.705555555498</v>
      </c>
      <c r="H1785" s="111">
        <f ca="1">IFERROR(__xludf.DUMMYFUNCTION("""COMPUTED_VALUE"""),12.84)</f>
        <v>12.84</v>
      </c>
      <c r="K1785" s="112">
        <f ca="1">IFERROR(__xludf.DUMMYFUNCTION("""COMPUTED_VALUE"""),43346.7055555555)</f>
        <v>43346.705555555498</v>
      </c>
      <c r="L1785" s="111">
        <f ca="1">IFERROR(__xludf.DUMMYFUNCTION("""COMPUTED_VALUE"""),3.95)</f>
        <v>3.95</v>
      </c>
      <c r="M1785" s="112">
        <f ca="1">IFERROR(__xludf.DUMMYFUNCTION("""COMPUTED_VALUE"""),42808.7055555555)</f>
        <v>42808.705555555498</v>
      </c>
      <c r="N1785" s="111">
        <f ca="1">IFERROR(__xludf.DUMMYFUNCTION("""COMPUTED_VALUE"""),18.27)</f>
        <v>18.27</v>
      </c>
      <c r="O1785" s="112">
        <f ca="1">IFERROR(__xludf.DUMMYFUNCTION("""COMPUTED_VALUE"""),42885.7055555555)</f>
        <v>42885.705555555498</v>
      </c>
      <c r="P1785" s="111">
        <f ca="1">IFERROR(__xludf.DUMMYFUNCTION("""COMPUTED_VALUE"""),28.6)</f>
        <v>28.6</v>
      </c>
      <c r="Q1785" s="112">
        <f ca="1">IFERROR(__xludf.DUMMYFUNCTION("""COMPUTED_VALUE"""),42884.7055555555)</f>
        <v>42884.705555555498</v>
      </c>
      <c r="R1785" s="111">
        <f ca="1">IFERROR(__xludf.DUMMYFUNCTION("""COMPUTED_VALUE"""),28.66)</f>
        <v>28.66</v>
      </c>
      <c r="S1785" s="112">
        <f ca="1">IFERROR(__xludf.DUMMYFUNCTION("""COMPUTED_VALUE"""),42894.7055555555)</f>
        <v>42894.705555555498</v>
      </c>
      <c r="T1785" s="111">
        <f ca="1">IFERROR(__xludf.DUMMYFUNCTION("""COMPUTED_VALUE"""),22.72)</f>
        <v>22.72</v>
      </c>
    </row>
    <row r="1786" spans="1:20" x14ac:dyDescent="0.3">
      <c r="A1786" s="112">
        <f ca="1">IFERROR(__xludf.DUMMYFUNCTION("""COMPUTED_VALUE"""),42893.7055555555)</f>
        <v>42893.705555555498</v>
      </c>
      <c r="B1786" s="111">
        <f ca="1">IFERROR(__xludf.DUMMYFUNCTION("""COMPUTED_VALUE"""),13.14)</f>
        <v>13.14</v>
      </c>
      <c r="C1786" s="112">
        <f ca="1">IFERROR(__xludf.DUMMYFUNCTION("""COMPUTED_VALUE"""),42900.7055555555)</f>
        <v>42900.705555555498</v>
      </c>
      <c r="D1786" s="111">
        <f ca="1">IFERROR(__xludf.DUMMYFUNCTION("""COMPUTED_VALUE"""),24.27)</f>
        <v>24.27</v>
      </c>
      <c r="E1786" s="112">
        <f ca="1">IFERROR(__xludf.DUMMYFUNCTION("""COMPUTED_VALUE"""),42902.7055555555)</f>
        <v>42902.705555555498</v>
      </c>
      <c r="F1786" s="111">
        <f ca="1">IFERROR(__xludf.DUMMYFUNCTION("""COMPUTED_VALUE"""),7.8)</f>
        <v>7.8</v>
      </c>
      <c r="G1786" s="112">
        <f ca="1">IFERROR(__xludf.DUMMYFUNCTION("""COMPUTED_VALUE"""),42895.7055555555)</f>
        <v>42895.705555555498</v>
      </c>
      <c r="H1786" s="111">
        <f ca="1">IFERROR(__xludf.DUMMYFUNCTION("""COMPUTED_VALUE"""),12.85)</f>
        <v>12.85</v>
      </c>
      <c r="K1786" s="112">
        <f ca="1">IFERROR(__xludf.DUMMYFUNCTION("""COMPUTED_VALUE"""),43347.7055555555)</f>
        <v>43347.705555555498</v>
      </c>
      <c r="L1786" s="111">
        <f ca="1">IFERROR(__xludf.DUMMYFUNCTION("""COMPUTED_VALUE"""),3.69)</f>
        <v>3.69</v>
      </c>
      <c r="M1786" s="112">
        <f ca="1">IFERROR(__xludf.DUMMYFUNCTION("""COMPUTED_VALUE"""),42809.7055555555)</f>
        <v>42809.705555555498</v>
      </c>
      <c r="N1786" s="111">
        <f ca="1">IFERROR(__xludf.DUMMYFUNCTION("""COMPUTED_VALUE"""),18.6)</f>
        <v>18.600000000000001</v>
      </c>
      <c r="O1786" s="112">
        <f ca="1">IFERROR(__xludf.DUMMYFUNCTION("""COMPUTED_VALUE"""),42886.7055555555)</f>
        <v>42886.705555555498</v>
      </c>
      <c r="P1786" s="111">
        <f ca="1">IFERROR(__xludf.DUMMYFUNCTION("""COMPUTED_VALUE"""),27.17)</f>
        <v>27.17</v>
      </c>
      <c r="Q1786" s="112">
        <f ca="1">IFERROR(__xludf.DUMMYFUNCTION("""COMPUTED_VALUE"""),42885.7055555555)</f>
        <v>42885.705555555498</v>
      </c>
      <c r="R1786" s="111">
        <f ca="1">IFERROR(__xludf.DUMMYFUNCTION("""COMPUTED_VALUE"""),29)</f>
        <v>29</v>
      </c>
      <c r="S1786" s="112">
        <f ca="1">IFERROR(__xludf.DUMMYFUNCTION("""COMPUTED_VALUE"""),42895.7055555555)</f>
        <v>42895.705555555498</v>
      </c>
      <c r="T1786" s="111">
        <f ca="1">IFERROR(__xludf.DUMMYFUNCTION("""COMPUTED_VALUE"""),22.79)</f>
        <v>22.79</v>
      </c>
    </row>
    <row r="1787" spans="1:20" x14ac:dyDescent="0.3">
      <c r="A1787" s="112">
        <f ca="1">IFERROR(__xludf.DUMMYFUNCTION("""COMPUTED_VALUE"""),42894.7055555555)</f>
        <v>42894.705555555498</v>
      </c>
      <c r="B1787" s="111">
        <f ca="1">IFERROR(__xludf.DUMMYFUNCTION("""COMPUTED_VALUE"""),12.71)</f>
        <v>12.71</v>
      </c>
      <c r="C1787" s="112">
        <f ca="1">IFERROR(__xludf.DUMMYFUNCTION("""COMPUTED_VALUE"""),42902.7055555555)</f>
        <v>42902.705555555498</v>
      </c>
      <c r="D1787" s="111">
        <f ca="1">IFERROR(__xludf.DUMMYFUNCTION("""COMPUTED_VALUE"""),24.1)</f>
        <v>24.1</v>
      </c>
      <c r="E1787" s="112">
        <f ca="1">IFERROR(__xludf.DUMMYFUNCTION("""COMPUTED_VALUE"""),42905.7055555555)</f>
        <v>42905.705555555498</v>
      </c>
      <c r="F1787" s="111">
        <f ca="1">IFERROR(__xludf.DUMMYFUNCTION("""COMPUTED_VALUE"""),7.81)</f>
        <v>7.81</v>
      </c>
      <c r="G1787" s="112">
        <f ca="1">IFERROR(__xludf.DUMMYFUNCTION("""COMPUTED_VALUE"""),42898.7055555555)</f>
        <v>42898.705555555498</v>
      </c>
      <c r="H1787" s="111">
        <f ca="1">IFERROR(__xludf.DUMMYFUNCTION("""COMPUTED_VALUE"""),12.9)</f>
        <v>12.9</v>
      </c>
      <c r="K1787" s="112">
        <f ca="1">IFERROR(__xludf.DUMMYFUNCTION("""COMPUTED_VALUE"""),43348.7055555555)</f>
        <v>43348.705555555498</v>
      </c>
      <c r="L1787" s="111">
        <f ca="1">IFERROR(__xludf.DUMMYFUNCTION("""COMPUTED_VALUE"""),3.81)</f>
        <v>3.81</v>
      </c>
      <c r="M1787" s="112">
        <f ca="1">IFERROR(__xludf.DUMMYFUNCTION("""COMPUTED_VALUE"""),42810.7055555555)</f>
        <v>42810.705555555498</v>
      </c>
      <c r="N1787" s="111">
        <f ca="1">IFERROR(__xludf.DUMMYFUNCTION("""COMPUTED_VALUE"""),18.51)</f>
        <v>18.510000000000002</v>
      </c>
      <c r="O1787" s="112">
        <f ca="1">IFERROR(__xludf.DUMMYFUNCTION("""COMPUTED_VALUE"""),42887.7055555555)</f>
        <v>42887.705555555498</v>
      </c>
      <c r="P1787" s="111">
        <f ca="1">IFERROR(__xludf.DUMMYFUNCTION("""COMPUTED_VALUE"""),26.67)</f>
        <v>26.67</v>
      </c>
      <c r="Q1787" s="112">
        <f ca="1">IFERROR(__xludf.DUMMYFUNCTION("""COMPUTED_VALUE"""),42886.7055555555)</f>
        <v>42886.705555555498</v>
      </c>
      <c r="R1787" s="111">
        <f ca="1">IFERROR(__xludf.DUMMYFUNCTION("""COMPUTED_VALUE"""),28.34)</f>
        <v>28.34</v>
      </c>
      <c r="S1787" s="112">
        <f ca="1">IFERROR(__xludf.DUMMYFUNCTION("""COMPUTED_VALUE"""),42898.7055555555)</f>
        <v>42898.705555555498</v>
      </c>
      <c r="T1787" s="111">
        <f ca="1">IFERROR(__xludf.DUMMYFUNCTION("""COMPUTED_VALUE"""),22.2)</f>
        <v>22.2</v>
      </c>
    </row>
    <row r="1788" spans="1:20" x14ac:dyDescent="0.3">
      <c r="A1788" s="112">
        <f ca="1">IFERROR(__xludf.DUMMYFUNCTION("""COMPUTED_VALUE"""),42895.7055555555)</f>
        <v>42895.705555555498</v>
      </c>
      <c r="B1788" s="111">
        <f ca="1">IFERROR(__xludf.DUMMYFUNCTION("""COMPUTED_VALUE"""),12.79)</f>
        <v>12.79</v>
      </c>
      <c r="C1788" s="112">
        <f ca="1">IFERROR(__xludf.DUMMYFUNCTION("""COMPUTED_VALUE"""),42905.7055555555)</f>
        <v>42905.705555555498</v>
      </c>
      <c r="D1788" s="111">
        <f ca="1">IFERROR(__xludf.DUMMYFUNCTION("""COMPUTED_VALUE"""),24.23)</f>
        <v>24.23</v>
      </c>
      <c r="E1788" s="112">
        <f ca="1">IFERROR(__xludf.DUMMYFUNCTION("""COMPUTED_VALUE"""),42906.7055555555)</f>
        <v>42906.705555555498</v>
      </c>
      <c r="F1788" s="111">
        <f ca="1">IFERROR(__xludf.DUMMYFUNCTION("""COMPUTED_VALUE"""),7.61)</f>
        <v>7.61</v>
      </c>
      <c r="G1788" s="112">
        <f ca="1">IFERROR(__xludf.DUMMYFUNCTION("""COMPUTED_VALUE"""),42899.7055555555)</f>
        <v>42899.705555555498</v>
      </c>
      <c r="H1788" s="111">
        <f ca="1">IFERROR(__xludf.DUMMYFUNCTION("""COMPUTED_VALUE"""),12.94)</f>
        <v>12.94</v>
      </c>
      <c r="K1788" s="112">
        <f ca="1">IFERROR(__xludf.DUMMYFUNCTION("""COMPUTED_VALUE"""),43349.7055555555)</f>
        <v>43349.705555555498</v>
      </c>
      <c r="L1788" s="111">
        <f ca="1">IFERROR(__xludf.DUMMYFUNCTION("""COMPUTED_VALUE"""),3.91)</f>
        <v>3.91</v>
      </c>
      <c r="M1788" s="112">
        <f ca="1">IFERROR(__xludf.DUMMYFUNCTION("""COMPUTED_VALUE"""),42811.7055555555)</f>
        <v>42811.705555555498</v>
      </c>
      <c r="N1788" s="111">
        <f ca="1">IFERROR(__xludf.DUMMYFUNCTION("""COMPUTED_VALUE"""),17.94)</f>
        <v>17.940000000000001</v>
      </c>
      <c r="O1788" s="112">
        <f ca="1">IFERROR(__xludf.DUMMYFUNCTION("""COMPUTED_VALUE"""),42888.7055555555)</f>
        <v>42888.705555555498</v>
      </c>
      <c r="P1788" s="111">
        <f ca="1">IFERROR(__xludf.DUMMYFUNCTION("""COMPUTED_VALUE"""),26.78)</f>
        <v>26.78</v>
      </c>
      <c r="Q1788" s="112">
        <f ca="1">IFERROR(__xludf.DUMMYFUNCTION("""COMPUTED_VALUE"""),42887.7055555555)</f>
        <v>42887.705555555498</v>
      </c>
      <c r="R1788" s="111">
        <f ca="1">IFERROR(__xludf.DUMMYFUNCTION("""COMPUTED_VALUE"""),28.04)</f>
        <v>28.04</v>
      </c>
      <c r="S1788" s="112">
        <f ca="1">IFERROR(__xludf.DUMMYFUNCTION("""COMPUTED_VALUE"""),42899.7055555555)</f>
        <v>42899.705555555498</v>
      </c>
      <c r="T1788" s="111">
        <f ca="1">IFERROR(__xludf.DUMMYFUNCTION("""COMPUTED_VALUE"""),22.21)</f>
        <v>22.21</v>
      </c>
    </row>
    <row r="1789" spans="1:20" x14ac:dyDescent="0.3">
      <c r="A1789" s="112">
        <f ca="1">IFERROR(__xludf.DUMMYFUNCTION("""COMPUTED_VALUE"""),42898.7055555555)</f>
        <v>42898.705555555498</v>
      </c>
      <c r="B1789" s="111">
        <f ca="1">IFERROR(__xludf.DUMMYFUNCTION("""COMPUTED_VALUE"""),12.62)</f>
        <v>12.62</v>
      </c>
      <c r="C1789" s="112">
        <f ca="1">IFERROR(__xludf.DUMMYFUNCTION("""COMPUTED_VALUE"""),42906.7055555555)</f>
        <v>42906.705555555498</v>
      </c>
      <c r="D1789" s="111">
        <f ca="1">IFERROR(__xludf.DUMMYFUNCTION("""COMPUTED_VALUE"""),23.69)</f>
        <v>23.69</v>
      </c>
      <c r="E1789" s="112">
        <f ca="1">IFERROR(__xludf.DUMMYFUNCTION("""COMPUTED_VALUE"""),42907.7055555555)</f>
        <v>42907.705555555498</v>
      </c>
      <c r="F1789" s="111">
        <f ca="1">IFERROR(__xludf.DUMMYFUNCTION("""COMPUTED_VALUE"""),7.57)</f>
        <v>7.57</v>
      </c>
      <c r="G1789" s="112">
        <f ca="1">IFERROR(__xludf.DUMMYFUNCTION("""COMPUTED_VALUE"""),42900.7055555555)</f>
        <v>42900.705555555498</v>
      </c>
      <c r="H1789" s="111">
        <f ca="1">IFERROR(__xludf.DUMMYFUNCTION("""COMPUTED_VALUE"""),12.62)</f>
        <v>12.62</v>
      </c>
      <c r="K1789" s="112">
        <f ca="1">IFERROR(__xludf.DUMMYFUNCTION("""COMPUTED_VALUE"""),43353.7055555555)</f>
        <v>43353.705555555498</v>
      </c>
      <c r="L1789" s="111">
        <f ca="1">IFERROR(__xludf.DUMMYFUNCTION("""COMPUTED_VALUE"""),3.81)</f>
        <v>3.81</v>
      </c>
      <c r="M1789" s="112">
        <f ca="1">IFERROR(__xludf.DUMMYFUNCTION("""COMPUTED_VALUE"""),42814.7055555555)</f>
        <v>42814.705555555498</v>
      </c>
      <c r="N1789" s="111">
        <f ca="1">IFERROR(__xludf.DUMMYFUNCTION("""COMPUTED_VALUE"""),18.26)</f>
        <v>18.260000000000002</v>
      </c>
      <c r="O1789" s="112">
        <f ca="1">IFERROR(__xludf.DUMMYFUNCTION("""COMPUTED_VALUE"""),42891.7055555555)</f>
        <v>42891.705555555498</v>
      </c>
      <c r="P1789" s="111">
        <f ca="1">IFERROR(__xludf.DUMMYFUNCTION("""COMPUTED_VALUE"""),26.49)</f>
        <v>26.49</v>
      </c>
      <c r="Q1789" s="112">
        <f ca="1">IFERROR(__xludf.DUMMYFUNCTION("""COMPUTED_VALUE"""),42888.7055555555)</f>
        <v>42888.705555555498</v>
      </c>
      <c r="R1789" s="111">
        <f ca="1">IFERROR(__xludf.DUMMYFUNCTION("""COMPUTED_VALUE"""),28.08)</f>
        <v>28.08</v>
      </c>
      <c r="S1789" s="112">
        <f ca="1">IFERROR(__xludf.DUMMYFUNCTION("""COMPUTED_VALUE"""),42900.7055555555)</f>
        <v>42900.705555555498</v>
      </c>
      <c r="T1789" s="111">
        <f ca="1">IFERROR(__xludf.DUMMYFUNCTION("""COMPUTED_VALUE"""),22.48)</f>
        <v>22.48</v>
      </c>
    </row>
    <row r="1790" spans="1:20" x14ac:dyDescent="0.3">
      <c r="A1790" s="112">
        <f ca="1">IFERROR(__xludf.DUMMYFUNCTION("""COMPUTED_VALUE"""),42899.7055555555)</f>
        <v>42899.705555555498</v>
      </c>
      <c r="B1790" s="111">
        <f ca="1">IFERROR(__xludf.DUMMYFUNCTION("""COMPUTED_VALUE"""),12.31)</f>
        <v>12.31</v>
      </c>
      <c r="C1790" s="112">
        <f ca="1">IFERROR(__xludf.DUMMYFUNCTION("""COMPUTED_VALUE"""),42907.7055555555)</f>
        <v>42907.705555555498</v>
      </c>
      <c r="D1790" s="111">
        <f ca="1">IFERROR(__xludf.DUMMYFUNCTION("""COMPUTED_VALUE"""),23.72)</f>
        <v>23.72</v>
      </c>
      <c r="E1790" s="112">
        <f ca="1">IFERROR(__xludf.DUMMYFUNCTION("""COMPUTED_VALUE"""),42908.7055555555)</f>
        <v>42908.705555555498</v>
      </c>
      <c r="F1790" s="111">
        <f ca="1">IFERROR(__xludf.DUMMYFUNCTION("""COMPUTED_VALUE"""),7.58)</f>
        <v>7.58</v>
      </c>
      <c r="G1790" s="112">
        <f ca="1">IFERROR(__xludf.DUMMYFUNCTION("""COMPUTED_VALUE"""),42902.7055555555)</f>
        <v>42902.705555555498</v>
      </c>
      <c r="H1790" s="111">
        <f ca="1">IFERROR(__xludf.DUMMYFUNCTION("""COMPUTED_VALUE"""),12.28)</f>
        <v>12.28</v>
      </c>
      <c r="K1790" s="112">
        <f ca="1">IFERROR(__xludf.DUMMYFUNCTION("""COMPUTED_VALUE"""),43354.7055555555)</f>
        <v>43354.705555555498</v>
      </c>
      <c r="L1790" s="111">
        <f ca="1">IFERROR(__xludf.DUMMYFUNCTION("""COMPUTED_VALUE"""),3.72)</f>
        <v>3.72</v>
      </c>
      <c r="M1790" s="112">
        <f ca="1">IFERROR(__xludf.DUMMYFUNCTION("""COMPUTED_VALUE"""),42815.7055555555)</f>
        <v>42815.705555555498</v>
      </c>
      <c r="N1790" s="111">
        <f ca="1">IFERROR(__xludf.DUMMYFUNCTION("""COMPUTED_VALUE"""),17.72)</f>
        <v>17.72</v>
      </c>
      <c r="O1790" s="112">
        <f ca="1">IFERROR(__xludf.DUMMYFUNCTION("""COMPUTED_VALUE"""),42892.7055555555)</f>
        <v>42892.705555555498</v>
      </c>
      <c r="P1790" s="111">
        <f ca="1">IFERROR(__xludf.DUMMYFUNCTION("""COMPUTED_VALUE"""),26.58)</f>
        <v>26.58</v>
      </c>
      <c r="Q1790" s="112">
        <f ca="1">IFERROR(__xludf.DUMMYFUNCTION("""COMPUTED_VALUE"""),42891.7055555555)</f>
        <v>42891.705555555498</v>
      </c>
      <c r="R1790" s="111">
        <f ca="1">IFERROR(__xludf.DUMMYFUNCTION("""COMPUTED_VALUE"""),27.6)</f>
        <v>27.6</v>
      </c>
      <c r="S1790" s="112">
        <f ca="1">IFERROR(__xludf.DUMMYFUNCTION("""COMPUTED_VALUE"""),42902.7055555555)</f>
        <v>42902.705555555498</v>
      </c>
      <c r="T1790" s="111">
        <f ca="1">IFERROR(__xludf.DUMMYFUNCTION("""COMPUTED_VALUE"""),22.52)</f>
        <v>22.52</v>
      </c>
    </row>
    <row r="1791" spans="1:20" x14ac:dyDescent="0.3">
      <c r="A1791" s="112">
        <f ca="1">IFERROR(__xludf.DUMMYFUNCTION("""COMPUTED_VALUE"""),42900.7055555555)</f>
        <v>42900.705555555498</v>
      </c>
      <c r="B1791" s="111">
        <f ca="1">IFERROR(__xludf.DUMMYFUNCTION("""COMPUTED_VALUE"""),12.21)</f>
        <v>12.21</v>
      </c>
      <c r="C1791" s="112">
        <f ca="1">IFERROR(__xludf.DUMMYFUNCTION("""COMPUTED_VALUE"""),42908.7055555555)</f>
        <v>42908.705555555498</v>
      </c>
      <c r="D1791" s="111">
        <f ca="1">IFERROR(__xludf.DUMMYFUNCTION("""COMPUTED_VALUE"""),23.74)</f>
        <v>23.74</v>
      </c>
      <c r="E1791" s="112">
        <f ca="1">IFERROR(__xludf.DUMMYFUNCTION("""COMPUTED_VALUE"""),42909.7055555555)</f>
        <v>42909.705555555498</v>
      </c>
      <c r="F1791" s="111">
        <f ca="1">IFERROR(__xludf.DUMMYFUNCTION("""COMPUTED_VALUE"""),7.51)</f>
        <v>7.51</v>
      </c>
      <c r="G1791" s="112">
        <f ca="1">IFERROR(__xludf.DUMMYFUNCTION("""COMPUTED_VALUE"""),42905.7055555555)</f>
        <v>42905.705555555498</v>
      </c>
      <c r="H1791" s="111">
        <f ca="1">IFERROR(__xludf.DUMMYFUNCTION("""COMPUTED_VALUE"""),12.29)</f>
        <v>12.29</v>
      </c>
      <c r="K1791" s="112">
        <f ca="1">IFERROR(__xludf.DUMMYFUNCTION("""COMPUTED_VALUE"""),43355.7055555555)</f>
        <v>43355.705555555498</v>
      </c>
      <c r="L1791" s="111">
        <f ca="1">IFERROR(__xludf.DUMMYFUNCTION("""COMPUTED_VALUE"""),3.73)</f>
        <v>3.73</v>
      </c>
      <c r="M1791" s="112">
        <f ca="1">IFERROR(__xludf.DUMMYFUNCTION("""COMPUTED_VALUE"""),42816.7055555555)</f>
        <v>42816.705555555498</v>
      </c>
      <c r="N1791" s="111">
        <f ca="1">IFERROR(__xludf.DUMMYFUNCTION("""COMPUTED_VALUE"""),17.79)</f>
        <v>17.79</v>
      </c>
      <c r="O1791" s="112">
        <f ca="1">IFERROR(__xludf.DUMMYFUNCTION("""COMPUTED_VALUE"""),42893.7055555555)</f>
        <v>42893.705555555498</v>
      </c>
      <c r="P1791" s="111">
        <f ca="1">IFERROR(__xludf.DUMMYFUNCTION("""COMPUTED_VALUE"""),26.45)</f>
        <v>26.45</v>
      </c>
      <c r="Q1791" s="112">
        <f ca="1">IFERROR(__xludf.DUMMYFUNCTION("""COMPUTED_VALUE"""),42892.7055555555)</f>
        <v>42892.705555555498</v>
      </c>
      <c r="R1791" s="111">
        <f ca="1">IFERROR(__xludf.DUMMYFUNCTION("""COMPUTED_VALUE"""),28.61)</f>
        <v>28.61</v>
      </c>
      <c r="S1791" s="112">
        <f ca="1">IFERROR(__xludf.DUMMYFUNCTION("""COMPUTED_VALUE"""),42905.7055555555)</f>
        <v>42905.705555555498</v>
      </c>
      <c r="T1791" s="111">
        <f ca="1">IFERROR(__xludf.DUMMYFUNCTION("""COMPUTED_VALUE"""),22.98)</f>
        <v>22.98</v>
      </c>
    </row>
    <row r="1792" spans="1:20" x14ac:dyDescent="0.3">
      <c r="A1792" s="112">
        <f ca="1">IFERROR(__xludf.DUMMYFUNCTION("""COMPUTED_VALUE"""),42902.7055555555)</f>
        <v>42902.705555555498</v>
      </c>
      <c r="B1792" s="111">
        <f ca="1">IFERROR(__xludf.DUMMYFUNCTION("""COMPUTED_VALUE"""),12.26)</f>
        <v>12.26</v>
      </c>
      <c r="C1792" s="112">
        <f ca="1">IFERROR(__xludf.DUMMYFUNCTION("""COMPUTED_VALUE"""),42909.7055555555)</f>
        <v>42909.705555555498</v>
      </c>
      <c r="D1792" s="111">
        <f ca="1">IFERROR(__xludf.DUMMYFUNCTION("""COMPUTED_VALUE"""),23.66)</f>
        <v>23.66</v>
      </c>
      <c r="E1792" s="112">
        <f ca="1">IFERROR(__xludf.DUMMYFUNCTION("""COMPUTED_VALUE"""),42912.7055555555)</f>
        <v>42912.705555555498</v>
      </c>
      <c r="F1792" s="111">
        <f ca="1">IFERROR(__xludf.DUMMYFUNCTION("""COMPUTED_VALUE"""),7.71)</f>
        <v>7.71</v>
      </c>
      <c r="G1792" s="112">
        <f ca="1">IFERROR(__xludf.DUMMYFUNCTION("""COMPUTED_VALUE"""),42906.7055555555)</f>
        <v>42906.705555555498</v>
      </c>
      <c r="H1792" s="111">
        <f ca="1">IFERROR(__xludf.DUMMYFUNCTION("""COMPUTED_VALUE"""),11.86)</f>
        <v>11.86</v>
      </c>
      <c r="K1792" s="112">
        <f ca="1">IFERROR(__xludf.DUMMYFUNCTION("""COMPUTED_VALUE"""),43356.7055555555)</f>
        <v>43356.705555555498</v>
      </c>
      <c r="L1792" s="111">
        <f ca="1">IFERROR(__xludf.DUMMYFUNCTION("""COMPUTED_VALUE"""),3.61)</f>
        <v>3.61</v>
      </c>
      <c r="M1792" s="112">
        <f ca="1">IFERROR(__xludf.DUMMYFUNCTION("""COMPUTED_VALUE"""),42817.7055555555)</f>
        <v>42817.705555555498</v>
      </c>
      <c r="N1792" s="111">
        <f ca="1">IFERROR(__xludf.DUMMYFUNCTION("""COMPUTED_VALUE"""),17.8)</f>
        <v>17.8</v>
      </c>
      <c r="O1792" s="112">
        <f ca="1">IFERROR(__xludf.DUMMYFUNCTION("""COMPUTED_VALUE"""),42894.7055555555)</f>
        <v>42894.705555555498</v>
      </c>
      <c r="P1792" s="111">
        <f ca="1">IFERROR(__xludf.DUMMYFUNCTION("""COMPUTED_VALUE"""),27.02)</f>
        <v>27.02</v>
      </c>
      <c r="Q1792" s="112">
        <f ca="1">IFERROR(__xludf.DUMMYFUNCTION("""COMPUTED_VALUE"""),42893.7055555555)</f>
        <v>42893.705555555498</v>
      </c>
      <c r="R1792" s="111">
        <f ca="1">IFERROR(__xludf.DUMMYFUNCTION("""COMPUTED_VALUE"""),28.73)</f>
        <v>28.73</v>
      </c>
      <c r="S1792" s="112">
        <f ca="1">IFERROR(__xludf.DUMMYFUNCTION("""COMPUTED_VALUE"""),42906.7055555555)</f>
        <v>42906.705555555498</v>
      </c>
      <c r="T1792" s="111">
        <f ca="1">IFERROR(__xludf.DUMMYFUNCTION("""COMPUTED_VALUE"""),22.3)</f>
        <v>22.3</v>
      </c>
    </row>
    <row r="1793" spans="1:20" x14ac:dyDescent="0.3">
      <c r="A1793" s="112">
        <f ca="1">IFERROR(__xludf.DUMMYFUNCTION("""COMPUTED_VALUE"""),42905.7055555555)</f>
        <v>42905.705555555498</v>
      </c>
      <c r="B1793" s="111">
        <f ca="1">IFERROR(__xludf.DUMMYFUNCTION("""COMPUTED_VALUE"""),12.31)</f>
        <v>12.31</v>
      </c>
      <c r="C1793" s="112">
        <f ca="1">IFERROR(__xludf.DUMMYFUNCTION("""COMPUTED_VALUE"""),42912.7055555555)</f>
        <v>42912.705555555498</v>
      </c>
      <c r="D1793" s="111">
        <f ca="1">IFERROR(__xludf.DUMMYFUNCTION("""COMPUTED_VALUE"""),24.33)</f>
        <v>24.33</v>
      </c>
      <c r="E1793" s="112">
        <f ca="1">IFERROR(__xludf.DUMMYFUNCTION("""COMPUTED_VALUE"""),42913.7055555555)</f>
        <v>42913.705555555498</v>
      </c>
      <c r="F1793" s="111">
        <f ca="1">IFERROR(__xludf.DUMMYFUNCTION("""COMPUTED_VALUE"""),7.56)</f>
        <v>7.56</v>
      </c>
      <c r="G1793" s="112">
        <f ca="1">IFERROR(__xludf.DUMMYFUNCTION("""COMPUTED_VALUE"""),42907.7055555555)</f>
        <v>42907.705555555498</v>
      </c>
      <c r="H1793" s="111">
        <f ca="1">IFERROR(__xludf.DUMMYFUNCTION("""COMPUTED_VALUE"""),11.64)</f>
        <v>11.64</v>
      </c>
      <c r="K1793" s="112">
        <f ca="1">IFERROR(__xludf.DUMMYFUNCTION("""COMPUTED_VALUE"""),43357.7055555555)</f>
        <v>43357.705555555498</v>
      </c>
      <c r="L1793" s="111">
        <f ca="1">IFERROR(__xludf.DUMMYFUNCTION("""COMPUTED_VALUE"""),3.63)</f>
        <v>3.63</v>
      </c>
      <c r="M1793" s="112">
        <f ca="1">IFERROR(__xludf.DUMMYFUNCTION("""COMPUTED_VALUE"""),42818.7055555555)</f>
        <v>42818.705555555498</v>
      </c>
      <c r="N1793" s="111">
        <f ca="1">IFERROR(__xludf.DUMMYFUNCTION("""COMPUTED_VALUE"""),18.06)</f>
        <v>18.059999999999999</v>
      </c>
      <c r="O1793" s="112">
        <f ca="1">IFERROR(__xludf.DUMMYFUNCTION("""COMPUTED_VALUE"""),42895.7055555555)</f>
        <v>42895.705555555498</v>
      </c>
      <c r="P1793" s="111">
        <f ca="1">IFERROR(__xludf.DUMMYFUNCTION("""COMPUTED_VALUE"""),27.3)</f>
        <v>27.3</v>
      </c>
      <c r="Q1793" s="112">
        <f ca="1">IFERROR(__xludf.DUMMYFUNCTION("""COMPUTED_VALUE"""),42894.7055555555)</f>
        <v>42894.705555555498</v>
      </c>
      <c r="R1793" s="111">
        <f ca="1">IFERROR(__xludf.DUMMYFUNCTION("""COMPUTED_VALUE"""),28.3)</f>
        <v>28.3</v>
      </c>
      <c r="S1793" s="112">
        <f ca="1">IFERROR(__xludf.DUMMYFUNCTION("""COMPUTED_VALUE"""),42907.7055555555)</f>
        <v>42907.705555555498</v>
      </c>
      <c r="T1793" s="111">
        <f ca="1">IFERROR(__xludf.DUMMYFUNCTION("""COMPUTED_VALUE"""),21.86)</f>
        <v>21.86</v>
      </c>
    </row>
    <row r="1794" spans="1:20" x14ac:dyDescent="0.3">
      <c r="A1794" s="112">
        <f ca="1">IFERROR(__xludf.DUMMYFUNCTION("""COMPUTED_VALUE"""),42906.7055555555)</f>
        <v>42906.705555555498</v>
      </c>
      <c r="B1794" s="111">
        <f ca="1">IFERROR(__xludf.DUMMYFUNCTION("""COMPUTED_VALUE"""),11.81)</f>
        <v>11.81</v>
      </c>
      <c r="C1794" s="112">
        <f ca="1">IFERROR(__xludf.DUMMYFUNCTION("""COMPUTED_VALUE"""),42913.7055555555)</f>
        <v>42913.705555555498</v>
      </c>
      <c r="D1794" s="111">
        <f ca="1">IFERROR(__xludf.DUMMYFUNCTION("""COMPUTED_VALUE"""),24.11)</f>
        <v>24.11</v>
      </c>
      <c r="E1794" s="112">
        <f ca="1">IFERROR(__xludf.DUMMYFUNCTION("""COMPUTED_VALUE"""),42914.7055555555)</f>
        <v>42914.705555555498</v>
      </c>
      <c r="F1794" s="111">
        <f ca="1">IFERROR(__xludf.DUMMYFUNCTION("""COMPUTED_VALUE"""),7.63)</f>
        <v>7.63</v>
      </c>
      <c r="G1794" s="112">
        <f ca="1">IFERROR(__xludf.DUMMYFUNCTION("""COMPUTED_VALUE"""),42908.7055555555)</f>
        <v>42908.705555555498</v>
      </c>
      <c r="H1794" s="111">
        <f ca="1">IFERROR(__xludf.DUMMYFUNCTION("""COMPUTED_VALUE"""),12.04)</f>
        <v>12.04</v>
      </c>
      <c r="K1794" s="112">
        <f ca="1">IFERROR(__xludf.DUMMYFUNCTION("""COMPUTED_VALUE"""),43360.7055555555)</f>
        <v>43360.705555555498</v>
      </c>
      <c r="L1794" s="111">
        <f ca="1">IFERROR(__xludf.DUMMYFUNCTION("""COMPUTED_VALUE"""),3.72)</f>
        <v>3.72</v>
      </c>
      <c r="M1794" s="112">
        <f ca="1">IFERROR(__xludf.DUMMYFUNCTION("""COMPUTED_VALUE"""),42821.7055555555)</f>
        <v>42821.705555555498</v>
      </c>
      <c r="N1794" s="111">
        <f ca="1">IFERROR(__xludf.DUMMYFUNCTION("""COMPUTED_VALUE"""),18.21)</f>
        <v>18.21</v>
      </c>
      <c r="O1794" s="112">
        <f ca="1">IFERROR(__xludf.DUMMYFUNCTION("""COMPUTED_VALUE"""),42898.7055555555)</f>
        <v>42898.705555555498</v>
      </c>
      <c r="P1794" s="111">
        <f ca="1">IFERROR(__xludf.DUMMYFUNCTION("""COMPUTED_VALUE"""),26.84)</f>
        <v>26.84</v>
      </c>
      <c r="Q1794" s="112">
        <f ca="1">IFERROR(__xludf.DUMMYFUNCTION("""COMPUTED_VALUE"""),42895.7055555555)</f>
        <v>42895.705555555498</v>
      </c>
      <c r="R1794" s="111">
        <f ca="1">IFERROR(__xludf.DUMMYFUNCTION("""COMPUTED_VALUE"""),27.84)</f>
        <v>27.84</v>
      </c>
      <c r="S1794" s="112">
        <f ca="1">IFERROR(__xludf.DUMMYFUNCTION("""COMPUTED_VALUE"""),42908.7055555555)</f>
        <v>42908.705555555498</v>
      </c>
      <c r="T1794" s="111">
        <f ca="1">IFERROR(__xludf.DUMMYFUNCTION("""COMPUTED_VALUE"""),21.95)</f>
        <v>21.95</v>
      </c>
    </row>
    <row r="1795" spans="1:20" x14ac:dyDescent="0.3">
      <c r="A1795" s="112">
        <f ca="1">IFERROR(__xludf.DUMMYFUNCTION("""COMPUTED_VALUE"""),42907.7055555555)</f>
        <v>42907.705555555498</v>
      </c>
      <c r="B1795" s="111">
        <f ca="1">IFERROR(__xludf.DUMMYFUNCTION("""COMPUTED_VALUE"""),11.72)</f>
        <v>11.72</v>
      </c>
      <c r="C1795" s="112">
        <f ca="1">IFERROR(__xludf.DUMMYFUNCTION("""COMPUTED_VALUE"""),42914.7055555555)</f>
        <v>42914.705555555498</v>
      </c>
      <c r="D1795" s="111">
        <f ca="1">IFERROR(__xludf.DUMMYFUNCTION("""COMPUTED_VALUE"""),24.1)</f>
        <v>24.1</v>
      </c>
      <c r="E1795" s="112">
        <f ca="1">IFERROR(__xludf.DUMMYFUNCTION("""COMPUTED_VALUE"""),42915.7055555555)</f>
        <v>42915.705555555498</v>
      </c>
      <c r="F1795" s="111">
        <f ca="1">IFERROR(__xludf.DUMMYFUNCTION("""COMPUTED_VALUE"""),7.73)</f>
        <v>7.73</v>
      </c>
      <c r="G1795" s="112">
        <f ca="1">IFERROR(__xludf.DUMMYFUNCTION("""COMPUTED_VALUE"""),42909.7055555555)</f>
        <v>42909.705555555498</v>
      </c>
      <c r="H1795" s="111">
        <f ca="1">IFERROR(__xludf.DUMMYFUNCTION("""COMPUTED_VALUE"""),11.93)</f>
        <v>11.93</v>
      </c>
      <c r="K1795" s="112">
        <f ca="1">IFERROR(__xludf.DUMMYFUNCTION("""COMPUTED_VALUE"""),43361.7055555555)</f>
        <v>43361.705555555498</v>
      </c>
      <c r="L1795" s="111">
        <f ca="1">IFERROR(__xludf.DUMMYFUNCTION("""COMPUTED_VALUE"""),3.89)</f>
        <v>3.89</v>
      </c>
      <c r="M1795" s="112">
        <f ca="1">IFERROR(__xludf.DUMMYFUNCTION("""COMPUTED_VALUE"""),42822.7055555555)</f>
        <v>42822.705555555498</v>
      </c>
      <c r="N1795" s="111">
        <f ca="1">IFERROR(__xludf.DUMMYFUNCTION("""COMPUTED_VALUE"""),18.32)</f>
        <v>18.32</v>
      </c>
      <c r="O1795" s="112">
        <f ca="1">IFERROR(__xludf.DUMMYFUNCTION("""COMPUTED_VALUE"""),42899.7055555555)</f>
        <v>42899.705555555498</v>
      </c>
      <c r="P1795" s="111">
        <f ca="1">IFERROR(__xludf.DUMMYFUNCTION("""COMPUTED_VALUE"""),26.37)</f>
        <v>26.37</v>
      </c>
      <c r="Q1795" s="112">
        <f ca="1">IFERROR(__xludf.DUMMYFUNCTION("""COMPUTED_VALUE"""),42898.7055555555)</f>
        <v>42898.705555555498</v>
      </c>
      <c r="R1795" s="111">
        <f ca="1">IFERROR(__xludf.DUMMYFUNCTION("""COMPUTED_VALUE"""),27.18)</f>
        <v>27.18</v>
      </c>
      <c r="S1795" s="112">
        <f ca="1">IFERROR(__xludf.DUMMYFUNCTION("""COMPUTED_VALUE"""),42909.7055555555)</f>
        <v>42909.705555555498</v>
      </c>
      <c r="T1795" s="111">
        <f ca="1">IFERROR(__xludf.DUMMYFUNCTION("""COMPUTED_VALUE"""),21.97)</f>
        <v>21.97</v>
      </c>
    </row>
    <row r="1796" spans="1:20" x14ac:dyDescent="0.3">
      <c r="A1796" s="112">
        <f ca="1">IFERROR(__xludf.DUMMYFUNCTION("""COMPUTED_VALUE"""),42908.7055555555)</f>
        <v>42908.705555555498</v>
      </c>
      <c r="B1796" s="111">
        <f ca="1">IFERROR(__xludf.DUMMYFUNCTION("""COMPUTED_VALUE"""),12.47)</f>
        <v>12.47</v>
      </c>
      <c r="C1796" s="112">
        <f ca="1">IFERROR(__xludf.DUMMYFUNCTION("""COMPUTED_VALUE"""),42915.7055555555)</f>
        <v>42915.705555555498</v>
      </c>
      <c r="D1796" s="111">
        <f ca="1">IFERROR(__xludf.DUMMYFUNCTION("""COMPUTED_VALUE"""),24.34)</f>
        <v>24.34</v>
      </c>
      <c r="E1796" s="112">
        <f ca="1">IFERROR(__xludf.DUMMYFUNCTION("""COMPUTED_VALUE"""),42916.7055555555)</f>
        <v>42916.705555555498</v>
      </c>
      <c r="F1796" s="111">
        <f ca="1">IFERROR(__xludf.DUMMYFUNCTION("""COMPUTED_VALUE"""),7.81)</f>
        <v>7.81</v>
      </c>
      <c r="G1796" s="112">
        <f ca="1">IFERROR(__xludf.DUMMYFUNCTION("""COMPUTED_VALUE"""),42912.7055555555)</f>
        <v>42912.705555555498</v>
      </c>
      <c r="H1796" s="111">
        <f ca="1">IFERROR(__xludf.DUMMYFUNCTION("""COMPUTED_VALUE"""),12.27)</f>
        <v>12.27</v>
      </c>
      <c r="K1796" s="112">
        <f ca="1">IFERROR(__xludf.DUMMYFUNCTION("""COMPUTED_VALUE"""),43362.7055555555)</f>
        <v>43362.705555555498</v>
      </c>
      <c r="L1796" s="111">
        <f ca="1">IFERROR(__xludf.DUMMYFUNCTION("""COMPUTED_VALUE"""),3.72)</f>
        <v>3.72</v>
      </c>
      <c r="M1796" s="112">
        <f ca="1">IFERROR(__xludf.DUMMYFUNCTION("""COMPUTED_VALUE"""),42823.7055555555)</f>
        <v>42823.705555555498</v>
      </c>
      <c r="N1796" s="111">
        <f ca="1">IFERROR(__xludf.DUMMYFUNCTION("""COMPUTED_VALUE"""),18.7)</f>
        <v>18.7</v>
      </c>
      <c r="O1796" s="112">
        <f ca="1">IFERROR(__xludf.DUMMYFUNCTION("""COMPUTED_VALUE"""),42900.7055555555)</f>
        <v>42900.705555555498</v>
      </c>
      <c r="P1796" s="111">
        <f ca="1">IFERROR(__xludf.DUMMYFUNCTION("""COMPUTED_VALUE"""),26.1)</f>
        <v>26.1</v>
      </c>
      <c r="Q1796" s="112">
        <f ca="1">IFERROR(__xludf.DUMMYFUNCTION("""COMPUTED_VALUE"""),42899.7055555555)</f>
        <v>42899.705555555498</v>
      </c>
      <c r="R1796" s="111">
        <f ca="1">IFERROR(__xludf.DUMMYFUNCTION("""COMPUTED_VALUE"""),27.4)</f>
        <v>27.4</v>
      </c>
      <c r="S1796" s="112">
        <f ca="1">IFERROR(__xludf.DUMMYFUNCTION("""COMPUTED_VALUE"""),42912.7055555555)</f>
        <v>42912.705555555498</v>
      </c>
      <c r="T1796" s="111">
        <f ca="1">IFERROR(__xludf.DUMMYFUNCTION("""COMPUTED_VALUE"""),22.23)</f>
        <v>22.23</v>
      </c>
    </row>
    <row r="1797" spans="1:20" x14ac:dyDescent="0.3">
      <c r="A1797" s="112">
        <f ca="1">IFERROR(__xludf.DUMMYFUNCTION("""COMPUTED_VALUE"""),42909.7055555555)</f>
        <v>42909.705555555498</v>
      </c>
      <c r="B1797" s="111">
        <f ca="1">IFERROR(__xludf.DUMMYFUNCTION("""COMPUTED_VALUE"""),11.86)</f>
        <v>11.86</v>
      </c>
      <c r="C1797" s="112">
        <f ca="1">IFERROR(__xludf.DUMMYFUNCTION("""COMPUTED_VALUE"""),42916.7055555555)</f>
        <v>42916.705555555498</v>
      </c>
      <c r="D1797" s="111">
        <f ca="1">IFERROR(__xludf.DUMMYFUNCTION("""COMPUTED_VALUE"""),24.5)</f>
        <v>24.5</v>
      </c>
      <c r="E1797" s="112">
        <f ca="1">IFERROR(__xludf.DUMMYFUNCTION("""COMPUTED_VALUE"""),42919.7055555555)</f>
        <v>42919.705555555498</v>
      </c>
      <c r="F1797" s="111">
        <f ca="1">IFERROR(__xludf.DUMMYFUNCTION("""COMPUTED_VALUE"""),7.81)</f>
        <v>7.81</v>
      </c>
      <c r="G1797" s="112">
        <f ca="1">IFERROR(__xludf.DUMMYFUNCTION("""COMPUTED_VALUE"""),42913.7055555555)</f>
        <v>42913.705555555498</v>
      </c>
      <c r="H1797" s="111">
        <f ca="1">IFERROR(__xludf.DUMMYFUNCTION("""COMPUTED_VALUE"""),12.21)</f>
        <v>12.21</v>
      </c>
      <c r="K1797" s="112">
        <f ca="1">IFERROR(__xludf.DUMMYFUNCTION("""COMPUTED_VALUE"""),43363.7055555555)</f>
        <v>43363.705555555498</v>
      </c>
      <c r="L1797" s="111">
        <f ca="1">IFERROR(__xludf.DUMMYFUNCTION("""COMPUTED_VALUE"""),3.7)</f>
        <v>3.7</v>
      </c>
      <c r="M1797" s="112">
        <f ca="1">IFERROR(__xludf.DUMMYFUNCTION("""COMPUTED_VALUE"""),42824.7055555555)</f>
        <v>42824.705555555498</v>
      </c>
      <c r="N1797" s="111">
        <f ca="1">IFERROR(__xludf.DUMMYFUNCTION("""COMPUTED_VALUE"""),18.58)</f>
        <v>18.579999999999998</v>
      </c>
      <c r="O1797" s="112">
        <f ca="1">IFERROR(__xludf.DUMMYFUNCTION("""COMPUTED_VALUE"""),42902.7055555555)</f>
        <v>42902.705555555498</v>
      </c>
      <c r="P1797" s="111">
        <f ca="1">IFERROR(__xludf.DUMMYFUNCTION("""COMPUTED_VALUE"""),25.56)</f>
        <v>25.56</v>
      </c>
      <c r="Q1797" s="112">
        <f ca="1">IFERROR(__xludf.DUMMYFUNCTION("""COMPUTED_VALUE"""),42900.7055555555)</f>
        <v>42900.705555555498</v>
      </c>
      <c r="R1797" s="111">
        <f ca="1">IFERROR(__xludf.DUMMYFUNCTION("""COMPUTED_VALUE"""),27.39)</f>
        <v>27.39</v>
      </c>
      <c r="S1797" s="112">
        <f ca="1">IFERROR(__xludf.DUMMYFUNCTION("""COMPUTED_VALUE"""),42913.7055555555)</f>
        <v>42913.705555555498</v>
      </c>
      <c r="T1797" s="111">
        <f ca="1">IFERROR(__xludf.DUMMYFUNCTION("""COMPUTED_VALUE"""),22)</f>
        <v>22</v>
      </c>
    </row>
    <row r="1798" spans="1:20" x14ac:dyDescent="0.3">
      <c r="A1798" s="112">
        <f ca="1">IFERROR(__xludf.DUMMYFUNCTION("""COMPUTED_VALUE"""),42912.7055555555)</f>
        <v>42912.705555555498</v>
      </c>
      <c r="B1798" s="111">
        <f ca="1">IFERROR(__xludf.DUMMYFUNCTION("""COMPUTED_VALUE"""),12.11)</f>
        <v>12.11</v>
      </c>
      <c r="C1798" s="112">
        <f ca="1">IFERROR(__xludf.DUMMYFUNCTION("""COMPUTED_VALUE"""),42919.7055555555)</f>
        <v>42919.705555555498</v>
      </c>
      <c r="D1798" s="111">
        <f ca="1">IFERROR(__xludf.DUMMYFUNCTION("""COMPUTED_VALUE"""),24.72)</f>
        <v>24.72</v>
      </c>
      <c r="E1798" s="112">
        <f ca="1">IFERROR(__xludf.DUMMYFUNCTION("""COMPUTED_VALUE"""),42920.7055555555)</f>
        <v>42920.705555555498</v>
      </c>
      <c r="F1798" s="111">
        <f ca="1">IFERROR(__xludf.DUMMYFUNCTION("""COMPUTED_VALUE"""),7.8)</f>
        <v>7.8</v>
      </c>
      <c r="G1798" s="112">
        <f ca="1">IFERROR(__xludf.DUMMYFUNCTION("""COMPUTED_VALUE"""),42914.7055555555)</f>
        <v>42914.705555555498</v>
      </c>
      <c r="H1798" s="111">
        <f ca="1">IFERROR(__xludf.DUMMYFUNCTION("""COMPUTED_VALUE"""),12.08)</f>
        <v>12.08</v>
      </c>
      <c r="K1798" s="112">
        <f ca="1">IFERROR(__xludf.DUMMYFUNCTION("""COMPUTED_VALUE"""),43364.7055555555)</f>
        <v>43364.705555555498</v>
      </c>
      <c r="L1798" s="111">
        <f ca="1">IFERROR(__xludf.DUMMYFUNCTION("""COMPUTED_VALUE"""),3.88)</f>
        <v>3.88</v>
      </c>
      <c r="M1798" s="112">
        <f ca="1">IFERROR(__xludf.DUMMYFUNCTION("""COMPUTED_VALUE"""),42825.7055555555)</f>
        <v>42825.705555555498</v>
      </c>
      <c r="N1798" s="111">
        <f ca="1">IFERROR(__xludf.DUMMYFUNCTION("""COMPUTED_VALUE"""),18.43)</f>
        <v>18.43</v>
      </c>
      <c r="O1798" s="112">
        <f ca="1">IFERROR(__xludf.DUMMYFUNCTION("""COMPUTED_VALUE"""),42905.7055555555)</f>
        <v>42905.705555555498</v>
      </c>
      <c r="P1798" s="111">
        <f ca="1">IFERROR(__xludf.DUMMYFUNCTION("""COMPUTED_VALUE"""),26.39)</f>
        <v>26.39</v>
      </c>
      <c r="Q1798" s="112">
        <f ca="1">IFERROR(__xludf.DUMMYFUNCTION("""COMPUTED_VALUE"""),42902.7055555555)</f>
        <v>42902.705555555498</v>
      </c>
      <c r="R1798" s="111">
        <f ca="1">IFERROR(__xludf.DUMMYFUNCTION("""COMPUTED_VALUE"""),27.49)</f>
        <v>27.49</v>
      </c>
      <c r="S1798" s="112">
        <f ca="1">IFERROR(__xludf.DUMMYFUNCTION("""COMPUTED_VALUE"""),42914.7055555555)</f>
        <v>42914.705555555498</v>
      </c>
      <c r="T1798" s="111">
        <f ca="1">IFERROR(__xludf.DUMMYFUNCTION("""COMPUTED_VALUE"""),22.04)</f>
        <v>22.04</v>
      </c>
    </row>
    <row r="1799" spans="1:20" x14ac:dyDescent="0.3">
      <c r="A1799" s="112">
        <f ca="1">IFERROR(__xludf.DUMMYFUNCTION("""COMPUTED_VALUE"""),42913.7055555555)</f>
        <v>42913.705555555498</v>
      </c>
      <c r="B1799" s="111">
        <f ca="1">IFERROR(__xludf.DUMMYFUNCTION("""COMPUTED_VALUE"""),11.97)</f>
        <v>11.97</v>
      </c>
      <c r="C1799" s="112">
        <f ca="1">IFERROR(__xludf.DUMMYFUNCTION("""COMPUTED_VALUE"""),42920.7055555555)</f>
        <v>42920.705555555498</v>
      </c>
      <c r="D1799" s="111">
        <f ca="1">IFERROR(__xludf.DUMMYFUNCTION("""COMPUTED_VALUE"""),24.62)</f>
        <v>24.62</v>
      </c>
      <c r="E1799" s="112">
        <f ca="1">IFERROR(__xludf.DUMMYFUNCTION("""COMPUTED_VALUE"""),42921.7055555555)</f>
        <v>42921.705555555498</v>
      </c>
      <c r="F1799" s="111">
        <f ca="1">IFERROR(__xludf.DUMMYFUNCTION("""COMPUTED_VALUE"""),7.88)</f>
        <v>7.88</v>
      </c>
      <c r="G1799" s="112">
        <f ca="1">IFERROR(__xludf.DUMMYFUNCTION("""COMPUTED_VALUE"""),42915.7055555555)</f>
        <v>42915.705555555498</v>
      </c>
      <c r="H1799" s="111">
        <f ca="1">IFERROR(__xludf.DUMMYFUNCTION("""COMPUTED_VALUE"""),12.18)</f>
        <v>12.18</v>
      </c>
      <c r="K1799" s="112">
        <f ca="1">IFERROR(__xludf.DUMMYFUNCTION("""COMPUTED_VALUE"""),43367.7055555555)</f>
        <v>43367.705555555498</v>
      </c>
      <c r="L1799" s="111">
        <f ca="1">IFERROR(__xludf.DUMMYFUNCTION("""COMPUTED_VALUE"""),3.79)</f>
        <v>3.79</v>
      </c>
      <c r="M1799" s="112">
        <f ca="1">IFERROR(__xludf.DUMMYFUNCTION("""COMPUTED_VALUE"""),42828.7055555555)</f>
        <v>42828.705555555498</v>
      </c>
      <c r="N1799" s="111">
        <f ca="1">IFERROR(__xludf.DUMMYFUNCTION("""COMPUTED_VALUE"""),18.52)</f>
        <v>18.52</v>
      </c>
      <c r="O1799" s="112">
        <f ca="1">IFERROR(__xludf.DUMMYFUNCTION("""COMPUTED_VALUE"""),42906.7055555555)</f>
        <v>42906.705555555498</v>
      </c>
      <c r="P1799" s="111">
        <f ca="1">IFERROR(__xludf.DUMMYFUNCTION("""COMPUTED_VALUE"""),25.71)</f>
        <v>25.71</v>
      </c>
      <c r="Q1799" s="112">
        <f ca="1">IFERROR(__xludf.DUMMYFUNCTION("""COMPUTED_VALUE"""),42905.7055555555)</f>
        <v>42905.705555555498</v>
      </c>
      <c r="R1799" s="111">
        <f ca="1">IFERROR(__xludf.DUMMYFUNCTION("""COMPUTED_VALUE"""),27.13)</f>
        <v>27.13</v>
      </c>
      <c r="S1799" s="112">
        <f ca="1">IFERROR(__xludf.DUMMYFUNCTION("""COMPUTED_VALUE"""),42915.7055555555)</f>
        <v>42915.705555555498</v>
      </c>
      <c r="T1799" s="111">
        <f ca="1">IFERROR(__xludf.DUMMYFUNCTION("""COMPUTED_VALUE"""),22.12)</f>
        <v>22.12</v>
      </c>
    </row>
    <row r="1800" spans="1:20" x14ac:dyDescent="0.3">
      <c r="A1800" s="112">
        <f ca="1">IFERROR(__xludf.DUMMYFUNCTION("""COMPUTED_VALUE"""),42914.7055555555)</f>
        <v>42914.705555555498</v>
      </c>
      <c r="B1800" s="111">
        <f ca="1">IFERROR(__xludf.DUMMYFUNCTION("""COMPUTED_VALUE"""),12.51)</f>
        <v>12.51</v>
      </c>
      <c r="C1800" s="112">
        <f ca="1">IFERROR(__xludf.DUMMYFUNCTION("""COMPUTED_VALUE"""),42921.7055555555)</f>
        <v>42921.705555555498</v>
      </c>
      <c r="D1800" s="111">
        <f ca="1">IFERROR(__xludf.DUMMYFUNCTION("""COMPUTED_VALUE"""),24.69)</f>
        <v>24.69</v>
      </c>
      <c r="E1800" s="112">
        <f ca="1">IFERROR(__xludf.DUMMYFUNCTION("""COMPUTED_VALUE"""),42922.7055555555)</f>
        <v>42922.705555555498</v>
      </c>
      <c r="F1800" s="111">
        <f ca="1">IFERROR(__xludf.DUMMYFUNCTION("""COMPUTED_VALUE"""),7.77)</f>
        <v>7.77</v>
      </c>
      <c r="G1800" s="112">
        <f ca="1">IFERROR(__xludf.DUMMYFUNCTION("""COMPUTED_VALUE"""),42916.7055555555)</f>
        <v>42916.705555555498</v>
      </c>
      <c r="H1800" s="111">
        <f ca="1">IFERROR(__xludf.DUMMYFUNCTION("""COMPUTED_VALUE"""),12.37)</f>
        <v>12.37</v>
      </c>
      <c r="K1800" s="112">
        <f ca="1">IFERROR(__xludf.DUMMYFUNCTION("""COMPUTED_VALUE"""),43368.7055555555)</f>
        <v>43368.705555555498</v>
      </c>
      <c r="L1800" s="111">
        <f ca="1">IFERROR(__xludf.DUMMYFUNCTION("""COMPUTED_VALUE"""),3.85)</f>
        <v>3.85</v>
      </c>
      <c r="M1800" s="112">
        <f ca="1">IFERROR(__xludf.DUMMYFUNCTION("""COMPUTED_VALUE"""),42829.7055555555)</f>
        <v>42829.705555555498</v>
      </c>
      <c r="N1800" s="111">
        <f ca="1">IFERROR(__xludf.DUMMYFUNCTION("""COMPUTED_VALUE"""),18.65)</f>
        <v>18.649999999999999</v>
      </c>
      <c r="O1800" s="112">
        <f ca="1">IFERROR(__xludf.DUMMYFUNCTION("""COMPUTED_VALUE"""),42907.7055555555)</f>
        <v>42907.705555555498</v>
      </c>
      <c r="P1800" s="111">
        <f ca="1">IFERROR(__xludf.DUMMYFUNCTION("""COMPUTED_VALUE"""),26.47)</f>
        <v>26.47</v>
      </c>
      <c r="Q1800" s="112">
        <f ca="1">IFERROR(__xludf.DUMMYFUNCTION("""COMPUTED_VALUE"""),42906.7055555555)</f>
        <v>42906.705555555498</v>
      </c>
      <c r="R1800" s="111">
        <f ca="1">IFERROR(__xludf.DUMMYFUNCTION("""COMPUTED_VALUE"""),26)</f>
        <v>26</v>
      </c>
      <c r="S1800" s="112">
        <f ca="1">IFERROR(__xludf.DUMMYFUNCTION("""COMPUTED_VALUE"""),42916.7055555555)</f>
        <v>42916.705555555498</v>
      </c>
      <c r="T1800" s="111">
        <f ca="1">IFERROR(__xludf.DUMMYFUNCTION("""COMPUTED_VALUE"""),22.63)</f>
        <v>22.63</v>
      </c>
    </row>
    <row r="1801" spans="1:20" x14ac:dyDescent="0.3">
      <c r="A1801" s="112">
        <f ca="1">IFERROR(__xludf.DUMMYFUNCTION("""COMPUTED_VALUE"""),42915.7055555555)</f>
        <v>42915.705555555498</v>
      </c>
      <c r="B1801" s="111">
        <f ca="1">IFERROR(__xludf.DUMMYFUNCTION("""COMPUTED_VALUE"""),11.98)</f>
        <v>11.98</v>
      </c>
      <c r="C1801" s="112">
        <f ca="1">IFERROR(__xludf.DUMMYFUNCTION("""COMPUTED_VALUE"""),42922.7055555555)</f>
        <v>42922.705555555498</v>
      </c>
      <c r="D1801" s="111">
        <f ca="1">IFERROR(__xludf.DUMMYFUNCTION("""COMPUTED_VALUE"""),24.34)</f>
        <v>24.34</v>
      </c>
      <c r="E1801" s="112">
        <f ca="1">IFERROR(__xludf.DUMMYFUNCTION("""COMPUTED_VALUE"""),42923.7055555555)</f>
        <v>42923.705555555498</v>
      </c>
      <c r="F1801" s="111">
        <f ca="1">IFERROR(__xludf.DUMMYFUNCTION("""COMPUTED_VALUE"""),7.77)</f>
        <v>7.77</v>
      </c>
      <c r="G1801" s="112">
        <f ca="1">IFERROR(__xludf.DUMMYFUNCTION("""COMPUTED_VALUE"""),42919.7055555555)</f>
        <v>42919.705555555498</v>
      </c>
      <c r="H1801" s="111">
        <f ca="1">IFERROR(__xludf.DUMMYFUNCTION("""COMPUTED_VALUE"""),12.36)</f>
        <v>12.36</v>
      </c>
      <c r="K1801" s="112">
        <f ca="1">IFERROR(__xludf.DUMMYFUNCTION("""COMPUTED_VALUE"""),43369.7055555555)</f>
        <v>43369.705555555498</v>
      </c>
      <c r="L1801" s="111">
        <f ca="1">IFERROR(__xludf.DUMMYFUNCTION("""COMPUTED_VALUE"""),3.82)</f>
        <v>3.82</v>
      </c>
      <c r="M1801" s="112">
        <f ca="1">IFERROR(__xludf.DUMMYFUNCTION("""COMPUTED_VALUE"""),42830.7055555555)</f>
        <v>42830.705555555498</v>
      </c>
      <c r="N1801" s="111">
        <f ca="1">IFERROR(__xludf.DUMMYFUNCTION("""COMPUTED_VALUE"""),18.27)</f>
        <v>18.27</v>
      </c>
      <c r="O1801" s="112">
        <f ca="1">IFERROR(__xludf.DUMMYFUNCTION("""COMPUTED_VALUE"""),42908.7055555555)</f>
        <v>42908.705555555498</v>
      </c>
      <c r="P1801" s="111">
        <f ca="1">IFERROR(__xludf.DUMMYFUNCTION("""COMPUTED_VALUE"""),27.02)</f>
        <v>27.02</v>
      </c>
      <c r="Q1801" s="112">
        <f ca="1">IFERROR(__xludf.DUMMYFUNCTION("""COMPUTED_VALUE"""),42907.7055555555)</f>
        <v>42907.705555555498</v>
      </c>
      <c r="R1801" s="111">
        <f ca="1">IFERROR(__xludf.DUMMYFUNCTION("""COMPUTED_VALUE"""),25.86)</f>
        <v>25.86</v>
      </c>
      <c r="S1801" s="112">
        <f ca="1">IFERROR(__xludf.DUMMYFUNCTION("""COMPUTED_VALUE"""),42919.7055555555)</f>
        <v>42919.705555555498</v>
      </c>
      <c r="T1801" s="111">
        <f ca="1">IFERROR(__xludf.DUMMYFUNCTION("""COMPUTED_VALUE"""),22.77)</f>
        <v>22.77</v>
      </c>
    </row>
    <row r="1802" spans="1:20" x14ac:dyDescent="0.3">
      <c r="A1802" s="112">
        <f ca="1">IFERROR(__xludf.DUMMYFUNCTION("""COMPUTED_VALUE"""),42916.7055555555)</f>
        <v>42916.705555555498</v>
      </c>
      <c r="B1802" s="111">
        <f ca="1">IFERROR(__xludf.DUMMYFUNCTION("""COMPUTED_VALUE"""),12.31)</f>
        <v>12.31</v>
      </c>
      <c r="C1802" s="112">
        <f ca="1">IFERROR(__xludf.DUMMYFUNCTION("""COMPUTED_VALUE"""),42923.7055555555)</f>
        <v>42923.705555555498</v>
      </c>
      <c r="D1802" s="111">
        <f ca="1">IFERROR(__xludf.DUMMYFUNCTION("""COMPUTED_VALUE"""),24.11)</f>
        <v>24.11</v>
      </c>
      <c r="E1802" s="112">
        <f ca="1">IFERROR(__xludf.DUMMYFUNCTION("""COMPUTED_VALUE"""),42926.7055555555)</f>
        <v>42926.705555555498</v>
      </c>
      <c r="F1802" s="111">
        <f ca="1">IFERROR(__xludf.DUMMYFUNCTION("""COMPUTED_VALUE"""),7.84)</f>
        <v>7.84</v>
      </c>
      <c r="G1802" s="112">
        <f ca="1">IFERROR(__xludf.DUMMYFUNCTION("""COMPUTED_VALUE"""),42920.7055555555)</f>
        <v>42920.705555555498</v>
      </c>
      <c r="H1802" s="111">
        <f ca="1">IFERROR(__xludf.DUMMYFUNCTION("""COMPUTED_VALUE"""),12.43)</f>
        <v>12.43</v>
      </c>
      <c r="K1802" s="112">
        <f ca="1">IFERROR(__xludf.DUMMYFUNCTION("""COMPUTED_VALUE"""),43370.7055555555)</f>
        <v>43370.705555555498</v>
      </c>
      <c r="L1802" s="111">
        <f ca="1">IFERROR(__xludf.DUMMYFUNCTION("""COMPUTED_VALUE"""),3.88)</f>
        <v>3.88</v>
      </c>
      <c r="M1802" s="112">
        <f ca="1">IFERROR(__xludf.DUMMYFUNCTION("""COMPUTED_VALUE"""),42831.7055555555)</f>
        <v>42831.705555555498</v>
      </c>
      <c r="N1802" s="111">
        <f ca="1">IFERROR(__xludf.DUMMYFUNCTION("""COMPUTED_VALUE"""),18.08)</f>
        <v>18.079999999999998</v>
      </c>
      <c r="O1802" s="112">
        <f ca="1">IFERROR(__xludf.DUMMYFUNCTION("""COMPUTED_VALUE"""),42909.7055555555)</f>
        <v>42909.705555555498</v>
      </c>
      <c r="P1802" s="111">
        <f ca="1">IFERROR(__xludf.DUMMYFUNCTION("""COMPUTED_VALUE"""),27.24)</f>
        <v>27.24</v>
      </c>
      <c r="Q1802" s="112">
        <f ca="1">IFERROR(__xludf.DUMMYFUNCTION("""COMPUTED_VALUE"""),42908.7055555555)</f>
        <v>42908.705555555498</v>
      </c>
      <c r="R1802" s="111">
        <f ca="1">IFERROR(__xludf.DUMMYFUNCTION("""COMPUTED_VALUE"""),26)</f>
        <v>26</v>
      </c>
      <c r="S1802" s="112">
        <f ca="1">IFERROR(__xludf.DUMMYFUNCTION("""COMPUTED_VALUE"""),42920.7055555555)</f>
        <v>42920.705555555498</v>
      </c>
      <c r="T1802" s="111">
        <f ca="1">IFERROR(__xludf.DUMMYFUNCTION("""COMPUTED_VALUE"""),22.63)</f>
        <v>22.63</v>
      </c>
    </row>
    <row r="1803" spans="1:20" x14ac:dyDescent="0.3">
      <c r="A1803" s="112">
        <f ca="1">IFERROR(__xludf.DUMMYFUNCTION("""COMPUTED_VALUE"""),42919.7055555555)</f>
        <v>42919.705555555498</v>
      </c>
      <c r="B1803" s="111">
        <f ca="1">IFERROR(__xludf.DUMMYFUNCTION("""COMPUTED_VALUE"""),12.46)</f>
        <v>12.46</v>
      </c>
      <c r="C1803" s="112">
        <f ca="1">IFERROR(__xludf.DUMMYFUNCTION("""COMPUTED_VALUE"""),42926.7055555555)</f>
        <v>42926.705555555498</v>
      </c>
      <c r="D1803" s="111">
        <f ca="1">IFERROR(__xludf.DUMMYFUNCTION("""COMPUTED_VALUE"""),24.3)</f>
        <v>24.3</v>
      </c>
      <c r="E1803" s="112">
        <f ca="1">IFERROR(__xludf.DUMMYFUNCTION("""COMPUTED_VALUE"""),42927.7055555555)</f>
        <v>42927.705555555498</v>
      </c>
      <c r="F1803" s="111">
        <f ca="1">IFERROR(__xludf.DUMMYFUNCTION("""COMPUTED_VALUE"""),7.95)</f>
        <v>7.95</v>
      </c>
      <c r="G1803" s="112">
        <f ca="1">IFERROR(__xludf.DUMMYFUNCTION("""COMPUTED_VALUE"""),42921.7055555555)</f>
        <v>42921.705555555498</v>
      </c>
      <c r="H1803" s="111">
        <f ca="1">IFERROR(__xludf.DUMMYFUNCTION("""COMPUTED_VALUE"""),12.21)</f>
        <v>12.21</v>
      </c>
      <c r="K1803" s="112">
        <f ca="1">IFERROR(__xludf.DUMMYFUNCTION("""COMPUTED_VALUE"""),43371.7055555555)</f>
        <v>43371.705555555498</v>
      </c>
      <c r="L1803" s="111">
        <f ca="1">IFERROR(__xludf.DUMMYFUNCTION("""COMPUTED_VALUE"""),3.83)</f>
        <v>3.83</v>
      </c>
      <c r="M1803" s="112">
        <f ca="1">IFERROR(__xludf.DUMMYFUNCTION("""COMPUTED_VALUE"""),42832.7055555555)</f>
        <v>42832.705555555498</v>
      </c>
      <c r="N1803" s="111">
        <f ca="1">IFERROR(__xludf.DUMMYFUNCTION("""COMPUTED_VALUE"""),18.12)</f>
        <v>18.12</v>
      </c>
      <c r="O1803" s="112">
        <f ca="1">IFERROR(__xludf.DUMMYFUNCTION("""COMPUTED_VALUE"""),42912.7055555555)</f>
        <v>42912.705555555498</v>
      </c>
      <c r="P1803" s="111">
        <f ca="1">IFERROR(__xludf.DUMMYFUNCTION("""COMPUTED_VALUE"""),27.47)</f>
        <v>27.47</v>
      </c>
      <c r="Q1803" s="112">
        <f ca="1">IFERROR(__xludf.DUMMYFUNCTION("""COMPUTED_VALUE"""),42909.7055555555)</f>
        <v>42909.705555555498</v>
      </c>
      <c r="R1803" s="111">
        <f ca="1">IFERROR(__xludf.DUMMYFUNCTION("""COMPUTED_VALUE"""),25.48)</f>
        <v>25.48</v>
      </c>
      <c r="S1803" s="112">
        <f ca="1">IFERROR(__xludf.DUMMYFUNCTION("""COMPUTED_VALUE"""),42921.7055555555)</f>
        <v>42921.705555555498</v>
      </c>
      <c r="T1803" s="111">
        <f ca="1">IFERROR(__xludf.DUMMYFUNCTION("""COMPUTED_VALUE"""),22.96)</f>
        <v>22.96</v>
      </c>
    </row>
    <row r="1804" spans="1:20" x14ac:dyDescent="0.3">
      <c r="A1804" s="112">
        <f ca="1">IFERROR(__xludf.DUMMYFUNCTION("""COMPUTED_VALUE"""),42920.7055555555)</f>
        <v>42920.705555555498</v>
      </c>
      <c r="B1804" s="111">
        <f ca="1">IFERROR(__xludf.DUMMYFUNCTION("""COMPUTED_VALUE"""),12.51)</f>
        <v>12.51</v>
      </c>
      <c r="C1804" s="112">
        <f ca="1">IFERROR(__xludf.DUMMYFUNCTION("""COMPUTED_VALUE"""),42927.7055555555)</f>
        <v>42927.705555555498</v>
      </c>
      <c r="D1804" s="111">
        <f ca="1">IFERROR(__xludf.DUMMYFUNCTION("""COMPUTED_VALUE"""),24.67)</f>
        <v>24.67</v>
      </c>
      <c r="E1804" s="112">
        <f ca="1">IFERROR(__xludf.DUMMYFUNCTION("""COMPUTED_VALUE"""),42928.7055555555)</f>
        <v>42928.705555555498</v>
      </c>
      <c r="F1804" s="111">
        <f ca="1">IFERROR(__xludf.DUMMYFUNCTION("""COMPUTED_VALUE"""),7.97)</f>
        <v>7.97</v>
      </c>
      <c r="G1804" s="112">
        <f ca="1">IFERROR(__xludf.DUMMYFUNCTION("""COMPUTED_VALUE"""),42922.7055555555)</f>
        <v>42922.705555555498</v>
      </c>
      <c r="H1804" s="111">
        <f ca="1">IFERROR(__xludf.DUMMYFUNCTION("""COMPUTED_VALUE"""),12.17)</f>
        <v>12.17</v>
      </c>
      <c r="K1804" s="112">
        <f ca="1">IFERROR(__xludf.DUMMYFUNCTION("""COMPUTED_VALUE"""),43374.7055555555)</f>
        <v>43374.705555555498</v>
      </c>
      <c r="L1804" s="111">
        <f ca="1">IFERROR(__xludf.DUMMYFUNCTION("""COMPUTED_VALUE"""),3.83)</f>
        <v>3.83</v>
      </c>
      <c r="M1804" s="112">
        <f ca="1">IFERROR(__xludf.DUMMYFUNCTION("""COMPUTED_VALUE"""),42835.7055555555)</f>
        <v>42835.705555555498</v>
      </c>
      <c r="N1804" s="111">
        <f ca="1">IFERROR(__xludf.DUMMYFUNCTION("""COMPUTED_VALUE"""),18.23)</f>
        <v>18.23</v>
      </c>
      <c r="O1804" s="112">
        <f ca="1">IFERROR(__xludf.DUMMYFUNCTION("""COMPUTED_VALUE"""),42913.7055555555)</f>
        <v>42913.705555555498</v>
      </c>
      <c r="P1804" s="111">
        <f ca="1">IFERROR(__xludf.DUMMYFUNCTION("""COMPUTED_VALUE"""),27.92)</f>
        <v>27.92</v>
      </c>
      <c r="Q1804" s="112">
        <f ca="1">IFERROR(__xludf.DUMMYFUNCTION("""COMPUTED_VALUE"""),42912.7055555555)</f>
        <v>42912.705555555498</v>
      </c>
      <c r="R1804" s="111">
        <f ca="1">IFERROR(__xludf.DUMMYFUNCTION("""COMPUTED_VALUE"""),26.97)</f>
        <v>26.97</v>
      </c>
      <c r="S1804" s="112">
        <f ca="1">IFERROR(__xludf.DUMMYFUNCTION("""COMPUTED_VALUE"""),42922.7055555555)</f>
        <v>42922.705555555498</v>
      </c>
      <c r="T1804" s="111">
        <f ca="1">IFERROR(__xludf.DUMMYFUNCTION("""COMPUTED_VALUE"""),22.65)</f>
        <v>22.65</v>
      </c>
    </row>
    <row r="1805" spans="1:20" x14ac:dyDescent="0.3">
      <c r="A1805" s="112">
        <f ca="1">IFERROR(__xludf.DUMMYFUNCTION("""COMPUTED_VALUE"""),42921.7055555555)</f>
        <v>42921.705555555498</v>
      </c>
      <c r="B1805" s="111">
        <f ca="1">IFERROR(__xludf.DUMMYFUNCTION("""COMPUTED_VALUE"""),13.48)</f>
        <v>13.48</v>
      </c>
      <c r="C1805" s="112">
        <f ca="1">IFERROR(__xludf.DUMMYFUNCTION("""COMPUTED_VALUE"""),42928.7055555555)</f>
        <v>42928.705555555498</v>
      </c>
      <c r="D1805" s="111">
        <f ca="1">IFERROR(__xludf.DUMMYFUNCTION("""COMPUTED_VALUE"""),24.93)</f>
        <v>24.93</v>
      </c>
      <c r="E1805" s="112">
        <f ca="1">IFERROR(__xludf.DUMMYFUNCTION("""COMPUTED_VALUE"""),42929.7055555555)</f>
        <v>42929.705555555498</v>
      </c>
      <c r="F1805" s="111">
        <f ca="1">IFERROR(__xludf.DUMMYFUNCTION("""COMPUTED_VALUE"""),7.99)</f>
        <v>7.99</v>
      </c>
      <c r="G1805" s="112">
        <f ca="1">IFERROR(__xludf.DUMMYFUNCTION("""COMPUTED_VALUE"""),42923.7055555555)</f>
        <v>42923.705555555498</v>
      </c>
      <c r="H1805" s="111">
        <f ca="1">IFERROR(__xludf.DUMMYFUNCTION("""COMPUTED_VALUE"""),11.93)</f>
        <v>11.93</v>
      </c>
      <c r="K1805" s="112">
        <f ca="1">IFERROR(__xludf.DUMMYFUNCTION("""COMPUTED_VALUE"""),43375.7055555555)</f>
        <v>43375.705555555498</v>
      </c>
      <c r="L1805" s="111">
        <f ca="1">IFERROR(__xludf.DUMMYFUNCTION("""COMPUTED_VALUE"""),4.08)</f>
        <v>4.08</v>
      </c>
      <c r="M1805" s="112">
        <f ca="1">IFERROR(__xludf.DUMMYFUNCTION("""COMPUTED_VALUE"""),42836.7055555555)</f>
        <v>42836.705555555498</v>
      </c>
      <c r="N1805" s="111">
        <f ca="1">IFERROR(__xludf.DUMMYFUNCTION("""COMPUTED_VALUE"""),18.28)</f>
        <v>18.28</v>
      </c>
      <c r="O1805" s="112">
        <f ca="1">IFERROR(__xludf.DUMMYFUNCTION("""COMPUTED_VALUE"""),42914.7055555555)</f>
        <v>42914.705555555498</v>
      </c>
      <c r="P1805" s="111">
        <f ca="1">IFERROR(__xludf.DUMMYFUNCTION("""COMPUTED_VALUE"""),28.79)</f>
        <v>28.79</v>
      </c>
      <c r="Q1805" s="112">
        <f ca="1">IFERROR(__xludf.DUMMYFUNCTION("""COMPUTED_VALUE"""),42913.7055555555)</f>
        <v>42913.705555555498</v>
      </c>
      <c r="R1805" s="111">
        <f ca="1">IFERROR(__xludf.DUMMYFUNCTION("""COMPUTED_VALUE"""),26.1)</f>
        <v>26.1</v>
      </c>
      <c r="S1805" s="112">
        <f ca="1">IFERROR(__xludf.DUMMYFUNCTION("""COMPUTED_VALUE"""),42923.7055555555)</f>
        <v>42923.705555555498</v>
      </c>
      <c r="T1805" s="111">
        <f ca="1">IFERROR(__xludf.DUMMYFUNCTION("""COMPUTED_VALUE"""),22.71)</f>
        <v>22.71</v>
      </c>
    </row>
    <row r="1806" spans="1:20" x14ac:dyDescent="0.3">
      <c r="A1806" s="112">
        <f ca="1">IFERROR(__xludf.DUMMYFUNCTION("""COMPUTED_VALUE"""),42922.7055555555)</f>
        <v>42922.705555555498</v>
      </c>
      <c r="B1806" s="111">
        <f ca="1">IFERROR(__xludf.DUMMYFUNCTION("""COMPUTED_VALUE"""),15.65)</f>
        <v>15.65</v>
      </c>
      <c r="C1806" s="112">
        <f ca="1">IFERROR(__xludf.DUMMYFUNCTION("""COMPUTED_VALUE"""),42929.7055555555)</f>
        <v>42929.705555555498</v>
      </c>
      <c r="D1806" s="111">
        <f ca="1">IFERROR(__xludf.DUMMYFUNCTION("""COMPUTED_VALUE"""),25)</f>
        <v>25</v>
      </c>
      <c r="E1806" s="112">
        <f ca="1">IFERROR(__xludf.DUMMYFUNCTION("""COMPUTED_VALUE"""),42930.7055555555)</f>
        <v>42930.705555555498</v>
      </c>
      <c r="F1806" s="111">
        <f ca="1">IFERROR(__xludf.DUMMYFUNCTION("""COMPUTED_VALUE"""),7.97)</f>
        <v>7.97</v>
      </c>
      <c r="G1806" s="112">
        <f ca="1">IFERROR(__xludf.DUMMYFUNCTION("""COMPUTED_VALUE"""),42926.7055555555)</f>
        <v>42926.705555555498</v>
      </c>
      <c r="H1806" s="111">
        <f ca="1">IFERROR(__xludf.DUMMYFUNCTION("""COMPUTED_VALUE"""),11.98)</f>
        <v>11.98</v>
      </c>
      <c r="K1806" s="112">
        <f ca="1">IFERROR(__xludf.DUMMYFUNCTION("""COMPUTED_VALUE"""),43376.7055555555)</f>
        <v>43376.705555555498</v>
      </c>
      <c r="L1806" s="111">
        <f ca="1">IFERROR(__xludf.DUMMYFUNCTION("""COMPUTED_VALUE"""),4.36)</f>
        <v>4.3600000000000003</v>
      </c>
      <c r="M1806" s="112">
        <f ca="1">IFERROR(__xludf.DUMMYFUNCTION("""COMPUTED_VALUE"""),42837.7055555555)</f>
        <v>42837.705555555498</v>
      </c>
      <c r="N1806" s="111">
        <f ca="1">IFERROR(__xludf.DUMMYFUNCTION("""COMPUTED_VALUE"""),18.09)</f>
        <v>18.09</v>
      </c>
      <c r="O1806" s="112">
        <f ca="1">IFERROR(__xludf.DUMMYFUNCTION("""COMPUTED_VALUE"""),42915.7055555555)</f>
        <v>42915.705555555498</v>
      </c>
      <c r="P1806" s="111">
        <f ca="1">IFERROR(__xludf.DUMMYFUNCTION("""COMPUTED_VALUE"""),28.9)</f>
        <v>28.9</v>
      </c>
      <c r="Q1806" s="112">
        <f ca="1">IFERROR(__xludf.DUMMYFUNCTION("""COMPUTED_VALUE"""),42914.7055555555)</f>
        <v>42914.705555555498</v>
      </c>
      <c r="R1806" s="111">
        <f ca="1">IFERROR(__xludf.DUMMYFUNCTION("""COMPUTED_VALUE"""),26.39)</f>
        <v>26.39</v>
      </c>
      <c r="S1806" s="112">
        <f ca="1">IFERROR(__xludf.DUMMYFUNCTION("""COMPUTED_VALUE"""),42926.7055555555)</f>
        <v>42926.705555555498</v>
      </c>
      <c r="T1806" s="111">
        <f ca="1">IFERROR(__xludf.DUMMYFUNCTION("""COMPUTED_VALUE"""),23.06)</f>
        <v>23.06</v>
      </c>
    </row>
    <row r="1807" spans="1:20" x14ac:dyDescent="0.3">
      <c r="A1807" s="112">
        <f ca="1">IFERROR(__xludf.DUMMYFUNCTION("""COMPUTED_VALUE"""),42923.7055555555)</f>
        <v>42923.705555555498</v>
      </c>
      <c r="B1807" s="111">
        <f ca="1">IFERROR(__xludf.DUMMYFUNCTION("""COMPUTED_VALUE"""),15.72)</f>
        <v>15.72</v>
      </c>
      <c r="C1807" s="112">
        <f ca="1">IFERROR(__xludf.DUMMYFUNCTION("""COMPUTED_VALUE"""),42930.7055555555)</f>
        <v>42930.705555555498</v>
      </c>
      <c r="D1807" s="111">
        <f ca="1">IFERROR(__xludf.DUMMYFUNCTION("""COMPUTED_VALUE"""),25.05)</f>
        <v>25.05</v>
      </c>
      <c r="E1807" s="112">
        <f ca="1">IFERROR(__xludf.DUMMYFUNCTION("""COMPUTED_VALUE"""),42933.7055555555)</f>
        <v>42933.705555555498</v>
      </c>
      <c r="F1807" s="111">
        <f ca="1">IFERROR(__xludf.DUMMYFUNCTION("""COMPUTED_VALUE"""),7.95)</f>
        <v>7.95</v>
      </c>
      <c r="G1807" s="112">
        <f ca="1">IFERROR(__xludf.DUMMYFUNCTION("""COMPUTED_VALUE"""),42927.7055555555)</f>
        <v>42927.705555555498</v>
      </c>
      <c r="H1807" s="111">
        <f ca="1">IFERROR(__xludf.DUMMYFUNCTION("""COMPUTED_VALUE"""),12.33)</f>
        <v>12.33</v>
      </c>
      <c r="K1807" s="112">
        <f ca="1">IFERROR(__xludf.DUMMYFUNCTION("""COMPUTED_VALUE"""),43377.7055555555)</f>
        <v>43377.705555555498</v>
      </c>
      <c r="L1807" s="111">
        <f ca="1">IFERROR(__xludf.DUMMYFUNCTION("""COMPUTED_VALUE"""),4.36)</f>
        <v>4.3600000000000003</v>
      </c>
      <c r="M1807" s="112">
        <f ca="1">IFERROR(__xludf.DUMMYFUNCTION("""COMPUTED_VALUE"""),42838.7055555555)</f>
        <v>42838.705555555498</v>
      </c>
      <c r="N1807" s="111">
        <f ca="1">IFERROR(__xludf.DUMMYFUNCTION("""COMPUTED_VALUE"""),17.54)</f>
        <v>17.54</v>
      </c>
      <c r="O1807" s="112">
        <f ca="1">IFERROR(__xludf.DUMMYFUNCTION("""COMPUTED_VALUE"""),42916.7055555555)</f>
        <v>42916.705555555498</v>
      </c>
      <c r="P1807" s="111">
        <f ca="1">IFERROR(__xludf.DUMMYFUNCTION("""COMPUTED_VALUE"""),29)</f>
        <v>29</v>
      </c>
      <c r="Q1807" s="112">
        <f ca="1">IFERROR(__xludf.DUMMYFUNCTION("""COMPUTED_VALUE"""),42915.7055555555)</f>
        <v>42915.705555555498</v>
      </c>
      <c r="R1807" s="111">
        <f ca="1">IFERROR(__xludf.DUMMYFUNCTION("""COMPUTED_VALUE"""),26.56)</f>
        <v>26.56</v>
      </c>
      <c r="S1807" s="112">
        <f ca="1">IFERROR(__xludf.DUMMYFUNCTION("""COMPUTED_VALUE"""),42927.7055555555)</f>
        <v>42927.705555555498</v>
      </c>
      <c r="T1807" s="111">
        <f ca="1">IFERROR(__xludf.DUMMYFUNCTION("""COMPUTED_VALUE"""),23.26)</f>
        <v>23.26</v>
      </c>
    </row>
    <row r="1808" spans="1:20" x14ac:dyDescent="0.3">
      <c r="A1808" s="112">
        <f ca="1">IFERROR(__xludf.DUMMYFUNCTION("""COMPUTED_VALUE"""),42926.7055555555)</f>
        <v>42926.705555555498</v>
      </c>
      <c r="B1808" s="111">
        <f ca="1">IFERROR(__xludf.DUMMYFUNCTION("""COMPUTED_VALUE"""),15.08)</f>
        <v>15.08</v>
      </c>
      <c r="C1808" s="112">
        <f ca="1">IFERROR(__xludf.DUMMYFUNCTION("""COMPUTED_VALUE"""),42933.7055555555)</f>
        <v>42933.705555555498</v>
      </c>
      <c r="D1808" s="111">
        <f ca="1">IFERROR(__xludf.DUMMYFUNCTION("""COMPUTED_VALUE"""),24.81)</f>
        <v>24.81</v>
      </c>
      <c r="E1808" s="112">
        <f ca="1">IFERROR(__xludf.DUMMYFUNCTION("""COMPUTED_VALUE"""),42934.7055555555)</f>
        <v>42934.705555555498</v>
      </c>
      <c r="F1808" s="111">
        <f ca="1">IFERROR(__xludf.DUMMYFUNCTION("""COMPUTED_VALUE"""),8.02)</f>
        <v>8.02</v>
      </c>
      <c r="G1808" s="112">
        <f ca="1">IFERROR(__xludf.DUMMYFUNCTION("""COMPUTED_VALUE"""),42928.7055555555)</f>
        <v>42928.705555555498</v>
      </c>
      <c r="H1808" s="111">
        <f ca="1">IFERROR(__xludf.DUMMYFUNCTION("""COMPUTED_VALUE"""),12.94)</f>
        <v>12.94</v>
      </c>
      <c r="K1808" s="112">
        <f ca="1">IFERROR(__xludf.DUMMYFUNCTION("""COMPUTED_VALUE"""),43378.7055555555)</f>
        <v>43378.705555555498</v>
      </c>
      <c r="L1808" s="111">
        <f ca="1">IFERROR(__xludf.DUMMYFUNCTION("""COMPUTED_VALUE"""),4.44)</f>
        <v>4.4400000000000004</v>
      </c>
      <c r="M1808" s="112">
        <f ca="1">IFERROR(__xludf.DUMMYFUNCTION("""COMPUTED_VALUE"""),42842.7055555555)</f>
        <v>42842.705555555498</v>
      </c>
      <c r="N1808" s="111">
        <f ca="1">IFERROR(__xludf.DUMMYFUNCTION("""COMPUTED_VALUE"""),18.33)</f>
        <v>18.329999999999998</v>
      </c>
      <c r="O1808" s="112">
        <f ca="1">IFERROR(__xludf.DUMMYFUNCTION("""COMPUTED_VALUE"""),42919.7055555555)</f>
        <v>42919.705555555498</v>
      </c>
      <c r="P1808" s="111">
        <f ca="1">IFERROR(__xludf.DUMMYFUNCTION("""COMPUTED_VALUE"""),29.65)</f>
        <v>29.65</v>
      </c>
      <c r="Q1808" s="112">
        <f ca="1">IFERROR(__xludf.DUMMYFUNCTION("""COMPUTED_VALUE"""),42916.7055555555)</f>
        <v>42916.705555555498</v>
      </c>
      <c r="R1808" s="111">
        <f ca="1">IFERROR(__xludf.DUMMYFUNCTION("""COMPUTED_VALUE"""),26.8)</f>
        <v>26.8</v>
      </c>
      <c r="S1808" s="112">
        <f ca="1">IFERROR(__xludf.DUMMYFUNCTION("""COMPUTED_VALUE"""),42928.7055555555)</f>
        <v>42928.705555555498</v>
      </c>
      <c r="T1808" s="111">
        <f ca="1">IFERROR(__xludf.DUMMYFUNCTION("""COMPUTED_VALUE"""),23.93)</f>
        <v>23.93</v>
      </c>
    </row>
    <row r="1809" spans="1:20" x14ac:dyDescent="0.3">
      <c r="A1809" s="112">
        <f ca="1">IFERROR(__xludf.DUMMYFUNCTION("""COMPUTED_VALUE"""),42927.7055555555)</f>
        <v>42927.705555555498</v>
      </c>
      <c r="B1809" s="111">
        <f ca="1">IFERROR(__xludf.DUMMYFUNCTION("""COMPUTED_VALUE"""),14.56)</f>
        <v>14.56</v>
      </c>
      <c r="C1809" s="112">
        <f ca="1">IFERROR(__xludf.DUMMYFUNCTION("""COMPUTED_VALUE"""),42934.7055555555)</f>
        <v>42934.705555555498</v>
      </c>
      <c r="D1809" s="111">
        <f ca="1">IFERROR(__xludf.DUMMYFUNCTION("""COMPUTED_VALUE"""),24.84)</f>
        <v>24.84</v>
      </c>
      <c r="E1809" s="112">
        <f ca="1">IFERROR(__xludf.DUMMYFUNCTION("""COMPUTED_VALUE"""),42935.7055555555)</f>
        <v>42935.705555555498</v>
      </c>
      <c r="F1809" s="111">
        <f ca="1">IFERROR(__xludf.DUMMYFUNCTION("""COMPUTED_VALUE"""),7.95)</f>
        <v>7.95</v>
      </c>
      <c r="G1809" s="112">
        <f ca="1">IFERROR(__xludf.DUMMYFUNCTION("""COMPUTED_VALUE"""),42929.7055555555)</f>
        <v>42929.705555555498</v>
      </c>
      <c r="H1809" s="111">
        <f ca="1">IFERROR(__xludf.DUMMYFUNCTION("""COMPUTED_VALUE"""),12.87)</f>
        <v>12.87</v>
      </c>
      <c r="K1809" s="112">
        <f ca="1">IFERROR(__xludf.DUMMYFUNCTION("""COMPUTED_VALUE"""),43381.7055555555)</f>
        <v>43381.705555555498</v>
      </c>
      <c r="L1809" s="111">
        <f ca="1">IFERROR(__xludf.DUMMYFUNCTION("""COMPUTED_VALUE"""),4.64)</f>
        <v>4.6399999999999997</v>
      </c>
      <c r="M1809" s="112">
        <f ca="1">IFERROR(__xludf.DUMMYFUNCTION("""COMPUTED_VALUE"""),42843.7055555555)</f>
        <v>42843.705555555498</v>
      </c>
      <c r="N1809" s="111">
        <f ca="1">IFERROR(__xludf.DUMMYFUNCTION("""COMPUTED_VALUE"""),18.22)</f>
        <v>18.22</v>
      </c>
      <c r="O1809" s="112">
        <f ca="1">IFERROR(__xludf.DUMMYFUNCTION("""COMPUTED_VALUE"""),42920.7055555555)</f>
        <v>42920.705555555498</v>
      </c>
      <c r="P1809" s="111">
        <f ca="1">IFERROR(__xludf.DUMMYFUNCTION("""COMPUTED_VALUE"""),29.62)</f>
        <v>29.62</v>
      </c>
      <c r="Q1809" s="112">
        <f ca="1">IFERROR(__xludf.DUMMYFUNCTION("""COMPUTED_VALUE"""),42919.7055555555)</f>
        <v>42919.705555555498</v>
      </c>
      <c r="R1809" s="111">
        <f ca="1">IFERROR(__xludf.DUMMYFUNCTION("""COMPUTED_VALUE"""),27.17)</f>
        <v>27.17</v>
      </c>
      <c r="S1809" s="112">
        <f ca="1">IFERROR(__xludf.DUMMYFUNCTION("""COMPUTED_VALUE"""),42929.7055555555)</f>
        <v>42929.705555555498</v>
      </c>
      <c r="T1809" s="111">
        <f ca="1">IFERROR(__xludf.DUMMYFUNCTION("""COMPUTED_VALUE"""),24.41)</f>
        <v>24.41</v>
      </c>
    </row>
    <row r="1810" spans="1:20" x14ac:dyDescent="0.3">
      <c r="A1810" s="112">
        <f ca="1">IFERROR(__xludf.DUMMYFUNCTION("""COMPUTED_VALUE"""),42928.7055555555)</f>
        <v>42928.705555555498</v>
      </c>
      <c r="B1810" s="111">
        <f ca="1">IFERROR(__xludf.DUMMYFUNCTION("""COMPUTED_VALUE"""),15.02)</f>
        <v>15.02</v>
      </c>
      <c r="C1810" s="112">
        <f ca="1">IFERROR(__xludf.DUMMYFUNCTION("""COMPUTED_VALUE"""),42935.7055555555)</f>
        <v>42935.705555555498</v>
      </c>
      <c r="D1810" s="111">
        <f ca="1">IFERROR(__xludf.DUMMYFUNCTION("""COMPUTED_VALUE"""),24.48)</f>
        <v>24.48</v>
      </c>
      <c r="E1810" s="112">
        <f ca="1">IFERROR(__xludf.DUMMYFUNCTION("""COMPUTED_VALUE"""),42936.7055555555)</f>
        <v>42936.705555555498</v>
      </c>
      <c r="F1810" s="111">
        <f ca="1">IFERROR(__xludf.DUMMYFUNCTION("""COMPUTED_VALUE"""),7.98)</f>
        <v>7.98</v>
      </c>
      <c r="G1810" s="112">
        <f ca="1">IFERROR(__xludf.DUMMYFUNCTION("""COMPUTED_VALUE"""),42930.7055555555)</f>
        <v>42930.705555555498</v>
      </c>
      <c r="H1810" s="111">
        <f ca="1">IFERROR(__xludf.DUMMYFUNCTION("""COMPUTED_VALUE"""),13.05)</f>
        <v>13.05</v>
      </c>
      <c r="K1810" s="112">
        <f ca="1">IFERROR(__xludf.DUMMYFUNCTION("""COMPUTED_VALUE"""),43382.7055555555)</f>
        <v>43382.705555555498</v>
      </c>
      <c r="L1810" s="111">
        <f ca="1">IFERROR(__xludf.DUMMYFUNCTION("""COMPUTED_VALUE"""),4.7)</f>
        <v>4.7</v>
      </c>
      <c r="M1810" s="112">
        <f ca="1">IFERROR(__xludf.DUMMYFUNCTION("""COMPUTED_VALUE"""),42844.7055555555)</f>
        <v>42844.705555555498</v>
      </c>
      <c r="N1810" s="111">
        <f ca="1">IFERROR(__xludf.DUMMYFUNCTION("""COMPUTED_VALUE"""),18.04)</f>
        <v>18.04</v>
      </c>
      <c r="O1810" s="112">
        <f ca="1">IFERROR(__xludf.DUMMYFUNCTION("""COMPUTED_VALUE"""),42921.7055555555)</f>
        <v>42921.705555555498</v>
      </c>
      <c r="P1810" s="111">
        <f ca="1">IFERROR(__xludf.DUMMYFUNCTION("""COMPUTED_VALUE"""),28.93)</f>
        <v>28.93</v>
      </c>
      <c r="Q1810" s="112">
        <f ca="1">IFERROR(__xludf.DUMMYFUNCTION("""COMPUTED_VALUE"""),42920.7055555555)</f>
        <v>42920.705555555498</v>
      </c>
      <c r="R1810" s="111">
        <f ca="1">IFERROR(__xludf.DUMMYFUNCTION("""COMPUTED_VALUE"""),27.31)</f>
        <v>27.31</v>
      </c>
      <c r="S1810" s="112">
        <f ca="1">IFERROR(__xludf.DUMMYFUNCTION("""COMPUTED_VALUE"""),42930.7055555555)</f>
        <v>42930.705555555498</v>
      </c>
      <c r="T1810" s="111">
        <f ca="1">IFERROR(__xludf.DUMMYFUNCTION("""COMPUTED_VALUE"""),23.93)</f>
        <v>23.93</v>
      </c>
    </row>
    <row r="1811" spans="1:20" x14ac:dyDescent="0.3">
      <c r="A1811" s="112">
        <f ca="1">IFERROR(__xludf.DUMMYFUNCTION("""COMPUTED_VALUE"""),42929.7055555555)</f>
        <v>42929.705555555498</v>
      </c>
      <c r="B1811" s="111">
        <f ca="1">IFERROR(__xludf.DUMMYFUNCTION("""COMPUTED_VALUE"""),15.13)</f>
        <v>15.13</v>
      </c>
      <c r="C1811" s="112">
        <f ca="1">IFERROR(__xludf.DUMMYFUNCTION("""COMPUTED_VALUE"""),42936.7055555555)</f>
        <v>42936.705555555498</v>
      </c>
      <c r="D1811" s="111">
        <f ca="1">IFERROR(__xludf.DUMMYFUNCTION("""COMPUTED_VALUE"""),24.51)</f>
        <v>24.51</v>
      </c>
      <c r="E1811" s="112">
        <f ca="1">IFERROR(__xludf.DUMMYFUNCTION("""COMPUTED_VALUE"""),42937.7055555555)</f>
        <v>42937.705555555498</v>
      </c>
      <c r="F1811" s="111">
        <f ca="1">IFERROR(__xludf.DUMMYFUNCTION("""COMPUTED_VALUE"""),7.97)</f>
        <v>7.97</v>
      </c>
      <c r="G1811" s="112">
        <f ca="1">IFERROR(__xludf.DUMMYFUNCTION("""COMPUTED_VALUE"""),42933.7055555555)</f>
        <v>42933.705555555498</v>
      </c>
      <c r="H1811" s="111">
        <f ca="1">IFERROR(__xludf.DUMMYFUNCTION("""COMPUTED_VALUE"""),12.89)</f>
        <v>12.89</v>
      </c>
      <c r="K1811" s="112">
        <f ca="1">IFERROR(__xludf.DUMMYFUNCTION("""COMPUTED_VALUE"""),43383.7055555555)</f>
        <v>43383.705555555498</v>
      </c>
      <c r="L1811" s="111">
        <f ca="1">IFERROR(__xludf.DUMMYFUNCTION("""COMPUTED_VALUE"""),4.49)</f>
        <v>4.49</v>
      </c>
      <c r="M1811" s="112">
        <f ca="1">IFERROR(__xludf.DUMMYFUNCTION("""COMPUTED_VALUE"""),42845.7055555555)</f>
        <v>42845.705555555498</v>
      </c>
      <c r="N1811" s="111">
        <f ca="1">IFERROR(__xludf.DUMMYFUNCTION("""COMPUTED_VALUE"""),17.72)</f>
        <v>17.72</v>
      </c>
      <c r="O1811" s="112">
        <f ca="1">IFERROR(__xludf.DUMMYFUNCTION("""COMPUTED_VALUE"""),42922.7055555555)</f>
        <v>42922.705555555498</v>
      </c>
      <c r="P1811" s="111">
        <f ca="1">IFERROR(__xludf.DUMMYFUNCTION("""COMPUTED_VALUE"""),28.92)</f>
        <v>28.92</v>
      </c>
      <c r="Q1811" s="112">
        <f ca="1">IFERROR(__xludf.DUMMYFUNCTION("""COMPUTED_VALUE"""),42921.7055555555)</f>
        <v>42921.705555555498</v>
      </c>
      <c r="R1811" s="111">
        <f ca="1">IFERROR(__xludf.DUMMYFUNCTION("""COMPUTED_VALUE"""),27.17)</f>
        <v>27.17</v>
      </c>
      <c r="S1811" s="112">
        <f ca="1">IFERROR(__xludf.DUMMYFUNCTION("""COMPUTED_VALUE"""),42933.7055555555)</f>
        <v>42933.705555555498</v>
      </c>
      <c r="T1811" s="111">
        <f ca="1">IFERROR(__xludf.DUMMYFUNCTION("""COMPUTED_VALUE"""),23.64)</f>
        <v>23.64</v>
      </c>
    </row>
    <row r="1812" spans="1:20" x14ac:dyDescent="0.3">
      <c r="A1812" s="112">
        <f ca="1">IFERROR(__xludf.DUMMYFUNCTION("""COMPUTED_VALUE"""),42930.7055555555)</f>
        <v>42930.705555555498</v>
      </c>
      <c r="B1812" s="111">
        <f ca="1">IFERROR(__xludf.DUMMYFUNCTION("""COMPUTED_VALUE"""),14.43)</f>
        <v>14.43</v>
      </c>
      <c r="C1812" s="112">
        <f ca="1">IFERROR(__xludf.DUMMYFUNCTION("""COMPUTED_VALUE"""),42937.7055555555)</f>
        <v>42937.705555555498</v>
      </c>
      <c r="D1812" s="111">
        <f ca="1">IFERROR(__xludf.DUMMYFUNCTION("""COMPUTED_VALUE"""),24.51)</f>
        <v>24.51</v>
      </c>
      <c r="E1812" s="112">
        <f ca="1">IFERROR(__xludf.DUMMYFUNCTION("""COMPUTED_VALUE"""),42940.7055555555)</f>
        <v>42940.705555555498</v>
      </c>
      <c r="F1812" s="111">
        <f ca="1">IFERROR(__xludf.DUMMYFUNCTION("""COMPUTED_VALUE"""),7.97)</f>
        <v>7.97</v>
      </c>
      <c r="G1812" s="112">
        <f ca="1">IFERROR(__xludf.DUMMYFUNCTION("""COMPUTED_VALUE"""),42934.7055555555)</f>
        <v>42934.705555555498</v>
      </c>
      <c r="H1812" s="111">
        <f ca="1">IFERROR(__xludf.DUMMYFUNCTION("""COMPUTED_VALUE"""),12.94)</f>
        <v>12.94</v>
      </c>
      <c r="K1812" s="112">
        <f ca="1">IFERROR(__xludf.DUMMYFUNCTION("""COMPUTED_VALUE"""),43384.7055555555)</f>
        <v>43384.705555555498</v>
      </c>
      <c r="L1812" s="111">
        <f ca="1">IFERROR(__xludf.DUMMYFUNCTION("""COMPUTED_VALUE"""),4.71)</f>
        <v>4.71</v>
      </c>
      <c r="M1812" s="112">
        <f ca="1">IFERROR(__xludf.DUMMYFUNCTION("""COMPUTED_VALUE"""),42849.7055555555)</f>
        <v>42849.705555555498</v>
      </c>
      <c r="N1812" s="111">
        <f ca="1">IFERROR(__xludf.DUMMYFUNCTION("""COMPUTED_VALUE"""),18.05)</f>
        <v>18.05</v>
      </c>
      <c r="O1812" s="112">
        <f ca="1">IFERROR(__xludf.DUMMYFUNCTION("""COMPUTED_VALUE"""),42923.7055555555)</f>
        <v>42923.705555555498</v>
      </c>
      <c r="P1812" s="111">
        <f ca="1">IFERROR(__xludf.DUMMYFUNCTION("""COMPUTED_VALUE"""),28.89)</f>
        <v>28.89</v>
      </c>
      <c r="Q1812" s="112">
        <f ca="1">IFERROR(__xludf.DUMMYFUNCTION("""COMPUTED_VALUE"""),42922.7055555555)</f>
        <v>42922.705555555498</v>
      </c>
      <c r="R1812" s="111">
        <f ca="1">IFERROR(__xludf.DUMMYFUNCTION("""COMPUTED_VALUE"""),26.99)</f>
        <v>26.99</v>
      </c>
      <c r="S1812" s="112">
        <f ca="1">IFERROR(__xludf.DUMMYFUNCTION("""COMPUTED_VALUE"""),42934.7055555555)</f>
        <v>42934.705555555498</v>
      </c>
      <c r="T1812" s="111">
        <f ca="1">IFERROR(__xludf.DUMMYFUNCTION("""COMPUTED_VALUE"""),23.47)</f>
        <v>23.47</v>
      </c>
    </row>
    <row r="1813" spans="1:20" x14ac:dyDescent="0.3">
      <c r="A1813" s="112">
        <f ca="1">IFERROR(__xludf.DUMMYFUNCTION("""COMPUTED_VALUE"""),42933.7055555555)</f>
        <v>42933.705555555498</v>
      </c>
      <c r="B1813" s="111">
        <f ca="1">IFERROR(__xludf.DUMMYFUNCTION("""COMPUTED_VALUE"""),14.03)</f>
        <v>14.03</v>
      </c>
      <c r="C1813" s="112">
        <f ca="1">IFERROR(__xludf.DUMMYFUNCTION("""COMPUTED_VALUE"""),42940.7055555555)</f>
        <v>42940.705555555498</v>
      </c>
      <c r="D1813" s="111">
        <f ca="1">IFERROR(__xludf.DUMMYFUNCTION("""COMPUTED_VALUE"""),24.67)</f>
        <v>24.67</v>
      </c>
      <c r="E1813" s="112">
        <f ca="1">IFERROR(__xludf.DUMMYFUNCTION("""COMPUTED_VALUE"""),42941.7055555555)</f>
        <v>42941.705555555498</v>
      </c>
      <c r="F1813" s="111">
        <f ca="1">IFERROR(__xludf.DUMMYFUNCTION("""COMPUTED_VALUE"""),8.03)</f>
        <v>8.0299999999999994</v>
      </c>
      <c r="G1813" s="112">
        <f ca="1">IFERROR(__xludf.DUMMYFUNCTION("""COMPUTED_VALUE"""),42935.7055555555)</f>
        <v>42935.705555555498</v>
      </c>
      <c r="H1813" s="111">
        <f ca="1">IFERROR(__xludf.DUMMYFUNCTION("""COMPUTED_VALUE"""),13.23)</f>
        <v>13.23</v>
      </c>
      <c r="K1813" s="112">
        <f ca="1">IFERROR(__xludf.DUMMYFUNCTION("""COMPUTED_VALUE"""),43388.7055555555)</f>
        <v>43388.705555555498</v>
      </c>
      <c r="L1813" s="111">
        <f ca="1">IFERROR(__xludf.DUMMYFUNCTION("""COMPUTED_VALUE"""),4.69)</f>
        <v>4.6900000000000004</v>
      </c>
      <c r="M1813" s="112">
        <f ca="1">IFERROR(__xludf.DUMMYFUNCTION("""COMPUTED_VALUE"""),42850.7055555555)</f>
        <v>42850.705555555498</v>
      </c>
      <c r="N1813" s="111">
        <f ca="1">IFERROR(__xludf.DUMMYFUNCTION("""COMPUTED_VALUE"""),18.21)</f>
        <v>18.21</v>
      </c>
      <c r="O1813" s="112">
        <f ca="1">IFERROR(__xludf.DUMMYFUNCTION("""COMPUTED_VALUE"""),42926.7055555555)</f>
        <v>42926.705555555498</v>
      </c>
      <c r="P1813" s="111">
        <f ca="1">IFERROR(__xludf.DUMMYFUNCTION("""COMPUTED_VALUE"""),29.71)</f>
        <v>29.71</v>
      </c>
      <c r="Q1813" s="112">
        <f ca="1">IFERROR(__xludf.DUMMYFUNCTION("""COMPUTED_VALUE"""),42923.7055555555)</f>
        <v>42923.705555555498</v>
      </c>
      <c r="R1813" s="111">
        <f ca="1">IFERROR(__xludf.DUMMYFUNCTION("""COMPUTED_VALUE"""),26.63)</f>
        <v>26.63</v>
      </c>
      <c r="S1813" s="112">
        <f ca="1">IFERROR(__xludf.DUMMYFUNCTION("""COMPUTED_VALUE"""),42935.7055555555)</f>
        <v>42935.705555555498</v>
      </c>
      <c r="T1813" s="111">
        <f ca="1">IFERROR(__xludf.DUMMYFUNCTION("""COMPUTED_VALUE"""),23.37)</f>
        <v>23.37</v>
      </c>
    </row>
    <row r="1814" spans="1:20" x14ac:dyDescent="0.3">
      <c r="A1814" s="112">
        <f ca="1">IFERROR(__xludf.DUMMYFUNCTION("""COMPUTED_VALUE"""),42934.7055555555)</f>
        <v>42934.705555555498</v>
      </c>
      <c r="B1814" s="111">
        <f ca="1">IFERROR(__xludf.DUMMYFUNCTION("""COMPUTED_VALUE"""),14.36)</f>
        <v>14.36</v>
      </c>
      <c r="C1814" s="112">
        <f ca="1">IFERROR(__xludf.DUMMYFUNCTION("""COMPUTED_VALUE"""),42941.7055555555)</f>
        <v>42941.705555555498</v>
      </c>
      <c r="D1814" s="111">
        <f ca="1">IFERROR(__xludf.DUMMYFUNCTION("""COMPUTED_VALUE"""),24.73)</f>
        <v>24.73</v>
      </c>
      <c r="E1814" s="112">
        <f ca="1">IFERROR(__xludf.DUMMYFUNCTION("""COMPUTED_VALUE"""),42942.7055555555)</f>
        <v>42942.705555555498</v>
      </c>
      <c r="F1814" s="111">
        <f ca="1">IFERROR(__xludf.DUMMYFUNCTION("""COMPUTED_VALUE"""),7.94)</f>
        <v>7.94</v>
      </c>
      <c r="G1814" s="112">
        <f ca="1">IFERROR(__xludf.DUMMYFUNCTION("""COMPUTED_VALUE"""),42936.7055555555)</f>
        <v>42936.705555555498</v>
      </c>
      <c r="H1814" s="111">
        <f ca="1">IFERROR(__xludf.DUMMYFUNCTION("""COMPUTED_VALUE"""),13.1)</f>
        <v>13.1</v>
      </c>
      <c r="K1814" s="112">
        <f ca="1">IFERROR(__xludf.DUMMYFUNCTION("""COMPUTED_VALUE"""),43389.7055555555)</f>
        <v>43389.705555555498</v>
      </c>
      <c r="L1814" s="111">
        <f ca="1">IFERROR(__xludf.DUMMYFUNCTION("""COMPUTED_VALUE"""),4.98)</f>
        <v>4.9800000000000004</v>
      </c>
      <c r="M1814" s="112">
        <f ca="1">IFERROR(__xludf.DUMMYFUNCTION("""COMPUTED_VALUE"""),42851.7055555555)</f>
        <v>42851.705555555498</v>
      </c>
      <c r="N1814" s="111">
        <f ca="1">IFERROR(__xludf.DUMMYFUNCTION("""COMPUTED_VALUE"""),18.52)</f>
        <v>18.52</v>
      </c>
      <c r="O1814" s="112">
        <f ca="1">IFERROR(__xludf.DUMMYFUNCTION("""COMPUTED_VALUE"""),42927.7055555555)</f>
        <v>42927.705555555498</v>
      </c>
      <c r="P1814" s="111">
        <f ca="1">IFERROR(__xludf.DUMMYFUNCTION("""COMPUTED_VALUE"""),30.04)</f>
        <v>30.04</v>
      </c>
      <c r="Q1814" s="112">
        <f ca="1">IFERROR(__xludf.DUMMYFUNCTION("""COMPUTED_VALUE"""),42926.7055555555)</f>
        <v>42926.705555555498</v>
      </c>
      <c r="R1814" s="111">
        <f ca="1">IFERROR(__xludf.DUMMYFUNCTION("""COMPUTED_VALUE"""),26.91)</f>
        <v>26.91</v>
      </c>
      <c r="S1814" s="112">
        <f ca="1">IFERROR(__xludf.DUMMYFUNCTION("""COMPUTED_VALUE"""),42936.7055555555)</f>
        <v>42936.705555555498</v>
      </c>
      <c r="T1814" s="111">
        <f ca="1">IFERROR(__xludf.DUMMYFUNCTION("""COMPUTED_VALUE"""),23.6)</f>
        <v>23.6</v>
      </c>
    </row>
    <row r="1815" spans="1:20" x14ac:dyDescent="0.3">
      <c r="A1815" s="112">
        <f ca="1">IFERROR(__xludf.DUMMYFUNCTION("""COMPUTED_VALUE"""),42935.7055555555)</f>
        <v>42935.705555555498</v>
      </c>
      <c r="B1815" s="111">
        <f ca="1">IFERROR(__xludf.DUMMYFUNCTION("""COMPUTED_VALUE"""),14.03)</f>
        <v>14.03</v>
      </c>
      <c r="C1815" s="112">
        <f ca="1">IFERROR(__xludf.DUMMYFUNCTION("""COMPUTED_VALUE"""),42942.7055555555)</f>
        <v>42942.705555555498</v>
      </c>
      <c r="D1815" s="111">
        <f ca="1">IFERROR(__xludf.DUMMYFUNCTION("""COMPUTED_VALUE"""),24.61)</f>
        <v>24.61</v>
      </c>
      <c r="E1815" s="112">
        <f ca="1">IFERROR(__xludf.DUMMYFUNCTION("""COMPUTED_VALUE"""),42943.7055555555)</f>
        <v>42943.705555555498</v>
      </c>
      <c r="F1815" s="111">
        <f ca="1">IFERROR(__xludf.DUMMYFUNCTION("""COMPUTED_VALUE"""),8)</f>
        <v>8</v>
      </c>
      <c r="G1815" s="112">
        <f ca="1">IFERROR(__xludf.DUMMYFUNCTION("""COMPUTED_VALUE"""),42937.7055555555)</f>
        <v>42937.705555555498</v>
      </c>
      <c r="H1815" s="111">
        <f ca="1">IFERROR(__xludf.DUMMYFUNCTION("""COMPUTED_VALUE"""),12.69)</f>
        <v>12.69</v>
      </c>
      <c r="K1815" s="112">
        <f ca="1">IFERROR(__xludf.DUMMYFUNCTION("""COMPUTED_VALUE"""),43390.7055555555)</f>
        <v>43390.705555555498</v>
      </c>
      <c r="L1815" s="111">
        <f ca="1">IFERROR(__xludf.DUMMYFUNCTION("""COMPUTED_VALUE"""),5.06)</f>
        <v>5.0599999999999996</v>
      </c>
      <c r="M1815" s="112">
        <f ca="1">IFERROR(__xludf.DUMMYFUNCTION("""COMPUTED_VALUE"""),42852.7055555555)</f>
        <v>42852.705555555498</v>
      </c>
      <c r="N1815" s="111">
        <f ca="1">IFERROR(__xludf.DUMMYFUNCTION("""COMPUTED_VALUE"""),19.06)</f>
        <v>19.059999999999999</v>
      </c>
      <c r="O1815" s="112">
        <f ca="1">IFERROR(__xludf.DUMMYFUNCTION("""COMPUTED_VALUE"""),42928.7055555555)</f>
        <v>42928.705555555498</v>
      </c>
      <c r="P1815" s="111">
        <f ca="1">IFERROR(__xludf.DUMMYFUNCTION("""COMPUTED_VALUE"""),29.9)</f>
        <v>29.9</v>
      </c>
      <c r="Q1815" s="112">
        <f ca="1">IFERROR(__xludf.DUMMYFUNCTION("""COMPUTED_VALUE"""),42927.7055555555)</f>
        <v>42927.705555555498</v>
      </c>
      <c r="R1815" s="111">
        <f ca="1">IFERROR(__xludf.DUMMYFUNCTION("""COMPUTED_VALUE"""),28.04)</f>
        <v>28.04</v>
      </c>
      <c r="S1815" s="112">
        <f ca="1">IFERROR(__xludf.DUMMYFUNCTION("""COMPUTED_VALUE"""),42937.7055555555)</f>
        <v>42937.705555555498</v>
      </c>
      <c r="T1815" s="111">
        <f ca="1">IFERROR(__xludf.DUMMYFUNCTION("""COMPUTED_VALUE"""),24.13)</f>
        <v>24.13</v>
      </c>
    </row>
    <row r="1816" spans="1:20" x14ac:dyDescent="0.3">
      <c r="A1816" s="112">
        <f ca="1">IFERROR(__xludf.DUMMYFUNCTION("""COMPUTED_VALUE"""),42936.7055555555)</f>
        <v>42936.705555555498</v>
      </c>
      <c r="B1816" s="111">
        <f ca="1">IFERROR(__xludf.DUMMYFUNCTION("""COMPUTED_VALUE"""),13.89)</f>
        <v>13.89</v>
      </c>
      <c r="C1816" s="112">
        <f ca="1">IFERROR(__xludf.DUMMYFUNCTION("""COMPUTED_VALUE"""),42943.7055555555)</f>
        <v>42943.705555555498</v>
      </c>
      <c r="D1816" s="111">
        <f ca="1">IFERROR(__xludf.DUMMYFUNCTION("""COMPUTED_VALUE"""),24.64)</f>
        <v>24.64</v>
      </c>
      <c r="E1816" s="112">
        <f ca="1">IFERROR(__xludf.DUMMYFUNCTION("""COMPUTED_VALUE"""),42944.7055555555)</f>
        <v>42944.705555555498</v>
      </c>
      <c r="F1816" s="111">
        <f ca="1">IFERROR(__xludf.DUMMYFUNCTION("""COMPUTED_VALUE"""),8)</f>
        <v>8</v>
      </c>
      <c r="G1816" s="112">
        <f ca="1">IFERROR(__xludf.DUMMYFUNCTION("""COMPUTED_VALUE"""),42940.7055555555)</f>
        <v>42940.705555555498</v>
      </c>
      <c r="H1816" s="111">
        <f ca="1">IFERROR(__xludf.DUMMYFUNCTION("""COMPUTED_VALUE"""),12.88)</f>
        <v>12.88</v>
      </c>
      <c r="K1816" s="112">
        <f ca="1">IFERROR(__xludf.DUMMYFUNCTION("""COMPUTED_VALUE"""),43392.7055555555)</f>
        <v>43392.705555555498</v>
      </c>
      <c r="L1816" s="111">
        <f ca="1">IFERROR(__xludf.DUMMYFUNCTION("""COMPUTED_VALUE"""),5.28)</f>
        <v>5.28</v>
      </c>
      <c r="M1816" s="112">
        <f ca="1">IFERROR(__xludf.DUMMYFUNCTION("""COMPUTED_VALUE"""),42853.7055555555)</f>
        <v>42853.705555555498</v>
      </c>
      <c r="N1816" s="111">
        <f ca="1">IFERROR(__xludf.DUMMYFUNCTION("""COMPUTED_VALUE"""),19.02)</f>
        <v>19.02</v>
      </c>
      <c r="O1816" s="112">
        <f ca="1">IFERROR(__xludf.DUMMYFUNCTION("""COMPUTED_VALUE"""),42929.7055555555)</f>
        <v>42929.705555555498</v>
      </c>
      <c r="P1816" s="111">
        <f ca="1">IFERROR(__xludf.DUMMYFUNCTION("""COMPUTED_VALUE"""),29.18)</f>
        <v>29.18</v>
      </c>
      <c r="Q1816" s="112">
        <f ca="1">IFERROR(__xludf.DUMMYFUNCTION("""COMPUTED_VALUE"""),42928.7055555555)</f>
        <v>42928.705555555498</v>
      </c>
      <c r="R1816" s="111">
        <f ca="1">IFERROR(__xludf.DUMMYFUNCTION("""COMPUTED_VALUE"""),28.84)</f>
        <v>28.84</v>
      </c>
      <c r="S1816" s="112">
        <f ca="1">IFERROR(__xludf.DUMMYFUNCTION("""COMPUTED_VALUE"""),42940.7055555555)</f>
        <v>42940.705555555498</v>
      </c>
      <c r="T1816" s="111">
        <f ca="1">IFERROR(__xludf.DUMMYFUNCTION("""COMPUTED_VALUE"""),24.68)</f>
        <v>24.68</v>
      </c>
    </row>
    <row r="1817" spans="1:20" x14ac:dyDescent="0.3">
      <c r="A1817" s="112">
        <f ca="1">IFERROR(__xludf.DUMMYFUNCTION("""COMPUTED_VALUE"""),42937.7055555555)</f>
        <v>42937.705555555498</v>
      </c>
      <c r="B1817" s="111">
        <f ca="1">IFERROR(__xludf.DUMMYFUNCTION("""COMPUTED_VALUE"""),13.86)</f>
        <v>13.86</v>
      </c>
      <c r="C1817" s="112">
        <f ca="1">IFERROR(__xludf.DUMMYFUNCTION("""COMPUTED_VALUE"""),42944.7055555555)</f>
        <v>42944.705555555498</v>
      </c>
      <c r="D1817" s="111">
        <f ca="1">IFERROR(__xludf.DUMMYFUNCTION("""COMPUTED_VALUE"""),24.73)</f>
        <v>24.73</v>
      </c>
      <c r="E1817" s="112">
        <f ca="1">IFERROR(__xludf.DUMMYFUNCTION("""COMPUTED_VALUE"""),42947.7055555555)</f>
        <v>42947.705555555498</v>
      </c>
      <c r="F1817" s="111">
        <f ca="1">IFERROR(__xludf.DUMMYFUNCTION("""COMPUTED_VALUE"""),8.01)</f>
        <v>8.01</v>
      </c>
      <c r="G1817" s="112">
        <f ca="1">IFERROR(__xludf.DUMMYFUNCTION("""COMPUTED_VALUE"""),42941.7055555555)</f>
        <v>42941.705555555498</v>
      </c>
      <c r="H1817" s="111">
        <f ca="1">IFERROR(__xludf.DUMMYFUNCTION("""COMPUTED_VALUE"""),13.22)</f>
        <v>13.22</v>
      </c>
      <c r="K1817" s="112">
        <f ca="1">IFERROR(__xludf.DUMMYFUNCTION("""COMPUTED_VALUE"""),43395.7055555555)</f>
        <v>43395.705555555498</v>
      </c>
      <c r="L1817" s="111">
        <f ca="1">IFERROR(__xludf.DUMMYFUNCTION("""COMPUTED_VALUE"""),5.22)</f>
        <v>5.22</v>
      </c>
      <c r="M1817" s="112">
        <f ca="1">IFERROR(__xludf.DUMMYFUNCTION("""COMPUTED_VALUE"""),42857.7055555555)</f>
        <v>42857.705555555498</v>
      </c>
      <c r="N1817" s="111">
        <f ca="1">IFERROR(__xludf.DUMMYFUNCTION("""COMPUTED_VALUE"""),19.53)</f>
        <v>19.53</v>
      </c>
      <c r="O1817" s="112">
        <f ca="1">IFERROR(__xludf.DUMMYFUNCTION("""COMPUTED_VALUE"""),42930.7055555555)</f>
        <v>42930.705555555498</v>
      </c>
      <c r="P1817" s="111">
        <f ca="1">IFERROR(__xludf.DUMMYFUNCTION("""COMPUTED_VALUE"""),29.52)</f>
        <v>29.52</v>
      </c>
      <c r="Q1817" s="112">
        <f ca="1">IFERROR(__xludf.DUMMYFUNCTION("""COMPUTED_VALUE"""),42929.7055555555)</f>
        <v>42929.705555555498</v>
      </c>
      <c r="R1817" s="111">
        <f ca="1">IFERROR(__xludf.DUMMYFUNCTION("""COMPUTED_VALUE"""),29.1)</f>
        <v>29.1</v>
      </c>
      <c r="S1817" s="112">
        <f ca="1">IFERROR(__xludf.DUMMYFUNCTION("""COMPUTED_VALUE"""),42941.7055555555)</f>
        <v>42941.705555555498</v>
      </c>
      <c r="T1817" s="111">
        <f ca="1">IFERROR(__xludf.DUMMYFUNCTION("""COMPUTED_VALUE"""),24.96)</f>
        <v>24.96</v>
      </c>
    </row>
    <row r="1818" spans="1:20" x14ac:dyDescent="0.3">
      <c r="A1818" s="112">
        <f ca="1">IFERROR(__xludf.DUMMYFUNCTION("""COMPUTED_VALUE"""),42940.7055555555)</f>
        <v>42940.705555555498</v>
      </c>
      <c r="B1818" s="111">
        <f ca="1">IFERROR(__xludf.DUMMYFUNCTION("""COMPUTED_VALUE"""),13.67)</f>
        <v>13.67</v>
      </c>
      <c r="C1818" s="112">
        <f ca="1">IFERROR(__xludf.DUMMYFUNCTION("""COMPUTED_VALUE"""),42947.7055555555)</f>
        <v>42947.705555555498</v>
      </c>
      <c r="D1818" s="111">
        <f ca="1">IFERROR(__xludf.DUMMYFUNCTION("""COMPUTED_VALUE"""),24.88)</f>
        <v>24.88</v>
      </c>
      <c r="E1818" s="112">
        <f ca="1">IFERROR(__xludf.DUMMYFUNCTION("""COMPUTED_VALUE"""),42948.7055555555)</f>
        <v>42948.705555555498</v>
      </c>
      <c r="F1818" s="111">
        <f ca="1">IFERROR(__xludf.DUMMYFUNCTION("""COMPUTED_VALUE"""),8.27)</f>
        <v>8.27</v>
      </c>
      <c r="G1818" s="112">
        <f ca="1">IFERROR(__xludf.DUMMYFUNCTION("""COMPUTED_VALUE"""),42942.7055555555)</f>
        <v>42942.705555555498</v>
      </c>
      <c r="H1818" s="111">
        <f ca="1">IFERROR(__xludf.DUMMYFUNCTION("""COMPUTED_VALUE"""),13.06)</f>
        <v>13.06</v>
      </c>
      <c r="K1818" s="112">
        <f ca="1">IFERROR(__xludf.DUMMYFUNCTION("""COMPUTED_VALUE"""),43396.7055555555)</f>
        <v>43396.705555555498</v>
      </c>
      <c r="L1818" s="111">
        <f ca="1">IFERROR(__xludf.DUMMYFUNCTION("""COMPUTED_VALUE"""),5.28)</f>
        <v>5.28</v>
      </c>
      <c r="M1818" s="112">
        <f ca="1">IFERROR(__xludf.DUMMYFUNCTION("""COMPUTED_VALUE"""),42858.7055555555)</f>
        <v>42858.705555555498</v>
      </c>
      <c r="N1818" s="111">
        <f ca="1">IFERROR(__xludf.DUMMYFUNCTION("""COMPUTED_VALUE"""),19.5)</f>
        <v>19.5</v>
      </c>
      <c r="O1818" s="112">
        <f ca="1">IFERROR(__xludf.DUMMYFUNCTION("""COMPUTED_VALUE"""),42933.7055555555)</f>
        <v>42933.705555555498</v>
      </c>
      <c r="P1818" s="111">
        <f ca="1">IFERROR(__xludf.DUMMYFUNCTION("""COMPUTED_VALUE"""),29.72)</f>
        <v>29.72</v>
      </c>
      <c r="Q1818" s="112">
        <f ca="1">IFERROR(__xludf.DUMMYFUNCTION("""COMPUTED_VALUE"""),42930.7055555555)</f>
        <v>42930.705555555498</v>
      </c>
      <c r="R1818" s="111">
        <f ca="1">IFERROR(__xludf.DUMMYFUNCTION("""COMPUTED_VALUE"""),29.41)</f>
        <v>29.41</v>
      </c>
      <c r="S1818" s="112">
        <f ca="1">IFERROR(__xludf.DUMMYFUNCTION("""COMPUTED_VALUE"""),42942.7055555555)</f>
        <v>42942.705555555498</v>
      </c>
      <c r="T1818" s="111">
        <f ca="1">IFERROR(__xludf.DUMMYFUNCTION("""COMPUTED_VALUE"""),24.13)</f>
        <v>24.13</v>
      </c>
    </row>
    <row r="1819" spans="1:20" x14ac:dyDescent="0.3">
      <c r="A1819" s="112">
        <f ca="1">IFERROR(__xludf.DUMMYFUNCTION("""COMPUTED_VALUE"""),42941.7055555555)</f>
        <v>42941.705555555498</v>
      </c>
      <c r="B1819" s="111">
        <f ca="1">IFERROR(__xludf.DUMMYFUNCTION("""COMPUTED_VALUE"""),13.91)</f>
        <v>13.91</v>
      </c>
      <c r="C1819" s="112">
        <f ca="1">IFERROR(__xludf.DUMMYFUNCTION("""COMPUTED_VALUE"""),42948.7055555555)</f>
        <v>42948.705555555498</v>
      </c>
      <c r="D1819" s="111">
        <f ca="1">IFERROR(__xludf.DUMMYFUNCTION("""COMPUTED_VALUE"""),25.67)</f>
        <v>25.67</v>
      </c>
      <c r="E1819" s="112">
        <f ca="1">IFERROR(__xludf.DUMMYFUNCTION("""COMPUTED_VALUE"""),42949.7055555555)</f>
        <v>42949.705555555498</v>
      </c>
      <c r="F1819" s="111">
        <f ca="1">IFERROR(__xludf.DUMMYFUNCTION("""COMPUTED_VALUE"""),8.36)</f>
        <v>8.36</v>
      </c>
      <c r="G1819" s="112">
        <f ca="1">IFERROR(__xludf.DUMMYFUNCTION("""COMPUTED_VALUE"""),42943.7055555555)</f>
        <v>42943.705555555498</v>
      </c>
      <c r="H1819" s="111">
        <f ca="1">IFERROR(__xludf.DUMMYFUNCTION("""COMPUTED_VALUE"""),13)</f>
        <v>13</v>
      </c>
      <c r="K1819" s="112">
        <f ca="1">IFERROR(__xludf.DUMMYFUNCTION("""COMPUTED_VALUE"""),43397.7055555555)</f>
        <v>43397.705555555498</v>
      </c>
      <c r="L1819" s="111">
        <f ca="1">IFERROR(__xludf.DUMMYFUNCTION("""COMPUTED_VALUE"""),5.25)</f>
        <v>5.25</v>
      </c>
      <c r="M1819" s="112">
        <f ca="1">IFERROR(__xludf.DUMMYFUNCTION("""COMPUTED_VALUE"""),42859.7055555555)</f>
        <v>42859.705555555498</v>
      </c>
      <c r="N1819" s="111">
        <f ca="1">IFERROR(__xludf.DUMMYFUNCTION("""COMPUTED_VALUE"""),19.21)</f>
        <v>19.21</v>
      </c>
      <c r="O1819" s="112">
        <f ca="1">IFERROR(__xludf.DUMMYFUNCTION("""COMPUTED_VALUE"""),42934.7055555555)</f>
        <v>42934.705555555498</v>
      </c>
      <c r="P1819" s="111">
        <f ca="1">IFERROR(__xludf.DUMMYFUNCTION("""COMPUTED_VALUE"""),29.9)</f>
        <v>29.9</v>
      </c>
      <c r="Q1819" s="112">
        <f ca="1">IFERROR(__xludf.DUMMYFUNCTION("""COMPUTED_VALUE"""),42933.7055555555)</f>
        <v>42933.705555555498</v>
      </c>
      <c r="R1819" s="111">
        <f ca="1">IFERROR(__xludf.DUMMYFUNCTION("""COMPUTED_VALUE"""),29.26)</f>
        <v>29.26</v>
      </c>
      <c r="S1819" s="112">
        <f ca="1">IFERROR(__xludf.DUMMYFUNCTION("""COMPUTED_VALUE"""),42943.7055555555)</f>
        <v>42943.705555555498</v>
      </c>
      <c r="T1819" s="111">
        <f ca="1">IFERROR(__xludf.DUMMYFUNCTION("""COMPUTED_VALUE"""),24.35)</f>
        <v>24.35</v>
      </c>
    </row>
    <row r="1820" spans="1:20" x14ac:dyDescent="0.3">
      <c r="A1820" s="112">
        <f ca="1">IFERROR(__xludf.DUMMYFUNCTION("""COMPUTED_VALUE"""),42942.7055555555)</f>
        <v>42942.705555555498</v>
      </c>
      <c r="B1820" s="111">
        <f ca="1">IFERROR(__xludf.DUMMYFUNCTION("""COMPUTED_VALUE"""),13.45)</f>
        <v>13.45</v>
      </c>
      <c r="C1820" s="112">
        <f ca="1">IFERROR(__xludf.DUMMYFUNCTION("""COMPUTED_VALUE"""),42949.7055555555)</f>
        <v>42949.705555555498</v>
      </c>
      <c r="D1820" s="111">
        <f ca="1">IFERROR(__xludf.DUMMYFUNCTION("""COMPUTED_VALUE"""),25.93)</f>
        <v>25.93</v>
      </c>
      <c r="E1820" s="112">
        <f ca="1">IFERROR(__xludf.DUMMYFUNCTION("""COMPUTED_VALUE"""),42950.7055555555)</f>
        <v>42950.705555555498</v>
      </c>
      <c r="F1820" s="111">
        <f ca="1">IFERROR(__xludf.DUMMYFUNCTION("""COMPUTED_VALUE"""),8.35)</f>
        <v>8.35</v>
      </c>
      <c r="G1820" s="112">
        <f ca="1">IFERROR(__xludf.DUMMYFUNCTION("""COMPUTED_VALUE"""),42944.7055555555)</f>
        <v>42944.705555555498</v>
      </c>
      <c r="H1820" s="111">
        <f ca="1">IFERROR(__xludf.DUMMYFUNCTION("""COMPUTED_VALUE"""),13.13)</f>
        <v>13.13</v>
      </c>
      <c r="K1820" s="112">
        <f ca="1">IFERROR(__xludf.DUMMYFUNCTION("""COMPUTED_VALUE"""),43398.7055555555)</f>
        <v>43398.705555555498</v>
      </c>
      <c r="L1820" s="111">
        <f ca="1">IFERROR(__xludf.DUMMYFUNCTION("""COMPUTED_VALUE"""),5.26)</f>
        <v>5.26</v>
      </c>
      <c r="M1820" s="112">
        <f ca="1">IFERROR(__xludf.DUMMYFUNCTION("""COMPUTED_VALUE"""),42860.7055555555)</f>
        <v>42860.705555555498</v>
      </c>
      <c r="N1820" s="111">
        <f ca="1">IFERROR(__xludf.DUMMYFUNCTION("""COMPUTED_VALUE"""),19.24)</f>
        <v>19.239999999999998</v>
      </c>
      <c r="O1820" s="112">
        <f ca="1">IFERROR(__xludf.DUMMYFUNCTION("""COMPUTED_VALUE"""),42935.7055555555)</f>
        <v>42935.705555555498</v>
      </c>
      <c r="P1820" s="111">
        <f ca="1">IFERROR(__xludf.DUMMYFUNCTION("""COMPUTED_VALUE"""),29.9)</f>
        <v>29.9</v>
      </c>
      <c r="Q1820" s="112">
        <f ca="1">IFERROR(__xludf.DUMMYFUNCTION("""COMPUTED_VALUE"""),42934.7055555555)</f>
        <v>42934.705555555498</v>
      </c>
      <c r="R1820" s="111">
        <f ca="1">IFERROR(__xludf.DUMMYFUNCTION("""COMPUTED_VALUE"""),29.28)</f>
        <v>29.28</v>
      </c>
      <c r="S1820" s="112">
        <f ca="1">IFERROR(__xludf.DUMMYFUNCTION("""COMPUTED_VALUE"""),42944.7055555555)</f>
        <v>42944.705555555498</v>
      </c>
      <c r="T1820" s="111">
        <f ca="1">IFERROR(__xludf.DUMMYFUNCTION("""COMPUTED_VALUE"""),24.4)</f>
        <v>24.4</v>
      </c>
    </row>
    <row r="1821" spans="1:20" x14ac:dyDescent="0.3">
      <c r="A1821" s="112">
        <f ca="1">IFERROR(__xludf.DUMMYFUNCTION("""COMPUTED_VALUE"""),42943.7055555555)</f>
        <v>42943.705555555498</v>
      </c>
      <c r="B1821" s="111">
        <f ca="1">IFERROR(__xludf.DUMMYFUNCTION("""COMPUTED_VALUE"""),13.4)</f>
        <v>13.4</v>
      </c>
      <c r="C1821" s="112">
        <f ca="1">IFERROR(__xludf.DUMMYFUNCTION("""COMPUTED_VALUE"""),42950.7055555555)</f>
        <v>42950.705555555498</v>
      </c>
      <c r="D1821" s="111">
        <f ca="1">IFERROR(__xludf.DUMMYFUNCTION("""COMPUTED_VALUE"""),25.87)</f>
        <v>25.87</v>
      </c>
      <c r="E1821" s="112">
        <f ca="1">IFERROR(__xludf.DUMMYFUNCTION("""COMPUTED_VALUE"""),42951.7055555555)</f>
        <v>42951.705555555498</v>
      </c>
      <c r="F1821" s="111">
        <f ca="1">IFERROR(__xludf.DUMMYFUNCTION("""COMPUTED_VALUE"""),8.32)</f>
        <v>8.32</v>
      </c>
      <c r="G1821" s="112">
        <f ca="1">IFERROR(__xludf.DUMMYFUNCTION("""COMPUTED_VALUE"""),42947.7055555555)</f>
        <v>42947.705555555498</v>
      </c>
      <c r="H1821" s="111">
        <f ca="1">IFERROR(__xludf.DUMMYFUNCTION("""COMPUTED_VALUE"""),13.29)</f>
        <v>13.29</v>
      </c>
      <c r="K1821" s="112">
        <f ca="1">IFERROR(__xludf.DUMMYFUNCTION("""COMPUTED_VALUE"""),43399.7055555555)</f>
        <v>43399.705555555498</v>
      </c>
      <c r="L1821" s="111">
        <f ca="1">IFERROR(__xludf.DUMMYFUNCTION("""COMPUTED_VALUE"""),5.21)</f>
        <v>5.21</v>
      </c>
      <c r="M1821" s="112">
        <f ca="1">IFERROR(__xludf.DUMMYFUNCTION("""COMPUTED_VALUE"""),42863.7055555555)</f>
        <v>42863.705555555498</v>
      </c>
      <c r="N1821" s="111">
        <f ca="1">IFERROR(__xludf.DUMMYFUNCTION("""COMPUTED_VALUE"""),19.23)</f>
        <v>19.23</v>
      </c>
      <c r="O1821" s="112">
        <f ca="1">IFERROR(__xludf.DUMMYFUNCTION("""COMPUTED_VALUE"""),42936.7055555555)</f>
        <v>42936.705555555498</v>
      </c>
      <c r="P1821" s="111">
        <f ca="1">IFERROR(__xludf.DUMMYFUNCTION("""COMPUTED_VALUE"""),28.72)</f>
        <v>28.72</v>
      </c>
      <c r="Q1821" s="112">
        <f ca="1">IFERROR(__xludf.DUMMYFUNCTION("""COMPUTED_VALUE"""),42935.7055555555)</f>
        <v>42935.705555555498</v>
      </c>
      <c r="R1821" s="111">
        <f ca="1">IFERROR(__xludf.DUMMYFUNCTION("""COMPUTED_VALUE"""),29.38)</f>
        <v>29.38</v>
      </c>
      <c r="S1821" s="112">
        <f ca="1">IFERROR(__xludf.DUMMYFUNCTION("""COMPUTED_VALUE"""),42947.7055555555)</f>
        <v>42947.705555555498</v>
      </c>
      <c r="T1821" s="111">
        <f ca="1">IFERROR(__xludf.DUMMYFUNCTION("""COMPUTED_VALUE"""),24.21)</f>
        <v>24.21</v>
      </c>
    </row>
    <row r="1822" spans="1:20" x14ac:dyDescent="0.3">
      <c r="A1822" s="112">
        <f ca="1">IFERROR(__xludf.DUMMYFUNCTION("""COMPUTED_VALUE"""),42944.7055555555)</f>
        <v>42944.705555555498</v>
      </c>
      <c r="B1822" s="111">
        <f ca="1">IFERROR(__xludf.DUMMYFUNCTION("""COMPUTED_VALUE"""),13.75)</f>
        <v>13.75</v>
      </c>
      <c r="C1822" s="112">
        <f ca="1">IFERROR(__xludf.DUMMYFUNCTION("""COMPUTED_VALUE"""),42951.7055555555)</f>
        <v>42951.705555555498</v>
      </c>
      <c r="D1822" s="111">
        <f ca="1">IFERROR(__xludf.DUMMYFUNCTION("""COMPUTED_VALUE"""),25.81)</f>
        <v>25.81</v>
      </c>
      <c r="E1822" s="112">
        <f ca="1">IFERROR(__xludf.DUMMYFUNCTION("""COMPUTED_VALUE"""),42954.7055555555)</f>
        <v>42954.705555555498</v>
      </c>
      <c r="F1822" s="111">
        <f ca="1">IFERROR(__xludf.DUMMYFUNCTION("""COMPUTED_VALUE"""),8.5)</f>
        <v>8.5</v>
      </c>
      <c r="G1822" s="112">
        <f ca="1">IFERROR(__xludf.DUMMYFUNCTION("""COMPUTED_VALUE"""),42948.7055555555)</f>
        <v>42948.705555555498</v>
      </c>
      <c r="H1822" s="111">
        <f ca="1">IFERROR(__xludf.DUMMYFUNCTION("""COMPUTED_VALUE"""),13.12)</f>
        <v>13.12</v>
      </c>
      <c r="K1822" s="112">
        <f ca="1">IFERROR(__xludf.DUMMYFUNCTION("""COMPUTED_VALUE"""),43402.7055555555)</f>
        <v>43402.705555555498</v>
      </c>
      <c r="L1822" s="111">
        <f ca="1">IFERROR(__xludf.DUMMYFUNCTION("""COMPUTED_VALUE"""),5.2)</f>
        <v>5.2</v>
      </c>
      <c r="M1822" s="112">
        <f ca="1">IFERROR(__xludf.DUMMYFUNCTION("""COMPUTED_VALUE"""),42864.7055555555)</f>
        <v>42864.705555555498</v>
      </c>
      <c r="N1822" s="111">
        <f ca="1">IFERROR(__xludf.DUMMYFUNCTION("""COMPUTED_VALUE"""),19.4)</f>
        <v>19.399999999999999</v>
      </c>
      <c r="O1822" s="112">
        <f ca="1">IFERROR(__xludf.DUMMYFUNCTION("""COMPUTED_VALUE"""),42937.7055555555)</f>
        <v>42937.705555555498</v>
      </c>
      <c r="P1822" s="111">
        <f ca="1">IFERROR(__xludf.DUMMYFUNCTION("""COMPUTED_VALUE"""),28.5)</f>
        <v>28.5</v>
      </c>
      <c r="Q1822" s="112">
        <f ca="1">IFERROR(__xludf.DUMMYFUNCTION("""COMPUTED_VALUE"""),42936.7055555555)</f>
        <v>42936.705555555498</v>
      </c>
      <c r="R1822" s="111">
        <f ca="1">IFERROR(__xludf.DUMMYFUNCTION("""COMPUTED_VALUE"""),29.64)</f>
        <v>29.64</v>
      </c>
      <c r="S1822" s="112">
        <f ca="1">IFERROR(__xludf.DUMMYFUNCTION("""COMPUTED_VALUE"""),42948.7055555555)</f>
        <v>42948.705555555498</v>
      </c>
      <c r="T1822" s="111">
        <f ca="1">IFERROR(__xludf.DUMMYFUNCTION("""COMPUTED_VALUE"""),24.77)</f>
        <v>24.77</v>
      </c>
    </row>
    <row r="1823" spans="1:20" x14ac:dyDescent="0.3">
      <c r="A1823" s="112">
        <f ca="1">IFERROR(__xludf.DUMMYFUNCTION("""COMPUTED_VALUE"""),42947.7055555555)</f>
        <v>42947.705555555498</v>
      </c>
      <c r="B1823" s="111">
        <f ca="1">IFERROR(__xludf.DUMMYFUNCTION("""COMPUTED_VALUE"""),13.35)</f>
        <v>13.35</v>
      </c>
      <c r="C1823" s="112">
        <f ca="1">IFERROR(__xludf.DUMMYFUNCTION("""COMPUTED_VALUE"""),42954.7055555555)</f>
        <v>42954.705555555498</v>
      </c>
      <c r="D1823" s="111">
        <f ca="1">IFERROR(__xludf.DUMMYFUNCTION("""COMPUTED_VALUE"""),26.21)</f>
        <v>26.21</v>
      </c>
      <c r="E1823" s="112">
        <f ca="1">IFERROR(__xludf.DUMMYFUNCTION("""COMPUTED_VALUE"""),42955.7055555555)</f>
        <v>42955.705555555498</v>
      </c>
      <c r="F1823" s="111">
        <f ca="1">IFERROR(__xludf.DUMMYFUNCTION("""COMPUTED_VALUE"""),8.51)</f>
        <v>8.51</v>
      </c>
      <c r="G1823" s="112">
        <f ca="1">IFERROR(__xludf.DUMMYFUNCTION("""COMPUTED_VALUE"""),42949.7055555555)</f>
        <v>42949.705555555498</v>
      </c>
      <c r="H1823" s="111">
        <f ca="1">IFERROR(__xludf.DUMMYFUNCTION("""COMPUTED_VALUE"""),13.51)</f>
        <v>13.51</v>
      </c>
      <c r="K1823" s="112">
        <f ca="1">IFERROR(__xludf.DUMMYFUNCTION("""COMPUTED_VALUE"""),43403.7055555555)</f>
        <v>43403.705555555498</v>
      </c>
      <c r="L1823" s="111">
        <f ca="1">IFERROR(__xludf.DUMMYFUNCTION("""COMPUTED_VALUE"""),5.29)</f>
        <v>5.29</v>
      </c>
      <c r="M1823" s="112">
        <f ca="1">IFERROR(__xludf.DUMMYFUNCTION("""COMPUTED_VALUE"""),42865.7055555555)</f>
        <v>42865.705555555498</v>
      </c>
      <c r="N1823" s="111">
        <f ca="1">IFERROR(__xludf.DUMMYFUNCTION("""COMPUTED_VALUE"""),19.68)</f>
        <v>19.68</v>
      </c>
      <c r="O1823" s="112">
        <f ca="1">IFERROR(__xludf.DUMMYFUNCTION("""COMPUTED_VALUE"""),42940.7055555555)</f>
        <v>42940.705555555498</v>
      </c>
      <c r="P1823" s="111">
        <f ca="1">IFERROR(__xludf.DUMMYFUNCTION("""COMPUTED_VALUE"""),29.13)</f>
        <v>29.13</v>
      </c>
      <c r="Q1823" s="112">
        <f ca="1">IFERROR(__xludf.DUMMYFUNCTION("""COMPUTED_VALUE"""),42937.7055555555)</f>
        <v>42937.705555555498</v>
      </c>
      <c r="R1823" s="111">
        <f ca="1">IFERROR(__xludf.DUMMYFUNCTION("""COMPUTED_VALUE"""),29.41)</f>
        <v>29.41</v>
      </c>
      <c r="S1823" s="112">
        <f ca="1">IFERROR(__xludf.DUMMYFUNCTION("""COMPUTED_VALUE"""),42949.7055555555)</f>
        <v>42949.705555555498</v>
      </c>
      <c r="T1823" s="111">
        <f ca="1">IFERROR(__xludf.DUMMYFUNCTION("""COMPUTED_VALUE"""),24.79)</f>
        <v>24.79</v>
      </c>
    </row>
    <row r="1824" spans="1:20" x14ac:dyDescent="0.3">
      <c r="A1824" s="112">
        <f ca="1">IFERROR(__xludf.DUMMYFUNCTION("""COMPUTED_VALUE"""),42948.7055555555)</f>
        <v>42948.705555555498</v>
      </c>
      <c r="B1824" s="111">
        <f ca="1">IFERROR(__xludf.DUMMYFUNCTION("""COMPUTED_VALUE"""),13.43)</f>
        <v>13.43</v>
      </c>
      <c r="C1824" s="112">
        <f ca="1">IFERROR(__xludf.DUMMYFUNCTION("""COMPUTED_VALUE"""),42955.7055555555)</f>
        <v>42955.705555555498</v>
      </c>
      <c r="D1824" s="111">
        <f ca="1">IFERROR(__xludf.DUMMYFUNCTION("""COMPUTED_VALUE"""),26.53)</f>
        <v>26.53</v>
      </c>
      <c r="E1824" s="112">
        <f ca="1">IFERROR(__xludf.DUMMYFUNCTION("""COMPUTED_VALUE"""),42956.7055555555)</f>
        <v>42956.705555555498</v>
      </c>
      <c r="F1824" s="111">
        <f ca="1">IFERROR(__xludf.DUMMYFUNCTION("""COMPUTED_VALUE"""),8.48)</f>
        <v>8.48</v>
      </c>
      <c r="G1824" s="112">
        <f ca="1">IFERROR(__xludf.DUMMYFUNCTION("""COMPUTED_VALUE"""),42950.7055555555)</f>
        <v>42950.705555555498</v>
      </c>
      <c r="H1824" s="111">
        <f ca="1">IFERROR(__xludf.DUMMYFUNCTION("""COMPUTED_VALUE"""),13.31)</f>
        <v>13.31</v>
      </c>
      <c r="K1824" s="112">
        <f ca="1">IFERROR(__xludf.DUMMYFUNCTION("""COMPUTED_VALUE"""),43404.7055555555)</f>
        <v>43404.705555555498</v>
      </c>
      <c r="L1824" s="111">
        <f ca="1">IFERROR(__xludf.DUMMYFUNCTION("""COMPUTED_VALUE"""),5.28)</f>
        <v>5.28</v>
      </c>
      <c r="M1824" s="112">
        <f ca="1">IFERROR(__xludf.DUMMYFUNCTION("""COMPUTED_VALUE"""),42866.7055555555)</f>
        <v>42866.705555555498</v>
      </c>
      <c r="N1824" s="111">
        <f ca="1">IFERROR(__xludf.DUMMYFUNCTION("""COMPUTED_VALUE"""),19.8)</f>
        <v>19.8</v>
      </c>
      <c r="O1824" s="112">
        <f ca="1">IFERROR(__xludf.DUMMYFUNCTION("""COMPUTED_VALUE"""),42941.7055555555)</f>
        <v>42941.705555555498</v>
      </c>
      <c r="P1824" s="111">
        <f ca="1">IFERROR(__xludf.DUMMYFUNCTION("""COMPUTED_VALUE"""),30.61)</f>
        <v>30.61</v>
      </c>
      <c r="Q1824" s="112">
        <f ca="1">IFERROR(__xludf.DUMMYFUNCTION("""COMPUTED_VALUE"""),42940.7055555555)</f>
        <v>42940.705555555498</v>
      </c>
      <c r="R1824" s="111">
        <f ca="1">IFERROR(__xludf.DUMMYFUNCTION("""COMPUTED_VALUE"""),29.08)</f>
        <v>29.08</v>
      </c>
      <c r="S1824" s="112">
        <f ca="1">IFERROR(__xludf.DUMMYFUNCTION("""COMPUTED_VALUE"""),42950.7055555555)</f>
        <v>42950.705555555498</v>
      </c>
      <c r="T1824" s="111">
        <f ca="1">IFERROR(__xludf.DUMMYFUNCTION("""COMPUTED_VALUE"""),24.64)</f>
        <v>24.64</v>
      </c>
    </row>
    <row r="1825" spans="1:20" x14ac:dyDescent="0.3">
      <c r="A1825" s="112">
        <f ca="1">IFERROR(__xludf.DUMMYFUNCTION("""COMPUTED_VALUE"""),42949.7055555555)</f>
        <v>42949.705555555498</v>
      </c>
      <c r="B1825" s="111">
        <f ca="1">IFERROR(__xludf.DUMMYFUNCTION("""COMPUTED_VALUE"""),13.27)</f>
        <v>13.27</v>
      </c>
      <c r="C1825" s="112">
        <f ca="1">IFERROR(__xludf.DUMMYFUNCTION("""COMPUTED_VALUE"""),42956.7055555555)</f>
        <v>42956.705555555498</v>
      </c>
      <c r="D1825" s="111">
        <f ca="1">IFERROR(__xludf.DUMMYFUNCTION("""COMPUTED_VALUE"""),26.37)</f>
        <v>26.37</v>
      </c>
      <c r="E1825" s="112">
        <f ca="1">IFERROR(__xludf.DUMMYFUNCTION("""COMPUTED_VALUE"""),42957.7055555555)</f>
        <v>42957.705555555498</v>
      </c>
      <c r="F1825" s="111">
        <f ca="1">IFERROR(__xludf.DUMMYFUNCTION("""COMPUTED_VALUE"""),8.42)</f>
        <v>8.42</v>
      </c>
      <c r="G1825" s="112">
        <f ca="1">IFERROR(__xludf.DUMMYFUNCTION("""COMPUTED_VALUE"""),42951.7055555555)</f>
        <v>42951.705555555498</v>
      </c>
      <c r="H1825" s="111">
        <f ca="1">IFERROR(__xludf.DUMMYFUNCTION("""COMPUTED_VALUE"""),13.4)</f>
        <v>13.4</v>
      </c>
      <c r="K1825" s="112">
        <f ca="1">IFERROR(__xludf.DUMMYFUNCTION("""COMPUTED_VALUE"""),43405.7055555555)</f>
        <v>43405.705555555498</v>
      </c>
      <c r="L1825" s="111">
        <f ca="1">IFERROR(__xludf.DUMMYFUNCTION("""COMPUTED_VALUE"""),5.31)</f>
        <v>5.31</v>
      </c>
      <c r="M1825" s="112">
        <f ca="1">IFERROR(__xludf.DUMMYFUNCTION("""COMPUTED_VALUE"""),42867.7055555555)</f>
        <v>42867.705555555498</v>
      </c>
      <c r="N1825" s="111">
        <f ca="1">IFERROR(__xludf.DUMMYFUNCTION("""COMPUTED_VALUE"""),20)</f>
        <v>20</v>
      </c>
      <c r="O1825" s="112">
        <f ca="1">IFERROR(__xludf.DUMMYFUNCTION("""COMPUTED_VALUE"""),42942.7055555555)</f>
        <v>42942.705555555498</v>
      </c>
      <c r="P1825" s="111">
        <f ca="1">IFERROR(__xludf.DUMMYFUNCTION("""COMPUTED_VALUE"""),29.66)</f>
        <v>29.66</v>
      </c>
      <c r="Q1825" s="112">
        <f ca="1">IFERROR(__xludf.DUMMYFUNCTION("""COMPUTED_VALUE"""),42941.7055555555)</f>
        <v>42941.705555555498</v>
      </c>
      <c r="R1825" s="111">
        <f ca="1">IFERROR(__xludf.DUMMYFUNCTION("""COMPUTED_VALUE"""),29.56)</f>
        <v>29.56</v>
      </c>
      <c r="S1825" s="112">
        <f ca="1">IFERROR(__xludf.DUMMYFUNCTION("""COMPUTED_VALUE"""),42951.7055555555)</f>
        <v>42951.705555555498</v>
      </c>
      <c r="T1825" s="111">
        <f ca="1">IFERROR(__xludf.DUMMYFUNCTION("""COMPUTED_VALUE"""),24.17)</f>
        <v>24.17</v>
      </c>
    </row>
    <row r="1826" spans="1:20" x14ac:dyDescent="0.3">
      <c r="A1826" s="112">
        <f ca="1">IFERROR(__xludf.DUMMYFUNCTION("""COMPUTED_VALUE"""),42950.7055555555)</f>
        <v>42950.705555555498</v>
      </c>
      <c r="B1826" s="111">
        <f ca="1">IFERROR(__xludf.DUMMYFUNCTION("""COMPUTED_VALUE"""),13.67)</f>
        <v>13.67</v>
      </c>
      <c r="C1826" s="112">
        <f ca="1">IFERROR(__xludf.DUMMYFUNCTION("""COMPUTED_VALUE"""),42957.7055555555)</f>
        <v>42957.705555555498</v>
      </c>
      <c r="D1826" s="111">
        <f ca="1">IFERROR(__xludf.DUMMYFUNCTION("""COMPUTED_VALUE"""),26.03)</f>
        <v>26.03</v>
      </c>
      <c r="E1826" s="112">
        <f ca="1">IFERROR(__xludf.DUMMYFUNCTION("""COMPUTED_VALUE"""),42958.7055555555)</f>
        <v>42958.705555555498</v>
      </c>
      <c r="F1826" s="111">
        <f ca="1">IFERROR(__xludf.DUMMYFUNCTION("""COMPUTED_VALUE"""),8.46)</f>
        <v>8.4600000000000009</v>
      </c>
      <c r="G1826" s="112">
        <f ca="1">IFERROR(__xludf.DUMMYFUNCTION("""COMPUTED_VALUE"""),42954.7055555555)</f>
        <v>42954.705555555498</v>
      </c>
      <c r="H1826" s="111">
        <f ca="1">IFERROR(__xludf.DUMMYFUNCTION("""COMPUTED_VALUE"""),13.55)</f>
        <v>13.55</v>
      </c>
      <c r="K1826" s="112">
        <f ca="1">IFERROR(__xludf.DUMMYFUNCTION("""COMPUTED_VALUE"""),43409.7055555555)</f>
        <v>43409.705555555498</v>
      </c>
      <c r="L1826" s="111">
        <f ca="1">IFERROR(__xludf.DUMMYFUNCTION("""COMPUTED_VALUE"""),5.41)</f>
        <v>5.41</v>
      </c>
      <c r="M1826" s="112">
        <f ca="1">IFERROR(__xludf.DUMMYFUNCTION("""COMPUTED_VALUE"""),42870.7055555555)</f>
        <v>42870.705555555498</v>
      </c>
      <c r="N1826" s="111">
        <f ca="1">IFERROR(__xludf.DUMMYFUNCTION("""COMPUTED_VALUE"""),20.04)</f>
        <v>20.04</v>
      </c>
      <c r="O1826" s="112">
        <f ca="1">IFERROR(__xludf.DUMMYFUNCTION("""COMPUTED_VALUE"""),42943.7055555555)</f>
        <v>42943.705555555498</v>
      </c>
      <c r="P1826" s="111">
        <f ca="1">IFERROR(__xludf.DUMMYFUNCTION("""COMPUTED_VALUE"""),29.7)</f>
        <v>29.7</v>
      </c>
      <c r="Q1826" s="112">
        <f ca="1">IFERROR(__xludf.DUMMYFUNCTION("""COMPUTED_VALUE"""),42942.7055555555)</f>
        <v>42942.705555555498</v>
      </c>
      <c r="R1826" s="111">
        <f ca="1">IFERROR(__xludf.DUMMYFUNCTION("""COMPUTED_VALUE"""),28.84)</f>
        <v>28.84</v>
      </c>
      <c r="S1826" s="112">
        <f ca="1">IFERROR(__xludf.DUMMYFUNCTION("""COMPUTED_VALUE"""),42954.7055555555)</f>
        <v>42954.705555555498</v>
      </c>
      <c r="T1826" s="111">
        <f ca="1">IFERROR(__xludf.DUMMYFUNCTION("""COMPUTED_VALUE"""),24.45)</f>
        <v>24.45</v>
      </c>
    </row>
    <row r="1827" spans="1:20" x14ac:dyDescent="0.3">
      <c r="A1827" s="112">
        <f ca="1">IFERROR(__xludf.DUMMYFUNCTION("""COMPUTED_VALUE"""),42951.7055555555)</f>
        <v>42951.705555555498</v>
      </c>
      <c r="B1827" s="111">
        <f ca="1">IFERROR(__xludf.DUMMYFUNCTION("""COMPUTED_VALUE"""),14.09)</f>
        <v>14.09</v>
      </c>
      <c r="C1827" s="112">
        <f ca="1">IFERROR(__xludf.DUMMYFUNCTION("""COMPUTED_VALUE"""),42958.7055555555)</f>
        <v>42958.705555555498</v>
      </c>
      <c r="D1827" s="111">
        <f ca="1">IFERROR(__xludf.DUMMYFUNCTION("""COMPUTED_VALUE"""),26.17)</f>
        <v>26.17</v>
      </c>
      <c r="E1827" s="112">
        <f ca="1">IFERROR(__xludf.DUMMYFUNCTION("""COMPUTED_VALUE"""),42961.7055555555)</f>
        <v>42961.705555555498</v>
      </c>
      <c r="F1827" s="111">
        <f ca="1">IFERROR(__xludf.DUMMYFUNCTION("""COMPUTED_VALUE"""),8.58)</f>
        <v>8.58</v>
      </c>
      <c r="G1827" s="112">
        <f ca="1">IFERROR(__xludf.DUMMYFUNCTION("""COMPUTED_VALUE"""),42955.7055555555)</f>
        <v>42955.705555555498</v>
      </c>
      <c r="H1827" s="111">
        <f ca="1">IFERROR(__xludf.DUMMYFUNCTION("""COMPUTED_VALUE"""),13.49)</f>
        <v>13.49</v>
      </c>
      <c r="K1827" s="112">
        <f ca="1">IFERROR(__xludf.DUMMYFUNCTION("""COMPUTED_VALUE"""),43410.7055555555)</f>
        <v>43410.705555555498</v>
      </c>
      <c r="L1827" s="111">
        <f ca="1">IFERROR(__xludf.DUMMYFUNCTION("""COMPUTED_VALUE"""),4.95)</f>
        <v>4.95</v>
      </c>
      <c r="M1827" s="112">
        <f ca="1">IFERROR(__xludf.DUMMYFUNCTION("""COMPUTED_VALUE"""),42871.7055555555)</f>
        <v>42871.705555555498</v>
      </c>
      <c r="N1827" s="111">
        <f ca="1">IFERROR(__xludf.DUMMYFUNCTION("""COMPUTED_VALUE"""),20.07)</f>
        <v>20.07</v>
      </c>
      <c r="O1827" s="112">
        <f ca="1">IFERROR(__xludf.DUMMYFUNCTION("""COMPUTED_VALUE"""),42944.7055555555)</f>
        <v>42944.705555555498</v>
      </c>
      <c r="P1827" s="111">
        <f ca="1">IFERROR(__xludf.DUMMYFUNCTION("""COMPUTED_VALUE"""),30.34)</f>
        <v>30.34</v>
      </c>
      <c r="Q1827" s="112">
        <f ca="1">IFERROR(__xludf.DUMMYFUNCTION("""COMPUTED_VALUE"""),42943.7055555555)</f>
        <v>42943.705555555498</v>
      </c>
      <c r="R1827" s="111">
        <f ca="1">IFERROR(__xludf.DUMMYFUNCTION("""COMPUTED_VALUE"""),28.59)</f>
        <v>28.59</v>
      </c>
      <c r="S1827" s="112">
        <f ca="1">IFERROR(__xludf.DUMMYFUNCTION("""COMPUTED_VALUE"""),42955.7055555555)</f>
        <v>42955.705555555498</v>
      </c>
      <c r="T1827" s="111">
        <f ca="1">IFERROR(__xludf.DUMMYFUNCTION("""COMPUTED_VALUE"""),24.83)</f>
        <v>24.83</v>
      </c>
    </row>
    <row r="1828" spans="1:20" x14ac:dyDescent="0.3">
      <c r="A1828" s="112">
        <f ca="1">IFERROR(__xludf.DUMMYFUNCTION("""COMPUTED_VALUE"""),42954.7055555555)</f>
        <v>42954.705555555498</v>
      </c>
      <c r="B1828" s="111">
        <f ca="1">IFERROR(__xludf.DUMMYFUNCTION("""COMPUTED_VALUE"""),14.27)</f>
        <v>14.27</v>
      </c>
      <c r="C1828" s="112">
        <f ca="1">IFERROR(__xludf.DUMMYFUNCTION("""COMPUTED_VALUE"""),42961.7055555555)</f>
        <v>42961.705555555498</v>
      </c>
      <c r="D1828" s="111">
        <f ca="1">IFERROR(__xludf.DUMMYFUNCTION("""COMPUTED_VALUE"""),26.64)</f>
        <v>26.64</v>
      </c>
      <c r="E1828" s="112">
        <f ca="1">IFERROR(__xludf.DUMMYFUNCTION("""COMPUTED_VALUE"""),42962.7055555555)</f>
        <v>42962.705555555498</v>
      </c>
      <c r="F1828" s="111">
        <f ca="1">IFERROR(__xludf.DUMMYFUNCTION("""COMPUTED_VALUE"""),8.55)</f>
        <v>8.5500000000000007</v>
      </c>
      <c r="G1828" s="112">
        <f ca="1">IFERROR(__xludf.DUMMYFUNCTION("""COMPUTED_VALUE"""),42956.7055555555)</f>
        <v>42956.705555555498</v>
      </c>
      <c r="H1828" s="111">
        <f ca="1">IFERROR(__xludf.DUMMYFUNCTION("""COMPUTED_VALUE"""),13.52)</f>
        <v>13.52</v>
      </c>
      <c r="K1828" s="112">
        <f ca="1">IFERROR(__xludf.DUMMYFUNCTION("""COMPUTED_VALUE"""),43411.7055555555)</f>
        <v>43411.705555555498</v>
      </c>
      <c r="L1828" s="111">
        <f ca="1">IFERROR(__xludf.DUMMYFUNCTION("""COMPUTED_VALUE"""),4.72)</f>
        <v>4.72</v>
      </c>
      <c r="M1828" s="112">
        <f ca="1">IFERROR(__xludf.DUMMYFUNCTION("""COMPUTED_VALUE"""),42872.7055555555)</f>
        <v>42872.705555555498</v>
      </c>
      <c r="N1828" s="111">
        <f ca="1">IFERROR(__xludf.DUMMYFUNCTION("""COMPUTED_VALUE"""),19.67)</f>
        <v>19.670000000000002</v>
      </c>
      <c r="O1828" s="112">
        <f ca="1">IFERROR(__xludf.DUMMYFUNCTION("""COMPUTED_VALUE"""),42947.7055555555)</f>
        <v>42947.705555555498</v>
      </c>
      <c r="P1828" s="111">
        <f ca="1">IFERROR(__xludf.DUMMYFUNCTION("""COMPUTED_VALUE"""),31.3)</f>
        <v>31.3</v>
      </c>
      <c r="Q1828" s="112">
        <f ca="1">IFERROR(__xludf.DUMMYFUNCTION("""COMPUTED_VALUE"""),42944.7055555555)</f>
        <v>42944.705555555498</v>
      </c>
      <c r="R1828" s="111">
        <f ca="1">IFERROR(__xludf.DUMMYFUNCTION("""COMPUTED_VALUE"""),28.56)</f>
        <v>28.56</v>
      </c>
      <c r="S1828" s="112">
        <f ca="1">IFERROR(__xludf.DUMMYFUNCTION("""COMPUTED_VALUE"""),42956.7055555555)</f>
        <v>42956.705555555498</v>
      </c>
      <c r="T1828" s="111">
        <f ca="1">IFERROR(__xludf.DUMMYFUNCTION("""COMPUTED_VALUE"""),24.98)</f>
        <v>24.98</v>
      </c>
    </row>
    <row r="1829" spans="1:20" x14ac:dyDescent="0.3">
      <c r="A1829" s="112">
        <f ca="1">IFERROR(__xludf.DUMMYFUNCTION("""COMPUTED_VALUE"""),42955.7055555555)</f>
        <v>42955.705555555498</v>
      </c>
      <c r="B1829" s="111">
        <f ca="1">IFERROR(__xludf.DUMMYFUNCTION("""COMPUTED_VALUE"""),14.21)</f>
        <v>14.21</v>
      </c>
      <c r="C1829" s="112">
        <f ca="1">IFERROR(__xludf.DUMMYFUNCTION("""COMPUTED_VALUE"""),42962.7055555555)</f>
        <v>42962.705555555498</v>
      </c>
      <c r="D1829" s="111">
        <f ca="1">IFERROR(__xludf.DUMMYFUNCTION("""COMPUTED_VALUE"""),26.49)</f>
        <v>26.49</v>
      </c>
      <c r="E1829" s="112">
        <f ca="1">IFERROR(__xludf.DUMMYFUNCTION("""COMPUTED_VALUE"""),42963.7055555555)</f>
        <v>42963.705555555498</v>
      </c>
      <c r="F1829" s="111">
        <f ca="1">IFERROR(__xludf.DUMMYFUNCTION("""COMPUTED_VALUE"""),8.56)</f>
        <v>8.56</v>
      </c>
      <c r="G1829" s="112">
        <f ca="1">IFERROR(__xludf.DUMMYFUNCTION("""COMPUTED_VALUE"""),42957.7055555555)</f>
        <v>42957.705555555498</v>
      </c>
      <c r="H1829" s="111">
        <f ca="1">IFERROR(__xludf.DUMMYFUNCTION("""COMPUTED_VALUE"""),13.19)</f>
        <v>13.19</v>
      </c>
      <c r="K1829" s="112">
        <f ca="1">IFERROR(__xludf.DUMMYFUNCTION("""COMPUTED_VALUE"""),43412.7055555555)</f>
        <v>43412.705555555498</v>
      </c>
      <c r="L1829" s="111">
        <f ca="1">IFERROR(__xludf.DUMMYFUNCTION("""COMPUTED_VALUE"""),4.61)</f>
        <v>4.6100000000000003</v>
      </c>
      <c r="M1829" s="112">
        <f ca="1">IFERROR(__xludf.DUMMYFUNCTION("""COMPUTED_VALUE"""),42873.7055555555)</f>
        <v>42873.705555555498</v>
      </c>
      <c r="N1829" s="111">
        <f ca="1">IFERROR(__xludf.DUMMYFUNCTION("""COMPUTED_VALUE"""),17.09)</f>
        <v>17.09</v>
      </c>
      <c r="O1829" s="112">
        <f ca="1">IFERROR(__xludf.DUMMYFUNCTION("""COMPUTED_VALUE"""),42948.7055555555)</f>
        <v>42948.705555555498</v>
      </c>
      <c r="P1829" s="111">
        <f ca="1">IFERROR(__xludf.DUMMYFUNCTION("""COMPUTED_VALUE"""),31.06)</f>
        <v>31.06</v>
      </c>
      <c r="Q1829" s="112">
        <f ca="1">IFERROR(__xludf.DUMMYFUNCTION("""COMPUTED_VALUE"""),42947.7055555555)</f>
        <v>42947.705555555498</v>
      </c>
      <c r="R1829" s="111">
        <f ca="1">IFERROR(__xludf.DUMMYFUNCTION("""COMPUTED_VALUE"""),28.7)</f>
        <v>28.7</v>
      </c>
      <c r="S1829" s="112">
        <f ca="1">IFERROR(__xludf.DUMMYFUNCTION("""COMPUTED_VALUE"""),42957.7055555555)</f>
        <v>42957.705555555498</v>
      </c>
      <c r="T1829" s="111">
        <f ca="1">IFERROR(__xludf.DUMMYFUNCTION("""COMPUTED_VALUE"""),25)</f>
        <v>25</v>
      </c>
    </row>
    <row r="1830" spans="1:20" x14ac:dyDescent="0.3">
      <c r="A1830" s="112">
        <f ca="1">IFERROR(__xludf.DUMMYFUNCTION("""COMPUTED_VALUE"""),42956.7055555555)</f>
        <v>42956.705555555498</v>
      </c>
      <c r="B1830" s="111">
        <f ca="1">IFERROR(__xludf.DUMMYFUNCTION("""COMPUTED_VALUE"""),13.99)</f>
        <v>13.99</v>
      </c>
      <c r="C1830" s="112">
        <f ca="1">IFERROR(__xludf.DUMMYFUNCTION("""COMPUTED_VALUE"""),42963.7055555555)</f>
        <v>42963.705555555498</v>
      </c>
      <c r="D1830" s="111">
        <f ca="1">IFERROR(__xludf.DUMMYFUNCTION("""COMPUTED_VALUE"""),26.54)</f>
        <v>26.54</v>
      </c>
      <c r="E1830" s="112">
        <f ca="1">IFERROR(__xludf.DUMMYFUNCTION("""COMPUTED_VALUE"""),42964.7055555555)</f>
        <v>42964.705555555498</v>
      </c>
      <c r="F1830" s="111">
        <f ca="1">IFERROR(__xludf.DUMMYFUNCTION("""COMPUTED_VALUE"""),8.49)</f>
        <v>8.49</v>
      </c>
      <c r="G1830" s="112">
        <f ca="1">IFERROR(__xludf.DUMMYFUNCTION("""COMPUTED_VALUE"""),42958.7055555555)</f>
        <v>42958.705555555498</v>
      </c>
      <c r="H1830" s="111">
        <f ca="1">IFERROR(__xludf.DUMMYFUNCTION("""COMPUTED_VALUE"""),12.95)</f>
        <v>12.95</v>
      </c>
      <c r="K1830" s="112">
        <f ca="1">IFERROR(__xludf.DUMMYFUNCTION("""COMPUTED_VALUE"""),43413.7055555555)</f>
        <v>43413.705555555498</v>
      </c>
      <c r="L1830" s="111">
        <f ca="1">IFERROR(__xludf.DUMMYFUNCTION("""COMPUTED_VALUE"""),4.58)</f>
        <v>4.58</v>
      </c>
      <c r="M1830" s="112">
        <f ca="1">IFERROR(__xludf.DUMMYFUNCTION("""COMPUTED_VALUE"""),42874.7055555555)</f>
        <v>42874.705555555498</v>
      </c>
      <c r="N1830" s="111">
        <f ca="1">IFERROR(__xludf.DUMMYFUNCTION("""COMPUTED_VALUE"""),17.37)</f>
        <v>17.37</v>
      </c>
      <c r="O1830" s="112">
        <f ca="1">IFERROR(__xludf.DUMMYFUNCTION("""COMPUTED_VALUE"""),42949.7055555555)</f>
        <v>42949.705555555498</v>
      </c>
      <c r="P1830" s="111">
        <f ca="1">IFERROR(__xludf.DUMMYFUNCTION("""COMPUTED_VALUE"""),31.11)</f>
        <v>31.11</v>
      </c>
      <c r="Q1830" s="112">
        <f ca="1">IFERROR(__xludf.DUMMYFUNCTION("""COMPUTED_VALUE"""),42948.7055555555)</f>
        <v>42948.705555555498</v>
      </c>
      <c r="R1830" s="111">
        <f ca="1">IFERROR(__xludf.DUMMYFUNCTION("""COMPUTED_VALUE"""),29.3)</f>
        <v>29.3</v>
      </c>
      <c r="S1830" s="112">
        <f ca="1">IFERROR(__xludf.DUMMYFUNCTION("""COMPUTED_VALUE"""),42958.7055555555)</f>
        <v>42958.705555555498</v>
      </c>
      <c r="T1830" s="111">
        <f ca="1">IFERROR(__xludf.DUMMYFUNCTION("""COMPUTED_VALUE"""),25.12)</f>
        <v>25.12</v>
      </c>
    </row>
    <row r="1831" spans="1:20" x14ac:dyDescent="0.3">
      <c r="A1831" s="112">
        <f ca="1">IFERROR(__xludf.DUMMYFUNCTION("""COMPUTED_VALUE"""),42957.7055555555)</f>
        <v>42957.705555555498</v>
      </c>
      <c r="B1831" s="111">
        <f ca="1">IFERROR(__xludf.DUMMYFUNCTION("""COMPUTED_VALUE"""),13.5)</f>
        <v>13.5</v>
      </c>
      <c r="C1831" s="112">
        <f ca="1">IFERROR(__xludf.DUMMYFUNCTION("""COMPUTED_VALUE"""),42964.7055555555)</f>
        <v>42964.705555555498</v>
      </c>
      <c r="D1831" s="111">
        <f ca="1">IFERROR(__xludf.DUMMYFUNCTION("""COMPUTED_VALUE"""),26.33)</f>
        <v>26.33</v>
      </c>
      <c r="E1831" s="112">
        <f ca="1">IFERROR(__xludf.DUMMYFUNCTION("""COMPUTED_VALUE"""),42965.7055555555)</f>
        <v>42965.705555555498</v>
      </c>
      <c r="F1831" s="111">
        <f ca="1">IFERROR(__xludf.DUMMYFUNCTION("""COMPUTED_VALUE"""),8.61)</f>
        <v>8.61</v>
      </c>
      <c r="G1831" s="112">
        <f ca="1">IFERROR(__xludf.DUMMYFUNCTION("""COMPUTED_VALUE"""),42961.7055555555)</f>
        <v>42961.705555555498</v>
      </c>
      <c r="H1831" s="111">
        <f ca="1">IFERROR(__xludf.DUMMYFUNCTION("""COMPUTED_VALUE"""),13.08)</f>
        <v>13.08</v>
      </c>
      <c r="K1831" s="112">
        <f ca="1">IFERROR(__xludf.DUMMYFUNCTION("""COMPUTED_VALUE"""),43416.7055555555)</f>
        <v>43416.705555555498</v>
      </c>
      <c r="L1831" s="111">
        <f ca="1">IFERROR(__xludf.DUMMYFUNCTION("""COMPUTED_VALUE"""),4.8)</f>
        <v>4.8</v>
      </c>
      <c r="M1831" s="112">
        <f ca="1">IFERROR(__xludf.DUMMYFUNCTION("""COMPUTED_VALUE"""),42877.7055555555)</f>
        <v>42877.705555555498</v>
      </c>
      <c r="N1831" s="111">
        <f ca="1">IFERROR(__xludf.DUMMYFUNCTION("""COMPUTED_VALUE"""),16.88)</f>
        <v>16.88</v>
      </c>
      <c r="O1831" s="112">
        <f ca="1">IFERROR(__xludf.DUMMYFUNCTION("""COMPUTED_VALUE"""),42950.7055555555)</f>
        <v>42950.705555555498</v>
      </c>
      <c r="P1831" s="111">
        <f ca="1">IFERROR(__xludf.DUMMYFUNCTION("""COMPUTED_VALUE"""),30.68)</f>
        <v>30.68</v>
      </c>
      <c r="Q1831" s="112">
        <f ca="1">IFERROR(__xludf.DUMMYFUNCTION("""COMPUTED_VALUE"""),42949.7055555555)</f>
        <v>42949.705555555498</v>
      </c>
      <c r="R1831" s="111">
        <f ca="1">IFERROR(__xludf.DUMMYFUNCTION("""COMPUTED_VALUE"""),30.48)</f>
        <v>30.48</v>
      </c>
      <c r="S1831" s="112">
        <f ca="1">IFERROR(__xludf.DUMMYFUNCTION("""COMPUTED_VALUE"""),42961.7055555555)</f>
        <v>42961.705555555498</v>
      </c>
      <c r="T1831" s="111">
        <f ca="1">IFERROR(__xludf.DUMMYFUNCTION("""COMPUTED_VALUE"""),25.41)</f>
        <v>25.41</v>
      </c>
    </row>
    <row r="1832" spans="1:20" x14ac:dyDescent="0.3">
      <c r="A1832" s="112">
        <f ca="1">IFERROR(__xludf.DUMMYFUNCTION("""COMPUTED_VALUE"""),42958.7055555555)</f>
        <v>42958.705555555498</v>
      </c>
      <c r="B1832" s="111">
        <f ca="1">IFERROR(__xludf.DUMMYFUNCTION("""COMPUTED_VALUE"""),13.58)</f>
        <v>13.58</v>
      </c>
      <c r="C1832" s="112">
        <f ca="1">IFERROR(__xludf.DUMMYFUNCTION("""COMPUTED_VALUE"""),42965.7055555555)</f>
        <v>42965.705555555498</v>
      </c>
      <c r="D1832" s="111">
        <f ca="1">IFERROR(__xludf.DUMMYFUNCTION("""COMPUTED_VALUE"""),26.58)</f>
        <v>26.58</v>
      </c>
      <c r="E1832" s="112">
        <f ca="1">IFERROR(__xludf.DUMMYFUNCTION("""COMPUTED_VALUE"""),42968.7055555555)</f>
        <v>42968.705555555498</v>
      </c>
      <c r="F1832" s="111">
        <f ca="1">IFERROR(__xludf.DUMMYFUNCTION("""COMPUTED_VALUE"""),8.6)</f>
        <v>8.6</v>
      </c>
      <c r="G1832" s="112">
        <f ca="1">IFERROR(__xludf.DUMMYFUNCTION("""COMPUTED_VALUE"""),42962.7055555555)</f>
        <v>42962.705555555498</v>
      </c>
      <c r="H1832" s="111">
        <f ca="1">IFERROR(__xludf.DUMMYFUNCTION("""COMPUTED_VALUE"""),13.15)</f>
        <v>13.15</v>
      </c>
      <c r="K1832" s="112">
        <f ca="1">IFERROR(__xludf.DUMMYFUNCTION("""COMPUTED_VALUE"""),43417.7055555555)</f>
        <v>43417.705555555498</v>
      </c>
      <c r="L1832" s="111">
        <f ca="1">IFERROR(__xludf.DUMMYFUNCTION("""COMPUTED_VALUE"""),4.8)</f>
        <v>4.8</v>
      </c>
      <c r="M1832" s="112">
        <f ca="1">IFERROR(__xludf.DUMMYFUNCTION("""COMPUTED_VALUE"""),42878.7055555555)</f>
        <v>42878.705555555498</v>
      </c>
      <c r="N1832" s="111">
        <f ca="1">IFERROR(__xludf.DUMMYFUNCTION("""COMPUTED_VALUE"""),16.99)</f>
        <v>16.989999999999998</v>
      </c>
      <c r="O1832" s="112">
        <f ca="1">IFERROR(__xludf.DUMMYFUNCTION("""COMPUTED_VALUE"""),42951.7055555555)</f>
        <v>42951.705555555498</v>
      </c>
      <c r="P1832" s="111">
        <f ca="1">IFERROR(__xludf.DUMMYFUNCTION("""COMPUTED_VALUE"""),31.23)</f>
        <v>31.23</v>
      </c>
      <c r="Q1832" s="112">
        <f ca="1">IFERROR(__xludf.DUMMYFUNCTION("""COMPUTED_VALUE"""),42950.7055555555)</f>
        <v>42950.705555555498</v>
      </c>
      <c r="R1832" s="111">
        <f ca="1">IFERROR(__xludf.DUMMYFUNCTION("""COMPUTED_VALUE"""),30.68)</f>
        <v>30.68</v>
      </c>
      <c r="S1832" s="112">
        <f ca="1">IFERROR(__xludf.DUMMYFUNCTION("""COMPUTED_VALUE"""),42962.7055555555)</f>
        <v>42962.705555555498</v>
      </c>
      <c r="T1832" s="111">
        <f ca="1">IFERROR(__xludf.DUMMYFUNCTION("""COMPUTED_VALUE"""),25.62)</f>
        <v>25.62</v>
      </c>
    </row>
    <row r="1833" spans="1:20" x14ac:dyDescent="0.3">
      <c r="A1833" s="112">
        <f ca="1">IFERROR(__xludf.DUMMYFUNCTION("""COMPUTED_VALUE"""),42961.7055555555)</f>
        <v>42961.705555555498</v>
      </c>
      <c r="B1833" s="111">
        <f ca="1">IFERROR(__xludf.DUMMYFUNCTION("""COMPUTED_VALUE"""),13.52)</f>
        <v>13.52</v>
      </c>
      <c r="C1833" s="112">
        <f ca="1">IFERROR(__xludf.DUMMYFUNCTION("""COMPUTED_VALUE"""),42968.7055555555)</f>
        <v>42968.705555555498</v>
      </c>
      <c r="D1833" s="111">
        <f ca="1">IFERROR(__xludf.DUMMYFUNCTION("""COMPUTED_VALUE"""),26.39)</f>
        <v>26.39</v>
      </c>
      <c r="E1833" s="112">
        <f ca="1">IFERROR(__xludf.DUMMYFUNCTION("""COMPUTED_VALUE"""),42969.7055555555)</f>
        <v>42969.705555555498</v>
      </c>
      <c r="F1833" s="111">
        <f ca="1">IFERROR(__xludf.DUMMYFUNCTION("""COMPUTED_VALUE"""),8.68)</f>
        <v>8.68</v>
      </c>
      <c r="G1833" s="112">
        <f ca="1">IFERROR(__xludf.DUMMYFUNCTION("""COMPUTED_VALUE"""),42963.7055555555)</f>
        <v>42963.705555555498</v>
      </c>
      <c r="H1833" s="111">
        <f ca="1">IFERROR(__xludf.DUMMYFUNCTION("""COMPUTED_VALUE"""),13.13)</f>
        <v>13.13</v>
      </c>
      <c r="K1833" s="112">
        <f ca="1">IFERROR(__xludf.DUMMYFUNCTION("""COMPUTED_VALUE"""),43418.7055555555)</f>
        <v>43418.705555555498</v>
      </c>
      <c r="L1833" s="111">
        <f ca="1">IFERROR(__xludf.DUMMYFUNCTION("""COMPUTED_VALUE"""),4.86)</f>
        <v>4.8600000000000003</v>
      </c>
      <c r="M1833" s="112">
        <f ca="1">IFERROR(__xludf.DUMMYFUNCTION("""COMPUTED_VALUE"""),42879.7055555555)</f>
        <v>42879.705555555498</v>
      </c>
      <c r="N1833" s="111">
        <f ca="1">IFERROR(__xludf.DUMMYFUNCTION("""COMPUTED_VALUE"""),17.19)</f>
        <v>17.190000000000001</v>
      </c>
      <c r="O1833" s="112">
        <f ca="1">IFERROR(__xludf.DUMMYFUNCTION("""COMPUTED_VALUE"""),42954.7055555555)</f>
        <v>42954.705555555498</v>
      </c>
      <c r="P1833" s="111">
        <f ca="1">IFERROR(__xludf.DUMMYFUNCTION("""COMPUTED_VALUE"""),32.42)</f>
        <v>32.42</v>
      </c>
      <c r="Q1833" s="112">
        <f ca="1">IFERROR(__xludf.DUMMYFUNCTION("""COMPUTED_VALUE"""),42951.7055555555)</f>
        <v>42951.705555555498</v>
      </c>
      <c r="R1833" s="111">
        <f ca="1">IFERROR(__xludf.DUMMYFUNCTION("""COMPUTED_VALUE"""),30.87)</f>
        <v>30.87</v>
      </c>
      <c r="S1833" s="112">
        <f ca="1">IFERROR(__xludf.DUMMYFUNCTION("""COMPUTED_VALUE"""),42963.7055555555)</f>
        <v>42963.705555555498</v>
      </c>
      <c r="T1833" s="111">
        <f ca="1">IFERROR(__xludf.DUMMYFUNCTION("""COMPUTED_VALUE"""),25.42)</f>
        <v>25.42</v>
      </c>
    </row>
    <row r="1834" spans="1:20" x14ac:dyDescent="0.3">
      <c r="A1834" s="112">
        <f ca="1">IFERROR(__xludf.DUMMYFUNCTION("""COMPUTED_VALUE"""),42962.7055555555)</f>
        <v>42962.705555555498</v>
      </c>
      <c r="B1834" s="111">
        <f ca="1">IFERROR(__xludf.DUMMYFUNCTION("""COMPUTED_VALUE"""),13.51)</f>
        <v>13.51</v>
      </c>
      <c r="C1834" s="112">
        <f ca="1">IFERROR(__xludf.DUMMYFUNCTION("""COMPUTED_VALUE"""),42969.7055555555)</f>
        <v>42969.705555555498</v>
      </c>
      <c r="D1834" s="111">
        <f ca="1">IFERROR(__xludf.DUMMYFUNCTION("""COMPUTED_VALUE"""),26.95)</f>
        <v>26.95</v>
      </c>
      <c r="E1834" s="112">
        <f ca="1">IFERROR(__xludf.DUMMYFUNCTION("""COMPUTED_VALUE"""),42970.7055555555)</f>
        <v>42970.705555555498</v>
      </c>
      <c r="F1834" s="111">
        <f ca="1">IFERROR(__xludf.DUMMYFUNCTION("""COMPUTED_VALUE"""),8.87)</f>
        <v>8.8699999999999992</v>
      </c>
      <c r="G1834" s="112">
        <f ca="1">IFERROR(__xludf.DUMMYFUNCTION("""COMPUTED_VALUE"""),42964.7055555555)</f>
        <v>42964.705555555498</v>
      </c>
      <c r="H1834" s="111">
        <f ca="1">IFERROR(__xludf.DUMMYFUNCTION("""COMPUTED_VALUE"""),13.05)</f>
        <v>13.05</v>
      </c>
      <c r="K1834" s="112">
        <f ca="1">IFERROR(__xludf.DUMMYFUNCTION("""COMPUTED_VALUE"""),43420.7055555555)</f>
        <v>43420.705555555498</v>
      </c>
      <c r="L1834" s="111">
        <f ca="1">IFERROR(__xludf.DUMMYFUNCTION("""COMPUTED_VALUE"""),4.89)</f>
        <v>4.8899999999999997</v>
      </c>
      <c r="M1834" s="112">
        <f ca="1">IFERROR(__xludf.DUMMYFUNCTION("""COMPUTED_VALUE"""),42880.7055555555)</f>
        <v>42880.705555555498</v>
      </c>
      <c r="N1834" s="111">
        <f ca="1">IFERROR(__xludf.DUMMYFUNCTION("""COMPUTED_VALUE"""),17.07)</f>
        <v>17.07</v>
      </c>
      <c r="O1834" s="112">
        <f ca="1">IFERROR(__xludf.DUMMYFUNCTION("""COMPUTED_VALUE"""),42955.7055555555)</f>
        <v>42955.705555555498</v>
      </c>
      <c r="P1834" s="111">
        <f ca="1">IFERROR(__xludf.DUMMYFUNCTION("""COMPUTED_VALUE"""),32.05)</f>
        <v>32.049999999999997</v>
      </c>
      <c r="Q1834" s="112">
        <f ca="1">IFERROR(__xludf.DUMMYFUNCTION("""COMPUTED_VALUE"""),42954.7055555555)</f>
        <v>42954.705555555498</v>
      </c>
      <c r="R1834" s="111">
        <f ca="1">IFERROR(__xludf.DUMMYFUNCTION("""COMPUTED_VALUE"""),31.35)</f>
        <v>31.35</v>
      </c>
      <c r="S1834" s="112">
        <f ca="1">IFERROR(__xludf.DUMMYFUNCTION("""COMPUTED_VALUE"""),42964.7055555555)</f>
        <v>42964.705555555498</v>
      </c>
      <c r="T1834" s="111">
        <f ca="1">IFERROR(__xludf.DUMMYFUNCTION("""COMPUTED_VALUE"""),25.21)</f>
        <v>25.21</v>
      </c>
    </row>
    <row r="1835" spans="1:20" x14ac:dyDescent="0.3">
      <c r="A1835" s="112">
        <f ca="1">IFERROR(__xludf.DUMMYFUNCTION("""COMPUTED_VALUE"""),42963.7055555555)</f>
        <v>42963.705555555498</v>
      </c>
      <c r="B1835" s="111">
        <f ca="1">IFERROR(__xludf.DUMMYFUNCTION("""COMPUTED_VALUE"""),13.75)</f>
        <v>13.75</v>
      </c>
      <c r="C1835" s="112">
        <f ca="1">IFERROR(__xludf.DUMMYFUNCTION("""COMPUTED_VALUE"""),42970.7055555555)</f>
        <v>42970.705555555498</v>
      </c>
      <c r="D1835" s="111">
        <f ca="1">IFERROR(__xludf.DUMMYFUNCTION("""COMPUTED_VALUE"""),27.24)</f>
        <v>27.24</v>
      </c>
      <c r="E1835" s="112">
        <f ca="1">IFERROR(__xludf.DUMMYFUNCTION("""COMPUTED_VALUE"""),42971.7055555555)</f>
        <v>42971.705555555498</v>
      </c>
      <c r="F1835" s="111">
        <f ca="1">IFERROR(__xludf.DUMMYFUNCTION("""COMPUTED_VALUE"""),8.94)</f>
        <v>8.94</v>
      </c>
      <c r="G1835" s="112">
        <f ca="1">IFERROR(__xludf.DUMMYFUNCTION("""COMPUTED_VALUE"""),42965.7055555555)</f>
        <v>42965.705555555498</v>
      </c>
      <c r="H1835" s="111">
        <f ca="1">IFERROR(__xludf.DUMMYFUNCTION("""COMPUTED_VALUE"""),13.6)</f>
        <v>13.6</v>
      </c>
      <c r="K1835" s="112">
        <f ca="1">IFERROR(__xludf.DUMMYFUNCTION("""COMPUTED_VALUE"""),43423.7055555555)</f>
        <v>43423.705555555498</v>
      </c>
      <c r="L1835" s="111">
        <f ca="1">IFERROR(__xludf.DUMMYFUNCTION("""COMPUTED_VALUE"""),4.88)</f>
        <v>4.88</v>
      </c>
      <c r="M1835" s="112">
        <f ca="1">IFERROR(__xludf.DUMMYFUNCTION("""COMPUTED_VALUE"""),42881.7055555555)</f>
        <v>42881.705555555498</v>
      </c>
      <c r="N1835" s="111">
        <f ca="1">IFERROR(__xludf.DUMMYFUNCTION("""COMPUTED_VALUE"""),17.46)</f>
        <v>17.46</v>
      </c>
      <c r="O1835" s="112">
        <f ca="1">IFERROR(__xludf.DUMMYFUNCTION("""COMPUTED_VALUE"""),42956.7055555555)</f>
        <v>42956.705555555498</v>
      </c>
      <c r="P1835" s="111">
        <f ca="1">IFERROR(__xludf.DUMMYFUNCTION("""COMPUTED_VALUE"""),31.92)</f>
        <v>31.92</v>
      </c>
      <c r="Q1835" s="112">
        <f ca="1">IFERROR(__xludf.DUMMYFUNCTION("""COMPUTED_VALUE"""),42955.7055555555)</f>
        <v>42955.705555555498</v>
      </c>
      <c r="R1835" s="111">
        <f ca="1">IFERROR(__xludf.DUMMYFUNCTION("""COMPUTED_VALUE"""),31.35)</f>
        <v>31.35</v>
      </c>
      <c r="S1835" s="112">
        <f ca="1">IFERROR(__xludf.DUMMYFUNCTION("""COMPUTED_VALUE"""),42965.7055555555)</f>
        <v>42965.705555555498</v>
      </c>
      <c r="T1835" s="111">
        <f ca="1">IFERROR(__xludf.DUMMYFUNCTION("""COMPUTED_VALUE"""),24.98)</f>
        <v>24.98</v>
      </c>
    </row>
    <row r="1836" spans="1:20" x14ac:dyDescent="0.3">
      <c r="A1836" s="112">
        <f ca="1">IFERROR(__xludf.DUMMYFUNCTION("""COMPUTED_VALUE"""),42964.7055555555)</f>
        <v>42964.705555555498</v>
      </c>
      <c r="B1836" s="111">
        <f ca="1">IFERROR(__xludf.DUMMYFUNCTION("""COMPUTED_VALUE"""),13.56)</f>
        <v>13.56</v>
      </c>
      <c r="C1836" s="112">
        <f ca="1">IFERROR(__xludf.DUMMYFUNCTION("""COMPUTED_VALUE"""),42971.7055555555)</f>
        <v>42971.705555555498</v>
      </c>
      <c r="D1836" s="111">
        <f ca="1">IFERROR(__xludf.DUMMYFUNCTION("""COMPUTED_VALUE"""),27.47)</f>
        <v>27.47</v>
      </c>
      <c r="E1836" s="112">
        <f ca="1">IFERROR(__xludf.DUMMYFUNCTION("""COMPUTED_VALUE"""),42972.7055555555)</f>
        <v>42972.705555555498</v>
      </c>
      <c r="F1836" s="111">
        <f ca="1">IFERROR(__xludf.DUMMYFUNCTION("""COMPUTED_VALUE"""),8.92)</f>
        <v>8.92</v>
      </c>
      <c r="G1836" s="112">
        <f ca="1">IFERROR(__xludf.DUMMYFUNCTION("""COMPUTED_VALUE"""),42968.7055555555)</f>
        <v>42968.705555555498</v>
      </c>
      <c r="H1836" s="111">
        <f ca="1">IFERROR(__xludf.DUMMYFUNCTION("""COMPUTED_VALUE"""),13.34)</f>
        <v>13.34</v>
      </c>
      <c r="K1836" s="112">
        <f ca="1">IFERROR(__xludf.DUMMYFUNCTION("""COMPUTED_VALUE"""),43425.7055555555)</f>
        <v>43425.705555555498</v>
      </c>
      <c r="L1836" s="111">
        <f ca="1">IFERROR(__xludf.DUMMYFUNCTION("""COMPUTED_VALUE"""),4.85)</f>
        <v>4.8499999999999996</v>
      </c>
      <c r="M1836" s="112">
        <f ca="1">IFERROR(__xludf.DUMMYFUNCTION("""COMPUTED_VALUE"""),42884.7055555555)</f>
        <v>42884.705555555498</v>
      </c>
      <c r="N1836" s="111">
        <f ca="1">IFERROR(__xludf.DUMMYFUNCTION("""COMPUTED_VALUE"""),17.29)</f>
        <v>17.29</v>
      </c>
      <c r="O1836" s="112">
        <f ca="1">IFERROR(__xludf.DUMMYFUNCTION("""COMPUTED_VALUE"""),42957.7055555555)</f>
        <v>42957.705555555498</v>
      </c>
      <c r="P1836" s="111">
        <f ca="1">IFERROR(__xludf.DUMMYFUNCTION("""COMPUTED_VALUE"""),31.5)</f>
        <v>31.5</v>
      </c>
      <c r="Q1836" s="112">
        <f ca="1">IFERROR(__xludf.DUMMYFUNCTION("""COMPUTED_VALUE"""),42956.7055555555)</f>
        <v>42956.705555555498</v>
      </c>
      <c r="R1836" s="111">
        <f ca="1">IFERROR(__xludf.DUMMYFUNCTION("""COMPUTED_VALUE"""),30.77)</f>
        <v>30.77</v>
      </c>
      <c r="S1836" s="112">
        <f ca="1">IFERROR(__xludf.DUMMYFUNCTION("""COMPUTED_VALUE"""),42968.7055555555)</f>
        <v>42968.705555555498</v>
      </c>
      <c r="T1836" s="111">
        <f ca="1">IFERROR(__xludf.DUMMYFUNCTION("""COMPUTED_VALUE"""),24.56)</f>
        <v>24.56</v>
      </c>
    </row>
    <row r="1837" spans="1:20" x14ac:dyDescent="0.3">
      <c r="A1837" s="112">
        <f ca="1">IFERROR(__xludf.DUMMYFUNCTION("""COMPUTED_VALUE"""),42965.7055555555)</f>
        <v>42965.705555555498</v>
      </c>
      <c r="B1837" s="111">
        <f ca="1">IFERROR(__xludf.DUMMYFUNCTION("""COMPUTED_VALUE"""),13.59)</f>
        <v>13.59</v>
      </c>
      <c r="C1837" s="112">
        <f ca="1">IFERROR(__xludf.DUMMYFUNCTION("""COMPUTED_VALUE"""),42972.7055555555)</f>
        <v>42972.705555555498</v>
      </c>
      <c r="D1837" s="111">
        <f ca="1">IFERROR(__xludf.DUMMYFUNCTION("""COMPUTED_VALUE"""),27.39)</f>
        <v>27.39</v>
      </c>
      <c r="E1837" s="112">
        <f ca="1">IFERROR(__xludf.DUMMYFUNCTION("""COMPUTED_VALUE"""),42975.7055555555)</f>
        <v>42975.705555555498</v>
      </c>
      <c r="F1837" s="111">
        <f ca="1">IFERROR(__xludf.DUMMYFUNCTION("""COMPUTED_VALUE"""),8.9)</f>
        <v>8.9</v>
      </c>
      <c r="G1837" s="112">
        <f ca="1">IFERROR(__xludf.DUMMYFUNCTION("""COMPUTED_VALUE"""),42969.7055555555)</f>
        <v>42969.705555555498</v>
      </c>
      <c r="H1837" s="111">
        <f ca="1">IFERROR(__xludf.DUMMYFUNCTION("""COMPUTED_VALUE"""),13.79)</f>
        <v>13.79</v>
      </c>
      <c r="K1837" s="112">
        <f ca="1">IFERROR(__xludf.DUMMYFUNCTION("""COMPUTED_VALUE"""),43426.7055555555)</f>
        <v>43426.705555555498</v>
      </c>
      <c r="L1837" s="111">
        <f ca="1">IFERROR(__xludf.DUMMYFUNCTION("""COMPUTED_VALUE"""),5)</f>
        <v>5</v>
      </c>
      <c r="M1837" s="112">
        <f ca="1">IFERROR(__xludf.DUMMYFUNCTION("""COMPUTED_VALUE"""),42885.7055555555)</f>
        <v>42885.705555555498</v>
      </c>
      <c r="N1837" s="111">
        <f ca="1">IFERROR(__xludf.DUMMYFUNCTION("""COMPUTED_VALUE"""),17.56)</f>
        <v>17.559999999999999</v>
      </c>
      <c r="O1837" s="112">
        <f ca="1">IFERROR(__xludf.DUMMYFUNCTION("""COMPUTED_VALUE"""),42958.7055555555)</f>
        <v>42958.705555555498</v>
      </c>
      <c r="P1837" s="111">
        <f ca="1">IFERROR(__xludf.DUMMYFUNCTION("""COMPUTED_VALUE"""),30.8)</f>
        <v>30.8</v>
      </c>
      <c r="Q1837" s="112">
        <f ca="1">IFERROR(__xludf.DUMMYFUNCTION("""COMPUTED_VALUE"""),42957.7055555555)</f>
        <v>42957.705555555498</v>
      </c>
      <c r="R1837" s="111">
        <f ca="1">IFERROR(__xludf.DUMMYFUNCTION("""COMPUTED_VALUE"""),30.92)</f>
        <v>30.92</v>
      </c>
      <c r="S1837" s="112">
        <f ca="1">IFERROR(__xludf.DUMMYFUNCTION("""COMPUTED_VALUE"""),42969.7055555555)</f>
        <v>42969.705555555498</v>
      </c>
      <c r="T1837" s="111">
        <f ca="1">IFERROR(__xludf.DUMMYFUNCTION("""COMPUTED_VALUE"""),24.88)</f>
        <v>24.88</v>
      </c>
    </row>
    <row r="1838" spans="1:20" x14ac:dyDescent="0.3">
      <c r="A1838" s="112">
        <f ca="1">IFERROR(__xludf.DUMMYFUNCTION("""COMPUTED_VALUE"""),42968.7055555555)</f>
        <v>42968.705555555498</v>
      </c>
      <c r="B1838" s="111">
        <f ca="1">IFERROR(__xludf.DUMMYFUNCTION("""COMPUTED_VALUE"""),14.04)</f>
        <v>14.04</v>
      </c>
      <c r="C1838" s="112">
        <f ca="1">IFERROR(__xludf.DUMMYFUNCTION("""COMPUTED_VALUE"""),42975.7055555555)</f>
        <v>42975.705555555498</v>
      </c>
      <c r="D1838" s="111">
        <f ca="1">IFERROR(__xludf.DUMMYFUNCTION("""COMPUTED_VALUE"""),27.15)</f>
        <v>27.15</v>
      </c>
      <c r="E1838" s="112">
        <f ca="1">IFERROR(__xludf.DUMMYFUNCTION("""COMPUTED_VALUE"""),42976.7055555555)</f>
        <v>42976.705555555498</v>
      </c>
      <c r="F1838" s="111">
        <f ca="1">IFERROR(__xludf.DUMMYFUNCTION("""COMPUTED_VALUE"""),8.97)</f>
        <v>8.9700000000000006</v>
      </c>
      <c r="G1838" s="112">
        <f ca="1">IFERROR(__xludf.DUMMYFUNCTION("""COMPUTED_VALUE"""),42970.7055555555)</f>
        <v>42970.705555555498</v>
      </c>
      <c r="H1838" s="111">
        <f ca="1">IFERROR(__xludf.DUMMYFUNCTION("""COMPUTED_VALUE"""),13.76)</f>
        <v>13.76</v>
      </c>
      <c r="K1838" s="112">
        <f ca="1">IFERROR(__xludf.DUMMYFUNCTION("""COMPUTED_VALUE"""),43427.7055555555)</f>
        <v>43427.705555555498</v>
      </c>
      <c r="L1838" s="111">
        <f ca="1">IFERROR(__xludf.DUMMYFUNCTION("""COMPUTED_VALUE"""),5.07)</f>
        <v>5.07</v>
      </c>
      <c r="M1838" s="112">
        <f ca="1">IFERROR(__xludf.DUMMYFUNCTION("""COMPUTED_VALUE"""),42886.7055555555)</f>
        <v>42886.705555555498</v>
      </c>
      <c r="N1838" s="111">
        <f ca="1">IFERROR(__xludf.DUMMYFUNCTION("""COMPUTED_VALUE"""),17.23)</f>
        <v>17.23</v>
      </c>
      <c r="O1838" s="112">
        <f ca="1">IFERROR(__xludf.DUMMYFUNCTION("""COMPUTED_VALUE"""),42961.7055555555)</f>
        <v>42961.705555555498</v>
      </c>
      <c r="P1838" s="111">
        <f ca="1">IFERROR(__xludf.DUMMYFUNCTION("""COMPUTED_VALUE"""),31.3)</f>
        <v>31.3</v>
      </c>
      <c r="Q1838" s="112">
        <f ca="1">IFERROR(__xludf.DUMMYFUNCTION("""COMPUTED_VALUE"""),42958.7055555555)</f>
        <v>42958.705555555498</v>
      </c>
      <c r="R1838" s="111">
        <f ca="1">IFERROR(__xludf.DUMMYFUNCTION("""COMPUTED_VALUE"""),30.9)</f>
        <v>30.9</v>
      </c>
      <c r="S1838" s="112">
        <f ca="1">IFERROR(__xludf.DUMMYFUNCTION("""COMPUTED_VALUE"""),42970.7055555555)</f>
        <v>42970.705555555498</v>
      </c>
      <c r="T1838" s="111">
        <f ca="1">IFERROR(__xludf.DUMMYFUNCTION("""COMPUTED_VALUE"""),25.62)</f>
        <v>25.62</v>
      </c>
    </row>
    <row r="1839" spans="1:20" x14ac:dyDescent="0.3">
      <c r="A1839" s="112">
        <f ca="1">IFERROR(__xludf.DUMMYFUNCTION("""COMPUTED_VALUE"""),42969.7055555555)</f>
        <v>42969.705555555498</v>
      </c>
      <c r="B1839" s="111">
        <f ca="1">IFERROR(__xludf.DUMMYFUNCTION("""COMPUTED_VALUE"""),20.97)</f>
        <v>20.97</v>
      </c>
      <c r="C1839" s="112">
        <f ca="1">IFERROR(__xludf.DUMMYFUNCTION("""COMPUTED_VALUE"""),42976.7055555555)</f>
        <v>42976.705555555498</v>
      </c>
      <c r="D1839" s="111">
        <f ca="1">IFERROR(__xludf.DUMMYFUNCTION("""COMPUTED_VALUE"""),27.39)</f>
        <v>27.39</v>
      </c>
      <c r="E1839" s="112">
        <f ca="1">IFERROR(__xludf.DUMMYFUNCTION("""COMPUTED_VALUE"""),42977.7055555555)</f>
        <v>42977.705555555498</v>
      </c>
      <c r="F1839" s="111">
        <f ca="1">IFERROR(__xludf.DUMMYFUNCTION("""COMPUTED_VALUE"""),8.98)</f>
        <v>8.98</v>
      </c>
      <c r="G1839" s="112">
        <f ca="1">IFERROR(__xludf.DUMMYFUNCTION("""COMPUTED_VALUE"""),42971.7055555555)</f>
        <v>42971.705555555498</v>
      </c>
      <c r="H1839" s="111">
        <f ca="1">IFERROR(__xludf.DUMMYFUNCTION("""COMPUTED_VALUE"""),13.8)</f>
        <v>13.8</v>
      </c>
      <c r="K1839" s="112">
        <f ca="1">IFERROR(__xludf.DUMMYFUNCTION("""COMPUTED_VALUE"""),43430.7055555555)</f>
        <v>43430.705555555498</v>
      </c>
      <c r="L1839" s="111">
        <f ca="1">IFERROR(__xludf.DUMMYFUNCTION("""COMPUTED_VALUE"""),4.94)</f>
        <v>4.9400000000000004</v>
      </c>
      <c r="M1839" s="112">
        <f ca="1">IFERROR(__xludf.DUMMYFUNCTION("""COMPUTED_VALUE"""),42887.7055555555)</f>
        <v>42887.705555555498</v>
      </c>
      <c r="N1839" s="111">
        <f ca="1">IFERROR(__xludf.DUMMYFUNCTION("""COMPUTED_VALUE"""),17.14)</f>
        <v>17.14</v>
      </c>
      <c r="O1839" s="112">
        <f ca="1">IFERROR(__xludf.DUMMYFUNCTION("""COMPUTED_VALUE"""),42962.7055555555)</f>
        <v>42962.705555555498</v>
      </c>
      <c r="P1839" s="111">
        <f ca="1">IFERROR(__xludf.DUMMYFUNCTION("""COMPUTED_VALUE"""),31.12)</f>
        <v>31.12</v>
      </c>
      <c r="Q1839" s="112">
        <f ca="1">IFERROR(__xludf.DUMMYFUNCTION("""COMPUTED_VALUE"""),42961.7055555555)</f>
        <v>42961.705555555498</v>
      </c>
      <c r="R1839" s="111">
        <f ca="1">IFERROR(__xludf.DUMMYFUNCTION("""COMPUTED_VALUE"""),31.09)</f>
        <v>31.09</v>
      </c>
      <c r="S1839" s="112">
        <f ca="1">IFERROR(__xludf.DUMMYFUNCTION("""COMPUTED_VALUE"""),42971.7055555555)</f>
        <v>42971.705555555498</v>
      </c>
      <c r="T1839" s="111">
        <f ca="1">IFERROR(__xludf.DUMMYFUNCTION("""COMPUTED_VALUE"""),25.47)</f>
        <v>25.47</v>
      </c>
    </row>
    <row r="1840" spans="1:20" x14ac:dyDescent="0.3">
      <c r="A1840" s="112">
        <f ca="1">IFERROR(__xludf.DUMMYFUNCTION("""COMPUTED_VALUE"""),42970.7055555555)</f>
        <v>42970.705555555498</v>
      </c>
      <c r="B1840" s="111">
        <f ca="1">IFERROR(__xludf.DUMMYFUNCTION("""COMPUTED_VALUE"""),18.65)</f>
        <v>18.649999999999999</v>
      </c>
      <c r="C1840" s="112">
        <f ca="1">IFERROR(__xludf.DUMMYFUNCTION("""COMPUTED_VALUE"""),42977.7055555555)</f>
        <v>42977.705555555498</v>
      </c>
      <c r="D1840" s="111">
        <f ca="1">IFERROR(__xludf.DUMMYFUNCTION("""COMPUTED_VALUE"""),27.25)</f>
        <v>27.25</v>
      </c>
      <c r="E1840" s="112">
        <f ca="1">IFERROR(__xludf.DUMMYFUNCTION("""COMPUTED_VALUE"""),42978.7055555555)</f>
        <v>42978.705555555498</v>
      </c>
      <c r="F1840" s="111">
        <f ca="1">IFERROR(__xludf.DUMMYFUNCTION("""COMPUTED_VALUE"""),8.83)</f>
        <v>8.83</v>
      </c>
      <c r="G1840" s="112">
        <f ca="1">IFERROR(__xludf.DUMMYFUNCTION("""COMPUTED_VALUE"""),42972.7055555555)</f>
        <v>42972.705555555498</v>
      </c>
      <c r="H1840" s="111">
        <f ca="1">IFERROR(__xludf.DUMMYFUNCTION("""COMPUTED_VALUE"""),13.88)</f>
        <v>13.88</v>
      </c>
      <c r="K1840" s="112">
        <f ca="1">IFERROR(__xludf.DUMMYFUNCTION("""COMPUTED_VALUE"""),43431.7055555555)</f>
        <v>43431.705555555498</v>
      </c>
      <c r="L1840" s="111">
        <f ca="1">IFERROR(__xludf.DUMMYFUNCTION("""COMPUTED_VALUE"""),5.28)</f>
        <v>5.28</v>
      </c>
      <c r="M1840" s="112">
        <f ca="1">IFERROR(__xludf.DUMMYFUNCTION("""COMPUTED_VALUE"""),42888.7055555555)</f>
        <v>42888.705555555498</v>
      </c>
      <c r="N1840" s="111">
        <f ca="1">IFERROR(__xludf.DUMMYFUNCTION("""COMPUTED_VALUE"""),16.89)</f>
        <v>16.89</v>
      </c>
      <c r="O1840" s="112">
        <f ca="1">IFERROR(__xludf.DUMMYFUNCTION("""COMPUTED_VALUE"""),42963.7055555555)</f>
        <v>42963.705555555498</v>
      </c>
      <c r="P1840" s="111">
        <f ca="1">IFERROR(__xludf.DUMMYFUNCTION("""COMPUTED_VALUE"""),31.73)</f>
        <v>31.73</v>
      </c>
      <c r="Q1840" s="112">
        <f ca="1">IFERROR(__xludf.DUMMYFUNCTION("""COMPUTED_VALUE"""),42962.7055555555)</f>
        <v>42962.705555555498</v>
      </c>
      <c r="R1840" s="111">
        <f ca="1">IFERROR(__xludf.DUMMYFUNCTION("""COMPUTED_VALUE"""),30.94)</f>
        <v>30.94</v>
      </c>
      <c r="S1840" s="112">
        <f ca="1">IFERROR(__xludf.DUMMYFUNCTION("""COMPUTED_VALUE"""),42972.7055555555)</f>
        <v>42972.705555555498</v>
      </c>
      <c r="T1840" s="111">
        <f ca="1">IFERROR(__xludf.DUMMYFUNCTION("""COMPUTED_VALUE"""),25.67)</f>
        <v>25.67</v>
      </c>
    </row>
    <row r="1841" spans="1:20" x14ac:dyDescent="0.3">
      <c r="A1841" s="112">
        <f ca="1">IFERROR(__xludf.DUMMYFUNCTION("""COMPUTED_VALUE"""),42971.7055555555)</f>
        <v>42971.705555555498</v>
      </c>
      <c r="B1841" s="111">
        <f ca="1">IFERROR(__xludf.DUMMYFUNCTION("""COMPUTED_VALUE"""),19.39)</f>
        <v>19.39</v>
      </c>
      <c r="C1841" s="112">
        <f ca="1">IFERROR(__xludf.DUMMYFUNCTION("""COMPUTED_VALUE"""),42978.7055555555)</f>
        <v>42978.705555555498</v>
      </c>
      <c r="D1841" s="111">
        <f ca="1">IFERROR(__xludf.DUMMYFUNCTION("""COMPUTED_VALUE"""),26.9)</f>
        <v>26.9</v>
      </c>
      <c r="E1841" s="112">
        <f ca="1">IFERROR(__xludf.DUMMYFUNCTION("""COMPUTED_VALUE"""),42979.7055555555)</f>
        <v>42979.705555555498</v>
      </c>
      <c r="F1841" s="111">
        <f ca="1">IFERROR(__xludf.DUMMYFUNCTION("""COMPUTED_VALUE"""),8.99)</f>
        <v>8.99</v>
      </c>
      <c r="G1841" s="112">
        <f ca="1">IFERROR(__xludf.DUMMYFUNCTION("""COMPUTED_VALUE"""),42975.7055555555)</f>
        <v>42975.705555555498</v>
      </c>
      <c r="H1841" s="111">
        <f ca="1">IFERROR(__xludf.DUMMYFUNCTION("""COMPUTED_VALUE"""),13.87)</f>
        <v>13.87</v>
      </c>
      <c r="K1841" s="112">
        <f ca="1">IFERROR(__xludf.DUMMYFUNCTION("""COMPUTED_VALUE"""),43432.7055555555)</f>
        <v>43432.705555555498</v>
      </c>
      <c r="L1841" s="111">
        <f ca="1">IFERROR(__xludf.DUMMYFUNCTION("""COMPUTED_VALUE"""),5.32)</f>
        <v>5.32</v>
      </c>
      <c r="M1841" s="112">
        <f ca="1">IFERROR(__xludf.DUMMYFUNCTION("""COMPUTED_VALUE"""),42891.7055555555)</f>
        <v>42891.705555555498</v>
      </c>
      <c r="N1841" s="111">
        <f ca="1">IFERROR(__xludf.DUMMYFUNCTION("""COMPUTED_VALUE"""),16.87)</f>
        <v>16.87</v>
      </c>
      <c r="O1841" s="112">
        <f ca="1">IFERROR(__xludf.DUMMYFUNCTION("""COMPUTED_VALUE"""),42964.7055555555)</f>
        <v>42964.705555555498</v>
      </c>
      <c r="P1841" s="111">
        <f ca="1">IFERROR(__xludf.DUMMYFUNCTION("""COMPUTED_VALUE"""),31.2)</f>
        <v>31.2</v>
      </c>
      <c r="Q1841" s="112">
        <f ca="1">IFERROR(__xludf.DUMMYFUNCTION("""COMPUTED_VALUE"""),42963.7055555555)</f>
        <v>42963.705555555498</v>
      </c>
      <c r="R1841" s="111">
        <f ca="1">IFERROR(__xludf.DUMMYFUNCTION("""COMPUTED_VALUE"""),30.69)</f>
        <v>30.69</v>
      </c>
      <c r="S1841" s="112">
        <f ca="1">IFERROR(__xludf.DUMMYFUNCTION("""COMPUTED_VALUE"""),42975.7055555555)</f>
        <v>42975.705555555498</v>
      </c>
      <c r="T1841" s="111">
        <f ca="1">IFERROR(__xludf.DUMMYFUNCTION("""COMPUTED_VALUE"""),25.47)</f>
        <v>25.47</v>
      </c>
    </row>
    <row r="1842" spans="1:20" x14ac:dyDescent="0.3">
      <c r="A1842" s="112">
        <f ca="1">IFERROR(__xludf.DUMMYFUNCTION("""COMPUTED_VALUE"""),42972.7055555555)</f>
        <v>42972.705555555498</v>
      </c>
      <c r="B1842" s="111">
        <f ca="1">IFERROR(__xludf.DUMMYFUNCTION("""COMPUTED_VALUE"""),19.54)</f>
        <v>19.54</v>
      </c>
      <c r="C1842" s="112">
        <f ca="1">IFERROR(__xludf.DUMMYFUNCTION("""COMPUTED_VALUE"""),42979.7055555555)</f>
        <v>42979.705555555498</v>
      </c>
      <c r="D1842" s="111">
        <f ca="1">IFERROR(__xludf.DUMMYFUNCTION("""COMPUTED_VALUE"""),27.45)</f>
        <v>27.45</v>
      </c>
      <c r="E1842" s="112">
        <f ca="1">IFERROR(__xludf.DUMMYFUNCTION("""COMPUTED_VALUE"""),42982.7055555555)</f>
        <v>42982.705555555498</v>
      </c>
      <c r="F1842" s="111">
        <f ca="1">IFERROR(__xludf.DUMMYFUNCTION("""COMPUTED_VALUE"""),8.95)</f>
        <v>8.9499999999999993</v>
      </c>
      <c r="G1842" s="112">
        <f ca="1">IFERROR(__xludf.DUMMYFUNCTION("""COMPUTED_VALUE"""),42976.7055555555)</f>
        <v>42976.705555555498</v>
      </c>
      <c r="H1842" s="111">
        <f ca="1">IFERROR(__xludf.DUMMYFUNCTION("""COMPUTED_VALUE"""),13.85)</f>
        <v>13.85</v>
      </c>
      <c r="K1842" s="112">
        <f ca="1">IFERROR(__xludf.DUMMYFUNCTION("""COMPUTED_VALUE"""),43433.7055555555)</f>
        <v>43433.705555555498</v>
      </c>
      <c r="L1842" s="111">
        <f ca="1">IFERROR(__xludf.DUMMYFUNCTION("""COMPUTED_VALUE"""),5.35)</f>
        <v>5.35</v>
      </c>
      <c r="M1842" s="112">
        <f ca="1">IFERROR(__xludf.DUMMYFUNCTION("""COMPUTED_VALUE"""),42892.7055555555)</f>
        <v>42892.705555555498</v>
      </c>
      <c r="N1842" s="111">
        <f ca="1">IFERROR(__xludf.DUMMYFUNCTION("""COMPUTED_VALUE"""),17.1)</f>
        <v>17.100000000000001</v>
      </c>
      <c r="O1842" s="112">
        <f ca="1">IFERROR(__xludf.DUMMYFUNCTION("""COMPUTED_VALUE"""),42965.7055555555)</f>
        <v>42965.705555555498</v>
      </c>
      <c r="P1842" s="111">
        <f ca="1">IFERROR(__xludf.DUMMYFUNCTION("""COMPUTED_VALUE"""),31.55)</f>
        <v>31.55</v>
      </c>
      <c r="Q1842" s="112">
        <f ca="1">IFERROR(__xludf.DUMMYFUNCTION("""COMPUTED_VALUE"""),42964.7055555555)</f>
        <v>42964.705555555498</v>
      </c>
      <c r="R1842" s="111">
        <f ca="1">IFERROR(__xludf.DUMMYFUNCTION("""COMPUTED_VALUE"""),30.15)</f>
        <v>30.15</v>
      </c>
      <c r="S1842" s="112">
        <f ca="1">IFERROR(__xludf.DUMMYFUNCTION("""COMPUTED_VALUE"""),42976.7055555555)</f>
        <v>42976.705555555498</v>
      </c>
      <c r="T1842" s="111">
        <f ca="1">IFERROR(__xludf.DUMMYFUNCTION("""COMPUTED_VALUE"""),25.62)</f>
        <v>25.62</v>
      </c>
    </row>
    <row r="1843" spans="1:20" x14ac:dyDescent="0.3">
      <c r="A1843" s="112">
        <f ca="1">IFERROR(__xludf.DUMMYFUNCTION("""COMPUTED_VALUE"""),42975.7055555555)</f>
        <v>42975.705555555498</v>
      </c>
      <c r="B1843" s="111">
        <f ca="1">IFERROR(__xludf.DUMMYFUNCTION("""COMPUTED_VALUE"""),19.23)</f>
        <v>19.23</v>
      </c>
      <c r="C1843" s="112">
        <f ca="1">IFERROR(__xludf.DUMMYFUNCTION("""COMPUTED_VALUE"""),42982.7055555555)</f>
        <v>42982.705555555498</v>
      </c>
      <c r="D1843" s="111">
        <f ca="1">IFERROR(__xludf.DUMMYFUNCTION("""COMPUTED_VALUE"""),27.31)</f>
        <v>27.31</v>
      </c>
      <c r="E1843" s="112">
        <f ca="1">IFERROR(__xludf.DUMMYFUNCTION("""COMPUTED_VALUE"""),42983.7055555555)</f>
        <v>42983.705555555498</v>
      </c>
      <c r="F1843" s="111">
        <f ca="1">IFERROR(__xludf.DUMMYFUNCTION("""COMPUTED_VALUE"""),9)</f>
        <v>9</v>
      </c>
      <c r="G1843" s="112">
        <f ca="1">IFERROR(__xludf.DUMMYFUNCTION("""COMPUTED_VALUE"""),42977.7055555555)</f>
        <v>42977.705555555498</v>
      </c>
      <c r="H1843" s="111">
        <f ca="1">IFERROR(__xludf.DUMMYFUNCTION("""COMPUTED_VALUE"""),13.45)</f>
        <v>13.45</v>
      </c>
      <c r="K1843" s="112">
        <f ca="1">IFERROR(__xludf.DUMMYFUNCTION("""COMPUTED_VALUE"""),43434.7055555555)</f>
        <v>43434.705555555498</v>
      </c>
      <c r="L1843" s="111">
        <f ca="1">IFERROR(__xludf.DUMMYFUNCTION("""COMPUTED_VALUE"""),5.15)</f>
        <v>5.15</v>
      </c>
      <c r="M1843" s="112">
        <f ca="1">IFERROR(__xludf.DUMMYFUNCTION("""COMPUTED_VALUE"""),42893.7055555555)</f>
        <v>42893.705555555498</v>
      </c>
      <c r="N1843" s="111">
        <f ca="1">IFERROR(__xludf.DUMMYFUNCTION("""COMPUTED_VALUE"""),17.37)</f>
        <v>17.37</v>
      </c>
      <c r="O1843" s="112">
        <f ca="1">IFERROR(__xludf.DUMMYFUNCTION("""COMPUTED_VALUE"""),42968.7055555555)</f>
        <v>42968.705555555498</v>
      </c>
      <c r="P1843" s="111">
        <f ca="1">IFERROR(__xludf.DUMMYFUNCTION("""COMPUTED_VALUE"""),31.75)</f>
        <v>31.75</v>
      </c>
      <c r="Q1843" s="112">
        <f ca="1">IFERROR(__xludf.DUMMYFUNCTION("""COMPUTED_VALUE"""),42965.7055555555)</f>
        <v>42965.705555555498</v>
      </c>
      <c r="R1843" s="111">
        <f ca="1">IFERROR(__xludf.DUMMYFUNCTION("""COMPUTED_VALUE"""),30.42)</f>
        <v>30.42</v>
      </c>
      <c r="S1843" s="112">
        <f ca="1">IFERROR(__xludf.DUMMYFUNCTION("""COMPUTED_VALUE"""),42977.7055555555)</f>
        <v>42977.705555555498</v>
      </c>
      <c r="T1843" s="111">
        <f ca="1">IFERROR(__xludf.DUMMYFUNCTION("""COMPUTED_VALUE"""),25.54)</f>
        <v>25.54</v>
      </c>
    </row>
    <row r="1844" spans="1:20" x14ac:dyDescent="0.3">
      <c r="A1844" s="112">
        <f ca="1">IFERROR(__xludf.DUMMYFUNCTION("""COMPUTED_VALUE"""),42976.7055555555)</f>
        <v>42976.705555555498</v>
      </c>
      <c r="B1844" s="111">
        <f ca="1">IFERROR(__xludf.DUMMYFUNCTION("""COMPUTED_VALUE"""),18.72)</f>
        <v>18.72</v>
      </c>
      <c r="C1844" s="112">
        <f ca="1">IFERROR(__xludf.DUMMYFUNCTION("""COMPUTED_VALUE"""),42983.7055555555)</f>
        <v>42983.705555555498</v>
      </c>
      <c r="D1844" s="111">
        <f ca="1">IFERROR(__xludf.DUMMYFUNCTION("""COMPUTED_VALUE"""),27.33)</f>
        <v>27.33</v>
      </c>
      <c r="E1844" s="112">
        <f ca="1">IFERROR(__xludf.DUMMYFUNCTION("""COMPUTED_VALUE"""),42984.7055555555)</f>
        <v>42984.705555555498</v>
      </c>
      <c r="F1844" s="111">
        <f ca="1">IFERROR(__xludf.DUMMYFUNCTION("""COMPUTED_VALUE"""),9.26)</f>
        <v>9.26</v>
      </c>
      <c r="G1844" s="112">
        <f ca="1">IFERROR(__xludf.DUMMYFUNCTION("""COMPUTED_VALUE"""),42978.7055555555)</f>
        <v>42978.705555555498</v>
      </c>
      <c r="H1844" s="111">
        <f ca="1">IFERROR(__xludf.DUMMYFUNCTION("""COMPUTED_VALUE"""),13.65)</f>
        <v>13.65</v>
      </c>
      <c r="K1844" s="112">
        <f ca="1">IFERROR(__xludf.DUMMYFUNCTION("""COMPUTED_VALUE"""),43437.7055555555)</f>
        <v>43437.705555555498</v>
      </c>
      <c r="L1844" s="111">
        <f ca="1">IFERROR(__xludf.DUMMYFUNCTION("""COMPUTED_VALUE"""),5.07)</f>
        <v>5.07</v>
      </c>
      <c r="M1844" s="112">
        <f ca="1">IFERROR(__xludf.DUMMYFUNCTION("""COMPUTED_VALUE"""),42894.7055555555)</f>
        <v>42894.705555555498</v>
      </c>
      <c r="N1844" s="111">
        <f ca="1">IFERROR(__xludf.DUMMYFUNCTION("""COMPUTED_VALUE"""),17.11)</f>
        <v>17.11</v>
      </c>
      <c r="O1844" s="112">
        <f ca="1">IFERROR(__xludf.DUMMYFUNCTION("""COMPUTED_VALUE"""),42969.7055555555)</f>
        <v>42969.705555555498</v>
      </c>
      <c r="P1844" s="111">
        <f ca="1">IFERROR(__xludf.DUMMYFUNCTION("""COMPUTED_VALUE"""),31.86)</f>
        <v>31.86</v>
      </c>
      <c r="Q1844" s="112">
        <f ca="1">IFERROR(__xludf.DUMMYFUNCTION("""COMPUTED_VALUE"""),42968.7055555555)</f>
        <v>42968.705555555498</v>
      </c>
      <c r="R1844" s="111">
        <f ca="1">IFERROR(__xludf.DUMMYFUNCTION("""COMPUTED_VALUE"""),30.82)</f>
        <v>30.82</v>
      </c>
      <c r="S1844" s="112">
        <f ca="1">IFERROR(__xludf.DUMMYFUNCTION("""COMPUTED_VALUE"""),42978.7055555555)</f>
        <v>42978.705555555498</v>
      </c>
      <c r="T1844" s="111">
        <f ca="1">IFERROR(__xludf.DUMMYFUNCTION("""COMPUTED_VALUE"""),25.29)</f>
        <v>25.29</v>
      </c>
    </row>
    <row r="1845" spans="1:20" x14ac:dyDescent="0.3">
      <c r="A1845" s="112">
        <f ca="1">IFERROR(__xludf.DUMMYFUNCTION("""COMPUTED_VALUE"""),42977.7055555555)</f>
        <v>42977.705555555498</v>
      </c>
      <c r="B1845" s="111">
        <f ca="1">IFERROR(__xludf.DUMMYFUNCTION("""COMPUTED_VALUE"""),18.31)</f>
        <v>18.309999999999999</v>
      </c>
      <c r="C1845" s="112">
        <f ca="1">IFERROR(__xludf.DUMMYFUNCTION("""COMPUTED_VALUE"""),42984.7055555555)</f>
        <v>42984.705555555498</v>
      </c>
      <c r="D1845" s="111">
        <f ca="1">IFERROR(__xludf.DUMMYFUNCTION("""COMPUTED_VALUE"""),28.06)</f>
        <v>28.06</v>
      </c>
      <c r="E1845" s="112">
        <f ca="1">IFERROR(__xludf.DUMMYFUNCTION("""COMPUTED_VALUE"""),42986.7055555555)</f>
        <v>42986.705555555498</v>
      </c>
      <c r="F1845" s="111">
        <f ca="1">IFERROR(__xludf.DUMMYFUNCTION("""COMPUTED_VALUE"""),9.28)</f>
        <v>9.2799999999999994</v>
      </c>
      <c r="G1845" s="112">
        <f ca="1">IFERROR(__xludf.DUMMYFUNCTION("""COMPUTED_VALUE"""),42979.7055555555)</f>
        <v>42979.705555555498</v>
      </c>
      <c r="H1845" s="111">
        <f ca="1">IFERROR(__xludf.DUMMYFUNCTION("""COMPUTED_VALUE"""),14.02)</f>
        <v>14.02</v>
      </c>
      <c r="K1845" s="112">
        <f ca="1">IFERROR(__xludf.DUMMYFUNCTION("""COMPUTED_VALUE"""),43438.7055555555)</f>
        <v>43438.705555555498</v>
      </c>
      <c r="L1845" s="111">
        <f ca="1">IFERROR(__xludf.DUMMYFUNCTION("""COMPUTED_VALUE"""),5.15)</f>
        <v>5.15</v>
      </c>
      <c r="M1845" s="112">
        <f ca="1">IFERROR(__xludf.DUMMYFUNCTION("""COMPUTED_VALUE"""),42895.7055555555)</f>
        <v>42895.705555555498</v>
      </c>
      <c r="N1845" s="111">
        <f ca="1">IFERROR(__xludf.DUMMYFUNCTION("""COMPUTED_VALUE"""),16.76)</f>
        <v>16.760000000000002</v>
      </c>
      <c r="O1845" s="112">
        <f ca="1">IFERROR(__xludf.DUMMYFUNCTION("""COMPUTED_VALUE"""),42970.7055555555)</f>
        <v>42970.705555555498</v>
      </c>
      <c r="P1845" s="111">
        <f ca="1">IFERROR(__xludf.DUMMYFUNCTION("""COMPUTED_VALUE"""),32.54)</f>
        <v>32.54</v>
      </c>
      <c r="Q1845" s="112">
        <f ca="1">IFERROR(__xludf.DUMMYFUNCTION("""COMPUTED_VALUE"""),42969.7055555555)</f>
        <v>42969.705555555498</v>
      </c>
      <c r="R1845" s="111">
        <f ca="1">IFERROR(__xludf.DUMMYFUNCTION("""COMPUTED_VALUE"""),31.99)</f>
        <v>31.99</v>
      </c>
      <c r="S1845" s="112">
        <f ca="1">IFERROR(__xludf.DUMMYFUNCTION("""COMPUTED_VALUE"""),42979.7055555555)</f>
        <v>42979.705555555498</v>
      </c>
      <c r="T1845" s="111">
        <f ca="1">IFERROR(__xludf.DUMMYFUNCTION("""COMPUTED_VALUE"""),25.66)</f>
        <v>25.66</v>
      </c>
    </row>
    <row r="1846" spans="1:20" x14ac:dyDescent="0.3">
      <c r="A1846" s="112">
        <f ca="1">IFERROR(__xludf.DUMMYFUNCTION("""COMPUTED_VALUE"""),42978.7055555555)</f>
        <v>42978.705555555498</v>
      </c>
      <c r="B1846" s="111">
        <f ca="1">IFERROR(__xludf.DUMMYFUNCTION("""COMPUTED_VALUE"""),17.43)</f>
        <v>17.43</v>
      </c>
      <c r="C1846" s="112">
        <f ca="1">IFERROR(__xludf.DUMMYFUNCTION("""COMPUTED_VALUE"""),42986.7055555555)</f>
        <v>42986.705555555498</v>
      </c>
      <c r="D1846" s="111">
        <f ca="1">IFERROR(__xludf.DUMMYFUNCTION("""COMPUTED_VALUE"""),28.03)</f>
        <v>28.03</v>
      </c>
      <c r="E1846" s="112">
        <f ca="1">IFERROR(__xludf.DUMMYFUNCTION("""COMPUTED_VALUE"""),42989.7055555555)</f>
        <v>42989.705555555498</v>
      </c>
      <c r="F1846" s="111">
        <f ca="1">IFERROR(__xludf.DUMMYFUNCTION("""COMPUTED_VALUE"""),9.4)</f>
        <v>9.4</v>
      </c>
      <c r="G1846" s="112">
        <f ca="1">IFERROR(__xludf.DUMMYFUNCTION("""COMPUTED_VALUE"""),42982.7055555555)</f>
        <v>42982.705555555498</v>
      </c>
      <c r="H1846" s="111">
        <f ca="1">IFERROR(__xludf.DUMMYFUNCTION("""COMPUTED_VALUE"""),14.17)</f>
        <v>14.17</v>
      </c>
      <c r="K1846" s="112">
        <f ca="1">IFERROR(__xludf.DUMMYFUNCTION("""COMPUTED_VALUE"""),43439.7055555555)</f>
        <v>43439.705555555498</v>
      </c>
      <c r="L1846" s="111">
        <f ca="1">IFERROR(__xludf.DUMMYFUNCTION("""COMPUTED_VALUE"""),5.16)</f>
        <v>5.16</v>
      </c>
      <c r="M1846" s="112">
        <f ca="1">IFERROR(__xludf.DUMMYFUNCTION("""COMPUTED_VALUE"""),42898.7055555555)</f>
        <v>42898.705555555498</v>
      </c>
      <c r="N1846" s="111">
        <f ca="1">IFERROR(__xludf.DUMMYFUNCTION("""COMPUTED_VALUE"""),16.49)</f>
        <v>16.489999999999998</v>
      </c>
      <c r="O1846" s="112">
        <f ca="1">IFERROR(__xludf.DUMMYFUNCTION("""COMPUTED_VALUE"""),42971.7055555555)</f>
        <v>42971.705555555498</v>
      </c>
      <c r="P1846" s="111">
        <f ca="1">IFERROR(__xludf.DUMMYFUNCTION("""COMPUTED_VALUE"""),33.88)</f>
        <v>33.880000000000003</v>
      </c>
      <c r="Q1846" s="112">
        <f ca="1">IFERROR(__xludf.DUMMYFUNCTION("""COMPUTED_VALUE"""),42970.7055555555)</f>
        <v>42970.705555555498</v>
      </c>
      <c r="R1846" s="111">
        <f ca="1">IFERROR(__xludf.DUMMYFUNCTION("""COMPUTED_VALUE"""),32.01)</f>
        <v>32.01</v>
      </c>
      <c r="S1846" s="112">
        <f ca="1">IFERROR(__xludf.DUMMYFUNCTION("""COMPUTED_VALUE"""),42982.7055555555)</f>
        <v>42982.705555555498</v>
      </c>
      <c r="T1846" s="111">
        <f ca="1">IFERROR(__xludf.DUMMYFUNCTION("""COMPUTED_VALUE"""),25.94)</f>
        <v>25.94</v>
      </c>
    </row>
    <row r="1847" spans="1:20" x14ac:dyDescent="0.3">
      <c r="A1847" s="112">
        <f ca="1">IFERROR(__xludf.DUMMYFUNCTION("""COMPUTED_VALUE"""),42979.7055555555)</f>
        <v>42979.705555555498</v>
      </c>
      <c r="B1847" s="111">
        <f ca="1">IFERROR(__xludf.DUMMYFUNCTION("""COMPUTED_VALUE"""),17.45)</f>
        <v>17.45</v>
      </c>
      <c r="C1847" s="112">
        <f ca="1">IFERROR(__xludf.DUMMYFUNCTION("""COMPUTED_VALUE"""),42989.7055555555)</f>
        <v>42989.705555555498</v>
      </c>
      <c r="D1847" s="111">
        <f ca="1">IFERROR(__xludf.DUMMYFUNCTION("""COMPUTED_VALUE"""),28.5)</f>
        <v>28.5</v>
      </c>
      <c r="E1847" s="112">
        <f ca="1">IFERROR(__xludf.DUMMYFUNCTION("""COMPUTED_VALUE"""),42990.7055555555)</f>
        <v>42990.705555555498</v>
      </c>
      <c r="F1847" s="111">
        <f ca="1">IFERROR(__xludf.DUMMYFUNCTION("""COMPUTED_VALUE"""),9.45)</f>
        <v>9.4499999999999993</v>
      </c>
      <c r="G1847" s="112">
        <f ca="1">IFERROR(__xludf.DUMMYFUNCTION("""COMPUTED_VALUE"""),42983.7055555555)</f>
        <v>42983.705555555498</v>
      </c>
      <c r="H1847" s="111">
        <f ca="1">IFERROR(__xludf.DUMMYFUNCTION("""COMPUTED_VALUE"""),14.41)</f>
        <v>14.41</v>
      </c>
      <c r="K1847" s="112">
        <f ca="1">IFERROR(__xludf.DUMMYFUNCTION("""COMPUTED_VALUE"""),43440.7055555555)</f>
        <v>43440.705555555498</v>
      </c>
      <c r="L1847" s="111">
        <f ca="1">IFERROR(__xludf.DUMMYFUNCTION("""COMPUTED_VALUE"""),5.17)</f>
        <v>5.17</v>
      </c>
      <c r="M1847" s="112">
        <f ca="1">IFERROR(__xludf.DUMMYFUNCTION("""COMPUTED_VALUE"""),42899.7055555555)</f>
        <v>42899.705555555498</v>
      </c>
      <c r="N1847" s="111">
        <f ca="1">IFERROR(__xludf.DUMMYFUNCTION("""COMPUTED_VALUE"""),16.36)</f>
        <v>16.36</v>
      </c>
      <c r="O1847" s="112">
        <f ca="1">IFERROR(__xludf.DUMMYFUNCTION("""COMPUTED_VALUE"""),42972.7055555555)</f>
        <v>42972.705555555498</v>
      </c>
      <c r="P1847" s="111">
        <f ca="1">IFERROR(__xludf.DUMMYFUNCTION("""COMPUTED_VALUE"""),33.83)</f>
        <v>33.83</v>
      </c>
      <c r="Q1847" s="112">
        <f ca="1">IFERROR(__xludf.DUMMYFUNCTION("""COMPUTED_VALUE"""),42971.7055555555)</f>
        <v>42971.705555555498</v>
      </c>
      <c r="R1847" s="111">
        <f ca="1">IFERROR(__xludf.DUMMYFUNCTION("""COMPUTED_VALUE"""),32.12)</f>
        <v>32.119999999999997</v>
      </c>
      <c r="S1847" s="112">
        <f ca="1">IFERROR(__xludf.DUMMYFUNCTION("""COMPUTED_VALUE"""),42983.7055555555)</f>
        <v>42983.705555555498</v>
      </c>
      <c r="T1847" s="111">
        <f ca="1">IFERROR(__xludf.DUMMYFUNCTION("""COMPUTED_VALUE"""),26.45)</f>
        <v>26.45</v>
      </c>
    </row>
    <row r="1848" spans="1:20" x14ac:dyDescent="0.3">
      <c r="A1848" s="112">
        <f ca="1">IFERROR(__xludf.DUMMYFUNCTION("""COMPUTED_VALUE"""),42982.7055555555)</f>
        <v>42982.705555555498</v>
      </c>
      <c r="B1848" s="111">
        <f ca="1">IFERROR(__xludf.DUMMYFUNCTION("""COMPUTED_VALUE"""),17.81)</f>
        <v>17.809999999999999</v>
      </c>
      <c r="C1848" s="112">
        <f ca="1">IFERROR(__xludf.DUMMYFUNCTION("""COMPUTED_VALUE"""),42990.7055555555)</f>
        <v>42990.705555555498</v>
      </c>
      <c r="D1848" s="111">
        <f ca="1">IFERROR(__xludf.DUMMYFUNCTION("""COMPUTED_VALUE"""),28.42)</f>
        <v>28.42</v>
      </c>
      <c r="E1848" s="112">
        <f ca="1">IFERROR(__xludf.DUMMYFUNCTION("""COMPUTED_VALUE"""),42991.7055555555)</f>
        <v>42991.705555555498</v>
      </c>
      <c r="F1848" s="111">
        <f ca="1">IFERROR(__xludf.DUMMYFUNCTION("""COMPUTED_VALUE"""),9.47)</f>
        <v>9.4700000000000006</v>
      </c>
      <c r="G1848" s="112">
        <f ca="1">IFERROR(__xludf.DUMMYFUNCTION("""COMPUTED_VALUE"""),42984.7055555555)</f>
        <v>42984.705555555498</v>
      </c>
      <c r="H1848" s="111">
        <f ca="1">IFERROR(__xludf.DUMMYFUNCTION("""COMPUTED_VALUE"""),15.02)</f>
        <v>15.02</v>
      </c>
      <c r="K1848" s="112">
        <f ca="1">IFERROR(__xludf.DUMMYFUNCTION("""COMPUTED_VALUE"""),43441.7055555555)</f>
        <v>43441.705555555498</v>
      </c>
      <c r="L1848" s="111">
        <f ca="1">IFERROR(__xludf.DUMMYFUNCTION("""COMPUTED_VALUE"""),5.14)</f>
        <v>5.14</v>
      </c>
      <c r="M1848" s="112">
        <f ca="1">IFERROR(__xludf.DUMMYFUNCTION("""COMPUTED_VALUE"""),42900.7055555555)</f>
        <v>42900.705555555498</v>
      </c>
      <c r="N1848" s="111">
        <f ca="1">IFERROR(__xludf.DUMMYFUNCTION("""COMPUTED_VALUE"""),16.99)</f>
        <v>16.989999999999998</v>
      </c>
      <c r="O1848" s="112">
        <f ca="1">IFERROR(__xludf.DUMMYFUNCTION("""COMPUTED_VALUE"""),42975.7055555555)</f>
        <v>42975.705555555498</v>
      </c>
      <c r="P1848" s="111">
        <f ca="1">IFERROR(__xludf.DUMMYFUNCTION("""COMPUTED_VALUE"""),34.36)</f>
        <v>34.36</v>
      </c>
      <c r="Q1848" s="112">
        <f ca="1">IFERROR(__xludf.DUMMYFUNCTION("""COMPUTED_VALUE"""),42972.7055555555)</f>
        <v>42972.705555555498</v>
      </c>
      <c r="R1848" s="111">
        <f ca="1">IFERROR(__xludf.DUMMYFUNCTION("""COMPUTED_VALUE"""),32)</f>
        <v>32</v>
      </c>
      <c r="S1848" s="112">
        <f ca="1">IFERROR(__xludf.DUMMYFUNCTION("""COMPUTED_VALUE"""),42984.7055555555)</f>
        <v>42984.705555555498</v>
      </c>
      <c r="T1848" s="111">
        <f ca="1">IFERROR(__xludf.DUMMYFUNCTION("""COMPUTED_VALUE"""),27.42)</f>
        <v>27.42</v>
      </c>
    </row>
    <row r="1849" spans="1:20" x14ac:dyDescent="0.3">
      <c r="A1849" s="112">
        <f ca="1">IFERROR(__xludf.DUMMYFUNCTION("""COMPUTED_VALUE"""),42983.7055555555)</f>
        <v>42983.705555555498</v>
      </c>
      <c r="B1849" s="111">
        <f ca="1">IFERROR(__xludf.DUMMYFUNCTION("""COMPUTED_VALUE"""),18.59)</f>
        <v>18.59</v>
      </c>
      <c r="C1849" s="112">
        <f ca="1">IFERROR(__xludf.DUMMYFUNCTION("""COMPUTED_VALUE"""),42991.7055555555)</f>
        <v>42991.705555555498</v>
      </c>
      <c r="D1849" s="111">
        <f ca="1">IFERROR(__xludf.DUMMYFUNCTION("""COMPUTED_VALUE"""),28.62)</f>
        <v>28.62</v>
      </c>
      <c r="E1849" s="112">
        <f ca="1">IFERROR(__xludf.DUMMYFUNCTION("""COMPUTED_VALUE"""),42992.7055555555)</f>
        <v>42992.705555555498</v>
      </c>
      <c r="F1849" s="111">
        <f ca="1">IFERROR(__xludf.DUMMYFUNCTION("""COMPUTED_VALUE"""),9.51)</f>
        <v>9.51</v>
      </c>
      <c r="G1849" s="112">
        <f ca="1">IFERROR(__xludf.DUMMYFUNCTION("""COMPUTED_VALUE"""),42986.7055555555)</f>
        <v>42986.705555555498</v>
      </c>
      <c r="H1849" s="111">
        <f ca="1">IFERROR(__xludf.DUMMYFUNCTION("""COMPUTED_VALUE"""),14.71)</f>
        <v>14.71</v>
      </c>
      <c r="K1849" s="112">
        <f ca="1">IFERROR(__xludf.DUMMYFUNCTION("""COMPUTED_VALUE"""),43444.7055555555)</f>
        <v>43444.705555555498</v>
      </c>
      <c r="L1849" s="111">
        <f ca="1">IFERROR(__xludf.DUMMYFUNCTION("""COMPUTED_VALUE"""),5.02)</f>
        <v>5.0199999999999996</v>
      </c>
      <c r="M1849" s="112">
        <f ca="1">IFERROR(__xludf.DUMMYFUNCTION("""COMPUTED_VALUE"""),42902.7055555555)</f>
        <v>42902.705555555498</v>
      </c>
      <c r="N1849" s="111">
        <f ca="1">IFERROR(__xludf.DUMMYFUNCTION("""COMPUTED_VALUE"""),16.91)</f>
        <v>16.91</v>
      </c>
      <c r="O1849" s="112">
        <f ca="1">IFERROR(__xludf.DUMMYFUNCTION("""COMPUTED_VALUE"""),42976.7055555555)</f>
        <v>42976.705555555498</v>
      </c>
      <c r="P1849" s="111">
        <f ca="1">IFERROR(__xludf.DUMMYFUNCTION("""COMPUTED_VALUE"""),34.44)</f>
        <v>34.44</v>
      </c>
      <c r="Q1849" s="112">
        <f ca="1">IFERROR(__xludf.DUMMYFUNCTION("""COMPUTED_VALUE"""),42975.7055555555)</f>
        <v>42975.705555555498</v>
      </c>
      <c r="R1849" s="111">
        <f ca="1">IFERROR(__xludf.DUMMYFUNCTION("""COMPUTED_VALUE"""),31.7)</f>
        <v>31.7</v>
      </c>
      <c r="S1849" s="112">
        <f ca="1">IFERROR(__xludf.DUMMYFUNCTION("""COMPUTED_VALUE"""),42986.7055555555)</f>
        <v>42986.705555555498</v>
      </c>
      <c r="T1849" s="111">
        <f ca="1">IFERROR(__xludf.DUMMYFUNCTION("""COMPUTED_VALUE"""),27.61)</f>
        <v>27.61</v>
      </c>
    </row>
    <row r="1850" spans="1:20" x14ac:dyDescent="0.3">
      <c r="A1850" s="112">
        <f ca="1">IFERROR(__xludf.DUMMYFUNCTION("""COMPUTED_VALUE"""),42984.7055555555)</f>
        <v>42984.705555555498</v>
      </c>
      <c r="B1850" s="111">
        <f ca="1">IFERROR(__xludf.DUMMYFUNCTION("""COMPUTED_VALUE"""),18.86)</f>
        <v>18.86</v>
      </c>
      <c r="C1850" s="112">
        <f ca="1">IFERROR(__xludf.DUMMYFUNCTION("""COMPUTED_VALUE"""),42992.7055555555)</f>
        <v>42992.705555555498</v>
      </c>
      <c r="D1850" s="111">
        <f ca="1">IFERROR(__xludf.DUMMYFUNCTION("""COMPUTED_VALUE"""),28.55)</f>
        <v>28.55</v>
      </c>
      <c r="E1850" s="112">
        <f ca="1">IFERROR(__xludf.DUMMYFUNCTION("""COMPUTED_VALUE"""),42993.7055555555)</f>
        <v>42993.705555555498</v>
      </c>
      <c r="F1850" s="111">
        <f ca="1">IFERROR(__xludf.DUMMYFUNCTION("""COMPUTED_VALUE"""),9.71)</f>
        <v>9.7100000000000009</v>
      </c>
      <c r="G1850" s="112">
        <f ca="1">IFERROR(__xludf.DUMMYFUNCTION("""COMPUTED_VALUE"""),42989.7055555555)</f>
        <v>42989.705555555498</v>
      </c>
      <c r="H1850" s="111">
        <f ca="1">IFERROR(__xludf.DUMMYFUNCTION("""COMPUTED_VALUE"""),14.99)</f>
        <v>14.99</v>
      </c>
      <c r="K1850" s="112">
        <f ca="1">IFERROR(__xludf.DUMMYFUNCTION("""COMPUTED_VALUE"""),43445.7055555555)</f>
        <v>43445.705555555498</v>
      </c>
      <c r="L1850" s="111">
        <f ca="1">IFERROR(__xludf.DUMMYFUNCTION("""COMPUTED_VALUE"""),5.14)</f>
        <v>5.14</v>
      </c>
      <c r="M1850" s="112">
        <f ca="1">IFERROR(__xludf.DUMMYFUNCTION("""COMPUTED_VALUE"""),42905.7055555555)</f>
        <v>42905.705555555498</v>
      </c>
      <c r="N1850" s="111">
        <f ca="1">IFERROR(__xludf.DUMMYFUNCTION("""COMPUTED_VALUE"""),16.95)</f>
        <v>16.95</v>
      </c>
      <c r="O1850" s="112">
        <f ca="1">IFERROR(__xludf.DUMMYFUNCTION("""COMPUTED_VALUE"""),42977.7055555555)</f>
        <v>42977.705555555498</v>
      </c>
      <c r="P1850" s="111">
        <f ca="1">IFERROR(__xludf.DUMMYFUNCTION("""COMPUTED_VALUE"""),34.34)</f>
        <v>34.340000000000003</v>
      </c>
      <c r="Q1850" s="112">
        <f ca="1">IFERROR(__xludf.DUMMYFUNCTION("""COMPUTED_VALUE"""),42976.7055555555)</f>
        <v>42976.705555555498</v>
      </c>
      <c r="R1850" s="111">
        <f ca="1">IFERROR(__xludf.DUMMYFUNCTION("""COMPUTED_VALUE"""),31.49)</f>
        <v>31.49</v>
      </c>
      <c r="S1850" s="112">
        <f ca="1">IFERROR(__xludf.DUMMYFUNCTION("""COMPUTED_VALUE"""),42989.7055555555)</f>
        <v>42989.705555555498</v>
      </c>
      <c r="T1850" s="111">
        <f ca="1">IFERROR(__xludf.DUMMYFUNCTION("""COMPUTED_VALUE"""),27.84)</f>
        <v>27.84</v>
      </c>
    </row>
    <row r="1851" spans="1:20" x14ac:dyDescent="0.3">
      <c r="A1851" s="112">
        <f ca="1">IFERROR(__xludf.DUMMYFUNCTION("""COMPUTED_VALUE"""),42986.7055555555)</f>
        <v>42986.705555555498</v>
      </c>
      <c r="B1851" s="111">
        <f ca="1">IFERROR(__xludf.DUMMYFUNCTION("""COMPUTED_VALUE"""),19.48)</f>
        <v>19.48</v>
      </c>
      <c r="C1851" s="112">
        <f ca="1">IFERROR(__xludf.DUMMYFUNCTION("""COMPUTED_VALUE"""),42993.7055555555)</f>
        <v>42993.705555555498</v>
      </c>
      <c r="D1851" s="111">
        <f ca="1">IFERROR(__xludf.DUMMYFUNCTION("""COMPUTED_VALUE"""),29.09)</f>
        <v>29.09</v>
      </c>
      <c r="E1851" s="112">
        <f ca="1">IFERROR(__xludf.DUMMYFUNCTION("""COMPUTED_VALUE"""),42996.7055555555)</f>
        <v>42996.705555555498</v>
      </c>
      <c r="F1851" s="111">
        <f ca="1">IFERROR(__xludf.DUMMYFUNCTION("""COMPUTED_VALUE"""),9.77)</f>
        <v>9.77</v>
      </c>
      <c r="G1851" s="112">
        <f ca="1">IFERROR(__xludf.DUMMYFUNCTION("""COMPUTED_VALUE"""),42990.7055555555)</f>
        <v>42990.705555555498</v>
      </c>
      <c r="H1851" s="111">
        <f ca="1">IFERROR(__xludf.DUMMYFUNCTION("""COMPUTED_VALUE"""),14.87)</f>
        <v>14.87</v>
      </c>
      <c r="K1851" s="112">
        <f ca="1">IFERROR(__xludf.DUMMYFUNCTION("""COMPUTED_VALUE"""),43446.7055555555)</f>
        <v>43446.705555555498</v>
      </c>
      <c r="L1851" s="111">
        <f ca="1">IFERROR(__xludf.DUMMYFUNCTION("""COMPUTED_VALUE"""),5.25)</f>
        <v>5.25</v>
      </c>
      <c r="M1851" s="112">
        <f ca="1">IFERROR(__xludf.DUMMYFUNCTION("""COMPUTED_VALUE"""),42906.7055555555)</f>
        <v>42906.705555555498</v>
      </c>
      <c r="N1851" s="111">
        <f ca="1">IFERROR(__xludf.DUMMYFUNCTION("""COMPUTED_VALUE"""),16.56)</f>
        <v>16.559999999999999</v>
      </c>
      <c r="O1851" s="112">
        <f ca="1">IFERROR(__xludf.DUMMYFUNCTION("""COMPUTED_VALUE"""),42978.7055555555)</f>
        <v>42978.705555555498</v>
      </c>
      <c r="P1851" s="111">
        <f ca="1">IFERROR(__xludf.DUMMYFUNCTION("""COMPUTED_VALUE"""),35.08)</f>
        <v>35.08</v>
      </c>
      <c r="Q1851" s="112">
        <f ca="1">IFERROR(__xludf.DUMMYFUNCTION("""COMPUTED_VALUE"""),42977.7055555555)</f>
        <v>42977.705555555498</v>
      </c>
      <c r="R1851" s="111">
        <f ca="1">IFERROR(__xludf.DUMMYFUNCTION("""COMPUTED_VALUE"""),31.17)</f>
        <v>31.17</v>
      </c>
      <c r="S1851" s="112">
        <f ca="1">IFERROR(__xludf.DUMMYFUNCTION("""COMPUTED_VALUE"""),42990.7055555555)</f>
        <v>42990.705555555498</v>
      </c>
      <c r="T1851" s="111">
        <f ca="1">IFERROR(__xludf.DUMMYFUNCTION("""COMPUTED_VALUE"""),28.6)</f>
        <v>28.6</v>
      </c>
    </row>
    <row r="1852" spans="1:20" x14ac:dyDescent="0.3">
      <c r="A1852" s="112">
        <f ca="1">IFERROR(__xludf.DUMMYFUNCTION("""COMPUTED_VALUE"""),42989.7055555555)</f>
        <v>42989.705555555498</v>
      </c>
      <c r="B1852" s="111">
        <f ca="1">IFERROR(__xludf.DUMMYFUNCTION("""COMPUTED_VALUE"""),20.86)</f>
        <v>20.86</v>
      </c>
      <c r="C1852" s="112">
        <f ca="1">IFERROR(__xludf.DUMMYFUNCTION("""COMPUTED_VALUE"""),42996.7055555555)</f>
        <v>42996.705555555498</v>
      </c>
      <c r="D1852" s="111">
        <f ca="1">IFERROR(__xludf.DUMMYFUNCTION("""COMPUTED_VALUE"""),29.29)</f>
        <v>29.29</v>
      </c>
      <c r="E1852" s="112">
        <f ca="1">IFERROR(__xludf.DUMMYFUNCTION("""COMPUTED_VALUE"""),42997.7055555555)</f>
        <v>42997.705555555498</v>
      </c>
      <c r="F1852" s="111">
        <f ca="1">IFERROR(__xludf.DUMMYFUNCTION("""COMPUTED_VALUE"""),9.74)</f>
        <v>9.74</v>
      </c>
      <c r="G1852" s="112">
        <f ca="1">IFERROR(__xludf.DUMMYFUNCTION("""COMPUTED_VALUE"""),42991.7055555555)</f>
        <v>42991.705555555498</v>
      </c>
      <c r="H1852" s="111">
        <f ca="1">IFERROR(__xludf.DUMMYFUNCTION("""COMPUTED_VALUE"""),15.03)</f>
        <v>15.03</v>
      </c>
      <c r="K1852" s="112">
        <f ca="1">IFERROR(__xludf.DUMMYFUNCTION("""COMPUTED_VALUE"""),43447.7055555555)</f>
        <v>43447.705555555498</v>
      </c>
      <c r="L1852" s="111">
        <f ca="1">IFERROR(__xludf.DUMMYFUNCTION("""COMPUTED_VALUE"""),5.24)</f>
        <v>5.24</v>
      </c>
      <c r="M1852" s="112">
        <f ca="1">IFERROR(__xludf.DUMMYFUNCTION("""COMPUTED_VALUE"""),42907.7055555555)</f>
        <v>42907.705555555498</v>
      </c>
      <c r="N1852" s="111">
        <f ca="1">IFERROR(__xludf.DUMMYFUNCTION("""COMPUTED_VALUE"""),16.47)</f>
        <v>16.47</v>
      </c>
      <c r="O1852" s="112">
        <f ca="1">IFERROR(__xludf.DUMMYFUNCTION("""COMPUTED_VALUE"""),42979.7055555555)</f>
        <v>42979.705555555498</v>
      </c>
      <c r="P1852" s="111">
        <f ca="1">IFERROR(__xludf.DUMMYFUNCTION("""COMPUTED_VALUE"""),35.67)</f>
        <v>35.67</v>
      </c>
      <c r="Q1852" s="112">
        <f ca="1">IFERROR(__xludf.DUMMYFUNCTION("""COMPUTED_VALUE"""),42978.7055555555)</f>
        <v>42978.705555555498</v>
      </c>
      <c r="R1852" s="111">
        <f ca="1">IFERROR(__xludf.DUMMYFUNCTION("""COMPUTED_VALUE"""),30.7)</f>
        <v>30.7</v>
      </c>
      <c r="S1852" s="112">
        <f ca="1">IFERROR(__xludf.DUMMYFUNCTION("""COMPUTED_VALUE"""),42991.7055555555)</f>
        <v>42991.705555555498</v>
      </c>
      <c r="T1852" s="111">
        <f ca="1">IFERROR(__xludf.DUMMYFUNCTION("""COMPUTED_VALUE"""),28.33)</f>
        <v>28.33</v>
      </c>
    </row>
    <row r="1853" spans="1:20" x14ac:dyDescent="0.3">
      <c r="A1853" s="112">
        <f ca="1">IFERROR(__xludf.DUMMYFUNCTION("""COMPUTED_VALUE"""),42990.7055555555)</f>
        <v>42990.705555555498</v>
      </c>
      <c r="B1853" s="111">
        <f ca="1">IFERROR(__xludf.DUMMYFUNCTION("""COMPUTED_VALUE"""),21.23)</f>
        <v>21.23</v>
      </c>
      <c r="C1853" s="112">
        <f ca="1">IFERROR(__xludf.DUMMYFUNCTION("""COMPUTED_VALUE"""),42997.7055555555)</f>
        <v>42997.705555555498</v>
      </c>
      <c r="D1853" s="111">
        <f ca="1">IFERROR(__xludf.DUMMYFUNCTION("""COMPUTED_VALUE"""),29.19)</f>
        <v>29.19</v>
      </c>
      <c r="E1853" s="112">
        <f ca="1">IFERROR(__xludf.DUMMYFUNCTION("""COMPUTED_VALUE"""),42998.7055555555)</f>
        <v>42998.705555555498</v>
      </c>
      <c r="F1853" s="111">
        <f ca="1">IFERROR(__xludf.DUMMYFUNCTION("""COMPUTED_VALUE"""),9.65)</f>
        <v>9.65</v>
      </c>
      <c r="G1853" s="112">
        <f ca="1">IFERROR(__xludf.DUMMYFUNCTION("""COMPUTED_VALUE"""),42992.7055555555)</f>
        <v>42992.705555555498</v>
      </c>
      <c r="H1853" s="111">
        <f ca="1">IFERROR(__xludf.DUMMYFUNCTION("""COMPUTED_VALUE"""),15.04)</f>
        <v>15.04</v>
      </c>
      <c r="K1853" s="112">
        <f ca="1">IFERROR(__xludf.DUMMYFUNCTION("""COMPUTED_VALUE"""),43448.7055555555)</f>
        <v>43448.705555555498</v>
      </c>
      <c r="L1853" s="111">
        <f ca="1">IFERROR(__xludf.DUMMYFUNCTION("""COMPUTED_VALUE"""),5.33)</f>
        <v>5.33</v>
      </c>
      <c r="M1853" s="112">
        <f ca="1">IFERROR(__xludf.DUMMYFUNCTION("""COMPUTED_VALUE"""),42908.7055555555)</f>
        <v>42908.705555555498</v>
      </c>
      <c r="N1853" s="111">
        <f ca="1">IFERROR(__xludf.DUMMYFUNCTION("""COMPUTED_VALUE"""),16.67)</f>
        <v>16.670000000000002</v>
      </c>
      <c r="O1853" s="112">
        <f ca="1">IFERROR(__xludf.DUMMYFUNCTION("""COMPUTED_VALUE"""),42982.7055555555)</f>
        <v>42982.705555555498</v>
      </c>
      <c r="P1853" s="111">
        <f ca="1">IFERROR(__xludf.DUMMYFUNCTION("""COMPUTED_VALUE"""),36.1)</f>
        <v>36.1</v>
      </c>
      <c r="Q1853" s="112">
        <f ca="1">IFERROR(__xludf.DUMMYFUNCTION("""COMPUTED_VALUE"""),42979.7055555555)</f>
        <v>42979.705555555498</v>
      </c>
      <c r="R1853" s="111">
        <f ca="1">IFERROR(__xludf.DUMMYFUNCTION("""COMPUTED_VALUE"""),31.89)</f>
        <v>31.89</v>
      </c>
      <c r="S1853" s="112">
        <f ca="1">IFERROR(__xludf.DUMMYFUNCTION("""COMPUTED_VALUE"""),42992.7055555555)</f>
        <v>42992.705555555498</v>
      </c>
      <c r="T1853" s="111">
        <f ca="1">IFERROR(__xludf.DUMMYFUNCTION("""COMPUTED_VALUE"""),28.32)</f>
        <v>28.32</v>
      </c>
    </row>
    <row r="1854" spans="1:20" x14ac:dyDescent="0.3">
      <c r="A1854" s="112">
        <f ca="1">IFERROR(__xludf.DUMMYFUNCTION("""COMPUTED_VALUE"""),42991.7055555555)</f>
        <v>42991.705555555498</v>
      </c>
      <c r="B1854" s="111">
        <f ca="1">IFERROR(__xludf.DUMMYFUNCTION("""COMPUTED_VALUE"""),20.79)</f>
        <v>20.79</v>
      </c>
      <c r="C1854" s="112">
        <f ca="1">IFERROR(__xludf.DUMMYFUNCTION("""COMPUTED_VALUE"""),42998.7055555555)</f>
        <v>42998.705555555498</v>
      </c>
      <c r="D1854" s="111">
        <f ca="1">IFERROR(__xludf.DUMMYFUNCTION("""COMPUTED_VALUE"""),28.88)</f>
        <v>28.88</v>
      </c>
      <c r="E1854" s="112">
        <f ca="1">IFERROR(__xludf.DUMMYFUNCTION("""COMPUTED_VALUE"""),42999.7055555555)</f>
        <v>42999.705555555498</v>
      </c>
      <c r="F1854" s="111">
        <f ca="1">IFERROR(__xludf.DUMMYFUNCTION("""COMPUTED_VALUE"""),9.65)</f>
        <v>9.65</v>
      </c>
      <c r="G1854" s="112">
        <f ca="1">IFERROR(__xludf.DUMMYFUNCTION("""COMPUTED_VALUE"""),42993.7055555555)</f>
        <v>42993.705555555498</v>
      </c>
      <c r="H1854" s="111">
        <f ca="1">IFERROR(__xludf.DUMMYFUNCTION("""COMPUTED_VALUE"""),15.04)</f>
        <v>15.04</v>
      </c>
      <c r="K1854" s="112">
        <f ca="1">IFERROR(__xludf.DUMMYFUNCTION("""COMPUTED_VALUE"""),43451.7055555555)</f>
        <v>43451.705555555498</v>
      </c>
      <c r="L1854" s="111">
        <f ca="1">IFERROR(__xludf.DUMMYFUNCTION("""COMPUTED_VALUE"""),5.32)</f>
        <v>5.32</v>
      </c>
      <c r="M1854" s="112">
        <f ca="1">IFERROR(__xludf.DUMMYFUNCTION("""COMPUTED_VALUE"""),42909.7055555555)</f>
        <v>42909.705555555498</v>
      </c>
      <c r="N1854" s="111">
        <f ca="1">IFERROR(__xludf.DUMMYFUNCTION("""COMPUTED_VALUE"""),16.54)</f>
        <v>16.54</v>
      </c>
      <c r="O1854" s="112">
        <f ca="1">IFERROR(__xludf.DUMMYFUNCTION("""COMPUTED_VALUE"""),42983.7055555555)</f>
        <v>42983.705555555498</v>
      </c>
      <c r="P1854" s="111">
        <f ca="1">IFERROR(__xludf.DUMMYFUNCTION("""COMPUTED_VALUE"""),35.6)</f>
        <v>35.6</v>
      </c>
      <c r="Q1854" s="112">
        <f ca="1">IFERROR(__xludf.DUMMYFUNCTION("""COMPUTED_VALUE"""),42982.7055555555)</f>
        <v>42982.705555555498</v>
      </c>
      <c r="R1854" s="111">
        <f ca="1">IFERROR(__xludf.DUMMYFUNCTION("""COMPUTED_VALUE"""),31.84)</f>
        <v>31.84</v>
      </c>
      <c r="S1854" s="112">
        <f ca="1">IFERROR(__xludf.DUMMYFUNCTION("""COMPUTED_VALUE"""),42993.7055555555)</f>
        <v>42993.705555555498</v>
      </c>
      <c r="T1854" s="111">
        <f ca="1">IFERROR(__xludf.DUMMYFUNCTION("""COMPUTED_VALUE"""),29.33)</f>
        <v>29.33</v>
      </c>
    </row>
    <row r="1855" spans="1:20" x14ac:dyDescent="0.3">
      <c r="A1855" s="112">
        <f ca="1">IFERROR(__xludf.DUMMYFUNCTION("""COMPUTED_VALUE"""),42992.7055555555)</f>
        <v>42992.705555555498</v>
      </c>
      <c r="B1855" s="111">
        <f ca="1">IFERROR(__xludf.DUMMYFUNCTION("""COMPUTED_VALUE"""),21.16)</f>
        <v>21.16</v>
      </c>
      <c r="C1855" s="112">
        <f ca="1">IFERROR(__xludf.DUMMYFUNCTION("""COMPUTED_VALUE"""),42999.7055555555)</f>
        <v>42999.705555555498</v>
      </c>
      <c r="D1855" s="111">
        <f ca="1">IFERROR(__xludf.DUMMYFUNCTION("""COMPUTED_VALUE"""),28.92)</f>
        <v>28.92</v>
      </c>
      <c r="E1855" s="112">
        <f ca="1">IFERROR(__xludf.DUMMYFUNCTION("""COMPUTED_VALUE"""),43000.7055555555)</f>
        <v>43000.705555555498</v>
      </c>
      <c r="F1855" s="111">
        <f ca="1">IFERROR(__xludf.DUMMYFUNCTION("""COMPUTED_VALUE"""),9.64)</f>
        <v>9.64</v>
      </c>
      <c r="G1855" s="112">
        <f ca="1">IFERROR(__xludf.DUMMYFUNCTION("""COMPUTED_VALUE"""),42996.7055555555)</f>
        <v>42996.705555555498</v>
      </c>
      <c r="H1855" s="111">
        <f ca="1">IFERROR(__xludf.DUMMYFUNCTION("""COMPUTED_VALUE"""),15.04)</f>
        <v>15.04</v>
      </c>
      <c r="K1855" s="112">
        <f ca="1">IFERROR(__xludf.DUMMYFUNCTION("""COMPUTED_VALUE"""),43452.7055555555)</f>
        <v>43452.705555555498</v>
      </c>
      <c r="L1855" s="111">
        <f ca="1">IFERROR(__xludf.DUMMYFUNCTION("""COMPUTED_VALUE"""),5.5)</f>
        <v>5.5</v>
      </c>
      <c r="M1855" s="112">
        <f ca="1">IFERROR(__xludf.DUMMYFUNCTION("""COMPUTED_VALUE"""),42912.7055555555)</f>
        <v>42912.705555555498</v>
      </c>
      <c r="N1855" s="111">
        <f ca="1">IFERROR(__xludf.DUMMYFUNCTION("""COMPUTED_VALUE"""),17.28)</f>
        <v>17.28</v>
      </c>
      <c r="O1855" s="112">
        <f ca="1">IFERROR(__xludf.DUMMYFUNCTION("""COMPUTED_VALUE"""),42984.7055555555)</f>
        <v>42984.705555555498</v>
      </c>
      <c r="P1855" s="111">
        <f ca="1">IFERROR(__xludf.DUMMYFUNCTION("""COMPUTED_VALUE"""),35.8)</f>
        <v>35.799999999999997</v>
      </c>
      <c r="Q1855" s="112">
        <f ca="1">IFERROR(__xludf.DUMMYFUNCTION("""COMPUTED_VALUE"""),42983.7055555555)</f>
        <v>42983.705555555498</v>
      </c>
      <c r="R1855" s="111">
        <f ca="1">IFERROR(__xludf.DUMMYFUNCTION("""COMPUTED_VALUE"""),32)</f>
        <v>32</v>
      </c>
      <c r="S1855" s="112">
        <f ca="1">IFERROR(__xludf.DUMMYFUNCTION("""COMPUTED_VALUE"""),42996.7055555555)</f>
        <v>42996.705555555498</v>
      </c>
      <c r="T1855" s="111">
        <f ca="1">IFERROR(__xludf.DUMMYFUNCTION("""COMPUTED_VALUE"""),29.59)</f>
        <v>29.59</v>
      </c>
    </row>
    <row r="1856" spans="1:20" x14ac:dyDescent="0.3">
      <c r="A1856" s="112">
        <f ca="1">IFERROR(__xludf.DUMMYFUNCTION("""COMPUTED_VALUE"""),42993.7055555555)</f>
        <v>42993.705555555498</v>
      </c>
      <c r="B1856" s="111">
        <f ca="1">IFERROR(__xludf.DUMMYFUNCTION("""COMPUTED_VALUE"""),21.3)</f>
        <v>21.3</v>
      </c>
      <c r="C1856" s="112">
        <f ca="1">IFERROR(__xludf.DUMMYFUNCTION("""COMPUTED_VALUE"""),43000.7055555555)</f>
        <v>43000.705555555498</v>
      </c>
      <c r="D1856" s="111">
        <f ca="1">IFERROR(__xludf.DUMMYFUNCTION("""COMPUTED_VALUE"""),29.02)</f>
        <v>29.02</v>
      </c>
      <c r="E1856" s="112">
        <f ca="1">IFERROR(__xludf.DUMMYFUNCTION("""COMPUTED_VALUE"""),43003.7055555555)</f>
        <v>43003.705555555498</v>
      </c>
      <c r="F1856" s="111">
        <f ca="1">IFERROR(__xludf.DUMMYFUNCTION("""COMPUTED_VALUE"""),9.53)</f>
        <v>9.5299999999999994</v>
      </c>
      <c r="G1856" s="112">
        <f ca="1">IFERROR(__xludf.DUMMYFUNCTION("""COMPUTED_VALUE"""),42997.7055555555)</f>
        <v>42997.705555555498</v>
      </c>
      <c r="H1856" s="111">
        <f ca="1">IFERROR(__xludf.DUMMYFUNCTION("""COMPUTED_VALUE"""),15.14)</f>
        <v>15.14</v>
      </c>
      <c r="K1856" s="112">
        <f ca="1">IFERROR(__xludf.DUMMYFUNCTION("""COMPUTED_VALUE"""),43453.7055555555)</f>
        <v>43453.705555555498</v>
      </c>
      <c r="L1856" s="111">
        <f ca="1">IFERROR(__xludf.DUMMYFUNCTION("""COMPUTED_VALUE"""),5.53)</f>
        <v>5.53</v>
      </c>
      <c r="M1856" s="112">
        <f ca="1">IFERROR(__xludf.DUMMYFUNCTION("""COMPUTED_VALUE"""),42913.7055555555)</f>
        <v>42913.705555555498</v>
      </c>
      <c r="N1856" s="111">
        <f ca="1">IFERROR(__xludf.DUMMYFUNCTION("""COMPUTED_VALUE"""),17.09)</f>
        <v>17.09</v>
      </c>
      <c r="O1856" s="112">
        <f ca="1">IFERROR(__xludf.DUMMYFUNCTION("""COMPUTED_VALUE"""),42986.7055555555)</f>
        <v>42986.705555555498</v>
      </c>
      <c r="P1856" s="111">
        <f ca="1">IFERROR(__xludf.DUMMYFUNCTION("""COMPUTED_VALUE"""),34.48)</f>
        <v>34.479999999999997</v>
      </c>
      <c r="Q1856" s="112">
        <f ca="1">IFERROR(__xludf.DUMMYFUNCTION("""COMPUTED_VALUE"""),42984.7055555555)</f>
        <v>42984.705555555498</v>
      </c>
      <c r="R1856" s="111">
        <f ca="1">IFERROR(__xludf.DUMMYFUNCTION("""COMPUTED_VALUE"""),32.76)</f>
        <v>32.76</v>
      </c>
      <c r="S1856" s="112">
        <f ca="1">IFERROR(__xludf.DUMMYFUNCTION("""COMPUTED_VALUE"""),42997.7055555555)</f>
        <v>42997.705555555498</v>
      </c>
      <c r="T1856" s="111">
        <f ca="1">IFERROR(__xludf.DUMMYFUNCTION("""COMPUTED_VALUE"""),28.84)</f>
        <v>28.84</v>
      </c>
    </row>
    <row r="1857" spans="1:20" x14ac:dyDescent="0.3">
      <c r="A1857" s="112">
        <f ca="1">IFERROR(__xludf.DUMMYFUNCTION("""COMPUTED_VALUE"""),42996.7055555555)</f>
        <v>42996.705555555498</v>
      </c>
      <c r="B1857" s="111">
        <f ca="1">IFERROR(__xludf.DUMMYFUNCTION("""COMPUTED_VALUE"""),21.6)</f>
        <v>21.6</v>
      </c>
      <c r="C1857" s="112">
        <f ca="1">IFERROR(__xludf.DUMMYFUNCTION("""COMPUTED_VALUE"""),43003.7055555555)</f>
        <v>43003.705555555498</v>
      </c>
      <c r="D1857" s="111">
        <f ca="1">IFERROR(__xludf.DUMMYFUNCTION("""COMPUTED_VALUE"""),28.73)</f>
        <v>28.73</v>
      </c>
      <c r="E1857" s="112">
        <f ca="1">IFERROR(__xludf.DUMMYFUNCTION("""COMPUTED_VALUE"""),43004.7055555555)</f>
        <v>43004.705555555498</v>
      </c>
      <c r="F1857" s="111">
        <f ca="1">IFERROR(__xludf.DUMMYFUNCTION("""COMPUTED_VALUE"""),9.52)</f>
        <v>9.52</v>
      </c>
      <c r="G1857" s="112">
        <f ca="1">IFERROR(__xludf.DUMMYFUNCTION("""COMPUTED_VALUE"""),42998.7055555555)</f>
        <v>42998.705555555498</v>
      </c>
      <c r="H1857" s="111">
        <f ca="1">IFERROR(__xludf.DUMMYFUNCTION("""COMPUTED_VALUE"""),15.87)</f>
        <v>15.87</v>
      </c>
      <c r="K1857" s="112">
        <f ca="1">IFERROR(__xludf.DUMMYFUNCTION("""COMPUTED_VALUE"""),43454.7055555555)</f>
        <v>43454.705555555498</v>
      </c>
      <c r="L1857" s="111">
        <f ca="1">IFERROR(__xludf.DUMMYFUNCTION("""COMPUTED_VALUE"""),5.56)</f>
        <v>5.56</v>
      </c>
      <c r="M1857" s="112">
        <f ca="1">IFERROR(__xludf.DUMMYFUNCTION("""COMPUTED_VALUE"""),42914.7055555555)</f>
        <v>42914.705555555498</v>
      </c>
      <c r="N1857" s="111">
        <f ca="1">IFERROR(__xludf.DUMMYFUNCTION("""COMPUTED_VALUE"""),17.23)</f>
        <v>17.23</v>
      </c>
      <c r="O1857" s="112">
        <f ca="1">IFERROR(__xludf.DUMMYFUNCTION("""COMPUTED_VALUE"""),42989.7055555555)</f>
        <v>42989.705555555498</v>
      </c>
      <c r="P1857" s="111">
        <f ca="1">IFERROR(__xludf.DUMMYFUNCTION("""COMPUTED_VALUE"""),35.09)</f>
        <v>35.090000000000003</v>
      </c>
      <c r="Q1857" s="112">
        <f ca="1">IFERROR(__xludf.DUMMYFUNCTION("""COMPUTED_VALUE"""),42986.7055555555)</f>
        <v>42986.705555555498</v>
      </c>
      <c r="R1857" s="111">
        <f ca="1">IFERROR(__xludf.DUMMYFUNCTION("""COMPUTED_VALUE"""),32.66)</f>
        <v>32.659999999999997</v>
      </c>
      <c r="S1857" s="112">
        <f ca="1">IFERROR(__xludf.DUMMYFUNCTION("""COMPUTED_VALUE"""),42998.7055555555)</f>
        <v>42998.705555555498</v>
      </c>
      <c r="T1857" s="111">
        <f ca="1">IFERROR(__xludf.DUMMYFUNCTION("""COMPUTED_VALUE"""),28.7)</f>
        <v>28.7</v>
      </c>
    </row>
    <row r="1858" spans="1:20" x14ac:dyDescent="0.3">
      <c r="A1858" s="112">
        <f ca="1">IFERROR(__xludf.DUMMYFUNCTION("""COMPUTED_VALUE"""),42997.7055555555)</f>
        <v>42997.705555555498</v>
      </c>
      <c r="B1858" s="111">
        <f ca="1">IFERROR(__xludf.DUMMYFUNCTION("""COMPUTED_VALUE"""),21.31)</f>
        <v>21.31</v>
      </c>
      <c r="C1858" s="112">
        <f ca="1">IFERROR(__xludf.DUMMYFUNCTION("""COMPUTED_VALUE"""),43004.7055555555)</f>
        <v>43004.705555555498</v>
      </c>
      <c r="D1858" s="111">
        <f ca="1">IFERROR(__xludf.DUMMYFUNCTION("""COMPUTED_VALUE"""),28.79)</f>
        <v>28.79</v>
      </c>
      <c r="E1858" s="112">
        <f ca="1">IFERROR(__xludf.DUMMYFUNCTION("""COMPUTED_VALUE"""),43005.7055555555)</f>
        <v>43005.705555555498</v>
      </c>
      <c r="F1858" s="111">
        <f ca="1">IFERROR(__xludf.DUMMYFUNCTION("""COMPUTED_VALUE"""),9.39)</f>
        <v>9.39</v>
      </c>
      <c r="G1858" s="112">
        <f ca="1">IFERROR(__xludf.DUMMYFUNCTION("""COMPUTED_VALUE"""),42999.7055555555)</f>
        <v>42999.705555555498</v>
      </c>
      <c r="H1858" s="111">
        <f ca="1">IFERROR(__xludf.DUMMYFUNCTION("""COMPUTED_VALUE"""),15.67)</f>
        <v>15.67</v>
      </c>
      <c r="K1858" s="112">
        <f ca="1">IFERROR(__xludf.DUMMYFUNCTION("""COMPUTED_VALUE"""),43455.7055555555)</f>
        <v>43455.705555555498</v>
      </c>
      <c r="L1858" s="111">
        <f ca="1">IFERROR(__xludf.DUMMYFUNCTION("""COMPUTED_VALUE"""),5.71)</f>
        <v>5.71</v>
      </c>
      <c r="M1858" s="112">
        <f ca="1">IFERROR(__xludf.DUMMYFUNCTION("""COMPUTED_VALUE"""),42915.7055555555)</f>
        <v>42915.705555555498</v>
      </c>
      <c r="N1858" s="111">
        <f ca="1">IFERROR(__xludf.DUMMYFUNCTION("""COMPUTED_VALUE"""),17.31)</f>
        <v>17.309999999999999</v>
      </c>
      <c r="O1858" s="112">
        <f ca="1">IFERROR(__xludf.DUMMYFUNCTION("""COMPUTED_VALUE"""),42990.7055555555)</f>
        <v>42990.705555555498</v>
      </c>
      <c r="P1858" s="111">
        <f ca="1">IFERROR(__xludf.DUMMYFUNCTION("""COMPUTED_VALUE"""),35.26)</f>
        <v>35.26</v>
      </c>
      <c r="Q1858" s="112">
        <f ca="1">IFERROR(__xludf.DUMMYFUNCTION("""COMPUTED_VALUE"""),42989.7055555555)</f>
        <v>42989.705555555498</v>
      </c>
      <c r="R1858" s="111">
        <f ca="1">IFERROR(__xludf.DUMMYFUNCTION("""COMPUTED_VALUE"""),33.83)</f>
        <v>33.83</v>
      </c>
      <c r="S1858" s="112">
        <f ca="1">IFERROR(__xludf.DUMMYFUNCTION("""COMPUTED_VALUE"""),42999.7055555555)</f>
        <v>42999.705555555498</v>
      </c>
      <c r="T1858" s="111">
        <f ca="1">IFERROR(__xludf.DUMMYFUNCTION("""COMPUTED_VALUE"""),28.6)</f>
        <v>28.6</v>
      </c>
    </row>
    <row r="1859" spans="1:20" x14ac:dyDescent="0.3">
      <c r="A1859" s="112">
        <f ca="1">IFERROR(__xludf.DUMMYFUNCTION("""COMPUTED_VALUE"""),42998.7055555555)</f>
        <v>42998.705555555498</v>
      </c>
      <c r="B1859" s="111">
        <f ca="1">IFERROR(__xludf.DUMMYFUNCTION("""COMPUTED_VALUE"""),21.76)</f>
        <v>21.76</v>
      </c>
      <c r="C1859" s="112">
        <f ca="1">IFERROR(__xludf.DUMMYFUNCTION("""COMPUTED_VALUE"""),43005.7055555555)</f>
        <v>43005.705555555498</v>
      </c>
      <c r="D1859" s="111">
        <f ca="1">IFERROR(__xludf.DUMMYFUNCTION("""COMPUTED_VALUE"""),28.81)</f>
        <v>28.81</v>
      </c>
      <c r="E1859" s="112">
        <f ca="1">IFERROR(__xludf.DUMMYFUNCTION("""COMPUTED_VALUE"""),43006.7055555555)</f>
        <v>43006.705555555498</v>
      </c>
      <c r="F1859" s="111">
        <f ca="1">IFERROR(__xludf.DUMMYFUNCTION("""COMPUTED_VALUE"""),9.37)</f>
        <v>9.3699999999999992</v>
      </c>
      <c r="G1859" s="112">
        <f ca="1">IFERROR(__xludf.DUMMYFUNCTION("""COMPUTED_VALUE"""),43000.7055555555)</f>
        <v>43000.705555555498</v>
      </c>
      <c r="H1859" s="111">
        <f ca="1">IFERROR(__xludf.DUMMYFUNCTION("""COMPUTED_VALUE"""),15.69)</f>
        <v>15.69</v>
      </c>
      <c r="K1859" s="112">
        <f ca="1">IFERROR(__xludf.DUMMYFUNCTION("""COMPUTED_VALUE"""),43460.7055555555)</f>
        <v>43460.705555555498</v>
      </c>
      <c r="L1859" s="111">
        <f ca="1">IFERROR(__xludf.DUMMYFUNCTION("""COMPUTED_VALUE"""),5.53)</f>
        <v>5.53</v>
      </c>
      <c r="M1859" s="112">
        <f ca="1">IFERROR(__xludf.DUMMYFUNCTION("""COMPUTED_VALUE"""),42916.7055555555)</f>
        <v>42916.705555555498</v>
      </c>
      <c r="N1859" s="111">
        <f ca="1">IFERROR(__xludf.DUMMYFUNCTION("""COMPUTED_VALUE"""),17.62)</f>
        <v>17.62</v>
      </c>
      <c r="O1859" s="112">
        <f ca="1">IFERROR(__xludf.DUMMYFUNCTION("""COMPUTED_VALUE"""),42991.7055555555)</f>
        <v>42991.705555555498</v>
      </c>
      <c r="P1859" s="111">
        <f ca="1">IFERROR(__xludf.DUMMYFUNCTION("""COMPUTED_VALUE"""),34.77)</f>
        <v>34.770000000000003</v>
      </c>
      <c r="Q1859" s="112">
        <f ca="1">IFERROR(__xludf.DUMMYFUNCTION("""COMPUTED_VALUE"""),42990.7055555555)</f>
        <v>42990.705555555498</v>
      </c>
      <c r="R1859" s="111">
        <f ca="1">IFERROR(__xludf.DUMMYFUNCTION("""COMPUTED_VALUE"""),33.38)</f>
        <v>33.380000000000003</v>
      </c>
      <c r="S1859" s="112">
        <f ca="1">IFERROR(__xludf.DUMMYFUNCTION("""COMPUTED_VALUE"""),43000.7055555555)</f>
        <v>43000.705555555498</v>
      </c>
      <c r="T1859" s="111">
        <f ca="1">IFERROR(__xludf.DUMMYFUNCTION("""COMPUTED_VALUE"""),28.6)</f>
        <v>28.6</v>
      </c>
    </row>
    <row r="1860" spans="1:20" x14ac:dyDescent="0.3">
      <c r="A1860" s="112">
        <f ca="1">IFERROR(__xludf.DUMMYFUNCTION("""COMPUTED_VALUE"""),42999.7055555555)</f>
        <v>42999.705555555498</v>
      </c>
      <c r="B1860" s="111">
        <f ca="1">IFERROR(__xludf.DUMMYFUNCTION("""COMPUTED_VALUE"""),21.01)</f>
        <v>21.01</v>
      </c>
      <c r="C1860" s="112">
        <f ca="1">IFERROR(__xludf.DUMMYFUNCTION("""COMPUTED_VALUE"""),43006.7055555555)</f>
        <v>43006.705555555498</v>
      </c>
      <c r="D1860" s="111">
        <f ca="1">IFERROR(__xludf.DUMMYFUNCTION("""COMPUTED_VALUE"""),28.65)</f>
        <v>28.65</v>
      </c>
      <c r="E1860" s="112">
        <f ca="1">IFERROR(__xludf.DUMMYFUNCTION("""COMPUTED_VALUE"""),43007.7055555555)</f>
        <v>43007.705555555498</v>
      </c>
      <c r="F1860" s="111">
        <f ca="1">IFERROR(__xludf.DUMMYFUNCTION("""COMPUTED_VALUE"""),9.55)</f>
        <v>9.5500000000000007</v>
      </c>
      <c r="G1860" s="112">
        <f ca="1">IFERROR(__xludf.DUMMYFUNCTION("""COMPUTED_VALUE"""),43003.7055555555)</f>
        <v>43003.705555555498</v>
      </c>
      <c r="H1860" s="111">
        <f ca="1">IFERROR(__xludf.DUMMYFUNCTION("""COMPUTED_VALUE"""),15.84)</f>
        <v>15.84</v>
      </c>
      <c r="K1860" s="112">
        <f ca="1">IFERROR(__xludf.DUMMYFUNCTION("""COMPUTED_VALUE"""),43461.7055555555)</f>
        <v>43461.705555555498</v>
      </c>
      <c r="L1860" s="111">
        <f ca="1">IFERROR(__xludf.DUMMYFUNCTION("""COMPUTED_VALUE"""),5.44)</f>
        <v>5.44</v>
      </c>
      <c r="M1860" s="112">
        <f ca="1">IFERROR(__xludf.DUMMYFUNCTION("""COMPUTED_VALUE"""),42919.7055555555)</f>
        <v>42919.705555555498</v>
      </c>
      <c r="N1860" s="111">
        <f ca="1">IFERROR(__xludf.DUMMYFUNCTION("""COMPUTED_VALUE"""),17.66)</f>
        <v>17.66</v>
      </c>
      <c r="O1860" s="112">
        <f ca="1">IFERROR(__xludf.DUMMYFUNCTION("""COMPUTED_VALUE"""),42992.7055555555)</f>
        <v>42992.705555555498</v>
      </c>
      <c r="P1860" s="111">
        <f ca="1">IFERROR(__xludf.DUMMYFUNCTION("""COMPUTED_VALUE"""),33.62)</f>
        <v>33.619999999999997</v>
      </c>
      <c r="Q1860" s="112">
        <f ca="1">IFERROR(__xludf.DUMMYFUNCTION("""COMPUTED_VALUE"""),42991.7055555555)</f>
        <v>42991.705555555498</v>
      </c>
      <c r="R1860" s="111">
        <f ca="1">IFERROR(__xludf.DUMMYFUNCTION("""COMPUTED_VALUE"""),33.59)</f>
        <v>33.590000000000003</v>
      </c>
      <c r="S1860" s="112">
        <f ca="1">IFERROR(__xludf.DUMMYFUNCTION("""COMPUTED_VALUE"""),43003.7055555555)</f>
        <v>43003.705555555498</v>
      </c>
      <c r="T1860" s="111">
        <f ca="1">IFERROR(__xludf.DUMMYFUNCTION("""COMPUTED_VALUE"""),28.51)</f>
        <v>28.51</v>
      </c>
    </row>
    <row r="1861" spans="1:20" x14ac:dyDescent="0.3">
      <c r="A1861" s="112">
        <f ca="1">IFERROR(__xludf.DUMMYFUNCTION("""COMPUTED_VALUE"""),43000.7055555555)</f>
        <v>43000.705555555498</v>
      </c>
      <c r="B1861" s="111">
        <f ca="1">IFERROR(__xludf.DUMMYFUNCTION("""COMPUTED_VALUE"""),20.77)</f>
        <v>20.77</v>
      </c>
      <c r="C1861" s="112">
        <f ca="1">IFERROR(__xludf.DUMMYFUNCTION("""COMPUTED_VALUE"""),43007.7055555555)</f>
        <v>43007.705555555498</v>
      </c>
      <c r="D1861" s="111">
        <f ca="1">IFERROR(__xludf.DUMMYFUNCTION("""COMPUTED_VALUE"""),28.9)</f>
        <v>28.9</v>
      </c>
      <c r="E1861" s="112">
        <f ca="1">IFERROR(__xludf.DUMMYFUNCTION("""COMPUTED_VALUE"""),43010.7055555555)</f>
        <v>43010.705555555498</v>
      </c>
      <c r="F1861" s="111">
        <f ca="1">IFERROR(__xludf.DUMMYFUNCTION("""COMPUTED_VALUE"""),9.49)</f>
        <v>9.49</v>
      </c>
      <c r="G1861" s="112">
        <f ca="1">IFERROR(__xludf.DUMMYFUNCTION("""COMPUTED_VALUE"""),43004.7055555555)</f>
        <v>43004.705555555498</v>
      </c>
      <c r="H1861" s="111">
        <f ca="1">IFERROR(__xludf.DUMMYFUNCTION("""COMPUTED_VALUE"""),15.56)</f>
        <v>15.56</v>
      </c>
      <c r="K1861" s="112">
        <f ca="1">IFERROR(__xludf.DUMMYFUNCTION("""COMPUTED_VALUE"""),43462.7055555555)</f>
        <v>43462.705555555498</v>
      </c>
      <c r="L1861" s="111">
        <f ca="1">IFERROR(__xludf.DUMMYFUNCTION("""COMPUTED_VALUE"""),5.66)</f>
        <v>5.66</v>
      </c>
      <c r="M1861" s="112">
        <f ca="1">IFERROR(__xludf.DUMMYFUNCTION("""COMPUTED_VALUE"""),42920.7055555555)</f>
        <v>42920.705555555498</v>
      </c>
      <c r="N1861" s="111">
        <f ca="1">IFERROR(__xludf.DUMMYFUNCTION("""COMPUTED_VALUE"""),17.67)</f>
        <v>17.670000000000002</v>
      </c>
      <c r="O1861" s="112">
        <f ca="1">IFERROR(__xludf.DUMMYFUNCTION("""COMPUTED_VALUE"""),42993.7055555555)</f>
        <v>42993.705555555498</v>
      </c>
      <c r="P1861" s="111">
        <f ca="1">IFERROR(__xludf.DUMMYFUNCTION("""COMPUTED_VALUE"""),33.8)</f>
        <v>33.799999999999997</v>
      </c>
      <c r="Q1861" s="112">
        <f ca="1">IFERROR(__xludf.DUMMYFUNCTION("""COMPUTED_VALUE"""),42992.7055555555)</f>
        <v>42992.705555555498</v>
      </c>
      <c r="R1861" s="111">
        <f ca="1">IFERROR(__xludf.DUMMYFUNCTION("""COMPUTED_VALUE"""),33.62)</f>
        <v>33.619999999999997</v>
      </c>
      <c r="S1861" s="112">
        <f ca="1">IFERROR(__xludf.DUMMYFUNCTION("""COMPUTED_VALUE"""),43004.7055555555)</f>
        <v>43004.705555555498</v>
      </c>
      <c r="T1861" s="111">
        <f ca="1">IFERROR(__xludf.DUMMYFUNCTION("""COMPUTED_VALUE"""),28.69)</f>
        <v>28.69</v>
      </c>
    </row>
    <row r="1862" spans="1:20" x14ac:dyDescent="0.3">
      <c r="A1862" s="112">
        <f ca="1">IFERROR(__xludf.DUMMYFUNCTION("""COMPUTED_VALUE"""),43003.7055555555)</f>
        <v>43003.705555555498</v>
      </c>
      <c r="B1862" s="111">
        <f ca="1">IFERROR(__xludf.DUMMYFUNCTION("""COMPUTED_VALUE"""),20.24)</f>
        <v>20.239999999999998</v>
      </c>
      <c r="C1862" s="112">
        <f ca="1">IFERROR(__xludf.DUMMYFUNCTION("""COMPUTED_VALUE"""),43010.7055555555)</f>
        <v>43010.705555555498</v>
      </c>
      <c r="D1862" s="111">
        <f ca="1">IFERROR(__xludf.DUMMYFUNCTION("""COMPUTED_VALUE"""),28.94)</f>
        <v>28.94</v>
      </c>
      <c r="E1862" s="112">
        <f ca="1">IFERROR(__xludf.DUMMYFUNCTION("""COMPUTED_VALUE"""),43011.7055555555)</f>
        <v>43011.705555555498</v>
      </c>
      <c r="F1862" s="111">
        <f ca="1">IFERROR(__xludf.DUMMYFUNCTION("""COMPUTED_VALUE"""),9.86)</f>
        <v>9.86</v>
      </c>
      <c r="G1862" s="112">
        <f ca="1">IFERROR(__xludf.DUMMYFUNCTION("""COMPUTED_VALUE"""),43005.7055555555)</f>
        <v>43005.705555555498</v>
      </c>
      <c r="H1862" s="111">
        <f ca="1">IFERROR(__xludf.DUMMYFUNCTION("""COMPUTED_VALUE"""),15.31)</f>
        <v>15.31</v>
      </c>
      <c r="K1862" s="112">
        <f ca="1">IFERROR(__xludf.DUMMYFUNCTION("""COMPUTED_VALUE"""),43467.7055555555)</f>
        <v>43467.705555555498</v>
      </c>
      <c r="L1862" s="111">
        <f ca="1">IFERROR(__xludf.DUMMYFUNCTION("""COMPUTED_VALUE"""),5.81)</f>
        <v>5.81</v>
      </c>
      <c r="M1862" s="112">
        <f ca="1">IFERROR(__xludf.DUMMYFUNCTION("""COMPUTED_VALUE"""),42921.7055555555)</f>
        <v>42921.705555555498</v>
      </c>
      <c r="N1862" s="111">
        <f ca="1">IFERROR(__xludf.DUMMYFUNCTION("""COMPUTED_VALUE"""),17.67)</f>
        <v>17.670000000000002</v>
      </c>
      <c r="O1862" s="112">
        <f ca="1">IFERROR(__xludf.DUMMYFUNCTION("""COMPUTED_VALUE"""),42996.7055555555)</f>
        <v>42996.705555555498</v>
      </c>
      <c r="P1862" s="111">
        <f ca="1">IFERROR(__xludf.DUMMYFUNCTION("""COMPUTED_VALUE"""),34.25)</f>
        <v>34.25</v>
      </c>
      <c r="Q1862" s="112">
        <f ca="1">IFERROR(__xludf.DUMMYFUNCTION("""COMPUTED_VALUE"""),42993.7055555555)</f>
        <v>42993.705555555498</v>
      </c>
      <c r="R1862" s="111">
        <f ca="1">IFERROR(__xludf.DUMMYFUNCTION("""COMPUTED_VALUE"""),34.11)</f>
        <v>34.11</v>
      </c>
      <c r="S1862" s="112">
        <f ca="1">IFERROR(__xludf.DUMMYFUNCTION("""COMPUTED_VALUE"""),43005.7055555555)</f>
        <v>43005.705555555498</v>
      </c>
      <c r="T1862" s="111">
        <f ca="1">IFERROR(__xludf.DUMMYFUNCTION("""COMPUTED_VALUE"""),28.51)</f>
        <v>28.51</v>
      </c>
    </row>
    <row r="1863" spans="1:20" x14ac:dyDescent="0.3">
      <c r="A1863" s="112">
        <f ca="1">IFERROR(__xludf.DUMMYFUNCTION("""COMPUTED_VALUE"""),43004.7055555555)</f>
        <v>43004.705555555498</v>
      </c>
      <c r="B1863" s="111">
        <f ca="1">IFERROR(__xludf.DUMMYFUNCTION("""COMPUTED_VALUE"""),20.26)</f>
        <v>20.260000000000002</v>
      </c>
      <c r="C1863" s="112">
        <f ca="1">IFERROR(__xludf.DUMMYFUNCTION("""COMPUTED_VALUE"""),43011.7055555555)</f>
        <v>43011.705555555498</v>
      </c>
      <c r="D1863" s="111">
        <f ca="1">IFERROR(__xludf.DUMMYFUNCTION("""COMPUTED_VALUE"""),29.93)</f>
        <v>29.93</v>
      </c>
      <c r="E1863" s="112">
        <f ca="1">IFERROR(__xludf.DUMMYFUNCTION("""COMPUTED_VALUE"""),43012.7055555555)</f>
        <v>43012.705555555498</v>
      </c>
      <c r="F1863" s="111">
        <f ca="1">IFERROR(__xludf.DUMMYFUNCTION("""COMPUTED_VALUE"""),9.79)</f>
        <v>9.7899999999999991</v>
      </c>
      <c r="G1863" s="112">
        <f ca="1">IFERROR(__xludf.DUMMYFUNCTION("""COMPUTED_VALUE"""),43006.7055555555)</f>
        <v>43006.705555555498</v>
      </c>
      <c r="H1863" s="111">
        <f ca="1">IFERROR(__xludf.DUMMYFUNCTION("""COMPUTED_VALUE"""),15.34)</f>
        <v>15.34</v>
      </c>
      <c r="K1863" s="112">
        <f ca="1">IFERROR(__xludf.DUMMYFUNCTION("""COMPUTED_VALUE"""),43468.7055555555)</f>
        <v>43468.705555555498</v>
      </c>
      <c r="L1863" s="111">
        <f ca="1">IFERROR(__xludf.DUMMYFUNCTION("""COMPUTED_VALUE"""),5.75)</f>
        <v>5.75</v>
      </c>
      <c r="M1863" s="112">
        <f ca="1">IFERROR(__xludf.DUMMYFUNCTION("""COMPUTED_VALUE"""),42922.7055555555)</f>
        <v>42922.705555555498</v>
      </c>
      <c r="N1863" s="111">
        <f ca="1">IFERROR(__xludf.DUMMYFUNCTION("""COMPUTED_VALUE"""),17.42)</f>
        <v>17.420000000000002</v>
      </c>
      <c r="O1863" s="112">
        <f ca="1">IFERROR(__xludf.DUMMYFUNCTION("""COMPUTED_VALUE"""),42997.7055555555)</f>
        <v>42997.705555555498</v>
      </c>
      <c r="P1863" s="111">
        <f ca="1">IFERROR(__xludf.DUMMYFUNCTION("""COMPUTED_VALUE"""),33.92)</f>
        <v>33.92</v>
      </c>
      <c r="Q1863" s="112">
        <f ca="1">IFERROR(__xludf.DUMMYFUNCTION("""COMPUTED_VALUE"""),42996.7055555555)</f>
        <v>42996.705555555498</v>
      </c>
      <c r="R1863" s="111">
        <f ca="1">IFERROR(__xludf.DUMMYFUNCTION("""COMPUTED_VALUE"""),34.58)</f>
        <v>34.58</v>
      </c>
      <c r="S1863" s="112">
        <f ca="1">IFERROR(__xludf.DUMMYFUNCTION("""COMPUTED_VALUE"""),43006.7055555555)</f>
        <v>43006.705555555498</v>
      </c>
      <c r="T1863" s="111">
        <f ca="1">IFERROR(__xludf.DUMMYFUNCTION("""COMPUTED_VALUE"""),28.93)</f>
        <v>28.93</v>
      </c>
    </row>
    <row r="1864" spans="1:20" x14ac:dyDescent="0.3">
      <c r="A1864" s="112">
        <f ca="1">IFERROR(__xludf.DUMMYFUNCTION("""COMPUTED_VALUE"""),43005.7055555555)</f>
        <v>43005.705555555498</v>
      </c>
      <c r="B1864" s="111">
        <f ca="1">IFERROR(__xludf.DUMMYFUNCTION("""COMPUTED_VALUE"""),19.68)</f>
        <v>19.68</v>
      </c>
      <c r="C1864" s="112">
        <f ca="1">IFERROR(__xludf.DUMMYFUNCTION("""COMPUTED_VALUE"""),43012.7055555555)</f>
        <v>43012.705555555498</v>
      </c>
      <c r="D1864" s="111">
        <f ca="1">IFERROR(__xludf.DUMMYFUNCTION("""COMPUTED_VALUE"""),29.67)</f>
        <v>29.67</v>
      </c>
      <c r="E1864" s="112">
        <f ca="1">IFERROR(__xludf.DUMMYFUNCTION("""COMPUTED_VALUE"""),43013.7055555555)</f>
        <v>43013.705555555498</v>
      </c>
      <c r="F1864" s="111">
        <f ca="1">IFERROR(__xludf.DUMMYFUNCTION("""COMPUTED_VALUE"""),9.85)</f>
        <v>9.85</v>
      </c>
      <c r="G1864" s="112">
        <f ca="1">IFERROR(__xludf.DUMMYFUNCTION("""COMPUTED_VALUE"""),43007.7055555555)</f>
        <v>43007.705555555498</v>
      </c>
      <c r="H1864" s="111">
        <f ca="1">IFERROR(__xludf.DUMMYFUNCTION("""COMPUTED_VALUE"""),15.3)</f>
        <v>15.3</v>
      </c>
      <c r="K1864" s="112">
        <f ca="1">IFERROR(__xludf.DUMMYFUNCTION("""COMPUTED_VALUE"""),43469.7055555555)</f>
        <v>43469.705555555498</v>
      </c>
      <c r="L1864" s="111">
        <f ca="1">IFERROR(__xludf.DUMMYFUNCTION("""COMPUTED_VALUE"""),5.58)</f>
        <v>5.58</v>
      </c>
      <c r="M1864" s="112">
        <f ca="1">IFERROR(__xludf.DUMMYFUNCTION("""COMPUTED_VALUE"""),42923.7055555555)</f>
        <v>42923.705555555498</v>
      </c>
      <c r="N1864" s="111">
        <f ca="1">IFERROR(__xludf.DUMMYFUNCTION("""COMPUTED_VALUE"""),17.44)</f>
        <v>17.440000000000001</v>
      </c>
      <c r="O1864" s="112">
        <f ca="1">IFERROR(__xludf.DUMMYFUNCTION("""COMPUTED_VALUE"""),42998.7055555555)</f>
        <v>42998.705555555498</v>
      </c>
      <c r="P1864" s="111">
        <f ca="1">IFERROR(__xludf.DUMMYFUNCTION("""COMPUTED_VALUE"""),33.17)</f>
        <v>33.17</v>
      </c>
      <c r="Q1864" s="112">
        <f ca="1">IFERROR(__xludf.DUMMYFUNCTION("""COMPUTED_VALUE"""),42997.7055555555)</f>
        <v>42997.705555555498</v>
      </c>
      <c r="R1864" s="111">
        <f ca="1">IFERROR(__xludf.DUMMYFUNCTION("""COMPUTED_VALUE"""),34.54)</f>
        <v>34.54</v>
      </c>
      <c r="S1864" s="112">
        <f ca="1">IFERROR(__xludf.DUMMYFUNCTION("""COMPUTED_VALUE"""),43007.7055555555)</f>
        <v>43007.705555555498</v>
      </c>
      <c r="T1864" s="111">
        <f ca="1">IFERROR(__xludf.DUMMYFUNCTION("""COMPUTED_VALUE"""),29.8)</f>
        <v>29.8</v>
      </c>
    </row>
    <row r="1865" spans="1:20" x14ac:dyDescent="0.3">
      <c r="A1865" s="112">
        <f ca="1">IFERROR(__xludf.DUMMYFUNCTION("""COMPUTED_VALUE"""),43006.7055555555)</f>
        <v>43006.705555555498</v>
      </c>
      <c r="B1865" s="111">
        <f ca="1">IFERROR(__xludf.DUMMYFUNCTION("""COMPUTED_VALUE"""),19.33)</f>
        <v>19.329999999999998</v>
      </c>
      <c r="C1865" s="112">
        <f ca="1">IFERROR(__xludf.DUMMYFUNCTION("""COMPUTED_VALUE"""),43013.7055555555)</f>
        <v>43013.705555555498</v>
      </c>
      <c r="D1865" s="111">
        <f ca="1">IFERROR(__xludf.DUMMYFUNCTION("""COMPUTED_VALUE"""),30.14)</f>
        <v>30.14</v>
      </c>
      <c r="E1865" s="112">
        <f ca="1">IFERROR(__xludf.DUMMYFUNCTION("""COMPUTED_VALUE"""),43014.7055555555)</f>
        <v>43014.705555555498</v>
      </c>
      <c r="F1865" s="111">
        <f ca="1">IFERROR(__xludf.DUMMYFUNCTION("""COMPUTED_VALUE"""),9.81)</f>
        <v>9.81</v>
      </c>
      <c r="G1865" s="112">
        <f ca="1">IFERROR(__xludf.DUMMYFUNCTION("""COMPUTED_VALUE"""),43010.7055555555)</f>
        <v>43010.705555555498</v>
      </c>
      <c r="H1865" s="111">
        <f ca="1">IFERROR(__xludf.DUMMYFUNCTION("""COMPUTED_VALUE"""),15.4)</f>
        <v>15.4</v>
      </c>
      <c r="K1865" s="112">
        <f ca="1">IFERROR(__xludf.DUMMYFUNCTION("""COMPUTED_VALUE"""),43472.7055555555)</f>
        <v>43472.705555555498</v>
      </c>
      <c r="L1865" s="111">
        <f ca="1">IFERROR(__xludf.DUMMYFUNCTION("""COMPUTED_VALUE"""),5.66)</f>
        <v>5.66</v>
      </c>
      <c r="M1865" s="112">
        <f ca="1">IFERROR(__xludf.DUMMYFUNCTION("""COMPUTED_VALUE"""),42926.7055555555)</f>
        <v>42926.705555555498</v>
      </c>
      <c r="N1865" s="111">
        <f ca="1">IFERROR(__xludf.DUMMYFUNCTION("""COMPUTED_VALUE"""),17.63)</f>
        <v>17.63</v>
      </c>
      <c r="O1865" s="112">
        <f ca="1">IFERROR(__xludf.DUMMYFUNCTION("""COMPUTED_VALUE"""),42999.7055555555)</f>
        <v>42999.705555555498</v>
      </c>
      <c r="P1865" s="111">
        <f ca="1">IFERROR(__xludf.DUMMYFUNCTION("""COMPUTED_VALUE"""),32.51)</f>
        <v>32.51</v>
      </c>
      <c r="Q1865" s="112">
        <f ca="1">IFERROR(__xludf.DUMMYFUNCTION("""COMPUTED_VALUE"""),42998.7055555555)</f>
        <v>42998.705555555498</v>
      </c>
      <c r="R1865" s="111">
        <f ca="1">IFERROR(__xludf.DUMMYFUNCTION("""COMPUTED_VALUE"""),34.76)</f>
        <v>34.76</v>
      </c>
      <c r="S1865" s="112">
        <f ca="1">IFERROR(__xludf.DUMMYFUNCTION("""COMPUTED_VALUE"""),43010.7055555555)</f>
        <v>43010.705555555498</v>
      </c>
      <c r="T1865" s="111">
        <f ca="1">IFERROR(__xludf.DUMMYFUNCTION("""COMPUTED_VALUE"""),29.83)</f>
        <v>29.83</v>
      </c>
    </row>
    <row r="1866" spans="1:20" x14ac:dyDescent="0.3">
      <c r="A1866" s="112">
        <f ca="1">IFERROR(__xludf.DUMMYFUNCTION("""COMPUTED_VALUE"""),43007.7055555555)</f>
        <v>43007.705555555498</v>
      </c>
      <c r="B1866" s="111">
        <f ca="1">IFERROR(__xludf.DUMMYFUNCTION("""COMPUTED_VALUE"""),19.54)</f>
        <v>19.54</v>
      </c>
      <c r="C1866" s="112">
        <f ca="1">IFERROR(__xludf.DUMMYFUNCTION("""COMPUTED_VALUE"""),43014.7055555555)</f>
        <v>43014.705555555498</v>
      </c>
      <c r="D1866" s="111">
        <f ca="1">IFERROR(__xludf.DUMMYFUNCTION("""COMPUTED_VALUE"""),29.79)</f>
        <v>29.79</v>
      </c>
      <c r="E1866" s="112">
        <f ca="1">IFERROR(__xludf.DUMMYFUNCTION("""COMPUTED_VALUE"""),43017.7055555555)</f>
        <v>43017.705555555498</v>
      </c>
      <c r="F1866" s="111">
        <f ca="1">IFERROR(__xludf.DUMMYFUNCTION("""COMPUTED_VALUE"""),9.66)</f>
        <v>9.66</v>
      </c>
      <c r="G1866" s="112">
        <f ca="1">IFERROR(__xludf.DUMMYFUNCTION("""COMPUTED_VALUE"""),43011.7055555555)</f>
        <v>43011.705555555498</v>
      </c>
      <c r="H1866" s="111">
        <f ca="1">IFERROR(__xludf.DUMMYFUNCTION("""COMPUTED_VALUE"""),15.98)</f>
        <v>15.98</v>
      </c>
      <c r="K1866" s="112">
        <f ca="1">IFERROR(__xludf.DUMMYFUNCTION("""COMPUTED_VALUE"""),43473.7055555555)</f>
        <v>43473.705555555498</v>
      </c>
      <c r="L1866" s="111">
        <f ca="1">IFERROR(__xludf.DUMMYFUNCTION("""COMPUTED_VALUE"""),5.62)</f>
        <v>5.62</v>
      </c>
      <c r="M1866" s="112">
        <f ca="1">IFERROR(__xludf.DUMMYFUNCTION("""COMPUTED_VALUE"""),42927.7055555555)</f>
        <v>42927.705555555498</v>
      </c>
      <c r="N1866" s="111">
        <f ca="1">IFERROR(__xludf.DUMMYFUNCTION("""COMPUTED_VALUE"""),17.94)</f>
        <v>17.940000000000001</v>
      </c>
      <c r="O1866" s="112">
        <f ca="1">IFERROR(__xludf.DUMMYFUNCTION("""COMPUTED_VALUE"""),43000.7055555555)</f>
        <v>43000.705555555498</v>
      </c>
      <c r="P1866" s="111">
        <f ca="1">IFERROR(__xludf.DUMMYFUNCTION("""COMPUTED_VALUE"""),31.91)</f>
        <v>31.91</v>
      </c>
      <c r="Q1866" s="112">
        <f ca="1">IFERROR(__xludf.DUMMYFUNCTION("""COMPUTED_VALUE"""),42999.7055555555)</f>
        <v>42999.705555555498</v>
      </c>
      <c r="R1866" s="111">
        <f ca="1">IFERROR(__xludf.DUMMYFUNCTION("""COMPUTED_VALUE"""),35.52)</f>
        <v>35.520000000000003</v>
      </c>
      <c r="S1866" s="112">
        <f ca="1">IFERROR(__xludf.DUMMYFUNCTION("""COMPUTED_VALUE"""),43011.7055555555)</f>
        <v>43011.705555555498</v>
      </c>
      <c r="T1866" s="111">
        <f ca="1">IFERROR(__xludf.DUMMYFUNCTION("""COMPUTED_VALUE"""),30.83)</f>
        <v>30.83</v>
      </c>
    </row>
    <row r="1867" spans="1:20" x14ac:dyDescent="0.3">
      <c r="A1867" s="112">
        <f ca="1">IFERROR(__xludf.DUMMYFUNCTION("""COMPUTED_VALUE"""),43010.7055555555)</f>
        <v>43010.705555555498</v>
      </c>
      <c r="B1867" s="111">
        <f ca="1">IFERROR(__xludf.DUMMYFUNCTION("""COMPUTED_VALUE"""),20.31)</f>
        <v>20.309999999999999</v>
      </c>
      <c r="C1867" s="112">
        <f ca="1">IFERROR(__xludf.DUMMYFUNCTION("""COMPUTED_VALUE"""),43017.7055555555)</f>
        <v>43017.705555555498</v>
      </c>
      <c r="D1867" s="111">
        <f ca="1">IFERROR(__xludf.DUMMYFUNCTION("""COMPUTED_VALUE"""),29.43)</f>
        <v>29.43</v>
      </c>
      <c r="E1867" s="112">
        <f ca="1">IFERROR(__xludf.DUMMYFUNCTION("""COMPUTED_VALUE"""),43018.7055555555)</f>
        <v>43018.705555555498</v>
      </c>
      <c r="F1867" s="111">
        <f ca="1">IFERROR(__xludf.DUMMYFUNCTION("""COMPUTED_VALUE"""),9.86)</f>
        <v>9.86</v>
      </c>
      <c r="G1867" s="112">
        <f ca="1">IFERROR(__xludf.DUMMYFUNCTION("""COMPUTED_VALUE"""),43012.7055555555)</f>
        <v>43012.705555555498</v>
      </c>
      <c r="H1867" s="111">
        <f ca="1">IFERROR(__xludf.DUMMYFUNCTION("""COMPUTED_VALUE"""),15.66)</f>
        <v>15.66</v>
      </c>
      <c r="K1867" s="112">
        <f ca="1">IFERROR(__xludf.DUMMYFUNCTION("""COMPUTED_VALUE"""),43474.7055555555)</f>
        <v>43474.705555555498</v>
      </c>
      <c r="L1867" s="111">
        <f ca="1">IFERROR(__xludf.DUMMYFUNCTION("""COMPUTED_VALUE"""),5.6)</f>
        <v>5.6</v>
      </c>
      <c r="M1867" s="112">
        <f ca="1">IFERROR(__xludf.DUMMYFUNCTION("""COMPUTED_VALUE"""),42928.7055555555)</f>
        <v>42928.705555555498</v>
      </c>
      <c r="N1867" s="111">
        <f ca="1">IFERROR(__xludf.DUMMYFUNCTION("""COMPUTED_VALUE"""),18.41)</f>
        <v>18.41</v>
      </c>
      <c r="O1867" s="112">
        <f ca="1">IFERROR(__xludf.DUMMYFUNCTION("""COMPUTED_VALUE"""),43003.7055555555)</f>
        <v>43003.705555555498</v>
      </c>
      <c r="P1867" s="111">
        <f ca="1">IFERROR(__xludf.DUMMYFUNCTION("""COMPUTED_VALUE"""),31.09)</f>
        <v>31.09</v>
      </c>
      <c r="Q1867" s="112">
        <f ca="1">IFERROR(__xludf.DUMMYFUNCTION("""COMPUTED_VALUE"""),43000.7055555555)</f>
        <v>43000.705555555498</v>
      </c>
      <c r="R1867" s="111">
        <f ca="1">IFERROR(__xludf.DUMMYFUNCTION("""COMPUTED_VALUE"""),35.3)</f>
        <v>35.299999999999997</v>
      </c>
      <c r="S1867" s="112">
        <f ca="1">IFERROR(__xludf.DUMMYFUNCTION("""COMPUTED_VALUE"""),43012.7055555555)</f>
        <v>43012.705555555498</v>
      </c>
      <c r="T1867" s="111">
        <f ca="1">IFERROR(__xludf.DUMMYFUNCTION("""COMPUTED_VALUE"""),30.85)</f>
        <v>30.85</v>
      </c>
    </row>
    <row r="1868" spans="1:20" x14ac:dyDescent="0.3">
      <c r="A1868" s="112">
        <f ca="1">IFERROR(__xludf.DUMMYFUNCTION("""COMPUTED_VALUE"""),43011.7055555555)</f>
        <v>43011.705555555498</v>
      </c>
      <c r="B1868" s="111">
        <f ca="1">IFERROR(__xludf.DUMMYFUNCTION("""COMPUTED_VALUE"""),21.56)</f>
        <v>21.56</v>
      </c>
      <c r="C1868" s="112">
        <f ca="1">IFERROR(__xludf.DUMMYFUNCTION("""COMPUTED_VALUE"""),43018.7055555555)</f>
        <v>43018.705555555498</v>
      </c>
      <c r="D1868" s="111">
        <f ca="1">IFERROR(__xludf.DUMMYFUNCTION("""COMPUTED_VALUE"""),30.07)</f>
        <v>30.07</v>
      </c>
      <c r="E1868" s="112">
        <f ca="1">IFERROR(__xludf.DUMMYFUNCTION("""COMPUTED_VALUE"""),43019.7055555555)</f>
        <v>43019.705555555498</v>
      </c>
      <c r="F1868" s="111">
        <f ca="1">IFERROR(__xludf.DUMMYFUNCTION("""COMPUTED_VALUE"""),9.84)</f>
        <v>9.84</v>
      </c>
      <c r="G1868" s="112">
        <f ca="1">IFERROR(__xludf.DUMMYFUNCTION("""COMPUTED_VALUE"""),43013.7055555555)</f>
        <v>43013.705555555498</v>
      </c>
      <c r="H1868" s="111">
        <f ca="1">IFERROR(__xludf.DUMMYFUNCTION("""COMPUTED_VALUE"""),15.9)</f>
        <v>15.9</v>
      </c>
      <c r="K1868" s="112">
        <f ca="1">IFERROR(__xludf.DUMMYFUNCTION("""COMPUTED_VALUE"""),43475.7055555555)</f>
        <v>43475.705555555498</v>
      </c>
      <c r="L1868" s="111">
        <f ca="1">IFERROR(__xludf.DUMMYFUNCTION("""COMPUTED_VALUE"""),5.65)</f>
        <v>5.65</v>
      </c>
      <c r="M1868" s="112">
        <f ca="1">IFERROR(__xludf.DUMMYFUNCTION("""COMPUTED_VALUE"""),42929.7055555555)</f>
        <v>42929.705555555498</v>
      </c>
      <c r="N1868" s="111">
        <f ca="1">IFERROR(__xludf.DUMMYFUNCTION("""COMPUTED_VALUE"""),18.58)</f>
        <v>18.579999999999998</v>
      </c>
      <c r="O1868" s="112">
        <f ca="1">IFERROR(__xludf.DUMMYFUNCTION("""COMPUTED_VALUE"""),43004.7055555555)</f>
        <v>43004.705555555498</v>
      </c>
      <c r="P1868" s="111">
        <f ca="1">IFERROR(__xludf.DUMMYFUNCTION("""COMPUTED_VALUE"""),31.5)</f>
        <v>31.5</v>
      </c>
      <c r="Q1868" s="112">
        <f ca="1">IFERROR(__xludf.DUMMYFUNCTION("""COMPUTED_VALUE"""),43003.7055555555)</f>
        <v>43003.705555555498</v>
      </c>
      <c r="R1868" s="111">
        <f ca="1">IFERROR(__xludf.DUMMYFUNCTION("""COMPUTED_VALUE"""),34.8)</f>
        <v>34.799999999999997</v>
      </c>
      <c r="S1868" s="112">
        <f ca="1">IFERROR(__xludf.DUMMYFUNCTION("""COMPUTED_VALUE"""),43013.7055555555)</f>
        <v>43013.705555555498</v>
      </c>
      <c r="T1868" s="111">
        <f ca="1">IFERROR(__xludf.DUMMYFUNCTION("""COMPUTED_VALUE"""),30.65)</f>
        <v>30.65</v>
      </c>
    </row>
    <row r="1869" spans="1:20" x14ac:dyDescent="0.3">
      <c r="A1869" s="112">
        <f ca="1">IFERROR(__xludf.DUMMYFUNCTION("""COMPUTED_VALUE"""),43012.7055555555)</f>
        <v>43012.705555555498</v>
      </c>
      <c r="B1869" s="111">
        <f ca="1">IFERROR(__xludf.DUMMYFUNCTION("""COMPUTED_VALUE"""),21.61)</f>
        <v>21.61</v>
      </c>
      <c r="C1869" s="112">
        <f ca="1">IFERROR(__xludf.DUMMYFUNCTION("""COMPUTED_VALUE"""),43019.7055555555)</f>
        <v>43019.705555555498</v>
      </c>
      <c r="D1869" s="111">
        <f ca="1">IFERROR(__xludf.DUMMYFUNCTION("""COMPUTED_VALUE"""),30)</f>
        <v>30</v>
      </c>
      <c r="E1869" s="112">
        <f ca="1">IFERROR(__xludf.DUMMYFUNCTION("""COMPUTED_VALUE"""),43021.7055555555)</f>
        <v>43021.705555555498</v>
      </c>
      <c r="F1869" s="111">
        <f ca="1">IFERROR(__xludf.DUMMYFUNCTION("""COMPUTED_VALUE"""),9.83)</f>
        <v>9.83</v>
      </c>
      <c r="G1869" s="112">
        <f ca="1">IFERROR(__xludf.DUMMYFUNCTION("""COMPUTED_VALUE"""),43014.7055555555)</f>
        <v>43014.705555555498</v>
      </c>
      <c r="H1869" s="111">
        <f ca="1">IFERROR(__xludf.DUMMYFUNCTION("""COMPUTED_VALUE"""),15.69)</f>
        <v>15.69</v>
      </c>
      <c r="K1869" s="112">
        <f ca="1">IFERROR(__xludf.DUMMYFUNCTION("""COMPUTED_VALUE"""),43476.7055555555)</f>
        <v>43476.705555555498</v>
      </c>
      <c r="L1869" s="111">
        <f ca="1">IFERROR(__xludf.DUMMYFUNCTION("""COMPUTED_VALUE"""),5.55)</f>
        <v>5.55</v>
      </c>
      <c r="M1869" s="112">
        <f ca="1">IFERROR(__xludf.DUMMYFUNCTION("""COMPUTED_VALUE"""),42930.7055555555)</f>
        <v>42930.705555555498</v>
      </c>
      <c r="N1869" s="111">
        <f ca="1">IFERROR(__xludf.DUMMYFUNCTION("""COMPUTED_VALUE"""),18.6)</f>
        <v>18.600000000000001</v>
      </c>
      <c r="O1869" s="112">
        <f ca="1">IFERROR(__xludf.DUMMYFUNCTION("""COMPUTED_VALUE"""),43005.7055555555)</f>
        <v>43005.705555555498</v>
      </c>
      <c r="P1869" s="111">
        <f ca="1">IFERROR(__xludf.DUMMYFUNCTION("""COMPUTED_VALUE"""),31.93)</f>
        <v>31.93</v>
      </c>
      <c r="Q1869" s="112">
        <f ca="1">IFERROR(__xludf.DUMMYFUNCTION("""COMPUTED_VALUE"""),43004.7055555555)</f>
        <v>43004.705555555498</v>
      </c>
      <c r="R1869" s="111">
        <f ca="1">IFERROR(__xludf.DUMMYFUNCTION("""COMPUTED_VALUE"""),35)</f>
        <v>35</v>
      </c>
      <c r="S1869" s="112">
        <f ca="1">IFERROR(__xludf.DUMMYFUNCTION("""COMPUTED_VALUE"""),43014.7055555555)</f>
        <v>43014.705555555498</v>
      </c>
      <c r="T1869" s="111">
        <f ca="1">IFERROR(__xludf.DUMMYFUNCTION("""COMPUTED_VALUE"""),30.59)</f>
        <v>30.59</v>
      </c>
    </row>
    <row r="1870" spans="1:20" x14ac:dyDescent="0.3">
      <c r="A1870" s="112">
        <f ca="1">IFERROR(__xludf.DUMMYFUNCTION("""COMPUTED_VALUE"""),43013.7055555555)</f>
        <v>43013.705555555498</v>
      </c>
      <c r="B1870" s="111">
        <f ca="1">IFERROR(__xludf.DUMMYFUNCTION("""COMPUTED_VALUE"""),21.23)</f>
        <v>21.23</v>
      </c>
      <c r="C1870" s="112">
        <f ca="1">IFERROR(__xludf.DUMMYFUNCTION("""COMPUTED_VALUE"""),43021.7055555555)</f>
        <v>43021.705555555498</v>
      </c>
      <c r="D1870" s="111">
        <f ca="1">IFERROR(__xludf.DUMMYFUNCTION("""COMPUTED_VALUE"""),29.75)</f>
        <v>29.75</v>
      </c>
      <c r="E1870" s="112">
        <f ca="1">IFERROR(__xludf.DUMMYFUNCTION("""COMPUTED_VALUE"""),43024.7055555555)</f>
        <v>43024.705555555498</v>
      </c>
      <c r="F1870" s="111">
        <f ca="1">IFERROR(__xludf.DUMMYFUNCTION("""COMPUTED_VALUE"""),9.78)</f>
        <v>9.7799999999999994</v>
      </c>
      <c r="G1870" s="112">
        <f ca="1">IFERROR(__xludf.DUMMYFUNCTION("""COMPUTED_VALUE"""),43017.7055555555)</f>
        <v>43017.705555555498</v>
      </c>
      <c r="H1870" s="111">
        <f ca="1">IFERROR(__xludf.DUMMYFUNCTION("""COMPUTED_VALUE"""),15.89)</f>
        <v>15.89</v>
      </c>
      <c r="K1870" s="112">
        <f ca="1">IFERROR(__xludf.DUMMYFUNCTION("""COMPUTED_VALUE"""),43479.7055555555)</f>
        <v>43479.705555555498</v>
      </c>
      <c r="L1870" s="111">
        <f ca="1">IFERROR(__xludf.DUMMYFUNCTION("""COMPUTED_VALUE"""),5.6)</f>
        <v>5.6</v>
      </c>
      <c r="M1870" s="112">
        <f ca="1">IFERROR(__xludf.DUMMYFUNCTION("""COMPUTED_VALUE"""),42933.7055555555)</f>
        <v>42933.705555555498</v>
      </c>
      <c r="N1870" s="111">
        <f ca="1">IFERROR(__xludf.DUMMYFUNCTION("""COMPUTED_VALUE"""),18.47)</f>
        <v>18.47</v>
      </c>
      <c r="O1870" s="112">
        <f ca="1">IFERROR(__xludf.DUMMYFUNCTION("""COMPUTED_VALUE"""),43006.7055555555)</f>
        <v>43006.705555555498</v>
      </c>
      <c r="P1870" s="111">
        <f ca="1">IFERROR(__xludf.DUMMYFUNCTION("""COMPUTED_VALUE"""),31.75)</f>
        <v>31.75</v>
      </c>
      <c r="Q1870" s="112">
        <f ca="1">IFERROR(__xludf.DUMMYFUNCTION("""COMPUTED_VALUE"""),43005.7055555555)</f>
        <v>43005.705555555498</v>
      </c>
      <c r="R1870" s="111">
        <f ca="1">IFERROR(__xludf.DUMMYFUNCTION("""COMPUTED_VALUE"""),34.82)</f>
        <v>34.82</v>
      </c>
      <c r="S1870" s="112">
        <f ca="1">IFERROR(__xludf.DUMMYFUNCTION("""COMPUTED_VALUE"""),43017.7055555555)</f>
        <v>43017.705555555498</v>
      </c>
      <c r="T1870" s="111">
        <f ca="1">IFERROR(__xludf.DUMMYFUNCTION("""COMPUTED_VALUE"""),30.62)</f>
        <v>30.62</v>
      </c>
    </row>
    <row r="1871" spans="1:20" x14ac:dyDescent="0.3">
      <c r="A1871" s="112">
        <f ca="1">IFERROR(__xludf.DUMMYFUNCTION("""COMPUTED_VALUE"""),43014.7055555555)</f>
        <v>43014.705555555498</v>
      </c>
      <c r="B1871" s="111">
        <f ca="1">IFERROR(__xludf.DUMMYFUNCTION("""COMPUTED_VALUE"""),20.58)</f>
        <v>20.58</v>
      </c>
      <c r="C1871" s="112">
        <f ca="1">IFERROR(__xludf.DUMMYFUNCTION("""COMPUTED_VALUE"""),43024.7055555555)</f>
        <v>43024.705555555498</v>
      </c>
      <c r="D1871" s="111">
        <f ca="1">IFERROR(__xludf.DUMMYFUNCTION("""COMPUTED_VALUE"""),29.6)</f>
        <v>29.6</v>
      </c>
      <c r="E1871" s="112">
        <f ca="1">IFERROR(__xludf.DUMMYFUNCTION("""COMPUTED_VALUE"""),43025.7055555555)</f>
        <v>43025.705555555498</v>
      </c>
      <c r="F1871" s="111">
        <f ca="1">IFERROR(__xludf.DUMMYFUNCTION("""COMPUTED_VALUE"""),9.67)</f>
        <v>9.67</v>
      </c>
      <c r="G1871" s="112">
        <f ca="1">IFERROR(__xludf.DUMMYFUNCTION("""COMPUTED_VALUE"""),43018.7055555555)</f>
        <v>43018.705555555498</v>
      </c>
      <c r="H1871" s="111">
        <f ca="1">IFERROR(__xludf.DUMMYFUNCTION("""COMPUTED_VALUE"""),16.19)</f>
        <v>16.190000000000001</v>
      </c>
      <c r="K1871" s="112">
        <f ca="1">IFERROR(__xludf.DUMMYFUNCTION("""COMPUTED_VALUE"""),43480.7055555555)</f>
        <v>43480.705555555498</v>
      </c>
      <c r="L1871" s="111">
        <f ca="1">IFERROR(__xludf.DUMMYFUNCTION("""COMPUTED_VALUE"""),5.53)</f>
        <v>5.53</v>
      </c>
      <c r="M1871" s="112">
        <f ca="1">IFERROR(__xludf.DUMMYFUNCTION("""COMPUTED_VALUE"""),42934.7055555555)</f>
        <v>42934.705555555498</v>
      </c>
      <c r="N1871" s="111">
        <f ca="1">IFERROR(__xludf.DUMMYFUNCTION("""COMPUTED_VALUE"""),18.7)</f>
        <v>18.7</v>
      </c>
      <c r="O1871" s="112">
        <f ca="1">IFERROR(__xludf.DUMMYFUNCTION("""COMPUTED_VALUE"""),43007.7055555555)</f>
        <v>43007.705555555498</v>
      </c>
      <c r="P1871" s="111">
        <f ca="1">IFERROR(__xludf.DUMMYFUNCTION("""COMPUTED_VALUE"""),31.87)</f>
        <v>31.87</v>
      </c>
      <c r="Q1871" s="112">
        <f ca="1">IFERROR(__xludf.DUMMYFUNCTION("""COMPUTED_VALUE"""),43006.7055555555)</f>
        <v>43006.705555555498</v>
      </c>
      <c r="R1871" s="111">
        <f ca="1">IFERROR(__xludf.DUMMYFUNCTION("""COMPUTED_VALUE"""),34.53)</f>
        <v>34.53</v>
      </c>
      <c r="S1871" s="112">
        <f ca="1">IFERROR(__xludf.DUMMYFUNCTION("""COMPUTED_VALUE"""),43018.7055555555)</f>
        <v>43018.705555555498</v>
      </c>
      <c r="T1871" s="111">
        <f ca="1">IFERROR(__xludf.DUMMYFUNCTION("""COMPUTED_VALUE"""),30.89)</f>
        <v>30.89</v>
      </c>
    </row>
    <row r="1872" spans="1:20" x14ac:dyDescent="0.3">
      <c r="A1872" s="112">
        <f ca="1">IFERROR(__xludf.DUMMYFUNCTION("""COMPUTED_VALUE"""),43017.7055555555)</f>
        <v>43017.705555555498</v>
      </c>
      <c r="B1872" s="111">
        <f ca="1">IFERROR(__xludf.DUMMYFUNCTION("""COMPUTED_VALUE"""),20.49)</f>
        <v>20.49</v>
      </c>
      <c r="C1872" s="112">
        <f ca="1">IFERROR(__xludf.DUMMYFUNCTION("""COMPUTED_VALUE"""),43025.7055555555)</f>
        <v>43025.705555555498</v>
      </c>
      <c r="D1872" s="111">
        <f ca="1">IFERROR(__xludf.DUMMYFUNCTION("""COMPUTED_VALUE"""),29.55)</f>
        <v>29.55</v>
      </c>
      <c r="E1872" s="112">
        <f ca="1">IFERROR(__xludf.DUMMYFUNCTION("""COMPUTED_VALUE"""),43026.7055555555)</f>
        <v>43026.705555555498</v>
      </c>
      <c r="F1872" s="111">
        <f ca="1">IFERROR(__xludf.DUMMYFUNCTION("""COMPUTED_VALUE"""),9.71)</f>
        <v>9.7100000000000009</v>
      </c>
      <c r="G1872" s="112">
        <f ca="1">IFERROR(__xludf.DUMMYFUNCTION("""COMPUTED_VALUE"""),43019.7055555555)</f>
        <v>43019.705555555498</v>
      </c>
      <c r="H1872" s="111">
        <f ca="1">IFERROR(__xludf.DUMMYFUNCTION("""COMPUTED_VALUE"""),16.08)</f>
        <v>16.079999999999998</v>
      </c>
      <c r="K1872" s="112">
        <f ca="1">IFERROR(__xludf.DUMMYFUNCTION("""COMPUTED_VALUE"""),43481.7055555555)</f>
        <v>43481.705555555498</v>
      </c>
      <c r="L1872" s="111">
        <f ca="1">IFERROR(__xludf.DUMMYFUNCTION("""COMPUTED_VALUE"""),5.47)</f>
        <v>5.47</v>
      </c>
      <c r="M1872" s="112">
        <f ca="1">IFERROR(__xludf.DUMMYFUNCTION("""COMPUTED_VALUE"""),42935.7055555555)</f>
        <v>42935.705555555498</v>
      </c>
      <c r="N1872" s="111">
        <f ca="1">IFERROR(__xludf.DUMMYFUNCTION("""COMPUTED_VALUE"""),18.47)</f>
        <v>18.47</v>
      </c>
      <c r="O1872" s="112">
        <f ca="1">IFERROR(__xludf.DUMMYFUNCTION("""COMPUTED_VALUE"""),43010.7055555555)</f>
        <v>43010.705555555498</v>
      </c>
      <c r="P1872" s="111">
        <f ca="1">IFERROR(__xludf.DUMMYFUNCTION("""COMPUTED_VALUE"""),31.9)</f>
        <v>31.9</v>
      </c>
      <c r="Q1872" s="112">
        <f ca="1">IFERROR(__xludf.DUMMYFUNCTION("""COMPUTED_VALUE"""),43007.7055555555)</f>
        <v>43007.705555555498</v>
      </c>
      <c r="R1872" s="111">
        <f ca="1">IFERROR(__xludf.DUMMYFUNCTION("""COMPUTED_VALUE"""),34.9)</f>
        <v>34.9</v>
      </c>
      <c r="S1872" s="112">
        <f ca="1">IFERROR(__xludf.DUMMYFUNCTION("""COMPUTED_VALUE"""),43019.7055555555)</f>
        <v>43019.705555555498</v>
      </c>
      <c r="T1872" s="111">
        <f ca="1">IFERROR(__xludf.DUMMYFUNCTION("""COMPUTED_VALUE"""),30.65)</f>
        <v>30.65</v>
      </c>
    </row>
    <row r="1873" spans="1:20" x14ac:dyDescent="0.3">
      <c r="A1873" s="112">
        <f ca="1">IFERROR(__xludf.DUMMYFUNCTION("""COMPUTED_VALUE"""),43018.7055555555)</f>
        <v>43018.705555555498</v>
      </c>
      <c r="B1873" s="111">
        <f ca="1">IFERROR(__xludf.DUMMYFUNCTION("""COMPUTED_VALUE"""),21.06)</f>
        <v>21.06</v>
      </c>
      <c r="C1873" s="112">
        <f ca="1">IFERROR(__xludf.DUMMYFUNCTION("""COMPUTED_VALUE"""),43026.7055555555)</f>
        <v>43026.705555555498</v>
      </c>
      <c r="D1873" s="111">
        <f ca="1">IFERROR(__xludf.DUMMYFUNCTION("""COMPUTED_VALUE"""),29.61)</f>
        <v>29.61</v>
      </c>
      <c r="E1873" s="112">
        <f ca="1">IFERROR(__xludf.DUMMYFUNCTION("""COMPUTED_VALUE"""),43027.7055555555)</f>
        <v>43027.705555555498</v>
      </c>
      <c r="F1873" s="111">
        <f ca="1">IFERROR(__xludf.DUMMYFUNCTION("""COMPUTED_VALUE"""),9.65)</f>
        <v>9.65</v>
      </c>
      <c r="G1873" s="112">
        <f ca="1">IFERROR(__xludf.DUMMYFUNCTION("""COMPUTED_VALUE"""),43021.7055555555)</f>
        <v>43021.705555555498</v>
      </c>
      <c r="H1873" s="111">
        <f ca="1">IFERROR(__xludf.DUMMYFUNCTION("""COMPUTED_VALUE"""),16.08)</f>
        <v>16.079999999999998</v>
      </c>
      <c r="K1873" s="112">
        <f ca="1">IFERROR(__xludf.DUMMYFUNCTION("""COMPUTED_VALUE"""),43482.7055555555)</f>
        <v>43482.705555555498</v>
      </c>
      <c r="L1873" s="111">
        <f ca="1">IFERROR(__xludf.DUMMYFUNCTION("""COMPUTED_VALUE"""),5.45)</f>
        <v>5.45</v>
      </c>
      <c r="M1873" s="112">
        <f ca="1">IFERROR(__xludf.DUMMYFUNCTION("""COMPUTED_VALUE"""),42936.7055555555)</f>
        <v>42936.705555555498</v>
      </c>
      <c r="N1873" s="111">
        <f ca="1">IFERROR(__xludf.DUMMYFUNCTION("""COMPUTED_VALUE"""),18.41)</f>
        <v>18.41</v>
      </c>
      <c r="O1873" s="112">
        <f ca="1">IFERROR(__xludf.DUMMYFUNCTION("""COMPUTED_VALUE"""),43011.7055555555)</f>
        <v>43011.705555555498</v>
      </c>
      <c r="P1873" s="111">
        <f ca="1">IFERROR(__xludf.DUMMYFUNCTION("""COMPUTED_VALUE"""),32.68)</f>
        <v>32.68</v>
      </c>
      <c r="Q1873" s="112">
        <f ca="1">IFERROR(__xludf.DUMMYFUNCTION("""COMPUTED_VALUE"""),43010.7055555555)</f>
        <v>43010.705555555498</v>
      </c>
      <c r="R1873" s="111">
        <f ca="1">IFERROR(__xludf.DUMMYFUNCTION("""COMPUTED_VALUE"""),34.95)</f>
        <v>34.950000000000003</v>
      </c>
      <c r="S1873" s="112">
        <f ca="1">IFERROR(__xludf.DUMMYFUNCTION("""COMPUTED_VALUE"""),43021.7055555555)</f>
        <v>43021.705555555498</v>
      </c>
      <c r="T1873" s="111">
        <f ca="1">IFERROR(__xludf.DUMMYFUNCTION("""COMPUTED_VALUE"""),30.41)</f>
        <v>30.41</v>
      </c>
    </row>
    <row r="1874" spans="1:20" x14ac:dyDescent="0.3">
      <c r="A1874" s="112">
        <f ca="1">IFERROR(__xludf.DUMMYFUNCTION("""COMPUTED_VALUE"""),43019.7055555555)</f>
        <v>43019.705555555498</v>
      </c>
      <c r="B1874" s="111">
        <f ca="1">IFERROR(__xludf.DUMMYFUNCTION("""COMPUTED_VALUE"""),20.8)</f>
        <v>20.8</v>
      </c>
      <c r="C1874" s="112">
        <f ca="1">IFERROR(__xludf.DUMMYFUNCTION("""COMPUTED_VALUE"""),43027.7055555555)</f>
        <v>43027.705555555498</v>
      </c>
      <c r="D1874" s="111">
        <f ca="1">IFERROR(__xludf.DUMMYFUNCTION("""COMPUTED_VALUE"""),29.39)</f>
        <v>29.39</v>
      </c>
      <c r="E1874" s="112">
        <f ca="1">IFERROR(__xludf.DUMMYFUNCTION("""COMPUTED_VALUE"""),43028.7055555555)</f>
        <v>43028.705555555498</v>
      </c>
      <c r="F1874" s="111">
        <f ca="1">IFERROR(__xludf.DUMMYFUNCTION("""COMPUTED_VALUE"""),9.65)</f>
        <v>9.65</v>
      </c>
      <c r="G1874" s="112">
        <f ca="1">IFERROR(__xludf.DUMMYFUNCTION("""COMPUTED_VALUE"""),43024.7055555555)</f>
        <v>43024.705555555498</v>
      </c>
      <c r="H1874" s="111">
        <f ca="1">IFERROR(__xludf.DUMMYFUNCTION("""COMPUTED_VALUE"""),16.12)</f>
        <v>16.12</v>
      </c>
      <c r="K1874" s="112">
        <f ca="1">IFERROR(__xludf.DUMMYFUNCTION("""COMPUTED_VALUE"""),43483.7055555555)</f>
        <v>43483.705555555498</v>
      </c>
      <c r="L1874" s="111">
        <f ca="1">IFERROR(__xludf.DUMMYFUNCTION("""COMPUTED_VALUE"""),5.45)</f>
        <v>5.45</v>
      </c>
      <c r="M1874" s="112">
        <f ca="1">IFERROR(__xludf.DUMMYFUNCTION("""COMPUTED_VALUE"""),42937.7055555555)</f>
        <v>42937.705555555498</v>
      </c>
      <c r="N1874" s="111">
        <f ca="1">IFERROR(__xludf.DUMMYFUNCTION("""COMPUTED_VALUE"""),18.33)</f>
        <v>18.329999999999998</v>
      </c>
      <c r="O1874" s="112">
        <f ca="1">IFERROR(__xludf.DUMMYFUNCTION("""COMPUTED_VALUE"""),43012.7055555555)</f>
        <v>43012.705555555498</v>
      </c>
      <c r="P1874" s="111">
        <f ca="1">IFERROR(__xludf.DUMMYFUNCTION("""COMPUTED_VALUE"""),32.61)</f>
        <v>32.61</v>
      </c>
      <c r="Q1874" s="112">
        <f ca="1">IFERROR(__xludf.DUMMYFUNCTION("""COMPUTED_VALUE"""),43011.7055555555)</f>
        <v>43011.705555555498</v>
      </c>
      <c r="R1874" s="111">
        <f ca="1">IFERROR(__xludf.DUMMYFUNCTION("""COMPUTED_VALUE"""),36.37)</f>
        <v>36.369999999999997</v>
      </c>
      <c r="S1874" s="112">
        <f ca="1">IFERROR(__xludf.DUMMYFUNCTION("""COMPUTED_VALUE"""),43024.7055555555)</f>
        <v>43024.705555555498</v>
      </c>
      <c r="T1874" s="111">
        <f ca="1">IFERROR(__xludf.DUMMYFUNCTION("""COMPUTED_VALUE"""),30.07)</f>
        <v>30.07</v>
      </c>
    </row>
    <row r="1875" spans="1:20" x14ac:dyDescent="0.3">
      <c r="A1875" s="112">
        <f ca="1">IFERROR(__xludf.DUMMYFUNCTION("""COMPUTED_VALUE"""),43021.7055555555)</f>
        <v>43021.705555555498</v>
      </c>
      <c r="B1875" s="111">
        <f ca="1">IFERROR(__xludf.DUMMYFUNCTION("""COMPUTED_VALUE"""),20.79)</f>
        <v>20.79</v>
      </c>
      <c r="C1875" s="112">
        <f ca="1">IFERROR(__xludf.DUMMYFUNCTION("""COMPUTED_VALUE"""),43028.7055555555)</f>
        <v>43028.705555555498</v>
      </c>
      <c r="D1875" s="111">
        <f ca="1">IFERROR(__xludf.DUMMYFUNCTION("""COMPUTED_VALUE"""),29.33)</f>
        <v>29.33</v>
      </c>
      <c r="E1875" s="112">
        <f ca="1">IFERROR(__xludf.DUMMYFUNCTION("""COMPUTED_VALUE"""),43031.7055555555)</f>
        <v>43031.705555555498</v>
      </c>
      <c r="F1875" s="111">
        <f ca="1">IFERROR(__xludf.DUMMYFUNCTION("""COMPUTED_VALUE"""),9.43)</f>
        <v>9.43</v>
      </c>
      <c r="G1875" s="112">
        <f ca="1">IFERROR(__xludf.DUMMYFUNCTION("""COMPUTED_VALUE"""),43025.7055555555)</f>
        <v>43025.705555555498</v>
      </c>
      <c r="H1875" s="111">
        <f ca="1">IFERROR(__xludf.DUMMYFUNCTION("""COMPUTED_VALUE"""),16.13)</f>
        <v>16.13</v>
      </c>
      <c r="K1875" s="112">
        <f ca="1">IFERROR(__xludf.DUMMYFUNCTION("""COMPUTED_VALUE"""),43486.7055555555)</f>
        <v>43486.705555555498</v>
      </c>
      <c r="L1875" s="111">
        <f ca="1">IFERROR(__xludf.DUMMYFUNCTION("""COMPUTED_VALUE"""),5.22)</f>
        <v>5.22</v>
      </c>
      <c r="M1875" s="112">
        <f ca="1">IFERROR(__xludf.DUMMYFUNCTION("""COMPUTED_VALUE"""),42940.7055555555)</f>
        <v>42940.705555555498</v>
      </c>
      <c r="N1875" s="111">
        <f ca="1">IFERROR(__xludf.DUMMYFUNCTION("""COMPUTED_VALUE"""),18.49)</f>
        <v>18.489999999999998</v>
      </c>
      <c r="O1875" s="112">
        <f ca="1">IFERROR(__xludf.DUMMYFUNCTION("""COMPUTED_VALUE"""),43013.7055555555)</f>
        <v>43013.705555555498</v>
      </c>
      <c r="P1875" s="111">
        <f ca="1">IFERROR(__xludf.DUMMYFUNCTION("""COMPUTED_VALUE"""),32.27)</f>
        <v>32.270000000000003</v>
      </c>
      <c r="Q1875" s="112">
        <f ca="1">IFERROR(__xludf.DUMMYFUNCTION("""COMPUTED_VALUE"""),43012.7055555555)</f>
        <v>43012.705555555498</v>
      </c>
      <c r="R1875" s="111">
        <f ca="1">IFERROR(__xludf.DUMMYFUNCTION("""COMPUTED_VALUE"""),36.2)</f>
        <v>36.200000000000003</v>
      </c>
      <c r="S1875" s="112">
        <f ca="1">IFERROR(__xludf.DUMMYFUNCTION("""COMPUTED_VALUE"""),43025.7055555555)</f>
        <v>43025.705555555498</v>
      </c>
      <c r="T1875" s="111">
        <f ca="1">IFERROR(__xludf.DUMMYFUNCTION("""COMPUTED_VALUE"""),29.71)</f>
        <v>29.71</v>
      </c>
    </row>
    <row r="1876" spans="1:20" x14ac:dyDescent="0.3">
      <c r="A1876" s="112">
        <f ca="1">IFERROR(__xludf.DUMMYFUNCTION("""COMPUTED_VALUE"""),43024.7055555555)</f>
        <v>43024.705555555498</v>
      </c>
      <c r="B1876" s="111">
        <f ca="1">IFERROR(__xludf.DUMMYFUNCTION("""COMPUTED_VALUE"""),20.62)</f>
        <v>20.62</v>
      </c>
      <c r="C1876" s="112">
        <f ca="1">IFERROR(__xludf.DUMMYFUNCTION("""COMPUTED_VALUE"""),43032.7055555555)</f>
        <v>43032.705555555498</v>
      </c>
      <c r="D1876" s="111">
        <f ca="1">IFERROR(__xludf.DUMMYFUNCTION("""COMPUTED_VALUE"""),29.27)</f>
        <v>29.27</v>
      </c>
      <c r="E1876" s="112">
        <f ca="1">IFERROR(__xludf.DUMMYFUNCTION("""COMPUTED_VALUE"""),43032.7055555555)</f>
        <v>43032.705555555498</v>
      </c>
      <c r="F1876" s="111">
        <f ca="1">IFERROR(__xludf.DUMMYFUNCTION("""COMPUTED_VALUE"""),9.64)</f>
        <v>9.64</v>
      </c>
      <c r="G1876" s="112">
        <f ca="1">IFERROR(__xludf.DUMMYFUNCTION("""COMPUTED_VALUE"""),43026.7055555555)</f>
        <v>43026.705555555498</v>
      </c>
      <c r="H1876" s="111">
        <f ca="1">IFERROR(__xludf.DUMMYFUNCTION("""COMPUTED_VALUE"""),16.16)</f>
        <v>16.16</v>
      </c>
      <c r="K1876" s="112">
        <f ca="1">IFERROR(__xludf.DUMMYFUNCTION("""COMPUTED_VALUE"""),43487.7055555555)</f>
        <v>43487.705555555498</v>
      </c>
      <c r="L1876" s="111">
        <f ca="1">IFERROR(__xludf.DUMMYFUNCTION("""COMPUTED_VALUE"""),5.07)</f>
        <v>5.07</v>
      </c>
      <c r="M1876" s="112">
        <f ca="1">IFERROR(__xludf.DUMMYFUNCTION("""COMPUTED_VALUE"""),42941.7055555555)</f>
        <v>42941.705555555498</v>
      </c>
      <c r="N1876" s="111">
        <f ca="1">IFERROR(__xludf.DUMMYFUNCTION("""COMPUTED_VALUE"""),18.79)</f>
        <v>18.79</v>
      </c>
      <c r="O1876" s="112">
        <f ca="1">IFERROR(__xludf.DUMMYFUNCTION("""COMPUTED_VALUE"""),43014.7055555555)</f>
        <v>43014.705555555498</v>
      </c>
      <c r="P1876" s="111">
        <f ca="1">IFERROR(__xludf.DUMMYFUNCTION("""COMPUTED_VALUE"""),32.14)</f>
        <v>32.14</v>
      </c>
      <c r="Q1876" s="112">
        <f ca="1">IFERROR(__xludf.DUMMYFUNCTION("""COMPUTED_VALUE"""),43013.7055555555)</f>
        <v>43013.705555555498</v>
      </c>
      <c r="R1876" s="111">
        <f ca="1">IFERROR(__xludf.DUMMYFUNCTION("""COMPUTED_VALUE"""),36.79)</f>
        <v>36.79</v>
      </c>
      <c r="S1876" s="112">
        <f ca="1">IFERROR(__xludf.DUMMYFUNCTION("""COMPUTED_VALUE"""),43026.7055555555)</f>
        <v>43026.705555555498</v>
      </c>
      <c r="T1876" s="111">
        <f ca="1">IFERROR(__xludf.DUMMYFUNCTION("""COMPUTED_VALUE"""),30.99)</f>
        <v>30.99</v>
      </c>
    </row>
    <row r="1877" spans="1:20" x14ac:dyDescent="0.3">
      <c r="A1877" s="112">
        <f ca="1">IFERROR(__xludf.DUMMYFUNCTION("""COMPUTED_VALUE"""),43025.7055555555)</f>
        <v>43025.705555555498</v>
      </c>
      <c r="B1877" s="111">
        <f ca="1">IFERROR(__xludf.DUMMYFUNCTION("""COMPUTED_VALUE"""),20.33)</f>
        <v>20.329999999999998</v>
      </c>
      <c r="C1877" s="112">
        <f ca="1">IFERROR(__xludf.DUMMYFUNCTION("""COMPUTED_VALUE"""),43033.7055555555)</f>
        <v>43033.705555555498</v>
      </c>
      <c r="D1877" s="111">
        <f ca="1">IFERROR(__xludf.DUMMYFUNCTION("""COMPUTED_VALUE"""),29.47)</f>
        <v>29.47</v>
      </c>
      <c r="E1877" s="112">
        <f ca="1">IFERROR(__xludf.DUMMYFUNCTION("""COMPUTED_VALUE"""),43033.7055555555)</f>
        <v>43033.705555555498</v>
      </c>
      <c r="F1877" s="111">
        <f ca="1">IFERROR(__xludf.DUMMYFUNCTION("""COMPUTED_VALUE"""),9.78)</f>
        <v>9.7799999999999994</v>
      </c>
      <c r="G1877" s="112">
        <f ca="1">IFERROR(__xludf.DUMMYFUNCTION("""COMPUTED_VALUE"""),43027.7055555555)</f>
        <v>43027.705555555498</v>
      </c>
      <c r="H1877" s="111">
        <f ca="1">IFERROR(__xludf.DUMMYFUNCTION("""COMPUTED_VALUE"""),16.15)</f>
        <v>16.149999999999999</v>
      </c>
      <c r="K1877" s="112">
        <f ca="1">IFERROR(__xludf.DUMMYFUNCTION("""COMPUTED_VALUE"""),43488.7055555555)</f>
        <v>43488.705555555498</v>
      </c>
      <c r="L1877" s="111">
        <f ca="1">IFERROR(__xludf.DUMMYFUNCTION("""COMPUTED_VALUE"""),5.3)</f>
        <v>5.3</v>
      </c>
      <c r="M1877" s="112">
        <f ca="1">IFERROR(__xludf.DUMMYFUNCTION("""COMPUTED_VALUE"""),42942.7055555555)</f>
        <v>42942.705555555498</v>
      </c>
      <c r="N1877" s="111">
        <f ca="1">IFERROR(__xludf.DUMMYFUNCTION("""COMPUTED_VALUE"""),18.63)</f>
        <v>18.63</v>
      </c>
      <c r="O1877" s="112">
        <f ca="1">IFERROR(__xludf.DUMMYFUNCTION("""COMPUTED_VALUE"""),43017.7055555555)</f>
        <v>43017.705555555498</v>
      </c>
      <c r="P1877" s="111">
        <f ca="1">IFERROR(__xludf.DUMMYFUNCTION("""COMPUTED_VALUE"""),31.5)</f>
        <v>31.5</v>
      </c>
      <c r="Q1877" s="112">
        <f ca="1">IFERROR(__xludf.DUMMYFUNCTION("""COMPUTED_VALUE"""),43014.7055555555)</f>
        <v>43014.705555555498</v>
      </c>
      <c r="R1877" s="111">
        <f ca="1">IFERROR(__xludf.DUMMYFUNCTION("""COMPUTED_VALUE"""),37)</f>
        <v>37</v>
      </c>
      <c r="S1877" s="112">
        <f ca="1">IFERROR(__xludf.DUMMYFUNCTION("""COMPUTED_VALUE"""),43027.7055555555)</f>
        <v>43027.705555555498</v>
      </c>
      <c r="T1877" s="111">
        <f ca="1">IFERROR(__xludf.DUMMYFUNCTION("""COMPUTED_VALUE"""),30.36)</f>
        <v>30.36</v>
      </c>
    </row>
    <row r="1878" spans="1:20" x14ac:dyDescent="0.3">
      <c r="A1878" s="112">
        <f ca="1">IFERROR(__xludf.DUMMYFUNCTION("""COMPUTED_VALUE"""),43026.7055555555)</f>
        <v>43026.705555555498</v>
      </c>
      <c r="B1878" s="111">
        <f ca="1">IFERROR(__xludf.DUMMYFUNCTION("""COMPUTED_VALUE"""),20.59)</f>
        <v>20.59</v>
      </c>
      <c r="C1878" s="112">
        <f ca="1">IFERROR(__xludf.DUMMYFUNCTION("""COMPUTED_VALUE"""),43034.7055555555)</f>
        <v>43034.705555555498</v>
      </c>
      <c r="D1878" s="111">
        <f ca="1">IFERROR(__xludf.DUMMYFUNCTION("""COMPUTED_VALUE"""),29.29)</f>
        <v>29.29</v>
      </c>
      <c r="E1878" s="112">
        <f ca="1">IFERROR(__xludf.DUMMYFUNCTION("""COMPUTED_VALUE"""),43034.7055555555)</f>
        <v>43034.705555555498</v>
      </c>
      <c r="F1878" s="111">
        <f ca="1">IFERROR(__xludf.DUMMYFUNCTION("""COMPUTED_VALUE"""),9.68)</f>
        <v>9.68</v>
      </c>
      <c r="G1878" s="112">
        <f ca="1">IFERROR(__xludf.DUMMYFUNCTION("""COMPUTED_VALUE"""),43028.7055555555)</f>
        <v>43028.705555555498</v>
      </c>
      <c r="H1878" s="111">
        <f ca="1">IFERROR(__xludf.DUMMYFUNCTION("""COMPUTED_VALUE"""),16.22)</f>
        <v>16.22</v>
      </c>
      <c r="K1878" s="112">
        <f ca="1">IFERROR(__xludf.DUMMYFUNCTION("""COMPUTED_VALUE"""),43489.7055555555)</f>
        <v>43489.705555555498</v>
      </c>
      <c r="L1878" s="111">
        <f ca="1">IFERROR(__xludf.DUMMYFUNCTION("""COMPUTED_VALUE"""),5.24)</f>
        <v>5.24</v>
      </c>
      <c r="M1878" s="112">
        <f ca="1">IFERROR(__xludf.DUMMYFUNCTION("""COMPUTED_VALUE"""),42943.7055555555)</f>
        <v>42943.705555555498</v>
      </c>
      <c r="N1878" s="111">
        <f ca="1">IFERROR(__xludf.DUMMYFUNCTION("""COMPUTED_VALUE"""),18.6)</f>
        <v>18.600000000000001</v>
      </c>
      <c r="O1878" s="112">
        <f ca="1">IFERROR(__xludf.DUMMYFUNCTION("""COMPUTED_VALUE"""),43018.7055555555)</f>
        <v>43018.705555555498</v>
      </c>
      <c r="P1878" s="111">
        <f ca="1">IFERROR(__xludf.DUMMYFUNCTION("""COMPUTED_VALUE"""),31.32)</f>
        <v>31.32</v>
      </c>
      <c r="Q1878" s="112">
        <f ca="1">IFERROR(__xludf.DUMMYFUNCTION("""COMPUTED_VALUE"""),43017.7055555555)</f>
        <v>43017.705555555498</v>
      </c>
      <c r="R1878" s="111">
        <f ca="1">IFERROR(__xludf.DUMMYFUNCTION("""COMPUTED_VALUE"""),36.59)</f>
        <v>36.590000000000003</v>
      </c>
      <c r="S1878" s="112">
        <f ca="1">IFERROR(__xludf.DUMMYFUNCTION("""COMPUTED_VALUE"""),43028.7055555555)</f>
        <v>43028.705555555498</v>
      </c>
      <c r="T1878" s="111">
        <f ca="1">IFERROR(__xludf.DUMMYFUNCTION("""COMPUTED_VALUE"""),30.5)</f>
        <v>30.5</v>
      </c>
    </row>
    <row r="1879" spans="1:20" x14ac:dyDescent="0.3">
      <c r="A1879" s="112">
        <f ca="1">IFERROR(__xludf.DUMMYFUNCTION("""COMPUTED_VALUE"""),43027.7055555555)</f>
        <v>43027.705555555498</v>
      </c>
      <c r="B1879" s="111">
        <f ca="1">IFERROR(__xludf.DUMMYFUNCTION("""COMPUTED_VALUE"""),20.32)</f>
        <v>20.32</v>
      </c>
      <c r="C1879" s="112">
        <f ca="1">IFERROR(__xludf.DUMMYFUNCTION("""COMPUTED_VALUE"""),43035.7055555555)</f>
        <v>43035.705555555498</v>
      </c>
      <c r="D1879" s="111">
        <f ca="1">IFERROR(__xludf.DUMMYFUNCTION("""COMPUTED_VALUE"""),29.11)</f>
        <v>29.11</v>
      </c>
      <c r="E1879" s="112">
        <f ca="1">IFERROR(__xludf.DUMMYFUNCTION("""COMPUTED_VALUE"""),43035.7055555555)</f>
        <v>43035.705555555498</v>
      </c>
      <c r="F1879" s="111">
        <f ca="1">IFERROR(__xludf.DUMMYFUNCTION("""COMPUTED_VALUE"""),9.65)</f>
        <v>9.65</v>
      </c>
      <c r="G1879" s="112">
        <f ca="1">IFERROR(__xludf.DUMMYFUNCTION("""COMPUTED_VALUE"""),43032.7055555555)</f>
        <v>43032.705555555498</v>
      </c>
      <c r="H1879" s="111">
        <f ca="1">IFERROR(__xludf.DUMMYFUNCTION("""COMPUTED_VALUE"""),16.51)</f>
        <v>16.510000000000002</v>
      </c>
      <c r="K1879" s="112">
        <f ca="1">IFERROR(__xludf.DUMMYFUNCTION("""COMPUTED_VALUE"""),43493.7055555555)</f>
        <v>43493.705555555498</v>
      </c>
      <c r="L1879" s="111">
        <f ca="1">IFERROR(__xludf.DUMMYFUNCTION("""COMPUTED_VALUE"""),5.23)</f>
        <v>5.23</v>
      </c>
      <c r="M1879" s="112">
        <f ca="1">IFERROR(__xludf.DUMMYFUNCTION("""COMPUTED_VALUE"""),42944.7055555555)</f>
        <v>42944.705555555498</v>
      </c>
      <c r="N1879" s="111">
        <f ca="1">IFERROR(__xludf.DUMMYFUNCTION("""COMPUTED_VALUE"""),18.63)</f>
        <v>18.63</v>
      </c>
      <c r="O1879" s="112">
        <f ca="1">IFERROR(__xludf.DUMMYFUNCTION("""COMPUTED_VALUE"""),43019.7055555555)</f>
        <v>43019.705555555498</v>
      </c>
      <c r="P1879" s="111">
        <f ca="1">IFERROR(__xludf.DUMMYFUNCTION("""COMPUTED_VALUE"""),31.1)</f>
        <v>31.1</v>
      </c>
      <c r="Q1879" s="112">
        <f ca="1">IFERROR(__xludf.DUMMYFUNCTION("""COMPUTED_VALUE"""),43018.7055555555)</f>
        <v>43018.705555555498</v>
      </c>
      <c r="R1879" s="111">
        <f ca="1">IFERROR(__xludf.DUMMYFUNCTION("""COMPUTED_VALUE"""),37.37)</f>
        <v>37.369999999999997</v>
      </c>
      <c r="S1879" s="112">
        <f ca="1">IFERROR(__xludf.DUMMYFUNCTION("""COMPUTED_VALUE"""),43031.7055555555)</f>
        <v>43031.705555555498</v>
      </c>
      <c r="T1879" s="111">
        <f ca="1">IFERROR(__xludf.DUMMYFUNCTION("""COMPUTED_VALUE"""),29.89)</f>
        <v>29.89</v>
      </c>
    </row>
    <row r="1880" spans="1:20" x14ac:dyDescent="0.3">
      <c r="A1880" s="112">
        <f ca="1">IFERROR(__xludf.DUMMYFUNCTION("""COMPUTED_VALUE"""),43028.7055555555)</f>
        <v>43028.705555555498</v>
      </c>
      <c r="B1880" s="111">
        <f ca="1">IFERROR(__xludf.DUMMYFUNCTION("""COMPUTED_VALUE"""),21.42)</f>
        <v>21.42</v>
      </c>
      <c r="C1880" s="112">
        <f ca="1">IFERROR(__xludf.DUMMYFUNCTION("""COMPUTED_VALUE"""),43038.7055555555)</f>
        <v>43038.705555555498</v>
      </c>
      <c r="D1880" s="111">
        <f ca="1">IFERROR(__xludf.DUMMYFUNCTION("""COMPUTED_VALUE"""),28.74)</f>
        <v>28.74</v>
      </c>
      <c r="E1880" s="112">
        <f ca="1">IFERROR(__xludf.DUMMYFUNCTION("""COMPUTED_VALUE"""),43038.7055555555)</f>
        <v>43038.705555555498</v>
      </c>
      <c r="F1880" s="111">
        <f ca="1">IFERROR(__xludf.DUMMYFUNCTION("""COMPUTED_VALUE"""),9.39)</f>
        <v>9.39</v>
      </c>
      <c r="G1880" s="112">
        <f ca="1">IFERROR(__xludf.DUMMYFUNCTION("""COMPUTED_VALUE"""),43033.7055555555)</f>
        <v>43033.705555555498</v>
      </c>
      <c r="H1880" s="111">
        <f ca="1">IFERROR(__xludf.DUMMYFUNCTION("""COMPUTED_VALUE"""),16.72)</f>
        <v>16.72</v>
      </c>
      <c r="K1880" s="112">
        <f ca="1">IFERROR(__xludf.DUMMYFUNCTION("""COMPUTED_VALUE"""),43494.7055555555)</f>
        <v>43494.705555555498</v>
      </c>
      <c r="L1880" s="111">
        <f ca="1">IFERROR(__xludf.DUMMYFUNCTION("""COMPUTED_VALUE"""),5.57)</f>
        <v>5.57</v>
      </c>
      <c r="M1880" s="112">
        <f ca="1">IFERROR(__xludf.DUMMYFUNCTION("""COMPUTED_VALUE"""),42947.7055555555)</f>
        <v>42947.705555555498</v>
      </c>
      <c r="N1880" s="111">
        <f ca="1">IFERROR(__xludf.DUMMYFUNCTION("""COMPUTED_VALUE"""),18.9)</f>
        <v>18.899999999999999</v>
      </c>
      <c r="O1880" s="112">
        <f ca="1">IFERROR(__xludf.DUMMYFUNCTION("""COMPUTED_VALUE"""),43021.7055555555)</f>
        <v>43021.705555555498</v>
      </c>
      <c r="P1880" s="111">
        <f ca="1">IFERROR(__xludf.DUMMYFUNCTION("""COMPUTED_VALUE"""),32.91)</f>
        <v>32.909999999999997</v>
      </c>
      <c r="Q1880" s="112">
        <f ca="1">IFERROR(__xludf.DUMMYFUNCTION("""COMPUTED_VALUE"""),43019.7055555555)</f>
        <v>43019.705555555498</v>
      </c>
      <c r="R1880" s="111">
        <f ca="1">IFERROR(__xludf.DUMMYFUNCTION("""COMPUTED_VALUE"""),37.4)</f>
        <v>37.4</v>
      </c>
      <c r="S1880" s="112">
        <f ca="1">IFERROR(__xludf.DUMMYFUNCTION("""COMPUTED_VALUE"""),43032.7055555555)</f>
        <v>43032.705555555498</v>
      </c>
      <c r="T1880" s="111">
        <f ca="1">IFERROR(__xludf.DUMMYFUNCTION("""COMPUTED_VALUE"""),30.66)</f>
        <v>30.66</v>
      </c>
    </row>
    <row r="1881" spans="1:20" x14ac:dyDescent="0.3">
      <c r="A1881" s="112">
        <f ca="1">IFERROR(__xludf.DUMMYFUNCTION("""COMPUTED_VALUE"""),43031.7055555555)</f>
        <v>43031.705555555498</v>
      </c>
      <c r="B1881" s="111">
        <f ca="1">IFERROR(__xludf.DUMMYFUNCTION("""COMPUTED_VALUE"""),22.2)</f>
        <v>22.2</v>
      </c>
      <c r="C1881" s="112">
        <f ca="1">IFERROR(__xludf.DUMMYFUNCTION("""COMPUTED_VALUE"""),43039.7055555555)</f>
        <v>43039.705555555498</v>
      </c>
      <c r="D1881" s="111">
        <f ca="1">IFERROR(__xludf.DUMMYFUNCTION("""COMPUTED_VALUE"""),28.03)</f>
        <v>28.03</v>
      </c>
      <c r="E1881" s="112">
        <f ca="1">IFERROR(__xludf.DUMMYFUNCTION("""COMPUTED_VALUE"""),43039.7055555555)</f>
        <v>43039.705555555498</v>
      </c>
      <c r="F1881" s="111">
        <f ca="1">IFERROR(__xludf.DUMMYFUNCTION("""COMPUTED_VALUE"""),9.07)</f>
        <v>9.07</v>
      </c>
      <c r="G1881" s="112">
        <f ca="1">IFERROR(__xludf.DUMMYFUNCTION("""COMPUTED_VALUE"""),43034.7055555555)</f>
        <v>43034.705555555498</v>
      </c>
      <c r="H1881" s="111">
        <f ca="1">IFERROR(__xludf.DUMMYFUNCTION("""COMPUTED_VALUE"""),16.73)</f>
        <v>16.73</v>
      </c>
      <c r="K1881" s="112">
        <f ca="1">IFERROR(__xludf.DUMMYFUNCTION("""COMPUTED_VALUE"""),43495.7055555555)</f>
        <v>43495.705555555498</v>
      </c>
      <c r="L1881" s="111">
        <f ca="1">IFERROR(__xludf.DUMMYFUNCTION("""COMPUTED_VALUE"""),5.51)</f>
        <v>5.51</v>
      </c>
      <c r="M1881" s="112">
        <f ca="1">IFERROR(__xludf.DUMMYFUNCTION("""COMPUTED_VALUE"""),42948.7055555555)</f>
        <v>42948.705555555498</v>
      </c>
      <c r="N1881" s="111">
        <f ca="1">IFERROR(__xludf.DUMMYFUNCTION("""COMPUTED_VALUE"""),19.13)</f>
        <v>19.13</v>
      </c>
      <c r="O1881" s="112">
        <f ca="1">IFERROR(__xludf.DUMMYFUNCTION("""COMPUTED_VALUE"""),43024.7055555555)</f>
        <v>43024.705555555498</v>
      </c>
      <c r="P1881" s="111">
        <f ca="1">IFERROR(__xludf.DUMMYFUNCTION("""COMPUTED_VALUE"""),33.35)</f>
        <v>33.35</v>
      </c>
      <c r="Q1881" s="112">
        <f ca="1">IFERROR(__xludf.DUMMYFUNCTION("""COMPUTED_VALUE"""),43021.7055555555)</f>
        <v>43021.705555555498</v>
      </c>
      <c r="R1881" s="111">
        <f ca="1">IFERROR(__xludf.DUMMYFUNCTION("""COMPUTED_VALUE"""),37.42)</f>
        <v>37.42</v>
      </c>
      <c r="S1881" s="112">
        <f ca="1">IFERROR(__xludf.DUMMYFUNCTION("""COMPUTED_VALUE"""),43033.7055555555)</f>
        <v>43033.705555555498</v>
      </c>
      <c r="T1881" s="111">
        <f ca="1">IFERROR(__xludf.DUMMYFUNCTION("""COMPUTED_VALUE"""),31.07)</f>
        <v>31.07</v>
      </c>
    </row>
    <row r="1882" spans="1:20" x14ac:dyDescent="0.3">
      <c r="A1882" s="112">
        <f ca="1">IFERROR(__xludf.DUMMYFUNCTION("""COMPUTED_VALUE"""),43032.7055555555)</f>
        <v>43032.705555555498</v>
      </c>
      <c r="B1882" s="111">
        <f ca="1">IFERROR(__xludf.DUMMYFUNCTION("""COMPUTED_VALUE"""),22.34)</f>
        <v>22.34</v>
      </c>
      <c r="C1882" s="112">
        <f ca="1">IFERROR(__xludf.DUMMYFUNCTION("""COMPUTED_VALUE"""),43040.7055555555)</f>
        <v>43040.705555555498</v>
      </c>
      <c r="D1882" s="111">
        <f ca="1">IFERROR(__xludf.DUMMYFUNCTION("""COMPUTED_VALUE"""),27.55)</f>
        <v>27.55</v>
      </c>
      <c r="E1882" s="112">
        <f ca="1">IFERROR(__xludf.DUMMYFUNCTION("""COMPUTED_VALUE"""),43040.7055555555)</f>
        <v>43040.705555555498</v>
      </c>
      <c r="F1882" s="111">
        <f ca="1">IFERROR(__xludf.DUMMYFUNCTION("""COMPUTED_VALUE"""),9)</f>
        <v>9</v>
      </c>
      <c r="G1882" s="112">
        <f ca="1">IFERROR(__xludf.DUMMYFUNCTION("""COMPUTED_VALUE"""),43035.7055555555)</f>
        <v>43035.705555555498</v>
      </c>
      <c r="H1882" s="111">
        <f ca="1">IFERROR(__xludf.DUMMYFUNCTION("""COMPUTED_VALUE"""),17.03)</f>
        <v>17.03</v>
      </c>
      <c r="K1882" s="112">
        <f ca="1">IFERROR(__xludf.DUMMYFUNCTION("""COMPUTED_VALUE"""),43496.7055555555)</f>
        <v>43496.705555555498</v>
      </c>
      <c r="L1882" s="111">
        <f ca="1">IFERROR(__xludf.DUMMYFUNCTION("""COMPUTED_VALUE"""),5.6)</f>
        <v>5.6</v>
      </c>
      <c r="M1882" s="112">
        <f ca="1">IFERROR(__xludf.DUMMYFUNCTION("""COMPUTED_VALUE"""),42949.7055555555)</f>
        <v>42949.705555555498</v>
      </c>
      <c r="N1882" s="111">
        <f ca="1">IFERROR(__xludf.DUMMYFUNCTION("""COMPUTED_VALUE"""),19.38)</f>
        <v>19.38</v>
      </c>
      <c r="O1882" s="112">
        <f ca="1">IFERROR(__xludf.DUMMYFUNCTION("""COMPUTED_VALUE"""),43025.7055555555)</f>
        <v>43025.705555555498</v>
      </c>
      <c r="P1882" s="111">
        <f ca="1">IFERROR(__xludf.DUMMYFUNCTION("""COMPUTED_VALUE"""),32.58)</f>
        <v>32.58</v>
      </c>
      <c r="Q1882" s="112">
        <f ca="1">IFERROR(__xludf.DUMMYFUNCTION("""COMPUTED_VALUE"""),43024.7055555555)</f>
        <v>43024.705555555498</v>
      </c>
      <c r="R1882" s="111">
        <f ca="1">IFERROR(__xludf.DUMMYFUNCTION("""COMPUTED_VALUE"""),37.5)</f>
        <v>37.5</v>
      </c>
      <c r="S1882" s="112">
        <f ca="1">IFERROR(__xludf.DUMMYFUNCTION("""COMPUTED_VALUE"""),43034.7055555555)</f>
        <v>43034.705555555498</v>
      </c>
      <c r="T1882" s="111">
        <f ca="1">IFERROR(__xludf.DUMMYFUNCTION("""COMPUTED_VALUE"""),30.02)</f>
        <v>30.02</v>
      </c>
    </row>
    <row r="1883" spans="1:20" x14ac:dyDescent="0.3">
      <c r="A1883" s="112">
        <f ca="1">IFERROR(__xludf.DUMMYFUNCTION("""COMPUTED_VALUE"""),43033.7055555555)</f>
        <v>43033.705555555498</v>
      </c>
      <c r="B1883" s="111">
        <f ca="1">IFERROR(__xludf.DUMMYFUNCTION("""COMPUTED_VALUE"""),23.11)</f>
        <v>23.11</v>
      </c>
      <c r="C1883" s="112">
        <f ca="1">IFERROR(__xludf.DUMMYFUNCTION("""COMPUTED_VALUE"""),43042.7055555555)</f>
        <v>43042.705555555498</v>
      </c>
      <c r="D1883" s="111">
        <f ca="1">IFERROR(__xludf.DUMMYFUNCTION("""COMPUTED_VALUE"""),27.94)</f>
        <v>27.94</v>
      </c>
      <c r="E1883" s="112">
        <f ca="1">IFERROR(__xludf.DUMMYFUNCTION("""COMPUTED_VALUE"""),43042.7055555555)</f>
        <v>43042.705555555498</v>
      </c>
      <c r="F1883" s="111">
        <f ca="1">IFERROR(__xludf.DUMMYFUNCTION("""COMPUTED_VALUE"""),9.09)</f>
        <v>9.09</v>
      </c>
      <c r="G1883" s="112">
        <f ca="1">IFERROR(__xludf.DUMMYFUNCTION("""COMPUTED_VALUE"""),43038.7055555555)</f>
        <v>43038.705555555498</v>
      </c>
      <c r="H1883" s="111">
        <f ca="1">IFERROR(__xludf.DUMMYFUNCTION("""COMPUTED_VALUE"""),16.78)</f>
        <v>16.78</v>
      </c>
      <c r="K1883" s="112">
        <f ca="1">IFERROR(__xludf.DUMMYFUNCTION("""COMPUTED_VALUE"""),43497.7055555555)</f>
        <v>43497.705555555498</v>
      </c>
      <c r="L1883" s="111">
        <f ca="1">IFERROR(__xludf.DUMMYFUNCTION("""COMPUTED_VALUE"""),5.59)</f>
        <v>5.59</v>
      </c>
      <c r="M1883" s="112">
        <f ca="1">IFERROR(__xludf.DUMMYFUNCTION("""COMPUTED_VALUE"""),42950.7055555555)</f>
        <v>42950.705555555498</v>
      </c>
      <c r="N1883" s="111">
        <f ca="1">IFERROR(__xludf.DUMMYFUNCTION("""COMPUTED_VALUE"""),19.38)</f>
        <v>19.38</v>
      </c>
      <c r="O1883" s="112">
        <f ca="1">IFERROR(__xludf.DUMMYFUNCTION("""COMPUTED_VALUE"""),43026.7055555555)</f>
        <v>43026.705555555498</v>
      </c>
      <c r="P1883" s="111">
        <f ca="1">IFERROR(__xludf.DUMMYFUNCTION("""COMPUTED_VALUE"""),32.27)</f>
        <v>32.270000000000003</v>
      </c>
      <c r="Q1883" s="112">
        <f ca="1">IFERROR(__xludf.DUMMYFUNCTION("""COMPUTED_VALUE"""),43025.7055555555)</f>
        <v>43025.705555555498</v>
      </c>
      <c r="R1883" s="111">
        <f ca="1">IFERROR(__xludf.DUMMYFUNCTION("""COMPUTED_VALUE"""),37.56)</f>
        <v>37.56</v>
      </c>
      <c r="S1883" s="112">
        <f ca="1">IFERROR(__xludf.DUMMYFUNCTION("""COMPUTED_VALUE"""),43035.7055555555)</f>
        <v>43035.705555555498</v>
      </c>
      <c r="T1883" s="111">
        <f ca="1">IFERROR(__xludf.DUMMYFUNCTION("""COMPUTED_VALUE"""),29.52)</f>
        <v>29.52</v>
      </c>
    </row>
    <row r="1884" spans="1:20" x14ac:dyDescent="0.3">
      <c r="A1884" s="112">
        <f ca="1">IFERROR(__xludf.DUMMYFUNCTION("""COMPUTED_VALUE"""),43034.7055555555)</f>
        <v>43034.705555555498</v>
      </c>
      <c r="B1884" s="111">
        <f ca="1">IFERROR(__xludf.DUMMYFUNCTION("""COMPUTED_VALUE"""),23.21)</f>
        <v>23.21</v>
      </c>
      <c r="C1884" s="112">
        <f ca="1">IFERROR(__xludf.DUMMYFUNCTION("""COMPUTED_VALUE"""),43045.7055555555)</f>
        <v>43045.705555555498</v>
      </c>
      <c r="D1884" s="111">
        <f ca="1">IFERROR(__xludf.DUMMYFUNCTION("""COMPUTED_VALUE"""),28.07)</f>
        <v>28.07</v>
      </c>
      <c r="E1884" s="112">
        <f ca="1">IFERROR(__xludf.DUMMYFUNCTION("""COMPUTED_VALUE"""),43045.7055555555)</f>
        <v>43045.705555555498</v>
      </c>
      <c r="F1884" s="111">
        <f ca="1">IFERROR(__xludf.DUMMYFUNCTION("""COMPUTED_VALUE"""),9.12)</f>
        <v>9.1199999999999992</v>
      </c>
      <c r="G1884" s="112">
        <f ca="1">IFERROR(__xludf.DUMMYFUNCTION("""COMPUTED_VALUE"""),43039.7055555555)</f>
        <v>43039.705555555498</v>
      </c>
      <c r="H1884" s="111">
        <f ca="1">IFERROR(__xludf.DUMMYFUNCTION("""COMPUTED_VALUE"""),16.77)</f>
        <v>16.77</v>
      </c>
      <c r="K1884" s="112">
        <f ca="1">IFERROR(__xludf.DUMMYFUNCTION("""COMPUTED_VALUE"""),43500.7055555555)</f>
        <v>43500.705555555498</v>
      </c>
      <c r="L1884" s="111">
        <f ca="1">IFERROR(__xludf.DUMMYFUNCTION("""COMPUTED_VALUE"""),5.54)</f>
        <v>5.54</v>
      </c>
      <c r="M1884" s="112">
        <f ca="1">IFERROR(__xludf.DUMMYFUNCTION("""COMPUTED_VALUE"""),42951.7055555555)</f>
        <v>42951.705555555498</v>
      </c>
      <c r="N1884" s="111">
        <f ca="1">IFERROR(__xludf.DUMMYFUNCTION("""COMPUTED_VALUE"""),19.4)</f>
        <v>19.399999999999999</v>
      </c>
      <c r="O1884" s="112">
        <f ca="1">IFERROR(__xludf.DUMMYFUNCTION("""COMPUTED_VALUE"""),43027.7055555555)</f>
        <v>43027.705555555498</v>
      </c>
      <c r="P1884" s="111">
        <f ca="1">IFERROR(__xludf.DUMMYFUNCTION("""COMPUTED_VALUE"""),33)</f>
        <v>33</v>
      </c>
      <c r="Q1884" s="112">
        <f ca="1">IFERROR(__xludf.DUMMYFUNCTION("""COMPUTED_VALUE"""),43026.7055555555)</f>
        <v>43026.705555555498</v>
      </c>
      <c r="R1884" s="111">
        <f ca="1">IFERROR(__xludf.DUMMYFUNCTION("""COMPUTED_VALUE"""),37.43)</f>
        <v>37.43</v>
      </c>
      <c r="S1884" s="112">
        <f ca="1">IFERROR(__xludf.DUMMYFUNCTION("""COMPUTED_VALUE"""),43038.7055555555)</f>
        <v>43038.705555555498</v>
      </c>
      <c r="T1884" s="111">
        <f ca="1">IFERROR(__xludf.DUMMYFUNCTION("""COMPUTED_VALUE"""),29.08)</f>
        <v>29.08</v>
      </c>
    </row>
    <row r="1885" spans="1:20" x14ac:dyDescent="0.3">
      <c r="A1885" s="112">
        <f ca="1">IFERROR(__xludf.DUMMYFUNCTION("""COMPUTED_VALUE"""),43035.7055555555)</f>
        <v>43035.705555555498</v>
      </c>
      <c r="B1885" s="111">
        <f ca="1">IFERROR(__xludf.DUMMYFUNCTION("""COMPUTED_VALUE"""),23.15)</f>
        <v>23.15</v>
      </c>
      <c r="C1885" s="112">
        <f ca="1">IFERROR(__xludf.DUMMYFUNCTION("""COMPUTED_VALUE"""),43046.7055555555)</f>
        <v>43046.705555555498</v>
      </c>
      <c r="D1885" s="111">
        <f ca="1">IFERROR(__xludf.DUMMYFUNCTION("""COMPUTED_VALUE"""),27.4)</f>
        <v>27.4</v>
      </c>
      <c r="E1885" s="112">
        <f ca="1">IFERROR(__xludf.DUMMYFUNCTION("""COMPUTED_VALUE"""),43046.7055555555)</f>
        <v>43046.705555555498</v>
      </c>
      <c r="F1885" s="111">
        <f ca="1">IFERROR(__xludf.DUMMYFUNCTION("""COMPUTED_VALUE"""),8.92)</f>
        <v>8.92</v>
      </c>
      <c r="G1885" s="112">
        <f ca="1">IFERROR(__xludf.DUMMYFUNCTION("""COMPUTED_VALUE"""),43040.7055555555)</f>
        <v>43040.705555555498</v>
      </c>
      <c r="H1885" s="111">
        <f ca="1">IFERROR(__xludf.DUMMYFUNCTION("""COMPUTED_VALUE"""),16.9)</f>
        <v>16.899999999999999</v>
      </c>
      <c r="K1885" s="112">
        <f ca="1">IFERROR(__xludf.DUMMYFUNCTION("""COMPUTED_VALUE"""),43501.7055555555)</f>
        <v>43501.705555555498</v>
      </c>
      <c r="L1885" s="111">
        <f ca="1">IFERROR(__xludf.DUMMYFUNCTION("""COMPUTED_VALUE"""),5.49)</f>
        <v>5.49</v>
      </c>
      <c r="M1885" s="112">
        <f ca="1">IFERROR(__xludf.DUMMYFUNCTION("""COMPUTED_VALUE"""),42954.7055555555)</f>
        <v>42954.705555555498</v>
      </c>
      <c r="N1885" s="111">
        <f ca="1">IFERROR(__xludf.DUMMYFUNCTION("""COMPUTED_VALUE"""),19.62)</f>
        <v>19.62</v>
      </c>
      <c r="O1885" s="112">
        <f ca="1">IFERROR(__xludf.DUMMYFUNCTION("""COMPUTED_VALUE"""),43028.7055555555)</f>
        <v>43028.705555555498</v>
      </c>
      <c r="P1885" s="111">
        <f ca="1">IFERROR(__xludf.DUMMYFUNCTION("""COMPUTED_VALUE"""),32.95)</f>
        <v>32.950000000000003</v>
      </c>
      <c r="Q1885" s="112">
        <f ca="1">IFERROR(__xludf.DUMMYFUNCTION("""COMPUTED_VALUE"""),43027.7055555555)</f>
        <v>43027.705555555498</v>
      </c>
      <c r="R1885" s="111">
        <f ca="1">IFERROR(__xludf.DUMMYFUNCTION("""COMPUTED_VALUE"""),37.18)</f>
        <v>37.18</v>
      </c>
      <c r="S1885" s="112">
        <f ca="1">IFERROR(__xludf.DUMMYFUNCTION("""COMPUTED_VALUE"""),43039.7055555555)</f>
        <v>43039.705555555498</v>
      </c>
      <c r="T1885" s="111">
        <f ca="1">IFERROR(__xludf.DUMMYFUNCTION("""COMPUTED_VALUE"""),28.5)</f>
        <v>28.5</v>
      </c>
    </row>
    <row r="1886" spans="1:20" x14ac:dyDescent="0.3">
      <c r="A1886" s="112">
        <f ca="1">IFERROR(__xludf.DUMMYFUNCTION("""COMPUTED_VALUE"""),43038.7055555555)</f>
        <v>43038.705555555498</v>
      </c>
      <c r="B1886" s="111">
        <f ca="1">IFERROR(__xludf.DUMMYFUNCTION("""COMPUTED_VALUE"""),22.34)</f>
        <v>22.34</v>
      </c>
      <c r="C1886" s="112">
        <f ca="1">IFERROR(__xludf.DUMMYFUNCTION("""COMPUTED_VALUE"""),43047.7055555555)</f>
        <v>43047.705555555498</v>
      </c>
      <c r="D1886" s="111">
        <f ca="1">IFERROR(__xludf.DUMMYFUNCTION("""COMPUTED_VALUE"""),28.4)</f>
        <v>28.4</v>
      </c>
      <c r="E1886" s="112">
        <f ca="1">IFERROR(__xludf.DUMMYFUNCTION("""COMPUTED_VALUE"""),43047.7055555555)</f>
        <v>43047.705555555498</v>
      </c>
      <c r="F1886" s="111">
        <f ca="1">IFERROR(__xludf.DUMMYFUNCTION("""COMPUTED_VALUE"""),9.21)</f>
        <v>9.2100000000000009</v>
      </c>
      <c r="G1886" s="112">
        <f ca="1">IFERROR(__xludf.DUMMYFUNCTION("""COMPUTED_VALUE"""),43042.7055555555)</f>
        <v>43042.705555555498</v>
      </c>
      <c r="H1886" s="111">
        <f ca="1">IFERROR(__xludf.DUMMYFUNCTION("""COMPUTED_VALUE"""),16.94)</f>
        <v>16.940000000000001</v>
      </c>
      <c r="K1886" s="112">
        <f ca="1">IFERROR(__xludf.DUMMYFUNCTION("""COMPUTED_VALUE"""),43502.7055555555)</f>
        <v>43502.705555555498</v>
      </c>
      <c r="L1886" s="111">
        <f ca="1">IFERROR(__xludf.DUMMYFUNCTION("""COMPUTED_VALUE"""),5.3)</f>
        <v>5.3</v>
      </c>
      <c r="M1886" s="112">
        <f ca="1">IFERROR(__xludf.DUMMYFUNCTION("""COMPUTED_VALUE"""),42955.7055555555)</f>
        <v>42955.705555555498</v>
      </c>
      <c r="N1886" s="111">
        <f ca="1">IFERROR(__xludf.DUMMYFUNCTION("""COMPUTED_VALUE"""),19.83)</f>
        <v>19.829999999999998</v>
      </c>
      <c r="O1886" s="112">
        <f ca="1">IFERROR(__xludf.DUMMYFUNCTION("""COMPUTED_VALUE"""),43031.7055555555)</f>
        <v>43031.705555555498</v>
      </c>
      <c r="P1886" s="111">
        <f ca="1">IFERROR(__xludf.DUMMYFUNCTION("""COMPUTED_VALUE"""),32.71)</f>
        <v>32.71</v>
      </c>
      <c r="Q1886" s="112">
        <f ca="1">IFERROR(__xludf.DUMMYFUNCTION("""COMPUTED_VALUE"""),43028.7055555555)</f>
        <v>43028.705555555498</v>
      </c>
      <c r="R1886" s="111">
        <f ca="1">IFERROR(__xludf.DUMMYFUNCTION("""COMPUTED_VALUE"""),37.51)</f>
        <v>37.51</v>
      </c>
      <c r="S1886" s="112">
        <f ca="1">IFERROR(__xludf.DUMMYFUNCTION("""COMPUTED_VALUE"""),43040.7055555555)</f>
        <v>43040.705555555498</v>
      </c>
      <c r="T1886" s="111">
        <f ca="1">IFERROR(__xludf.DUMMYFUNCTION("""COMPUTED_VALUE"""),28.4)</f>
        <v>28.4</v>
      </c>
    </row>
    <row r="1887" spans="1:20" x14ac:dyDescent="0.3">
      <c r="A1887" s="112">
        <f ca="1">IFERROR(__xludf.DUMMYFUNCTION("""COMPUTED_VALUE"""),43039.7055555555)</f>
        <v>43039.705555555498</v>
      </c>
      <c r="B1887" s="111">
        <f ca="1">IFERROR(__xludf.DUMMYFUNCTION("""COMPUTED_VALUE"""),21.81)</f>
        <v>21.81</v>
      </c>
      <c r="C1887" s="112">
        <f ca="1">IFERROR(__xludf.DUMMYFUNCTION("""COMPUTED_VALUE"""),43048.7055555555)</f>
        <v>43048.705555555498</v>
      </c>
      <c r="D1887" s="111">
        <f ca="1">IFERROR(__xludf.DUMMYFUNCTION("""COMPUTED_VALUE"""),27.63)</f>
        <v>27.63</v>
      </c>
      <c r="E1887" s="112">
        <f ca="1">IFERROR(__xludf.DUMMYFUNCTION("""COMPUTED_VALUE"""),43048.7055555555)</f>
        <v>43048.705555555498</v>
      </c>
      <c r="F1887" s="111">
        <f ca="1">IFERROR(__xludf.DUMMYFUNCTION("""COMPUTED_VALUE"""),9.06)</f>
        <v>9.06</v>
      </c>
      <c r="G1887" s="112">
        <f ca="1">IFERROR(__xludf.DUMMYFUNCTION("""COMPUTED_VALUE"""),43045.7055555555)</f>
        <v>43045.705555555498</v>
      </c>
      <c r="H1887" s="111">
        <f ca="1">IFERROR(__xludf.DUMMYFUNCTION("""COMPUTED_VALUE"""),17.43)</f>
        <v>17.43</v>
      </c>
      <c r="K1887" s="112">
        <f ca="1">IFERROR(__xludf.DUMMYFUNCTION("""COMPUTED_VALUE"""),43503.7055555555)</f>
        <v>43503.705555555498</v>
      </c>
      <c r="L1887" s="111">
        <f ca="1">IFERROR(__xludf.DUMMYFUNCTION("""COMPUTED_VALUE"""),5.21)</f>
        <v>5.21</v>
      </c>
      <c r="M1887" s="112">
        <f ca="1">IFERROR(__xludf.DUMMYFUNCTION("""COMPUTED_VALUE"""),42956.7055555555)</f>
        <v>42956.705555555498</v>
      </c>
      <c r="N1887" s="111">
        <f ca="1">IFERROR(__xludf.DUMMYFUNCTION("""COMPUTED_VALUE"""),19.84)</f>
        <v>19.84</v>
      </c>
      <c r="O1887" s="112">
        <f ca="1">IFERROR(__xludf.DUMMYFUNCTION("""COMPUTED_VALUE"""),43032.7055555555)</f>
        <v>43032.705555555498</v>
      </c>
      <c r="P1887" s="111">
        <f ca="1">IFERROR(__xludf.DUMMYFUNCTION("""COMPUTED_VALUE"""),33.83)</f>
        <v>33.83</v>
      </c>
      <c r="Q1887" s="112">
        <f ca="1">IFERROR(__xludf.DUMMYFUNCTION("""COMPUTED_VALUE"""),43031.7055555555)</f>
        <v>43031.705555555498</v>
      </c>
      <c r="R1887" s="111">
        <f ca="1">IFERROR(__xludf.DUMMYFUNCTION("""COMPUTED_VALUE"""),36.2)</f>
        <v>36.200000000000003</v>
      </c>
      <c r="S1887" s="112">
        <f ca="1">IFERROR(__xludf.DUMMYFUNCTION("""COMPUTED_VALUE"""),43042.7055555555)</f>
        <v>43042.705555555498</v>
      </c>
      <c r="T1887" s="111">
        <f ca="1">IFERROR(__xludf.DUMMYFUNCTION("""COMPUTED_VALUE"""),28.55)</f>
        <v>28.55</v>
      </c>
    </row>
    <row r="1888" spans="1:20" x14ac:dyDescent="0.3">
      <c r="A1888" s="112">
        <f ca="1">IFERROR(__xludf.DUMMYFUNCTION("""COMPUTED_VALUE"""),43040.7055555555)</f>
        <v>43040.705555555498</v>
      </c>
      <c r="B1888" s="111">
        <f ca="1">IFERROR(__xludf.DUMMYFUNCTION("""COMPUTED_VALUE"""),20.52)</f>
        <v>20.52</v>
      </c>
      <c r="C1888" s="112">
        <f ca="1">IFERROR(__xludf.DUMMYFUNCTION("""COMPUTED_VALUE"""),43049.7055555555)</f>
        <v>43049.705555555498</v>
      </c>
      <c r="D1888" s="111">
        <f ca="1">IFERROR(__xludf.DUMMYFUNCTION("""COMPUTED_VALUE"""),27.67)</f>
        <v>27.67</v>
      </c>
      <c r="E1888" s="112">
        <f ca="1">IFERROR(__xludf.DUMMYFUNCTION("""COMPUTED_VALUE"""),43049.7055555555)</f>
        <v>43049.705555555498</v>
      </c>
      <c r="F1888" s="111">
        <f ca="1">IFERROR(__xludf.DUMMYFUNCTION("""COMPUTED_VALUE"""),9.06)</f>
        <v>9.06</v>
      </c>
      <c r="G1888" s="112">
        <f ca="1">IFERROR(__xludf.DUMMYFUNCTION("""COMPUTED_VALUE"""),43046.7055555555)</f>
        <v>43046.705555555498</v>
      </c>
      <c r="H1888" s="111">
        <f ca="1">IFERROR(__xludf.DUMMYFUNCTION("""COMPUTED_VALUE"""),16.5)</f>
        <v>16.5</v>
      </c>
      <c r="K1888" s="112">
        <f ca="1">IFERROR(__xludf.DUMMYFUNCTION("""COMPUTED_VALUE"""),43504.7055555555)</f>
        <v>43504.705555555498</v>
      </c>
      <c r="L1888" s="111">
        <f ca="1">IFERROR(__xludf.DUMMYFUNCTION("""COMPUTED_VALUE"""),5.31)</f>
        <v>5.31</v>
      </c>
      <c r="M1888" s="112">
        <f ca="1">IFERROR(__xludf.DUMMYFUNCTION("""COMPUTED_VALUE"""),42957.7055555555)</f>
        <v>42957.705555555498</v>
      </c>
      <c r="N1888" s="111">
        <f ca="1">IFERROR(__xludf.DUMMYFUNCTION("""COMPUTED_VALUE"""),19.65)</f>
        <v>19.649999999999999</v>
      </c>
      <c r="O1888" s="112">
        <f ca="1">IFERROR(__xludf.DUMMYFUNCTION("""COMPUTED_VALUE"""),43033.7055555555)</f>
        <v>43033.705555555498</v>
      </c>
      <c r="P1888" s="111">
        <f ca="1">IFERROR(__xludf.DUMMYFUNCTION("""COMPUTED_VALUE"""),33.55)</f>
        <v>33.549999999999997</v>
      </c>
      <c r="Q1888" s="112">
        <f ca="1">IFERROR(__xludf.DUMMYFUNCTION("""COMPUTED_VALUE"""),43032.7055555555)</f>
        <v>43032.705555555498</v>
      </c>
      <c r="R1888" s="111">
        <f ca="1">IFERROR(__xludf.DUMMYFUNCTION("""COMPUTED_VALUE"""),36.53)</f>
        <v>36.53</v>
      </c>
      <c r="S1888" s="112">
        <f ca="1">IFERROR(__xludf.DUMMYFUNCTION("""COMPUTED_VALUE"""),43045.7055555555)</f>
        <v>43045.705555555498</v>
      </c>
      <c r="T1888" s="111">
        <f ca="1">IFERROR(__xludf.DUMMYFUNCTION("""COMPUTED_VALUE"""),29.59)</f>
        <v>29.59</v>
      </c>
    </row>
    <row r="1889" spans="1:20" x14ac:dyDescent="0.3">
      <c r="A1889" s="112">
        <f ca="1">IFERROR(__xludf.DUMMYFUNCTION("""COMPUTED_VALUE"""),43042.7055555555)</f>
        <v>43042.705555555498</v>
      </c>
      <c r="B1889" s="111">
        <f ca="1">IFERROR(__xludf.DUMMYFUNCTION("""COMPUTED_VALUE"""),19.46)</f>
        <v>19.46</v>
      </c>
      <c r="C1889" s="112">
        <f ca="1">IFERROR(__xludf.DUMMYFUNCTION("""COMPUTED_VALUE"""),43052.7055555555)</f>
        <v>43052.705555555498</v>
      </c>
      <c r="D1889" s="111">
        <f ca="1">IFERROR(__xludf.DUMMYFUNCTION("""COMPUTED_VALUE"""),27.81)</f>
        <v>27.81</v>
      </c>
      <c r="E1889" s="112">
        <f ca="1">IFERROR(__xludf.DUMMYFUNCTION("""COMPUTED_VALUE"""),43052.7055555555)</f>
        <v>43052.705555555498</v>
      </c>
      <c r="F1889" s="111">
        <f ca="1">IFERROR(__xludf.DUMMYFUNCTION("""COMPUTED_VALUE"""),9.06)</f>
        <v>9.06</v>
      </c>
      <c r="G1889" s="112">
        <f ca="1">IFERROR(__xludf.DUMMYFUNCTION("""COMPUTED_VALUE"""),43047.7055555555)</f>
        <v>43047.705555555498</v>
      </c>
      <c r="H1889" s="111">
        <f ca="1">IFERROR(__xludf.DUMMYFUNCTION("""COMPUTED_VALUE"""),16.95)</f>
        <v>16.95</v>
      </c>
      <c r="K1889" s="112">
        <f ca="1">IFERROR(__xludf.DUMMYFUNCTION("""COMPUTED_VALUE"""),43507.7055555555)</f>
        <v>43507.705555555498</v>
      </c>
      <c r="L1889" s="111">
        <f ca="1">IFERROR(__xludf.DUMMYFUNCTION("""COMPUTED_VALUE"""),5.17)</f>
        <v>5.17</v>
      </c>
      <c r="M1889" s="112">
        <f ca="1">IFERROR(__xludf.DUMMYFUNCTION("""COMPUTED_VALUE"""),42958.7055555555)</f>
        <v>42958.705555555498</v>
      </c>
      <c r="N1889" s="111">
        <f ca="1">IFERROR(__xludf.DUMMYFUNCTION("""COMPUTED_VALUE"""),19.83)</f>
        <v>19.829999999999998</v>
      </c>
      <c r="O1889" s="112">
        <f ca="1">IFERROR(__xludf.DUMMYFUNCTION("""COMPUTED_VALUE"""),43034.7055555555)</f>
        <v>43034.705555555498</v>
      </c>
      <c r="P1889" s="111">
        <f ca="1">IFERROR(__xludf.DUMMYFUNCTION("""COMPUTED_VALUE"""),32.67)</f>
        <v>32.67</v>
      </c>
      <c r="Q1889" s="112">
        <f ca="1">IFERROR(__xludf.DUMMYFUNCTION("""COMPUTED_VALUE"""),43033.7055555555)</f>
        <v>43033.705555555498</v>
      </c>
      <c r="R1889" s="111">
        <f ca="1">IFERROR(__xludf.DUMMYFUNCTION("""COMPUTED_VALUE"""),36.86)</f>
        <v>36.86</v>
      </c>
      <c r="S1889" s="112">
        <f ca="1">IFERROR(__xludf.DUMMYFUNCTION("""COMPUTED_VALUE"""),43046.7055555555)</f>
        <v>43046.705555555498</v>
      </c>
      <c r="T1889" s="111">
        <f ca="1">IFERROR(__xludf.DUMMYFUNCTION("""COMPUTED_VALUE"""),28.74)</f>
        <v>28.74</v>
      </c>
    </row>
    <row r="1890" spans="1:20" x14ac:dyDescent="0.3">
      <c r="A1890" s="112">
        <f ca="1">IFERROR(__xludf.DUMMYFUNCTION("""COMPUTED_VALUE"""),43045.7055555555)</f>
        <v>43045.705555555498</v>
      </c>
      <c r="B1890" s="111">
        <f ca="1">IFERROR(__xludf.DUMMYFUNCTION("""COMPUTED_VALUE"""),20.49)</f>
        <v>20.49</v>
      </c>
      <c r="C1890" s="112">
        <f ca="1">IFERROR(__xludf.DUMMYFUNCTION("""COMPUTED_VALUE"""),43053.7055555555)</f>
        <v>43053.705555555498</v>
      </c>
      <c r="D1890" s="111">
        <f ca="1">IFERROR(__xludf.DUMMYFUNCTION("""COMPUTED_VALUE"""),27.28)</f>
        <v>27.28</v>
      </c>
      <c r="E1890" s="112">
        <f ca="1">IFERROR(__xludf.DUMMYFUNCTION("""COMPUTED_VALUE"""),43053.7055555555)</f>
        <v>43053.705555555498</v>
      </c>
      <c r="F1890" s="111">
        <f ca="1">IFERROR(__xludf.DUMMYFUNCTION("""COMPUTED_VALUE"""),8.94)</f>
        <v>8.94</v>
      </c>
      <c r="G1890" s="112">
        <f ca="1">IFERROR(__xludf.DUMMYFUNCTION("""COMPUTED_VALUE"""),43048.7055555555)</f>
        <v>43048.705555555498</v>
      </c>
      <c r="H1890" s="111">
        <f ca="1">IFERROR(__xludf.DUMMYFUNCTION("""COMPUTED_VALUE"""),16.72)</f>
        <v>16.72</v>
      </c>
      <c r="K1890" s="112">
        <f ca="1">IFERROR(__xludf.DUMMYFUNCTION("""COMPUTED_VALUE"""),43508.7055555555)</f>
        <v>43508.705555555498</v>
      </c>
      <c r="L1890" s="111">
        <f ca="1">IFERROR(__xludf.DUMMYFUNCTION("""COMPUTED_VALUE"""),5.15)</f>
        <v>5.15</v>
      </c>
      <c r="M1890" s="112">
        <f ca="1">IFERROR(__xludf.DUMMYFUNCTION("""COMPUTED_VALUE"""),42961.7055555555)</f>
        <v>42961.705555555498</v>
      </c>
      <c r="N1890" s="111">
        <f ca="1">IFERROR(__xludf.DUMMYFUNCTION("""COMPUTED_VALUE"""),20.22)</f>
        <v>20.22</v>
      </c>
      <c r="O1890" s="112">
        <f ca="1">IFERROR(__xludf.DUMMYFUNCTION("""COMPUTED_VALUE"""),43035.7055555555)</f>
        <v>43035.705555555498</v>
      </c>
      <c r="P1890" s="111">
        <f ca="1">IFERROR(__xludf.DUMMYFUNCTION("""COMPUTED_VALUE"""),32.55)</f>
        <v>32.549999999999997</v>
      </c>
      <c r="Q1890" s="112">
        <f ca="1">IFERROR(__xludf.DUMMYFUNCTION("""COMPUTED_VALUE"""),43034.7055555555)</f>
        <v>43034.705555555498</v>
      </c>
      <c r="R1890" s="111">
        <f ca="1">IFERROR(__xludf.DUMMYFUNCTION("""COMPUTED_VALUE"""),36.66)</f>
        <v>36.659999999999997</v>
      </c>
      <c r="S1890" s="112">
        <f ca="1">IFERROR(__xludf.DUMMYFUNCTION("""COMPUTED_VALUE"""),43047.7055555555)</f>
        <v>43047.705555555498</v>
      </c>
      <c r="T1890" s="111">
        <f ca="1">IFERROR(__xludf.DUMMYFUNCTION("""COMPUTED_VALUE"""),29.55)</f>
        <v>29.55</v>
      </c>
    </row>
    <row r="1891" spans="1:20" x14ac:dyDescent="0.3">
      <c r="A1891" s="112">
        <f ca="1">IFERROR(__xludf.DUMMYFUNCTION("""COMPUTED_VALUE"""),43046.7055555555)</f>
        <v>43046.705555555498</v>
      </c>
      <c r="B1891" s="111">
        <f ca="1">IFERROR(__xludf.DUMMYFUNCTION("""COMPUTED_VALUE"""),20.99)</f>
        <v>20.99</v>
      </c>
      <c r="C1891" s="112">
        <f ca="1">IFERROR(__xludf.DUMMYFUNCTION("""COMPUTED_VALUE"""),43055.7055555555)</f>
        <v>43055.705555555498</v>
      </c>
      <c r="D1891" s="111">
        <f ca="1">IFERROR(__xludf.DUMMYFUNCTION("""COMPUTED_VALUE"""),27.97)</f>
        <v>27.97</v>
      </c>
      <c r="E1891" s="112">
        <f ca="1">IFERROR(__xludf.DUMMYFUNCTION("""COMPUTED_VALUE"""),43055.7055555555)</f>
        <v>43055.705555555498</v>
      </c>
      <c r="F1891" s="111">
        <f ca="1">IFERROR(__xludf.DUMMYFUNCTION("""COMPUTED_VALUE"""),9.07)</f>
        <v>9.07</v>
      </c>
      <c r="G1891" s="112">
        <f ca="1">IFERROR(__xludf.DUMMYFUNCTION("""COMPUTED_VALUE"""),43049.7055555555)</f>
        <v>43049.705555555498</v>
      </c>
      <c r="H1891" s="111">
        <f ca="1">IFERROR(__xludf.DUMMYFUNCTION("""COMPUTED_VALUE"""),16.72)</f>
        <v>16.72</v>
      </c>
      <c r="K1891" s="112">
        <f ca="1">IFERROR(__xludf.DUMMYFUNCTION("""COMPUTED_VALUE"""),43509.7055555555)</f>
        <v>43509.705555555498</v>
      </c>
      <c r="L1891" s="111">
        <f ca="1">IFERROR(__xludf.DUMMYFUNCTION("""COMPUTED_VALUE"""),5.04)</f>
        <v>5.04</v>
      </c>
      <c r="M1891" s="112">
        <f ca="1">IFERROR(__xludf.DUMMYFUNCTION("""COMPUTED_VALUE"""),42962.7055555555)</f>
        <v>42962.705555555498</v>
      </c>
      <c r="N1891" s="111">
        <f ca="1">IFERROR(__xludf.DUMMYFUNCTION("""COMPUTED_VALUE"""),20.27)</f>
        <v>20.27</v>
      </c>
      <c r="O1891" s="112">
        <f ca="1">IFERROR(__xludf.DUMMYFUNCTION("""COMPUTED_VALUE"""),43038.7055555555)</f>
        <v>43038.705555555498</v>
      </c>
      <c r="P1891" s="111">
        <f ca="1">IFERROR(__xludf.DUMMYFUNCTION("""COMPUTED_VALUE"""),32.35)</f>
        <v>32.35</v>
      </c>
      <c r="Q1891" s="112">
        <f ca="1">IFERROR(__xludf.DUMMYFUNCTION("""COMPUTED_VALUE"""),43035.7055555555)</f>
        <v>43035.705555555498</v>
      </c>
      <c r="R1891" s="111">
        <f ca="1">IFERROR(__xludf.DUMMYFUNCTION("""COMPUTED_VALUE"""),36.5)</f>
        <v>36.5</v>
      </c>
      <c r="S1891" s="112">
        <f ca="1">IFERROR(__xludf.DUMMYFUNCTION("""COMPUTED_VALUE"""),43048.7055555555)</f>
        <v>43048.705555555498</v>
      </c>
      <c r="T1891" s="111">
        <f ca="1">IFERROR(__xludf.DUMMYFUNCTION("""COMPUTED_VALUE"""),28.5)</f>
        <v>28.5</v>
      </c>
    </row>
    <row r="1892" spans="1:20" x14ac:dyDescent="0.3">
      <c r="A1892" s="112">
        <f ca="1">IFERROR(__xludf.DUMMYFUNCTION("""COMPUTED_VALUE"""),43047.7055555555)</f>
        <v>43047.705555555498</v>
      </c>
      <c r="B1892" s="111">
        <f ca="1">IFERROR(__xludf.DUMMYFUNCTION("""COMPUTED_VALUE"""),21.26)</f>
        <v>21.26</v>
      </c>
      <c r="C1892" s="112">
        <f ca="1">IFERROR(__xludf.DUMMYFUNCTION("""COMPUTED_VALUE"""),43056.7055555555)</f>
        <v>43056.705555555498</v>
      </c>
      <c r="D1892" s="111">
        <f ca="1">IFERROR(__xludf.DUMMYFUNCTION("""COMPUTED_VALUE"""),28.35)</f>
        <v>28.35</v>
      </c>
      <c r="E1892" s="112">
        <f ca="1">IFERROR(__xludf.DUMMYFUNCTION("""COMPUTED_VALUE"""),43056.7055555555)</f>
        <v>43056.705555555498</v>
      </c>
      <c r="F1892" s="111">
        <f ca="1">IFERROR(__xludf.DUMMYFUNCTION("""COMPUTED_VALUE"""),9.18)</f>
        <v>9.18</v>
      </c>
      <c r="G1892" s="112">
        <f ca="1">IFERROR(__xludf.DUMMYFUNCTION("""COMPUTED_VALUE"""),43052.7055555555)</f>
        <v>43052.705555555498</v>
      </c>
      <c r="H1892" s="111">
        <f ca="1">IFERROR(__xludf.DUMMYFUNCTION("""COMPUTED_VALUE"""),16.64)</f>
        <v>16.64</v>
      </c>
      <c r="K1892" s="112">
        <f ca="1">IFERROR(__xludf.DUMMYFUNCTION("""COMPUTED_VALUE"""),43510.7055555555)</f>
        <v>43510.705555555498</v>
      </c>
      <c r="L1892" s="111">
        <f ca="1">IFERROR(__xludf.DUMMYFUNCTION("""COMPUTED_VALUE"""),5.34)</f>
        <v>5.34</v>
      </c>
      <c r="M1892" s="112">
        <f ca="1">IFERROR(__xludf.DUMMYFUNCTION("""COMPUTED_VALUE"""),42963.7055555555)</f>
        <v>42963.705555555498</v>
      </c>
      <c r="N1892" s="111">
        <f ca="1">IFERROR(__xludf.DUMMYFUNCTION("""COMPUTED_VALUE"""),20.27)</f>
        <v>20.27</v>
      </c>
      <c r="O1892" s="112">
        <f ca="1">IFERROR(__xludf.DUMMYFUNCTION("""COMPUTED_VALUE"""),43039.7055555555)</f>
        <v>43039.705555555498</v>
      </c>
      <c r="P1892" s="111">
        <f ca="1">IFERROR(__xludf.DUMMYFUNCTION("""COMPUTED_VALUE"""),32.1)</f>
        <v>32.1</v>
      </c>
      <c r="Q1892" s="112">
        <f ca="1">IFERROR(__xludf.DUMMYFUNCTION("""COMPUTED_VALUE"""),43038.7055555555)</f>
        <v>43038.705555555498</v>
      </c>
      <c r="R1892" s="111">
        <f ca="1">IFERROR(__xludf.DUMMYFUNCTION("""COMPUTED_VALUE"""),35.21)</f>
        <v>35.21</v>
      </c>
      <c r="S1892" s="112">
        <f ca="1">IFERROR(__xludf.DUMMYFUNCTION("""COMPUTED_VALUE"""),43049.7055555555)</f>
        <v>43049.705555555498</v>
      </c>
      <c r="T1892" s="111">
        <f ca="1">IFERROR(__xludf.DUMMYFUNCTION("""COMPUTED_VALUE"""),27.74)</f>
        <v>27.74</v>
      </c>
    </row>
    <row r="1893" spans="1:20" x14ac:dyDescent="0.3">
      <c r="A1893" s="112">
        <f ca="1">IFERROR(__xludf.DUMMYFUNCTION("""COMPUTED_VALUE"""),43048.7055555555)</f>
        <v>43048.705555555498</v>
      </c>
      <c r="B1893" s="111">
        <f ca="1">IFERROR(__xludf.DUMMYFUNCTION("""COMPUTED_VALUE"""),20.21)</f>
        <v>20.21</v>
      </c>
      <c r="C1893" s="112">
        <f ca="1">IFERROR(__xludf.DUMMYFUNCTION("""COMPUTED_VALUE"""),43060.7055555555)</f>
        <v>43060.705555555498</v>
      </c>
      <c r="D1893" s="111">
        <f ca="1">IFERROR(__xludf.DUMMYFUNCTION("""COMPUTED_VALUE"""),28.92)</f>
        <v>28.92</v>
      </c>
      <c r="E1893" s="112">
        <f ca="1">IFERROR(__xludf.DUMMYFUNCTION("""COMPUTED_VALUE"""),43060.7055555555)</f>
        <v>43060.705555555498</v>
      </c>
      <c r="F1893" s="111">
        <f ca="1">IFERROR(__xludf.DUMMYFUNCTION("""COMPUTED_VALUE"""),9.32)</f>
        <v>9.32</v>
      </c>
      <c r="G1893" s="112">
        <f ca="1">IFERROR(__xludf.DUMMYFUNCTION("""COMPUTED_VALUE"""),43053.7055555555)</f>
        <v>43053.705555555498</v>
      </c>
      <c r="H1893" s="111">
        <f ca="1">IFERROR(__xludf.DUMMYFUNCTION("""COMPUTED_VALUE"""),15.35)</f>
        <v>15.35</v>
      </c>
      <c r="K1893" s="112">
        <f ca="1">IFERROR(__xludf.DUMMYFUNCTION("""COMPUTED_VALUE"""),43511.7055555555)</f>
        <v>43511.705555555498</v>
      </c>
      <c r="L1893" s="111">
        <f ca="1">IFERROR(__xludf.DUMMYFUNCTION("""COMPUTED_VALUE"""),5.13)</f>
        <v>5.13</v>
      </c>
      <c r="M1893" s="112">
        <f ca="1">IFERROR(__xludf.DUMMYFUNCTION("""COMPUTED_VALUE"""),42964.7055555555)</f>
        <v>42964.705555555498</v>
      </c>
      <c r="N1893" s="111">
        <f ca="1">IFERROR(__xludf.DUMMYFUNCTION("""COMPUTED_VALUE"""),20.1)</f>
        <v>20.100000000000001</v>
      </c>
      <c r="O1893" s="112">
        <f ca="1">IFERROR(__xludf.DUMMYFUNCTION("""COMPUTED_VALUE"""),43040.7055555555)</f>
        <v>43040.705555555498</v>
      </c>
      <c r="P1893" s="111">
        <f ca="1">IFERROR(__xludf.DUMMYFUNCTION("""COMPUTED_VALUE"""),32.82)</f>
        <v>32.82</v>
      </c>
      <c r="Q1893" s="112">
        <f ca="1">IFERROR(__xludf.DUMMYFUNCTION("""COMPUTED_VALUE"""),43039.7055555555)</f>
        <v>43039.705555555498</v>
      </c>
      <c r="R1893" s="111">
        <f ca="1">IFERROR(__xludf.DUMMYFUNCTION("""COMPUTED_VALUE"""),34.44)</f>
        <v>34.44</v>
      </c>
      <c r="S1893" s="112">
        <f ca="1">IFERROR(__xludf.DUMMYFUNCTION("""COMPUTED_VALUE"""),43052.7055555555)</f>
        <v>43052.705555555498</v>
      </c>
      <c r="T1893" s="111">
        <f ca="1">IFERROR(__xludf.DUMMYFUNCTION("""COMPUTED_VALUE"""),27.69)</f>
        <v>27.69</v>
      </c>
    </row>
    <row r="1894" spans="1:20" x14ac:dyDescent="0.3">
      <c r="A1894" s="112">
        <f ca="1">IFERROR(__xludf.DUMMYFUNCTION("""COMPUTED_VALUE"""),43049.7055555555)</f>
        <v>43049.705555555498</v>
      </c>
      <c r="B1894" s="111">
        <f ca="1">IFERROR(__xludf.DUMMYFUNCTION("""COMPUTED_VALUE"""),19.78)</f>
        <v>19.78</v>
      </c>
      <c r="C1894" s="112">
        <f ca="1">IFERROR(__xludf.DUMMYFUNCTION("""COMPUTED_VALUE"""),43061.7055555555)</f>
        <v>43061.705555555498</v>
      </c>
      <c r="D1894" s="111">
        <f ca="1">IFERROR(__xludf.DUMMYFUNCTION("""COMPUTED_VALUE"""),28.64)</f>
        <v>28.64</v>
      </c>
      <c r="E1894" s="112">
        <f ca="1">IFERROR(__xludf.DUMMYFUNCTION("""COMPUTED_VALUE"""),43061.7055555555)</f>
        <v>43061.705555555498</v>
      </c>
      <c r="F1894" s="111">
        <f ca="1">IFERROR(__xludf.DUMMYFUNCTION("""COMPUTED_VALUE"""),9.29)</f>
        <v>9.2899999999999991</v>
      </c>
      <c r="G1894" s="112">
        <f ca="1">IFERROR(__xludf.DUMMYFUNCTION("""COMPUTED_VALUE"""),43055.7055555555)</f>
        <v>43055.705555555498</v>
      </c>
      <c r="H1894" s="111">
        <f ca="1">IFERROR(__xludf.DUMMYFUNCTION("""COMPUTED_VALUE"""),15.81)</f>
        <v>15.81</v>
      </c>
      <c r="K1894" s="112">
        <f ca="1">IFERROR(__xludf.DUMMYFUNCTION("""COMPUTED_VALUE"""),43515.7055555555)</f>
        <v>43515.705555555498</v>
      </c>
      <c r="L1894" s="111">
        <f ca="1">IFERROR(__xludf.DUMMYFUNCTION("""COMPUTED_VALUE"""),5.3)</f>
        <v>5.3</v>
      </c>
      <c r="M1894" s="112">
        <f ca="1">IFERROR(__xludf.DUMMYFUNCTION("""COMPUTED_VALUE"""),42965.7055555555)</f>
        <v>42965.705555555498</v>
      </c>
      <c r="N1894" s="111">
        <f ca="1">IFERROR(__xludf.DUMMYFUNCTION("""COMPUTED_VALUE"""),20.52)</f>
        <v>20.52</v>
      </c>
      <c r="O1894" s="112">
        <f ca="1">IFERROR(__xludf.DUMMYFUNCTION("""COMPUTED_VALUE"""),43042.7055555555)</f>
        <v>43042.705555555498</v>
      </c>
      <c r="P1894" s="111">
        <f ca="1">IFERROR(__xludf.DUMMYFUNCTION("""COMPUTED_VALUE"""),33.54)</f>
        <v>33.54</v>
      </c>
      <c r="Q1894" s="112">
        <f ca="1">IFERROR(__xludf.DUMMYFUNCTION("""COMPUTED_VALUE"""),43040.7055555555)</f>
        <v>43040.705555555498</v>
      </c>
      <c r="R1894" s="111">
        <f ca="1">IFERROR(__xludf.DUMMYFUNCTION("""COMPUTED_VALUE"""),34)</f>
        <v>34</v>
      </c>
      <c r="S1894" s="112">
        <f ca="1">IFERROR(__xludf.DUMMYFUNCTION("""COMPUTED_VALUE"""),43053.7055555555)</f>
        <v>43053.705555555498</v>
      </c>
      <c r="T1894" s="111">
        <f ca="1">IFERROR(__xludf.DUMMYFUNCTION("""COMPUTED_VALUE"""),27.42)</f>
        <v>27.42</v>
      </c>
    </row>
    <row r="1895" spans="1:20" x14ac:dyDescent="0.3">
      <c r="A1895" s="112">
        <f ca="1">IFERROR(__xludf.DUMMYFUNCTION("""COMPUTED_VALUE"""),43052.7055555555)</f>
        <v>43052.705555555498</v>
      </c>
      <c r="B1895" s="111">
        <f ca="1">IFERROR(__xludf.DUMMYFUNCTION("""COMPUTED_VALUE"""),20.03)</f>
        <v>20.03</v>
      </c>
      <c r="C1895" s="112">
        <f ca="1">IFERROR(__xludf.DUMMYFUNCTION("""COMPUTED_VALUE"""),43062.7055555555)</f>
        <v>43062.705555555498</v>
      </c>
      <c r="D1895" s="111">
        <f ca="1">IFERROR(__xludf.DUMMYFUNCTION("""COMPUTED_VALUE"""),28.55)</f>
        <v>28.55</v>
      </c>
      <c r="E1895" s="112">
        <f ca="1">IFERROR(__xludf.DUMMYFUNCTION("""COMPUTED_VALUE"""),43062.7055555555)</f>
        <v>43062.705555555498</v>
      </c>
      <c r="F1895" s="111">
        <f ca="1">IFERROR(__xludf.DUMMYFUNCTION("""COMPUTED_VALUE"""),9.28)</f>
        <v>9.2799999999999994</v>
      </c>
      <c r="G1895" s="112">
        <f ca="1">IFERROR(__xludf.DUMMYFUNCTION("""COMPUTED_VALUE"""),43056.7055555555)</f>
        <v>43056.705555555498</v>
      </c>
      <c r="H1895" s="111">
        <f ca="1">IFERROR(__xludf.DUMMYFUNCTION("""COMPUTED_VALUE"""),16.02)</f>
        <v>16.02</v>
      </c>
      <c r="K1895" s="112">
        <f ca="1">IFERROR(__xludf.DUMMYFUNCTION("""COMPUTED_VALUE"""),43516.7055555555)</f>
        <v>43516.705555555498</v>
      </c>
      <c r="L1895" s="111">
        <f ca="1">IFERROR(__xludf.DUMMYFUNCTION("""COMPUTED_VALUE"""),5.08)</f>
        <v>5.08</v>
      </c>
      <c r="M1895" s="112">
        <f ca="1">IFERROR(__xludf.DUMMYFUNCTION("""COMPUTED_VALUE"""),42968.7055555555)</f>
        <v>42968.705555555498</v>
      </c>
      <c r="N1895" s="111">
        <f ca="1">IFERROR(__xludf.DUMMYFUNCTION("""COMPUTED_VALUE"""),20.51)</f>
        <v>20.51</v>
      </c>
      <c r="O1895" s="112">
        <f ca="1">IFERROR(__xludf.DUMMYFUNCTION("""COMPUTED_VALUE"""),43045.7055555555)</f>
        <v>43045.705555555498</v>
      </c>
      <c r="P1895" s="111">
        <f ca="1">IFERROR(__xludf.DUMMYFUNCTION("""COMPUTED_VALUE"""),34.34)</f>
        <v>34.340000000000003</v>
      </c>
      <c r="Q1895" s="112">
        <f ca="1">IFERROR(__xludf.DUMMYFUNCTION("""COMPUTED_VALUE"""),43042.7055555555)</f>
        <v>43042.705555555498</v>
      </c>
      <c r="R1895" s="111">
        <f ca="1">IFERROR(__xludf.DUMMYFUNCTION("""COMPUTED_VALUE"""),33.39)</f>
        <v>33.39</v>
      </c>
      <c r="S1895" s="112">
        <f ca="1">IFERROR(__xludf.DUMMYFUNCTION("""COMPUTED_VALUE"""),43055.7055555555)</f>
        <v>43055.705555555498</v>
      </c>
      <c r="T1895" s="111">
        <f ca="1">IFERROR(__xludf.DUMMYFUNCTION("""COMPUTED_VALUE"""),28.48)</f>
        <v>28.48</v>
      </c>
    </row>
    <row r="1896" spans="1:20" x14ac:dyDescent="0.3">
      <c r="A1896" s="112">
        <f ca="1">IFERROR(__xludf.DUMMYFUNCTION("""COMPUTED_VALUE"""),43053.7055555555)</f>
        <v>43053.705555555498</v>
      </c>
      <c r="B1896" s="111">
        <f ca="1">IFERROR(__xludf.DUMMYFUNCTION("""COMPUTED_VALUE"""),19.26)</f>
        <v>19.260000000000002</v>
      </c>
      <c r="C1896" s="112">
        <f ca="1">IFERROR(__xludf.DUMMYFUNCTION("""COMPUTED_VALUE"""),43063.7055555555)</f>
        <v>43063.705555555498</v>
      </c>
      <c r="D1896" s="111">
        <f ca="1">IFERROR(__xludf.DUMMYFUNCTION("""COMPUTED_VALUE"""),28.29)</f>
        <v>28.29</v>
      </c>
      <c r="E1896" s="112">
        <f ca="1">IFERROR(__xludf.DUMMYFUNCTION("""COMPUTED_VALUE"""),43063.7055555555)</f>
        <v>43063.705555555498</v>
      </c>
      <c r="F1896" s="111">
        <f ca="1">IFERROR(__xludf.DUMMYFUNCTION("""COMPUTED_VALUE"""),9.19)</f>
        <v>9.19</v>
      </c>
      <c r="G1896" s="112">
        <f ca="1">IFERROR(__xludf.DUMMYFUNCTION("""COMPUTED_VALUE"""),43060.7055555555)</f>
        <v>43060.705555555498</v>
      </c>
      <c r="H1896" s="111">
        <f ca="1">IFERROR(__xludf.DUMMYFUNCTION("""COMPUTED_VALUE"""),15.9)</f>
        <v>15.9</v>
      </c>
      <c r="K1896" s="112">
        <f ca="1">IFERROR(__xludf.DUMMYFUNCTION("""COMPUTED_VALUE"""),43517.7055555555)</f>
        <v>43517.705555555498</v>
      </c>
      <c r="L1896" s="111">
        <f ca="1">IFERROR(__xludf.DUMMYFUNCTION("""COMPUTED_VALUE"""),5.04)</f>
        <v>5.04</v>
      </c>
      <c r="M1896" s="112">
        <f ca="1">IFERROR(__xludf.DUMMYFUNCTION("""COMPUTED_VALUE"""),42969.7055555555)</f>
        <v>42969.705555555498</v>
      </c>
      <c r="N1896" s="111">
        <f ca="1">IFERROR(__xludf.DUMMYFUNCTION("""COMPUTED_VALUE"""),20.97)</f>
        <v>20.97</v>
      </c>
      <c r="O1896" s="112">
        <f ca="1">IFERROR(__xludf.DUMMYFUNCTION("""COMPUTED_VALUE"""),43046.7055555555)</f>
        <v>43046.705555555498</v>
      </c>
      <c r="P1896" s="111">
        <f ca="1">IFERROR(__xludf.DUMMYFUNCTION("""COMPUTED_VALUE"""),33.52)</f>
        <v>33.520000000000003</v>
      </c>
      <c r="Q1896" s="112">
        <f ca="1">IFERROR(__xludf.DUMMYFUNCTION("""COMPUTED_VALUE"""),43045.7055555555)</f>
        <v>43045.705555555498</v>
      </c>
      <c r="R1896" s="111">
        <f ca="1">IFERROR(__xludf.DUMMYFUNCTION("""COMPUTED_VALUE"""),33.12)</f>
        <v>33.119999999999997</v>
      </c>
      <c r="S1896" s="112">
        <f ca="1">IFERROR(__xludf.DUMMYFUNCTION("""COMPUTED_VALUE"""),43056.7055555555)</f>
        <v>43056.705555555498</v>
      </c>
      <c r="T1896" s="111">
        <f ca="1">IFERROR(__xludf.DUMMYFUNCTION("""COMPUTED_VALUE"""),29.04)</f>
        <v>29.04</v>
      </c>
    </row>
    <row r="1897" spans="1:20" x14ac:dyDescent="0.3">
      <c r="A1897" s="112">
        <f ca="1">IFERROR(__xludf.DUMMYFUNCTION("""COMPUTED_VALUE"""),43055.7055555555)</f>
        <v>43055.705555555498</v>
      </c>
      <c r="B1897" s="111">
        <f ca="1">IFERROR(__xludf.DUMMYFUNCTION("""COMPUTED_VALUE"""),19.8)</f>
        <v>19.8</v>
      </c>
      <c r="C1897" s="112">
        <f ca="1">IFERROR(__xludf.DUMMYFUNCTION("""COMPUTED_VALUE"""),43066.7055555555)</f>
        <v>43066.705555555498</v>
      </c>
      <c r="D1897" s="111">
        <f ca="1">IFERROR(__xludf.DUMMYFUNCTION("""COMPUTED_VALUE"""),28.46)</f>
        <v>28.46</v>
      </c>
      <c r="E1897" s="112">
        <f ca="1">IFERROR(__xludf.DUMMYFUNCTION("""COMPUTED_VALUE"""),43066.7055555555)</f>
        <v>43066.705555555498</v>
      </c>
      <c r="F1897" s="111">
        <f ca="1">IFERROR(__xludf.DUMMYFUNCTION("""COMPUTED_VALUE"""),9.34)</f>
        <v>9.34</v>
      </c>
      <c r="G1897" s="112">
        <f ca="1">IFERROR(__xludf.DUMMYFUNCTION("""COMPUTED_VALUE"""),43061.7055555555)</f>
        <v>43061.705555555498</v>
      </c>
      <c r="H1897" s="111">
        <f ca="1">IFERROR(__xludf.DUMMYFUNCTION("""COMPUTED_VALUE"""),16.11)</f>
        <v>16.11</v>
      </c>
      <c r="K1897" s="112">
        <f ca="1">IFERROR(__xludf.DUMMYFUNCTION("""COMPUTED_VALUE"""),43518.7055555555)</f>
        <v>43518.705555555498</v>
      </c>
      <c r="L1897" s="111">
        <f ca="1">IFERROR(__xludf.DUMMYFUNCTION("""COMPUTED_VALUE"""),5.56)</f>
        <v>5.56</v>
      </c>
      <c r="M1897" s="112">
        <f ca="1">IFERROR(__xludf.DUMMYFUNCTION("""COMPUTED_VALUE"""),42970.7055555555)</f>
        <v>42970.705555555498</v>
      </c>
      <c r="N1897" s="111">
        <f ca="1">IFERROR(__xludf.DUMMYFUNCTION("""COMPUTED_VALUE"""),21.16)</f>
        <v>21.16</v>
      </c>
      <c r="O1897" s="112">
        <f ca="1">IFERROR(__xludf.DUMMYFUNCTION("""COMPUTED_VALUE"""),43047.7055555555)</f>
        <v>43047.705555555498</v>
      </c>
      <c r="P1897" s="111">
        <f ca="1">IFERROR(__xludf.DUMMYFUNCTION("""COMPUTED_VALUE"""),33.94)</f>
        <v>33.94</v>
      </c>
      <c r="Q1897" s="112">
        <f ca="1">IFERROR(__xludf.DUMMYFUNCTION("""COMPUTED_VALUE"""),43046.7055555555)</f>
        <v>43046.705555555498</v>
      </c>
      <c r="R1897" s="111">
        <f ca="1">IFERROR(__xludf.DUMMYFUNCTION("""COMPUTED_VALUE"""),31.46)</f>
        <v>31.46</v>
      </c>
      <c r="S1897" s="112">
        <f ca="1">IFERROR(__xludf.DUMMYFUNCTION("""COMPUTED_VALUE"""),43060.7055555555)</f>
        <v>43060.705555555498</v>
      </c>
      <c r="T1897" s="111">
        <f ca="1">IFERROR(__xludf.DUMMYFUNCTION("""COMPUTED_VALUE"""),29.7)</f>
        <v>29.7</v>
      </c>
    </row>
    <row r="1898" spans="1:20" x14ac:dyDescent="0.3">
      <c r="A1898" s="112">
        <f ca="1">IFERROR(__xludf.DUMMYFUNCTION("""COMPUTED_VALUE"""),43056.7055555555)</f>
        <v>43056.705555555498</v>
      </c>
      <c r="B1898" s="111">
        <f ca="1">IFERROR(__xludf.DUMMYFUNCTION("""COMPUTED_VALUE"""),19.96)</f>
        <v>19.96</v>
      </c>
      <c r="C1898" s="112">
        <f ca="1">IFERROR(__xludf.DUMMYFUNCTION("""COMPUTED_VALUE"""),43067.7055555555)</f>
        <v>43067.705555555498</v>
      </c>
      <c r="D1898" s="111">
        <f ca="1">IFERROR(__xludf.DUMMYFUNCTION("""COMPUTED_VALUE"""),28.51)</f>
        <v>28.51</v>
      </c>
      <c r="E1898" s="112">
        <f ca="1">IFERROR(__xludf.DUMMYFUNCTION("""COMPUTED_VALUE"""),43067.7055555555)</f>
        <v>43067.705555555498</v>
      </c>
      <c r="F1898" s="111">
        <f ca="1">IFERROR(__xludf.DUMMYFUNCTION("""COMPUTED_VALUE"""),9.31)</f>
        <v>9.31</v>
      </c>
      <c r="G1898" s="112">
        <f ca="1">IFERROR(__xludf.DUMMYFUNCTION("""COMPUTED_VALUE"""),43062.7055555555)</f>
        <v>43062.705555555498</v>
      </c>
      <c r="H1898" s="111">
        <f ca="1">IFERROR(__xludf.DUMMYFUNCTION("""COMPUTED_VALUE"""),16.19)</f>
        <v>16.190000000000001</v>
      </c>
      <c r="K1898" s="112">
        <f ca="1">IFERROR(__xludf.DUMMYFUNCTION("""COMPUTED_VALUE"""),43521.7055555555)</f>
        <v>43521.705555555498</v>
      </c>
      <c r="L1898" s="111">
        <f ca="1">IFERROR(__xludf.DUMMYFUNCTION("""COMPUTED_VALUE"""),5.43)</f>
        <v>5.43</v>
      </c>
      <c r="M1898" s="112">
        <f ca="1">IFERROR(__xludf.DUMMYFUNCTION("""COMPUTED_VALUE"""),42971.7055555555)</f>
        <v>42971.705555555498</v>
      </c>
      <c r="N1898" s="111">
        <f ca="1">IFERROR(__xludf.DUMMYFUNCTION("""COMPUTED_VALUE"""),21.23)</f>
        <v>21.23</v>
      </c>
      <c r="O1898" s="112">
        <f ca="1">IFERROR(__xludf.DUMMYFUNCTION("""COMPUTED_VALUE"""),43048.7055555555)</f>
        <v>43048.705555555498</v>
      </c>
      <c r="P1898" s="111">
        <f ca="1">IFERROR(__xludf.DUMMYFUNCTION("""COMPUTED_VALUE"""),32.8)</f>
        <v>32.799999999999997</v>
      </c>
      <c r="Q1898" s="112">
        <f ca="1">IFERROR(__xludf.DUMMYFUNCTION("""COMPUTED_VALUE"""),43047.7055555555)</f>
        <v>43047.705555555498</v>
      </c>
      <c r="R1898" s="111">
        <f ca="1">IFERROR(__xludf.DUMMYFUNCTION("""COMPUTED_VALUE"""),33.11)</f>
        <v>33.11</v>
      </c>
      <c r="S1898" s="112">
        <f ca="1">IFERROR(__xludf.DUMMYFUNCTION("""COMPUTED_VALUE"""),43061.7055555555)</f>
        <v>43061.705555555498</v>
      </c>
      <c r="T1898" s="111">
        <f ca="1">IFERROR(__xludf.DUMMYFUNCTION("""COMPUTED_VALUE"""),29.05)</f>
        <v>29.05</v>
      </c>
    </row>
    <row r="1899" spans="1:20" x14ac:dyDescent="0.3">
      <c r="A1899" s="112">
        <f ca="1">IFERROR(__xludf.DUMMYFUNCTION("""COMPUTED_VALUE"""),43060.7055555555)</f>
        <v>43060.705555555498</v>
      </c>
      <c r="B1899" s="111">
        <f ca="1">IFERROR(__xludf.DUMMYFUNCTION("""COMPUTED_VALUE"""),20.22)</f>
        <v>20.22</v>
      </c>
      <c r="C1899" s="112">
        <f ca="1">IFERROR(__xludf.DUMMYFUNCTION("""COMPUTED_VALUE"""),43068.7055555555)</f>
        <v>43068.705555555498</v>
      </c>
      <c r="D1899" s="111">
        <f ca="1">IFERROR(__xludf.DUMMYFUNCTION("""COMPUTED_VALUE"""),27.92)</f>
        <v>27.92</v>
      </c>
      <c r="E1899" s="112">
        <f ca="1">IFERROR(__xludf.DUMMYFUNCTION("""COMPUTED_VALUE"""),43068.7055555555)</f>
        <v>43068.705555555498</v>
      </c>
      <c r="F1899" s="111">
        <f ca="1">IFERROR(__xludf.DUMMYFUNCTION("""COMPUTED_VALUE"""),9.08)</f>
        <v>9.08</v>
      </c>
      <c r="G1899" s="112">
        <f ca="1">IFERROR(__xludf.DUMMYFUNCTION("""COMPUTED_VALUE"""),43063.7055555555)</f>
        <v>43063.705555555498</v>
      </c>
      <c r="H1899" s="111">
        <f ca="1">IFERROR(__xludf.DUMMYFUNCTION("""COMPUTED_VALUE"""),16.1)</f>
        <v>16.100000000000001</v>
      </c>
      <c r="K1899" s="112">
        <f ca="1">IFERROR(__xludf.DUMMYFUNCTION("""COMPUTED_VALUE"""),43522.7055555555)</f>
        <v>43522.705555555498</v>
      </c>
      <c r="L1899" s="111">
        <f ca="1">IFERROR(__xludf.DUMMYFUNCTION("""COMPUTED_VALUE"""),5.58)</f>
        <v>5.58</v>
      </c>
      <c r="M1899" s="112">
        <f ca="1">IFERROR(__xludf.DUMMYFUNCTION("""COMPUTED_VALUE"""),42972.7055555555)</f>
        <v>42972.705555555498</v>
      </c>
      <c r="N1899" s="111">
        <f ca="1">IFERROR(__xludf.DUMMYFUNCTION("""COMPUTED_VALUE"""),21.25)</f>
        <v>21.25</v>
      </c>
      <c r="O1899" s="112">
        <f ca="1">IFERROR(__xludf.DUMMYFUNCTION("""COMPUTED_VALUE"""),43049.7055555555)</f>
        <v>43049.705555555498</v>
      </c>
      <c r="P1899" s="111">
        <f ca="1">IFERROR(__xludf.DUMMYFUNCTION("""COMPUTED_VALUE"""),32.77)</f>
        <v>32.770000000000003</v>
      </c>
      <c r="Q1899" s="112">
        <f ca="1">IFERROR(__xludf.DUMMYFUNCTION("""COMPUTED_VALUE"""),43048.7055555555)</f>
        <v>43048.705555555498</v>
      </c>
      <c r="R1899" s="111">
        <f ca="1">IFERROR(__xludf.DUMMYFUNCTION("""COMPUTED_VALUE"""),32.26)</f>
        <v>32.26</v>
      </c>
      <c r="S1899" s="112">
        <f ca="1">IFERROR(__xludf.DUMMYFUNCTION("""COMPUTED_VALUE"""),43062.7055555555)</f>
        <v>43062.705555555498</v>
      </c>
      <c r="T1899" s="111">
        <f ca="1">IFERROR(__xludf.DUMMYFUNCTION("""COMPUTED_VALUE"""),28.76)</f>
        <v>28.76</v>
      </c>
    </row>
    <row r="1900" spans="1:20" x14ac:dyDescent="0.3">
      <c r="A1900" s="112">
        <f ca="1">IFERROR(__xludf.DUMMYFUNCTION("""COMPUTED_VALUE"""),43061.7055555555)</f>
        <v>43061.705555555498</v>
      </c>
      <c r="B1900" s="111">
        <f ca="1">IFERROR(__xludf.DUMMYFUNCTION("""COMPUTED_VALUE"""),20.47)</f>
        <v>20.47</v>
      </c>
      <c r="C1900" s="112">
        <f ca="1">IFERROR(__xludf.DUMMYFUNCTION("""COMPUTED_VALUE"""),43069.7055555555)</f>
        <v>43069.705555555498</v>
      </c>
      <c r="D1900" s="111">
        <f ca="1">IFERROR(__xludf.DUMMYFUNCTION("""COMPUTED_VALUE"""),27.51)</f>
        <v>27.51</v>
      </c>
      <c r="E1900" s="112">
        <f ca="1">IFERROR(__xludf.DUMMYFUNCTION("""COMPUTED_VALUE"""),43069.7055555555)</f>
        <v>43069.705555555498</v>
      </c>
      <c r="F1900" s="111">
        <f ca="1">IFERROR(__xludf.DUMMYFUNCTION("""COMPUTED_VALUE"""),8.99)</f>
        <v>8.99</v>
      </c>
      <c r="G1900" s="112">
        <f ca="1">IFERROR(__xludf.DUMMYFUNCTION("""COMPUTED_VALUE"""),43066.7055555555)</f>
        <v>43066.705555555498</v>
      </c>
      <c r="H1900" s="111">
        <f ca="1">IFERROR(__xludf.DUMMYFUNCTION("""COMPUTED_VALUE"""),15.87)</f>
        <v>15.87</v>
      </c>
      <c r="K1900" s="112">
        <f ca="1">IFERROR(__xludf.DUMMYFUNCTION("""COMPUTED_VALUE"""),43523.7055555555)</f>
        <v>43523.705555555498</v>
      </c>
      <c r="L1900" s="111">
        <f ca="1">IFERROR(__xludf.DUMMYFUNCTION("""COMPUTED_VALUE"""),5.5)</f>
        <v>5.5</v>
      </c>
      <c r="M1900" s="112">
        <f ca="1">IFERROR(__xludf.DUMMYFUNCTION("""COMPUTED_VALUE"""),42975.7055555555)</f>
        <v>42975.705555555498</v>
      </c>
      <c r="N1900" s="111">
        <f ca="1">IFERROR(__xludf.DUMMYFUNCTION("""COMPUTED_VALUE"""),20.92)</f>
        <v>20.92</v>
      </c>
      <c r="O1900" s="112">
        <f ca="1">IFERROR(__xludf.DUMMYFUNCTION("""COMPUTED_VALUE"""),43052.7055555555)</f>
        <v>43052.705555555498</v>
      </c>
      <c r="P1900" s="111">
        <f ca="1">IFERROR(__xludf.DUMMYFUNCTION("""COMPUTED_VALUE"""),33.14)</f>
        <v>33.14</v>
      </c>
      <c r="Q1900" s="112">
        <f ca="1">IFERROR(__xludf.DUMMYFUNCTION("""COMPUTED_VALUE"""),43049.7055555555)</f>
        <v>43049.705555555498</v>
      </c>
      <c r="R1900" s="111">
        <f ca="1">IFERROR(__xludf.DUMMYFUNCTION("""COMPUTED_VALUE"""),31.3)</f>
        <v>31.3</v>
      </c>
      <c r="S1900" s="112">
        <f ca="1">IFERROR(__xludf.DUMMYFUNCTION("""COMPUTED_VALUE"""),43063.7055555555)</f>
        <v>43063.705555555498</v>
      </c>
      <c r="T1900" s="111">
        <f ca="1">IFERROR(__xludf.DUMMYFUNCTION("""COMPUTED_VALUE"""),28.6)</f>
        <v>28.6</v>
      </c>
    </row>
    <row r="1901" spans="1:20" x14ac:dyDescent="0.3">
      <c r="A1901" s="112">
        <f ca="1">IFERROR(__xludf.DUMMYFUNCTION("""COMPUTED_VALUE"""),43062.7055555555)</f>
        <v>43062.705555555498</v>
      </c>
      <c r="B1901" s="111">
        <f ca="1">IFERROR(__xludf.DUMMYFUNCTION("""COMPUTED_VALUE"""),20.77)</f>
        <v>20.77</v>
      </c>
      <c r="C1901" s="112">
        <f ca="1">IFERROR(__xludf.DUMMYFUNCTION("""COMPUTED_VALUE"""),43070.7055555555)</f>
        <v>43070.705555555498</v>
      </c>
      <c r="D1901" s="111">
        <f ca="1">IFERROR(__xludf.DUMMYFUNCTION("""COMPUTED_VALUE"""),27.49)</f>
        <v>27.49</v>
      </c>
      <c r="E1901" s="112">
        <f ca="1">IFERROR(__xludf.DUMMYFUNCTION("""COMPUTED_VALUE"""),43070.7055555555)</f>
        <v>43070.705555555498</v>
      </c>
      <c r="F1901" s="111">
        <f ca="1">IFERROR(__xludf.DUMMYFUNCTION("""COMPUTED_VALUE"""),9.06)</f>
        <v>9.06</v>
      </c>
      <c r="G1901" s="112">
        <f ca="1">IFERROR(__xludf.DUMMYFUNCTION("""COMPUTED_VALUE"""),43067.7055555555)</f>
        <v>43067.705555555498</v>
      </c>
      <c r="H1901" s="111">
        <f ca="1">IFERROR(__xludf.DUMMYFUNCTION("""COMPUTED_VALUE"""),15.84)</f>
        <v>15.84</v>
      </c>
      <c r="K1901" s="112">
        <f ca="1">IFERROR(__xludf.DUMMYFUNCTION("""COMPUTED_VALUE"""),43524.7055555555)</f>
        <v>43524.705555555498</v>
      </c>
      <c r="L1901" s="111">
        <f ca="1">IFERROR(__xludf.DUMMYFUNCTION("""COMPUTED_VALUE"""),5.42)</f>
        <v>5.42</v>
      </c>
      <c r="M1901" s="112">
        <f ca="1">IFERROR(__xludf.DUMMYFUNCTION("""COMPUTED_VALUE"""),42976.7055555555)</f>
        <v>42976.705555555498</v>
      </c>
      <c r="N1901" s="111">
        <f ca="1">IFERROR(__xludf.DUMMYFUNCTION("""COMPUTED_VALUE"""),21.28)</f>
        <v>21.28</v>
      </c>
      <c r="O1901" s="112">
        <f ca="1">IFERROR(__xludf.DUMMYFUNCTION("""COMPUTED_VALUE"""),43053.7055555555)</f>
        <v>43053.705555555498</v>
      </c>
      <c r="P1901" s="111">
        <f ca="1">IFERROR(__xludf.DUMMYFUNCTION("""COMPUTED_VALUE"""),32.16)</f>
        <v>32.159999999999997</v>
      </c>
      <c r="Q1901" s="112">
        <f ca="1">IFERROR(__xludf.DUMMYFUNCTION("""COMPUTED_VALUE"""),43052.7055555555)</f>
        <v>43052.705555555498</v>
      </c>
      <c r="R1901" s="111">
        <f ca="1">IFERROR(__xludf.DUMMYFUNCTION("""COMPUTED_VALUE"""),31.35)</f>
        <v>31.35</v>
      </c>
      <c r="S1901" s="112">
        <f ca="1">IFERROR(__xludf.DUMMYFUNCTION("""COMPUTED_VALUE"""),43066.7055555555)</f>
        <v>43066.705555555498</v>
      </c>
      <c r="T1901" s="111">
        <f ca="1">IFERROR(__xludf.DUMMYFUNCTION("""COMPUTED_VALUE"""),28.37)</f>
        <v>28.37</v>
      </c>
    </row>
    <row r="1902" spans="1:20" x14ac:dyDescent="0.3">
      <c r="A1902" s="112">
        <f ca="1">IFERROR(__xludf.DUMMYFUNCTION("""COMPUTED_VALUE"""),43063.7055555555)</f>
        <v>43063.705555555498</v>
      </c>
      <c r="B1902" s="111">
        <f ca="1">IFERROR(__xludf.DUMMYFUNCTION("""COMPUTED_VALUE"""),20.49)</f>
        <v>20.49</v>
      </c>
      <c r="C1902" s="112">
        <f ca="1">IFERROR(__xludf.DUMMYFUNCTION("""COMPUTED_VALUE"""),43073.7055555555)</f>
        <v>43073.705555555498</v>
      </c>
      <c r="D1902" s="111">
        <f ca="1">IFERROR(__xludf.DUMMYFUNCTION("""COMPUTED_VALUE"""),27.89)</f>
        <v>27.89</v>
      </c>
      <c r="E1902" s="112">
        <f ca="1">IFERROR(__xludf.DUMMYFUNCTION("""COMPUTED_VALUE"""),43073.7055555555)</f>
        <v>43073.705555555498</v>
      </c>
      <c r="F1902" s="111">
        <f ca="1">IFERROR(__xludf.DUMMYFUNCTION("""COMPUTED_VALUE"""),9.09)</f>
        <v>9.09</v>
      </c>
      <c r="G1902" s="112">
        <f ca="1">IFERROR(__xludf.DUMMYFUNCTION("""COMPUTED_VALUE"""),43068.7055555555)</f>
        <v>43068.705555555498</v>
      </c>
      <c r="H1902" s="111">
        <f ca="1">IFERROR(__xludf.DUMMYFUNCTION("""COMPUTED_VALUE"""),15.33)</f>
        <v>15.33</v>
      </c>
      <c r="K1902" s="112">
        <f ca="1">IFERROR(__xludf.DUMMYFUNCTION("""COMPUTED_VALUE"""),43525.7055555555)</f>
        <v>43525.705555555498</v>
      </c>
      <c r="L1902" s="111">
        <f ca="1">IFERROR(__xludf.DUMMYFUNCTION("""COMPUTED_VALUE"""),5.48)</f>
        <v>5.48</v>
      </c>
      <c r="M1902" s="112">
        <f ca="1">IFERROR(__xludf.DUMMYFUNCTION("""COMPUTED_VALUE"""),42977.7055555555)</f>
        <v>42977.705555555498</v>
      </c>
      <c r="N1902" s="111">
        <f ca="1">IFERROR(__xludf.DUMMYFUNCTION("""COMPUTED_VALUE"""),21.07)</f>
        <v>21.07</v>
      </c>
      <c r="O1902" s="112">
        <f ca="1">IFERROR(__xludf.DUMMYFUNCTION("""COMPUTED_VALUE"""),43055.7055555555)</f>
        <v>43055.705555555498</v>
      </c>
      <c r="P1902" s="111">
        <f ca="1">IFERROR(__xludf.DUMMYFUNCTION("""COMPUTED_VALUE"""),32.6)</f>
        <v>32.6</v>
      </c>
      <c r="Q1902" s="112">
        <f ca="1">IFERROR(__xludf.DUMMYFUNCTION("""COMPUTED_VALUE"""),43053.7055555555)</f>
        <v>43053.705555555498</v>
      </c>
      <c r="R1902" s="111">
        <f ca="1">IFERROR(__xludf.DUMMYFUNCTION("""COMPUTED_VALUE"""),30.6)</f>
        <v>30.6</v>
      </c>
      <c r="S1902" s="112">
        <f ca="1">IFERROR(__xludf.DUMMYFUNCTION("""COMPUTED_VALUE"""),43067.7055555555)</f>
        <v>43067.705555555498</v>
      </c>
      <c r="T1902" s="111">
        <f ca="1">IFERROR(__xludf.DUMMYFUNCTION("""COMPUTED_VALUE"""),28.9)</f>
        <v>28.9</v>
      </c>
    </row>
    <row r="1903" spans="1:20" x14ac:dyDescent="0.3">
      <c r="A1903" s="112">
        <f ca="1">IFERROR(__xludf.DUMMYFUNCTION("""COMPUTED_VALUE"""),43066.7055555555)</f>
        <v>43066.705555555498</v>
      </c>
      <c r="B1903" s="111">
        <f ca="1">IFERROR(__xludf.DUMMYFUNCTION("""COMPUTED_VALUE"""),20.37)</f>
        <v>20.37</v>
      </c>
      <c r="C1903" s="112">
        <f ca="1">IFERROR(__xludf.DUMMYFUNCTION("""COMPUTED_VALUE"""),43074.7055555555)</f>
        <v>43074.705555555498</v>
      </c>
      <c r="D1903" s="111">
        <f ca="1">IFERROR(__xludf.DUMMYFUNCTION("""COMPUTED_VALUE"""),27.73)</f>
        <v>27.73</v>
      </c>
      <c r="E1903" s="112">
        <f ca="1">IFERROR(__xludf.DUMMYFUNCTION("""COMPUTED_VALUE"""),43074.7055555555)</f>
        <v>43074.705555555498</v>
      </c>
      <c r="F1903" s="111">
        <f ca="1">IFERROR(__xludf.DUMMYFUNCTION("""COMPUTED_VALUE"""),9.05)</f>
        <v>9.0500000000000007</v>
      </c>
      <c r="G1903" s="112">
        <f ca="1">IFERROR(__xludf.DUMMYFUNCTION("""COMPUTED_VALUE"""),43069.7055555555)</f>
        <v>43069.705555555498</v>
      </c>
      <c r="H1903" s="111">
        <f ca="1">IFERROR(__xludf.DUMMYFUNCTION("""COMPUTED_VALUE"""),15.38)</f>
        <v>15.38</v>
      </c>
      <c r="K1903" s="112">
        <f ca="1">IFERROR(__xludf.DUMMYFUNCTION("""COMPUTED_VALUE"""),43530.7055555555)</f>
        <v>43530.705555555498</v>
      </c>
      <c r="L1903" s="111">
        <f ca="1">IFERROR(__xludf.DUMMYFUNCTION("""COMPUTED_VALUE"""),5.36)</f>
        <v>5.36</v>
      </c>
      <c r="M1903" s="112">
        <f ca="1">IFERROR(__xludf.DUMMYFUNCTION("""COMPUTED_VALUE"""),42978.7055555555)</f>
        <v>42978.705555555498</v>
      </c>
      <c r="N1903" s="111">
        <f ca="1">IFERROR(__xludf.DUMMYFUNCTION("""COMPUTED_VALUE"""),21.02)</f>
        <v>21.02</v>
      </c>
      <c r="O1903" s="112">
        <f ca="1">IFERROR(__xludf.DUMMYFUNCTION("""COMPUTED_VALUE"""),43056.7055555555)</f>
        <v>43056.705555555498</v>
      </c>
      <c r="P1903" s="111">
        <f ca="1">IFERROR(__xludf.DUMMYFUNCTION("""COMPUTED_VALUE"""),32.92)</f>
        <v>32.92</v>
      </c>
      <c r="Q1903" s="112">
        <f ca="1">IFERROR(__xludf.DUMMYFUNCTION("""COMPUTED_VALUE"""),43055.7055555555)</f>
        <v>43055.705555555498</v>
      </c>
      <c r="R1903" s="111">
        <f ca="1">IFERROR(__xludf.DUMMYFUNCTION("""COMPUTED_VALUE"""),32.05)</f>
        <v>32.049999999999997</v>
      </c>
      <c r="S1903" s="112">
        <f ca="1">IFERROR(__xludf.DUMMYFUNCTION("""COMPUTED_VALUE"""),43068.7055555555)</f>
        <v>43068.705555555498</v>
      </c>
      <c r="T1903" s="111">
        <f ca="1">IFERROR(__xludf.DUMMYFUNCTION("""COMPUTED_VALUE"""),28.26)</f>
        <v>28.26</v>
      </c>
    </row>
    <row r="1904" spans="1:20" x14ac:dyDescent="0.3">
      <c r="A1904" s="112">
        <f ca="1">IFERROR(__xludf.DUMMYFUNCTION("""COMPUTED_VALUE"""),43067.7055555555)</f>
        <v>43067.705555555498</v>
      </c>
      <c r="B1904" s="111">
        <f ca="1">IFERROR(__xludf.DUMMYFUNCTION("""COMPUTED_VALUE"""),20.03)</f>
        <v>20.03</v>
      </c>
      <c r="C1904" s="112">
        <f ca="1">IFERROR(__xludf.DUMMYFUNCTION("""COMPUTED_VALUE"""),43075.7055555555)</f>
        <v>43075.705555555498</v>
      </c>
      <c r="D1904" s="111">
        <f ca="1">IFERROR(__xludf.DUMMYFUNCTION("""COMPUTED_VALUE"""),28.02)</f>
        <v>28.02</v>
      </c>
      <c r="E1904" s="112">
        <f ca="1">IFERROR(__xludf.DUMMYFUNCTION("""COMPUTED_VALUE"""),43075.7055555555)</f>
        <v>43075.705555555498</v>
      </c>
      <c r="F1904" s="111">
        <f ca="1">IFERROR(__xludf.DUMMYFUNCTION("""COMPUTED_VALUE"""),9.18)</f>
        <v>9.18</v>
      </c>
      <c r="G1904" s="112">
        <f ca="1">IFERROR(__xludf.DUMMYFUNCTION("""COMPUTED_VALUE"""),43070.7055555555)</f>
        <v>43070.705555555498</v>
      </c>
      <c r="H1904" s="111">
        <f ca="1">IFERROR(__xludf.DUMMYFUNCTION("""COMPUTED_VALUE"""),15.61)</f>
        <v>15.61</v>
      </c>
      <c r="K1904" s="112">
        <f ca="1">IFERROR(__xludf.DUMMYFUNCTION("""COMPUTED_VALUE"""),43531.7055555555)</f>
        <v>43531.705555555498</v>
      </c>
      <c r="L1904" s="111">
        <f ca="1">IFERROR(__xludf.DUMMYFUNCTION("""COMPUTED_VALUE"""),5.54)</f>
        <v>5.54</v>
      </c>
      <c r="M1904" s="112">
        <f ca="1">IFERROR(__xludf.DUMMYFUNCTION("""COMPUTED_VALUE"""),42979.7055555555)</f>
        <v>42979.705555555498</v>
      </c>
      <c r="N1904" s="111">
        <f ca="1">IFERROR(__xludf.DUMMYFUNCTION("""COMPUTED_VALUE"""),21.46)</f>
        <v>21.46</v>
      </c>
      <c r="O1904" s="112">
        <f ca="1">IFERROR(__xludf.DUMMYFUNCTION("""COMPUTED_VALUE"""),43060.7055555555)</f>
        <v>43060.705555555498</v>
      </c>
      <c r="P1904" s="111">
        <f ca="1">IFERROR(__xludf.DUMMYFUNCTION("""COMPUTED_VALUE"""),34.05)</f>
        <v>34.049999999999997</v>
      </c>
      <c r="Q1904" s="112">
        <f ca="1">IFERROR(__xludf.DUMMYFUNCTION("""COMPUTED_VALUE"""),43056.7055555555)</f>
        <v>43056.705555555498</v>
      </c>
      <c r="R1904" s="111">
        <f ca="1">IFERROR(__xludf.DUMMYFUNCTION("""COMPUTED_VALUE"""),32.59)</f>
        <v>32.590000000000003</v>
      </c>
      <c r="S1904" s="112">
        <f ca="1">IFERROR(__xludf.DUMMYFUNCTION("""COMPUTED_VALUE"""),43069.7055555555)</f>
        <v>43069.705555555498</v>
      </c>
      <c r="T1904" s="111">
        <f ca="1">IFERROR(__xludf.DUMMYFUNCTION("""COMPUTED_VALUE"""),28.04)</f>
        <v>28.04</v>
      </c>
    </row>
    <row r="1905" spans="1:20" x14ac:dyDescent="0.3">
      <c r="A1905" s="112">
        <f ca="1">IFERROR(__xludf.DUMMYFUNCTION("""COMPUTED_VALUE"""),43068.7055555555)</f>
        <v>43068.705555555498</v>
      </c>
      <c r="B1905" s="111">
        <f ca="1">IFERROR(__xludf.DUMMYFUNCTION("""COMPUTED_VALUE"""),19.77)</f>
        <v>19.77</v>
      </c>
      <c r="C1905" s="112">
        <f ca="1">IFERROR(__xludf.DUMMYFUNCTION("""COMPUTED_VALUE"""),43076.7055555555)</f>
        <v>43076.705555555498</v>
      </c>
      <c r="D1905" s="111">
        <f ca="1">IFERROR(__xludf.DUMMYFUNCTION("""COMPUTED_VALUE"""),27.93)</f>
        <v>27.93</v>
      </c>
      <c r="E1905" s="112">
        <f ca="1">IFERROR(__xludf.DUMMYFUNCTION("""COMPUTED_VALUE"""),43076.7055555555)</f>
        <v>43076.705555555498</v>
      </c>
      <c r="F1905" s="111">
        <f ca="1">IFERROR(__xludf.DUMMYFUNCTION("""COMPUTED_VALUE"""),9.07)</f>
        <v>9.07</v>
      </c>
      <c r="G1905" s="112">
        <f ca="1">IFERROR(__xludf.DUMMYFUNCTION("""COMPUTED_VALUE"""),43073.7055555555)</f>
        <v>43073.705555555498</v>
      </c>
      <c r="H1905" s="111">
        <f ca="1">IFERROR(__xludf.DUMMYFUNCTION("""COMPUTED_VALUE"""),15.48)</f>
        <v>15.48</v>
      </c>
      <c r="K1905" s="112">
        <f ca="1">IFERROR(__xludf.DUMMYFUNCTION("""COMPUTED_VALUE"""),43532.7055555555)</f>
        <v>43532.705555555498</v>
      </c>
      <c r="L1905" s="111">
        <f ca="1">IFERROR(__xludf.DUMMYFUNCTION("""COMPUTED_VALUE"""),5.65)</f>
        <v>5.65</v>
      </c>
      <c r="M1905" s="112">
        <f ca="1">IFERROR(__xludf.DUMMYFUNCTION("""COMPUTED_VALUE"""),42982.7055555555)</f>
        <v>42982.705555555498</v>
      </c>
      <c r="N1905" s="111">
        <f ca="1">IFERROR(__xludf.DUMMYFUNCTION("""COMPUTED_VALUE"""),21.44)</f>
        <v>21.44</v>
      </c>
      <c r="O1905" s="112">
        <f ca="1">IFERROR(__xludf.DUMMYFUNCTION("""COMPUTED_VALUE"""),43061.7055555555)</f>
        <v>43061.705555555498</v>
      </c>
      <c r="P1905" s="111">
        <f ca="1">IFERROR(__xludf.DUMMYFUNCTION("""COMPUTED_VALUE"""),34.74)</f>
        <v>34.74</v>
      </c>
      <c r="Q1905" s="112">
        <f ca="1">IFERROR(__xludf.DUMMYFUNCTION("""COMPUTED_VALUE"""),43060.7055555555)</f>
        <v>43060.705555555498</v>
      </c>
      <c r="R1905" s="111">
        <f ca="1">IFERROR(__xludf.DUMMYFUNCTION("""COMPUTED_VALUE"""),33.15)</f>
        <v>33.15</v>
      </c>
      <c r="S1905" s="112">
        <f ca="1">IFERROR(__xludf.DUMMYFUNCTION("""COMPUTED_VALUE"""),43070.7055555555)</f>
        <v>43070.705555555498</v>
      </c>
      <c r="T1905" s="111">
        <f ca="1">IFERROR(__xludf.DUMMYFUNCTION("""COMPUTED_VALUE"""),28.13)</f>
        <v>28.13</v>
      </c>
    </row>
    <row r="1906" spans="1:20" x14ac:dyDescent="0.3">
      <c r="A1906" s="112">
        <f ca="1">IFERROR(__xludf.DUMMYFUNCTION("""COMPUTED_VALUE"""),43069.7055555555)</f>
        <v>43069.705555555498</v>
      </c>
      <c r="B1906" s="111">
        <f ca="1">IFERROR(__xludf.DUMMYFUNCTION("""COMPUTED_VALUE"""),18.52)</f>
        <v>18.52</v>
      </c>
      <c r="C1906" s="112">
        <f ca="1">IFERROR(__xludf.DUMMYFUNCTION("""COMPUTED_VALUE"""),43077.7055555555)</f>
        <v>43077.705555555498</v>
      </c>
      <c r="D1906" s="111">
        <f ca="1">IFERROR(__xludf.DUMMYFUNCTION("""COMPUTED_VALUE"""),28.17)</f>
        <v>28.17</v>
      </c>
      <c r="E1906" s="112">
        <f ca="1">IFERROR(__xludf.DUMMYFUNCTION("""COMPUTED_VALUE"""),43077.7055555555)</f>
        <v>43077.705555555498</v>
      </c>
      <c r="F1906" s="111">
        <f ca="1">IFERROR(__xludf.DUMMYFUNCTION("""COMPUTED_VALUE"""),9.11)</f>
        <v>9.11</v>
      </c>
      <c r="G1906" s="112">
        <f ca="1">IFERROR(__xludf.DUMMYFUNCTION("""COMPUTED_VALUE"""),43074.7055555555)</f>
        <v>43074.705555555498</v>
      </c>
      <c r="H1906" s="111">
        <f ca="1">IFERROR(__xludf.DUMMYFUNCTION("""COMPUTED_VALUE"""),15.31)</f>
        <v>15.31</v>
      </c>
      <c r="K1906" s="112">
        <f ca="1">IFERROR(__xludf.DUMMYFUNCTION("""COMPUTED_VALUE"""),43535.7055555555)</f>
        <v>43535.705555555498</v>
      </c>
      <c r="L1906" s="111">
        <f ca="1">IFERROR(__xludf.DUMMYFUNCTION("""COMPUTED_VALUE"""),5.71)</f>
        <v>5.71</v>
      </c>
      <c r="M1906" s="112">
        <f ca="1">IFERROR(__xludf.DUMMYFUNCTION("""COMPUTED_VALUE"""),42983.7055555555)</f>
        <v>42983.705555555498</v>
      </c>
      <c r="N1906" s="111">
        <f ca="1">IFERROR(__xludf.DUMMYFUNCTION("""COMPUTED_VALUE"""),21.14)</f>
        <v>21.14</v>
      </c>
      <c r="O1906" s="112">
        <f ca="1">IFERROR(__xludf.DUMMYFUNCTION("""COMPUTED_VALUE"""),43062.7055555555)</f>
        <v>43062.705555555498</v>
      </c>
      <c r="P1906" s="111">
        <f ca="1">IFERROR(__xludf.DUMMYFUNCTION("""COMPUTED_VALUE"""),35.2)</f>
        <v>35.200000000000003</v>
      </c>
      <c r="Q1906" s="112">
        <f ca="1">IFERROR(__xludf.DUMMYFUNCTION("""COMPUTED_VALUE"""),43061.7055555555)</f>
        <v>43061.705555555498</v>
      </c>
      <c r="R1906" s="111">
        <f ca="1">IFERROR(__xludf.DUMMYFUNCTION("""COMPUTED_VALUE"""),32.74)</f>
        <v>32.74</v>
      </c>
      <c r="S1906" s="112">
        <f ca="1">IFERROR(__xludf.DUMMYFUNCTION("""COMPUTED_VALUE"""),43073.7055555555)</f>
        <v>43073.705555555498</v>
      </c>
      <c r="T1906" s="111">
        <f ca="1">IFERROR(__xludf.DUMMYFUNCTION("""COMPUTED_VALUE"""),27.87)</f>
        <v>27.87</v>
      </c>
    </row>
    <row r="1907" spans="1:20" x14ac:dyDescent="0.3">
      <c r="A1907" s="112">
        <f ca="1">IFERROR(__xludf.DUMMYFUNCTION("""COMPUTED_VALUE"""),43070.7055555555)</f>
        <v>43070.705555555498</v>
      </c>
      <c r="B1907" s="111">
        <f ca="1">IFERROR(__xludf.DUMMYFUNCTION("""COMPUTED_VALUE"""),18.54)</f>
        <v>18.54</v>
      </c>
      <c r="C1907" s="112">
        <f ca="1">IFERROR(__xludf.DUMMYFUNCTION("""COMPUTED_VALUE"""),43080.7055555555)</f>
        <v>43080.705555555498</v>
      </c>
      <c r="D1907" s="111">
        <f ca="1">IFERROR(__xludf.DUMMYFUNCTION("""COMPUTED_VALUE"""),28.24)</f>
        <v>28.24</v>
      </c>
      <c r="E1907" s="112">
        <f ca="1">IFERROR(__xludf.DUMMYFUNCTION("""COMPUTED_VALUE"""),43080.7055555555)</f>
        <v>43080.705555555498</v>
      </c>
      <c r="F1907" s="111">
        <f ca="1">IFERROR(__xludf.DUMMYFUNCTION("""COMPUTED_VALUE"""),9.15)</f>
        <v>9.15</v>
      </c>
      <c r="G1907" s="112">
        <f ca="1">IFERROR(__xludf.DUMMYFUNCTION("""COMPUTED_VALUE"""),43075.7055555555)</f>
        <v>43075.705555555498</v>
      </c>
      <c r="H1907" s="111">
        <f ca="1">IFERROR(__xludf.DUMMYFUNCTION("""COMPUTED_VALUE"""),15.52)</f>
        <v>15.52</v>
      </c>
      <c r="K1907" s="112">
        <f ca="1">IFERROR(__xludf.DUMMYFUNCTION("""COMPUTED_VALUE"""),43536.7055555555)</f>
        <v>43536.705555555498</v>
      </c>
      <c r="L1907" s="111">
        <f ca="1">IFERROR(__xludf.DUMMYFUNCTION("""COMPUTED_VALUE"""),5.59)</f>
        <v>5.59</v>
      </c>
      <c r="M1907" s="112">
        <f ca="1">IFERROR(__xludf.DUMMYFUNCTION("""COMPUTED_VALUE"""),42984.7055555555)</f>
        <v>42984.705555555498</v>
      </c>
      <c r="N1907" s="111">
        <f ca="1">IFERROR(__xludf.DUMMYFUNCTION("""COMPUTED_VALUE"""),21.46)</f>
        <v>21.46</v>
      </c>
      <c r="O1907" s="112">
        <f ca="1">IFERROR(__xludf.DUMMYFUNCTION("""COMPUTED_VALUE"""),43063.7055555555)</f>
        <v>43063.705555555498</v>
      </c>
      <c r="P1907" s="111">
        <f ca="1">IFERROR(__xludf.DUMMYFUNCTION("""COMPUTED_VALUE"""),35.79)</f>
        <v>35.79</v>
      </c>
      <c r="Q1907" s="112">
        <f ca="1">IFERROR(__xludf.DUMMYFUNCTION("""COMPUTED_VALUE"""),43062.7055555555)</f>
        <v>43062.705555555498</v>
      </c>
      <c r="R1907" s="111">
        <f ca="1">IFERROR(__xludf.DUMMYFUNCTION("""COMPUTED_VALUE"""),32.78)</f>
        <v>32.78</v>
      </c>
      <c r="S1907" s="112">
        <f ca="1">IFERROR(__xludf.DUMMYFUNCTION("""COMPUTED_VALUE"""),43074.7055555555)</f>
        <v>43074.705555555498</v>
      </c>
      <c r="T1907" s="111">
        <f ca="1">IFERROR(__xludf.DUMMYFUNCTION("""COMPUTED_VALUE"""),27.6)</f>
        <v>27.6</v>
      </c>
    </row>
    <row r="1908" spans="1:20" x14ac:dyDescent="0.3">
      <c r="A1908" s="112">
        <f ca="1">IFERROR(__xludf.DUMMYFUNCTION("""COMPUTED_VALUE"""),43073.7055555555)</f>
        <v>43073.705555555498</v>
      </c>
      <c r="B1908" s="111">
        <f ca="1">IFERROR(__xludf.DUMMYFUNCTION("""COMPUTED_VALUE"""),18.85)</f>
        <v>18.850000000000001</v>
      </c>
      <c r="C1908" s="112">
        <f ca="1">IFERROR(__xludf.DUMMYFUNCTION("""COMPUTED_VALUE"""),43081.7055555555)</f>
        <v>43081.705555555498</v>
      </c>
      <c r="D1908" s="111">
        <f ca="1">IFERROR(__xludf.DUMMYFUNCTION("""COMPUTED_VALUE"""),28.47)</f>
        <v>28.47</v>
      </c>
      <c r="E1908" s="112">
        <f ca="1">IFERROR(__xludf.DUMMYFUNCTION("""COMPUTED_VALUE"""),43081.7055555555)</f>
        <v>43081.705555555498</v>
      </c>
      <c r="F1908" s="111">
        <f ca="1">IFERROR(__xludf.DUMMYFUNCTION("""COMPUTED_VALUE"""),9.25)</f>
        <v>9.25</v>
      </c>
      <c r="G1908" s="112">
        <f ca="1">IFERROR(__xludf.DUMMYFUNCTION("""COMPUTED_VALUE"""),43076.7055555555)</f>
        <v>43076.705555555498</v>
      </c>
      <c r="H1908" s="111">
        <f ca="1">IFERROR(__xludf.DUMMYFUNCTION("""COMPUTED_VALUE"""),15.26)</f>
        <v>15.26</v>
      </c>
      <c r="K1908" s="112">
        <f ca="1">IFERROR(__xludf.DUMMYFUNCTION("""COMPUTED_VALUE"""),43537.7055555555)</f>
        <v>43537.705555555498</v>
      </c>
      <c r="L1908" s="111">
        <f ca="1">IFERROR(__xludf.DUMMYFUNCTION("""COMPUTED_VALUE"""),5.54)</f>
        <v>5.54</v>
      </c>
      <c r="M1908" s="112">
        <f ca="1">IFERROR(__xludf.DUMMYFUNCTION("""COMPUTED_VALUE"""),42986.7055555555)</f>
        <v>42986.705555555498</v>
      </c>
      <c r="N1908" s="111">
        <f ca="1">IFERROR(__xludf.DUMMYFUNCTION("""COMPUTED_VALUE"""),21.29)</f>
        <v>21.29</v>
      </c>
      <c r="O1908" s="112">
        <f ca="1">IFERROR(__xludf.DUMMYFUNCTION("""COMPUTED_VALUE"""),43066.7055555555)</f>
        <v>43066.705555555498</v>
      </c>
      <c r="P1908" s="111">
        <f ca="1">IFERROR(__xludf.DUMMYFUNCTION("""COMPUTED_VALUE"""),35.41)</f>
        <v>35.409999999999997</v>
      </c>
      <c r="Q1908" s="112">
        <f ca="1">IFERROR(__xludf.DUMMYFUNCTION("""COMPUTED_VALUE"""),43063.7055555555)</f>
        <v>43063.705555555498</v>
      </c>
      <c r="R1908" s="111">
        <f ca="1">IFERROR(__xludf.DUMMYFUNCTION("""COMPUTED_VALUE"""),32.6)</f>
        <v>32.6</v>
      </c>
      <c r="S1908" s="112">
        <f ca="1">IFERROR(__xludf.DUMMYFUNCTION("""COMPUTED_VALUE"""),43075.7055555555)</f>
        <v>43075.705555555498</v>
      </c>
      <c r="T1908" s="111">
        <f ca="1">IFERROR(__xludf.DUMMYFUNCTION("""COMPUTED_VALUE"""),28.43)</f>
        <v>28.43</v>
      </c>
    </row>
    <row r="1909" spans="1:20" x14ac:dyDescent="0.3">
      <c r="A1909" s="112">
        <f ca="1">IFERROR(__xludf.DUMMYFUNCTION("""COMPUTED_VALUE"""),43074.7055555555)</f>
        <v>43074.705555555498</v>
      </c>
      <c r="B1909" s="111">
        <f ca="1">IFERROR(__xludf.DUMMYFUNCTION("""COMPUTED_VALUE"""),18.71)</f>
        <v>18.71</v>
      </c>
      <c r="C1909" s="112">
        <f ca="1">IFERROR(__xludf.DUMMYFUNCTION("""COMPUTED_VALUE"""),43082.7055555555)</f>
        <v>43082.705555555498</v>
      </c>
      <c r="D1909" s="111">
        <f ca="1">IFERROR(__xludf.DUMMYFUNCTION("""COMPUTED_VALUE"""),27.83)</f>
        <v>27.83</v>
      </c>
      <c r="E1909" s="112">
        <f ca="1">IFERROR(__xludf.DUMMYFUNCTION("""COMPUTED_VALUE"""),43082.7055555555)</f>
        <v>43082.705555555498</v>
      </c>
      <c r="F1909" s="111">
        <f ca="1">IFERROR(__xludf.DUMMYFUNCTION("""COMPUTED_VALUE"""),9.12)</f>
        <v>9.1199999999999992</v>
      </c>
      <c r="G1909" s="112">
        <f ca="1">IFERROR(__xludf.DUMMYFUNCTION("""COMPUTED_VALUE"""),43077.7055555555)</f>
        <v>43077.705555555498</v>
      </c>
      <c r="H1909" s="111">
        <f ca="1">IFERROR(__xludf.DUMMYFUNCTION("""COMPUTED_VALUE"""),15.35)</f>
        <v>15.35</v>
      </c>
      <c r="K1909" s="112">
        <f ca="1">IFERROR(__xludf.DUMMYFUNCTION("""COMPUTED_VALUE"""),43538.7055555555)</f>
        <v>43538.705555555498</v>
      </c>
      <c r="L1909" s="111">
        <f ca="1">IFERROR(__xludf.DUMMYFUNCTION("""COMPUTED_VALUE"""),5.52)</f>
        <v>5.52</v>
      </c>
      <c r="M1909" s="112">
        <f ca="1">IFERROR(__xludf.DUMMYFUNCTION("""COMPUTED_VALUE"""),42989.7055555555)</f>
        <v>42989.705555555498</v>
      </c>
      <c r="N1909" s="111">
        <f ca="1">IFERROR(__xludf.DUMMYFUNCTION("""COMPUTED_VALUE"""),22.11)</f>
        <v>22.11</v>
      </c>
      <c r="O1909" s="112">
        <f ca="1">IFERROR(__xludf.DUMMYFUNCTION("""COMPUTED_VALUE"""),43067.7055555555)</f>
        <v>43067.705555555498</v>
      </c>
      <c r="P1909" s="111">
        <f ca="1">IFERROR(__xludf.DUMMYFUNCTION("""COMPUTED_VALUE"""),36.25)</f>
        <v>36.25</v>
      </c>
      <c r="Q1909" s="112">
        <f ca="1">IFERROR(__xludf.DUMMYFUNCTION("""COMPUTED_VALUE"""),43066.7055555555)</f>
        <v>43066.705555555498</v>
      </c>
      <c r="R1909" s="111">
        <f ca="1">IFERROR(__xludf.DUMMYFUNCTION("""COMPUTED_VALUE"""),32.16)</f>
        <v>32.159999999999997</v>
      </c>
      <c r="S1909" s="112">
        <f ca="1">IFERROR(__xludf.DUMMYFUNCTION("""COMPUTED_VALUE"""),43076.7055555555)</f>
        <v>43076.705555555498</v>
      </c>
      <c r="T1909" s="111">
        <f ca="1">IFERROR(__xludf.DUMMYFUNCTION("""COMPUTED_VALUE"""),28.3)</f>
        <v>28.3</v>
      </c>
    </row>
    <row r="1910" spans="1:20" x14ac:dyDescent="0.3">
      <c r="A1910" s="112">
        <f ca="1">IFERROR(__xludf.DUMMYFUNCTION("""COMPUTED_VALUE"""),43075.7055555555)</f>
        <v>43075.705555555498</v>
      </c>
      <c r="B1910" s="111">
        <f ca="1">IFERROR(__xludf.DUMMYFUNCTION("""COMPUTED_VALUE"""),18.89)</f>
        <v>18.89</v>
      </c>
      <c r="C1910" s="112">
        <f ca="1">IFERROR(__xludf.DUMMYFUNCTION("""COMPUTED_VALUE"""),43083.7055555555)</f>
        <v>43083.705555555498</v>
      </c>
      <c r="D1910" s="111">
        <f ca="1">IFERROR(__xludf.DUMMYFUNCTION("""COMPUTED_VALUE"""),27.39)</f>
        <v>27.39</v>
      </c>
      <c r="E1910" s="112">
        <f ca="1">IFERROR(__xludf.DUMMYFUNCTION("""COMPUTED_VALUE"""),43083.7055555555)</f>
        <v>43083.705555555498</v>
      </c>
      <c r="F1910" s="111">
        <f ca="1">IFERROR(__xludf.DUMMYFUNCTION("""COMPUTED_VALUE"""),9.09)</f>
        <v>9.09</v>
      </c>
      <c r="G1910" s="112">
        <f ca="1">IFERROR(__xludf.DUMMYFUNCTION("""COMPUTED_VALUE"""),43080.7055555555)</f>
        <v>43080.705555555498</v>
      </c>
      <c r="H1910" s="111">
        <f ca="1">IFERROR(__xludf.DUMMYFUNCTION("""COMPUTED_VALUE"""),15.38)</f>
        <v>15.38</v>
      </c>
      <c r="K1910" s="112">
        <f ca="1">IFERROR(__xludf.DUMMYFUNCTION("""COMPUTED_VALUE"""),43539.7055555555)</f>
        <v>43539.705555555498</v>
      </c>
      <c r="L1910" s="111">
        <f ca="1">IFERROR(__xludf.DUMMYFUNCTION("""COMPUTED_VALUE"""),5.54)</f>
        <v>5.54</v>
      </c>
      <c r="M1910" s="112">
        <f ca="1">IFERROR(__xludf.DUMMYFUNCTION("""COMPUTED_VALUE"""),42990.7055555555)</f>
        <v>42990.705555555498</v>
      </c>
      <c r="N1910" s="111">
        <f ca="1">IFERROR(__xludf.DUMMYFUNCTION("""COMPUTED_VALUE"""),22.08)</f>
        <v>22.08</v>
      </c>
      <c r="O1910" s="112">
        <f ca="1">IFERROR(__xludf.DUMMYFUNCTION("""COMPUTED_VALUE"""),43068.7055555555)</f>
        <v>43068.705555555498</v>
      </c>
      <c r="P1910" s="111">
        <f ca="1">IFERROR(__xludf.DUMMYFUNCTION("""COMPUTED_VALUE"""),35.7)</f>
        <v>35.700000000000003</v>
      </c>
      <c r="Q1910" s="112">
        <f ca="1">IFERROR(__xludf.DUMMYFUNCTION("""COMPUTED_VALUE"""),43067.7055555555)</f>
        <v>43067.705555555498</v>
      </c>
      <c r="R1910" s="111">
        <f ca="1">IFERROR(__xludf.DUMMYFUNCTION("""COMPUTED_VALUE"""),32.64)</f>
        <v>32.64</v>
      </c>
      <c r="S1910" s="112">
        <f ca="1">IFERROR(__xludf.DUMMYFUNCTION("""COMPUTED_VALUE"""),43077.7055555555)</f>
        <v>43077.705555555498</v>
      </c>
      <c r="T1910" s="111">
        <f ca="1">IFERROR(__xludf.DUMMYFUNCTION("""COMPUTED_VALUE"""),28.51)</f>
        <v>28.51</v>
      </c>
    </row>
    <row r="1911" spans="1:20" x14ac:dyDescent="0.3">
      <c r="A1911" s="112">
        <f ca="1">IFERROR(__xludf.DUMMYFUNCTION("""COMPUTED_VALUE"""),43076.7055555555)</f>
        <v>43076.705555555498</v>
      </c>
      <c r="B1911" s="111">
        <f ca="1">IFERROR(__xludf.DUMMYFUNCTION("""COMPUTED_VALUE"""),18.69)</f>
        <v>18.690000000000001</v>
      </c>
      <c r="C1911" s="112">
        <f ca="1">IFERROR(__xludf.DUMMYFUNCTION("""COMPUTED_VALUE"""),43084.7055555555)</f>
        <v>43084.705555555498</v>
      </c>
      <c r="D1911" s="111">
        <f ca="1">IFERROR(__xludf.DUMMYFUNCTION("""COMPUTED_VALUE"""),27.39)</f>
        <v>27.39</v>
      </c>
      <c r="E1911" s="112">
        <f ca="1">IFERROR(__xludf.DUMMYFUNCTION("""COMPUTED_VALUE"""),43084.7055555555)</f>
        <v>43084.705555555498</v>
      </c>
      <c r="F1911" s="111">
        <f ca="1">IFERROR(__xludf.DUMMYFUNCTION("""COMPUTED_VALUE"""),9.13)</f>
        <v>9.1300000000000008</v>
      </c>
      <c r="G1911" s="112">
        <f ca="1">IFERROR(__xludf.DUMMYFUNCTION("""COMPUTED_VALUE"""),43081.7055555555)</f>
        <v>43081.705555555498</v>
      </c>
      <c r="H1911" s="111">
        <f ca="1">IFERROR(__xludf.DUMMYFUNCTION("""COMPUTED_VALUE"""),15.49)</f>
        <v>15.49</v>
      </c>
      <c r="K1911" s="112">
        <f ca="1">IFERROR(__xludf.DUMMYFUNCTION("""COMPUTED_VALUE"""),43542.7055555555)</f>
        <v>43542.705555555498</v>
      </c>
      <c r="L1911" s="111">
        <f ca="1">IFERROR(__xludf.DUMMYFUNCTION("""COMPUTED_VALUE"""),5.64)</f>
        <v>5.64</v>
      </c>
      <c r="M1911" s="112">
        <f ca="1">IFERROR(__xludf.DUMMYFUNCTION("""COMPUTED_VALUE"""),42991.7055555555)</f>
        <v>42991.705555555498</v>
      </c>
      <c r="N1911" s="111">
        <f ca="1">IFERROR(__xludf.DUMMYFUNCTION("""COMPUTED_VALUE"""),22.17)</f>
        <v>22.17</v>
      </c>
      <c r="O1911" s="112">
        <f ca="1">IFERROR(__xludf.DUMMYFUNCTION("""COMPUTED_VALUE"""),43069.7055555555)</f>
        <v>43069.705555555498</v>
      </c>
      <c r="P1911" s="111">
        <f ca="1">IFERROR(__xludf.DUMMYFUNCTION("""COMPUTED_VALUE"""),35.14)</f>
        <v>35.14</v>
      </c>
      <c r="Q1911" s="112">
        <f ca="1">IFERROR(__xludf.DUMMYFUNCTION("""COMPUTED_VALUE"""),43068.7055555555)</f>
        <v>43068.705555555498</v>
      </c>
      <c r="R1911" s="111">
        <f ca="1">IFERROR(__xludf.DUMMYFUNCTION("""COMPUTED_VALUE"""),31.16)</f>
        <v>31.16</v>
      </c>
      <c r="S1911" s="112">
        <f ca="1">IFERROR(__xludf.DUMMYFUNCTION("""COMPUTED_VALUE"""),43080.7055555555)</f>
        <v>43080.705555555498</v>
      </c>
      <c r="T1911" s="111">
        <f ca="1">IFERROR(__xludf.DUMMYFUNCTION("""COMPUTED_VALUE"""),28.47)</f>
        <v>28.47</v>
      </c>
    </row>
    <row r="1912" spans="1:20" x14ac:dyDescent="0.3">
      <c r="A1912" s="112">
        <f ca="1">IFERROR(__xludf.DUMMYFUNCTION("""COMPUTED_VALUE"""),43077.7055555555)</f>
        <v>43077.705555555498</v>
      </c>
      <c r="B1912" s="111">
        <f ca="1">IFERROR(__xludf.DUMMYFUNCTION("""COMPUTED_VALUE"""),18.37)</f>
        <v>18.37</v>
      </c>
      <c r="C1912" s="112">
        <f ca="1">IFERROR(__xludf.DUMMYFUNCTION("""COMPUTED_VALUE"""),43087.7055555555)</f>
        <v>43087.705555555498</v>
      </c>
      <c r="D1912" s="111">
        <f ca="1">IFERROR(__xludf.DUMMYFUNCTION("""COMPUTED_VALUE"""),27.39)</f>
        <v>27.39</v>
      </c>
      <c r="E1912" s="112">
        <f ca="1">IFERROR(__xludf.DUMMYFUNCTION("""COMPUTED_VALUE"""),43087.7055555555)</f>
        <v>43087.705555555498</v>
      </c>
      <c r="F1912" s="111">
        <f ca="1">IFERROR(__xludf.DUMMYFUNCTION("""COMPUTED_VALUE"""),9.09)</f>
        <v>9.09</v>
      </c>
      <c r="G1912" s="112">
        <f ca="1">IFERROR(__xludf.DUMMYFUNCTION("""COMPUTED_VALUE"""),43082.7055555555)</f>
        <v>43082.705555555498</v>
      </c>
      <c r="H1912" s="111">
        <f ca="1">IFERROR(__xludf.DUMMYFUNCTION("""COMPUTED_VALUE"""),15.18)</f>
        <v>15.18</v>
      </c>
      <c r="K1912" s="112">
        <f ca="1">IFERROR(__xludf.DUMMYFUNCTION("""COMPUTED_VALUE"""),43543.7055555555)</f>
        <v>43543.705555555498</v>
      </c>
      <c r="L1912" s="111">
        <f ca="1">IFERROR(__xludf.DUMMYFUNCTION("""COMPUTED_VALUE"""),5.65)</f>
        <v>5.65</v>
      </c>
      <c r="M1912" s="112">
        <f ca="1">IFERROR(__xludf.DUMMYFUNCTION("""COMPUTED_VALUE"""),42992.7055555555)</f>
        <v>42992.705555555498</v>
      </c>
      <c r="N1912" s="111">
        <f ca="1">IFERROR(__xludf.DUMMYFUNCTION("""COMPUTED_VALUE"""),22)</f>
        <v>22</v>
      </c>
      <c r="O1912" s="112">
        <f ca="1">IFERROR(__xludf.DUMMYFUNCTION("""COMPUTED_VALUE"""),43070.7055555555)</f>
        <v>43070.705555555498</v>
      </c>
      <c r="P1912" s="111">
        <f ca="1">IFERROR(__xludf.DUMMYFUNCTION("""COMPUTED_VALUE"""),35.48)</f>
        <v>35.479999999999997</v>
      </c>
      <c r="Q1912" s="112">
        <f ca="1">IFERROR(__xludf.DUMMYFUNCTION("""COMPUTED_VALUE"""),43069.7055555555)</f>
        <v>43069.705555555498</v>
      </c>
      <c r="R1912" s="111">
        <f ca="1">IFERROR(__xludf.DUMMYFUNCTION("""COMPUTED_VALUE"""),29.93)</f>
        <v>29.93</v>
      </c>
      <c r="S1912" s="112">
        <f ca="1">IFERROR(__xludf.DUMMYFUNCTION("""COMPUTED_VALUE"""),43081.7055555555)</f>
        <v>43081.705555555498</v>
      </c>
      <c r="T1912" s="111">
        <f ca="1">IFERROR(__xludf.DUMMYFUNCTION("""COMPUTED_VALUE"""),28.68)</f>
        <v>28.68</v>
      </c>
    </row>
    <row r="1913" spans="1:20" x14ac:dyDescent="0.3">
      <c r="A1913" s="112">
        <f ca="1">IFERROR(__xludf.DUMMYFUNCTION("""COMPUTED_VALUE"""),43080.7055555555)</f>
        <v>43080.705555555498</v>
      </c>
      <c r="B1913" s="111">
        <f ca="1">IFERROR(__xludf.DUMMYFUNCTION("""COMPUTED_VALUE"""),18.12)</f>
        <v>18.12</v>
      </c>
      <c r="C1913" s="112">
        <f ca="1">IFERROR(__xludf.DUMMYFUNCTION("""COMPUTED_VALUE"""),43088.7055555555)</f>
        <v>43088.705555555498</v>
      </c>
      <c r="D1913" s="111">
        <f ca="1">IFERROR(__xludf.DUMMYFUNCTION("""COMPUTED_VALUE"""),27.23)</f>
        <v>27.23</v>
      </c>
      <c r="E1913" s="112">
        <f ca="1">IFERROR(__xludf.DUMMYFUNCTION("""COMPUTED_VALUE"""),43088.7055555555)</f>
        <v>43088.705555555498</v>
      </c>
      <c r="F1913" s="111">
        <f ca="1">IFERROR(__xludf.DUMMYFUNCTION("""COMPUTED_VALUE"""),9)</f>
        <v>9</v>
      </c>
      <c r="G1913" s="112">
        <f ca="1">IFERROR(__xludf.DUMMYFUNCTION("""COMPUTED_VALUE"""),43083.7055555555)</f>
        <v>43083.705555555498</v>
      </c>
      <c r="H1913" s="111">
        <f ca="1">IFERROR(__xludf.DUMMYFUNCTION("""COMPUTED_VALUE"""),15.01)</f>
        <v>15.01</v>
      </c>
      <c r="K1913" s="112">
        <f ca="1">IFERROR(__xludf.DUMMYFUNCTION("""COMPUTED_VALUE"""),43544.7055555555)</f>
        <v>43544.705555555498</v>
      </c>
      <c r="L1913" s="111">
        <f ca="1">IFERROR(__xludf.DUMMYFUNCTION("""COMPUTED_VALUE"""),5.68)</f>
        <v>5.68</v>
      </c>
      <c r="M1913" s="112">
        <f ca="1">IFERROR(__xludf.DUMMYFUNCTION("""COMPUTED_VALUE"""),42993.7055555555)</f>
        <v>42993.705555555498</v>
      </c>
      <c r="N1913" s="111">
        <f ca="1">IFERROR(__xludf.DUMMYFUNCTION("""COMPUTED_VALUE"""),22.47)</f>
        <v>22.47</v>
      </c>
      <c r="O1913" s="112">
        <f ca="1">IFERROR(__xludf.DUMMYFUNCTION("""COMPUTED_VALUE"""),43073.7055555555)</f>
        <v>43073.705555555498</v>
      </c>
      <c r="P1913" s="111">
        <f ca="1">IFERROR(__xludf.DUMMYFUNCTION("""COMPUTED_VALUE"""),36.83)</f>
        <v>36.83</v>
      </c>
      <c r="Q1913" s="112">
        <f ca="1">IFERROR(__xludf.DUMMYFUNCTION("""COMPUTED_VALUE"""),43070.7055555555)</f>
        <v>43070.705555555498</v>
      </c>
      <c r="R1913" s="111">
        <f ca="1">IFERROR(__xludf.DUMMYFUNCTION("""COMPUTED_VALUE"""),30.78)</f>
        <v>30.78</v>
      </c>
      <c r="S1913" s="112">
        <f ca="1">IFERROR(__xludf.DUMMYFUNCTION("""COMPUTED_VALUE"""),43082.7055555555)</f>
        <v>43082.705555555498</v>
      </c>
      <c r="T1913" s="111">
        <f ca="1">IFERROR(__xludf.DUMMYFUNCTION("""COMPUTED_VALUE"""),28.05)</f>
        <v>28.05</v>
      </c>
    </row>
    <row r="1914" spans="1:20" x14ac:dyDescent="0.3">
      <c r="A1914" s="112">
        <f ca="1">IFERROR(__xludf.DUMMYFUNCTION("""COMPUTED_VALUE"""),43081.7055555555)</f>
        <v>43081.705555555498</v>
      </c>
      <c r="B1914" s="111">
        <f ca="1">IFERROR(__xludf.DUMMYFUNCTION("""COMPUTED_VALUE"""),18.39)</f>
        <v>18.39</v>
      </c>
      <c r="C1914" s="112">
        <f ca="1">IFERROR(__xludf.DUMMYFUNCTION("""COMPUTED_VALUE"""),43089.7055555555)</f>
        <v>43089.705555555498</v>
      </c>
      <c r="D1914" s="111">
        <f ca="1">IFERROR(__xludf.DUMMYFUNCTION("""COMPUTED_VALUE"""),27.33)</f>
        <v>27.33</v>
      </c>
      <c r="E1914" s="112">
        <f ca="1">IFERROR(__xludf.DUMMYFUNCTION("""COMPUTED_VALUE"""),43089.7055555555)</f>
        <v>43089.705555555498</v>
      </c>
      <c r="F1914" s="111">
        <f ca="1">IFERROR(__xludf.DUMMYFUNCTION("""COMPUTED_VALUE"""),9.14)</f>
        <v>9.14</v>
      </c>
      <c r="G1914" s="112">
        <f ca="1">IFERROR(__xludf.DUMMYFUNCTION("""COMPUTED_VALUE"""),43084.7055555555)</f>
        <v>43084.705555555498</v>
      </c>
      <c r="H1914" s="111">
        <f ca="1">IFERROR(__xludf.DUMMYFUNCTION("""COMPUTED_VALUE"""),14.95)</f>
        <v>14.95</v>
      </c>
      <c r="K1914" s="112">
        <f ca="1">IFERROR(__xludf.DUMMYFUNCTION("""COMPUTED_VALUE"""),43545.7055555555)</f>
        <v>43545.705555555498</v>
      </c>
      <c r="L1914" s="111">
        <f ca="1">IFERROR(__xludf.DUMMYFUNCTION("""COMPUTED_VALUE"""),5.7)</f>
        <v>5.7</v>
      </c>
      <c r="M1914" s="112">
        <f ca="1">IFERROR(__xludf.DUMMYFUNCTION("""COMPUTED_VALUE"""),42996.7055555555)</f>
        <v>42996.705555555498</v>
      </c>
      <c r="N1914" s="111">
        <f ca="1">IFERROR(__xludf.DUMMYFUNCTION("""COMPUTED_VALUE"""),22.66)</f>
        <v>22.66</v>
      </c>
      <c r="O1914" s="112">
        <f ca="1">IFERROR(__xludf.DUMMYFUNCTION("""COMPUTED_VALUE"""),43074.7055555555)</f>
        <v>43074.705555555498</v>
      </c>
      <c r="P1914" s="111">
        <f ca="1">IFERROR(__xludf.DUMMYFUNCTION("""COMPUTED_VALUE"""),36.02)</f>
        <v>36.020000000000003</v>
      </c>
      <c r="Q1914" s="112">
        <f ca="1">IFERROR(__xludf.DUMMYFUNCTION("""COMPUTED_VALUE"""),43073.7055555555)</f>
        <v>43073.705555555498</v>
      </c>
      <c r="R1914" s="111">
        <f ca="1">IFERROR(__xludf.DUMMYFUNCTION("""COMPUTED_VALUE"""),31.53)</f>
        <v>31.53</v>
      </c>
      <c r="S1914" s="112">
        <f ca="1">IFERROR(__xludf.DUMMYFUNCTION("""COMPUTED_VALUE"""),43083.7055555555)</f>
        <v>43083.705555555498</v>
      </c>
      <c r="T1914" s="111">
        <f ca="1">IFERROR(__xludf.DUMMYFUNCTION("""COMPUTED_VALUE"""),27.61)</f>
        <v>27.61</v>
      </c>
    </row>
    <row r="1915" spans="1:20" x14ac:dyDescent="0.3">
      <c r="A1915" s="112">
        <f ca="1">IFERROR(__xludf.DUMMYFUNCTION("""COMPUTED_VALUE"""),43082.7055555555)</f>
        <v>43082.705555555498</v>
      </c>
      <c r="B1915" s="111">
        <f ca="1">IFERROR(__xludf.DUMMYFUNCTION("""COMPUTED_VALUE"""),17.94)</f>
        <v>17.940000000000001</v>
      </c>
      <c r="C1915" s="112">
        <f ca="1">IFERROR(__xludf.DUMMYFUNCTION("""COMPUTED_VALUE"""),43090.7055555555)</f>
        <v>43090.705555555498</v>
      </c>
      <c r="D1915" s="111">
        <f ca="1">IFERROR(__xludf.DUMMYFUNCTION("""COMPUTED_VALUE"""),28.49)</f>
        <v>28.49</v>
      </c>
      <c r="E1915" s="112">
        <f ca="1">IFERROR(__xludf.DUMMYFUNCTION("""COMPUTED_VALUE"""),43090.7055555555)</f>
        <v>43090.705555555498</v>
      </c>
      <c r="F1915" s="111">
        <f ca="1">IFERROR(__xludf.DUMMYFUNCTION("""COMPUTED_VALUE"""),9.48)</f>
        <v>9.48</v>
      </c>
      <c r="G1915" s="112">
        <f ca="1">IFERROR(__xludf.DUMMYFUNCTION("""COMPUTED_VALUE"""),43087.7055555555)</f>
        <v>43087.705555555498</v>
      </c>
      <c r="H1915" s="111">
        <f ca="1">IFERROR(__xludf.DUMMYFUNCTION("""COMPUTED_VALUE"""),15.22)</f>
        <v>15.22</v>
      </c>
      <c r="K1915" s="112">
        <f ca="1">IFERROR(__xludf.DUMMYFUNCTION("""COMPUTED_VALUE"""),43546.7055555555)</f>
        <v>43546.705555555498</v>
      </c>
      <c r="L1915" s="111">
        <f ca="1">IFERROR(__xludf.DUMMYFUNCTION("""COMPUTED_VALUE"""),5.42)</f>
        <v>5.42</v>
      </c>
      <c r="M1915" s="112">
        <f ca="1">IFERROR(__xludf.DUMMYFUNCTION("""COMPUTED_VALUE"""),42997.7055555555)</f>
        <v>42997.705555555498</v>
      </c>
      <c r="N1915" s="111">
        <f ca="1">IFERROR(__xludf.DUMMYFUNCTION("""COMPUTED_VALUE"""),22.73)</f>
        <v>22.73</v>
      </c>
      <c r="O1915" s="112">
        <f ca="1">IFERROR(__xludf.DUMMYFUNCTION("""COMPUTED_VALUE"""),43075.7055555555)</f>
        <v>43075.705555555498</v>
      </c>
      <c r="P1915" s="111">
        <f ca="1">IFERROR(__xludf.DUMMYFUNCTION("""COMPUTED_VALUE"""),35.76)</f>
        <v>35.76</v>
      </c>
      <c r="Q1915" s="112">
        <f ca="1">IFERROR(__xludf.DUMMYFUNCTION("""COMPUTED_VALUE"""),43074.7055555555)</f>
        <v>43074.705555555498</v>
      </c>
      <c r="R1915" s="111">
        <f ca="1">IFERROR(__xludf.DUMMYFUNCTION("""COMPUTED_VALUE"""),31.07)</f>
        <v>31.07</v>
      </c>
      <c r="S1915" s="112">
        <f ca="1">IFERROR(__xludf.DUMMYFUNCTION("""COMPUTED_VALUE"""),43084.7055555555)</f>
        <v>43084.705555555498</v>
      </c>
      <c r="T1915" s="111">
        <f ca="1">IFERROR(__xludf.DUMMYFUNCTION("""COMPUTED_VALUE"""),27.36)</f>
        <v>27.36</v>
      </c>
    </row>
    <row r="1916" spans="1:20" x14ac:dyDescent="0.3">
      <c r="A1916" s="112">
        <f ca="1">IFERROR(__xludf.DUMMYFUNCTION("""COMPUTED_VALUE"""),43083.7055555555)</f>
        <v>43083.705555555498</v>
      </c>
      <c r="B1916" s="111">
        <f ca="1">IFERROR(__xludf.DUMMYFUNCTION("""COMPUTED_VALUE"""),17.26)</f>
        <v>17.260000000000002</v>
      </c>
      <c r="C1916" s="112">
        <f ca="1">IFERROR(__xludf.DUMMYFUNCTION("""COMPUTED_VALUE"""),43091.7055555555)</f>
        <v>43091.705555555498</v>
      </c>
      <c r="D1916" s="111">
        <f ca="1">IFERROR(__xludf.DUMMYFUNCTION("""COMPUTED_VALUE"""),28.35)</f>
        <v>28.35</v>
      </c>
      <c r="E1916" s="112">
        <f ca="1">IFERROR(__xludf.DUMMYFUNCTION("""COMPUTED_VALUE"""),43091.7055555555)</f>
        <v>43091.705555555498</v>
      </c>
      <c r="F1916" s="111">
        <f ca="1">IFERROR(__xludf.DUMMYFUNCTION("""COMPUTED_VALUE"""),9.49)</f>
        <v>9.49</v>
      </c>
      <c r="G1916" s="112">
        <f ca="1">IFERROR(__xludf.DUMMYFUNCTION("""COMPUTED_VALUE"""),43088.7055555555)</f>
        <v>43088.705555555498</v>
      </c>
      <c r="H1916" s="111">
        <f ca="1">IFERROR(__xludf.DUMMYFUNCTION("""COMPUTED_VALUE"""),15.14)</f>
        <v>15.14</v>
      </c>
      <c r="K1916" s="112">
        <f ca="1">IFERROR(__xludf.DUMMYFUNCTION("""COMPUTED_VALUE"""),43549.7055555555)</f>
        <v>43549.705555555498</v>
      </c>
      <c r="L1916" s="111">
        <f ca="1">IFERROR(__xludf.DUMMYFUNCTION("""COMPUTED_VALUE"""),5.41)</f>
        <v>5.41</v>
      </c>
      <c r="M1916" s="112">
        <f ca="1">IFERROR(__xludf.DUMMYFUNCTION("""COMPUTED_VALUE"""),42998.7055555555)</f>
        <v>42998.705555555498</v>
      </c>
      <c r="N1916" s="111">
        <f ca="1">IFERROR(__xludf.DUMMYFUNCTION("""COMPUTED_VALUE"""),22.6)</f>
        <v>22.6</v>
      </c>
      <c r="O1916" s="112">
        <f ca="1">IFERROR(__xludf.DUMMYFUNCTION("""COMPUTED_VALUE"""),43076.7055555555)</f>
        <v>43076.705555555498</v>
      </c>
      <c r="P1916" s="111">
        <f ca="1">IFERROR(__xludf.DUMMYFUNCTION("""COMPUTED_VALUE"""),35.34)</f>
        <v>35.340000000000003</v>
      </c>
      <c r="Q1916" s="112">
        <f ca="1">IFERROR(__xludf.DUMMYFUNCTION("""COMPUTED_VALUE"""),43075.7055555555)</f>
        <v>43075.705555555498</v>
      </c>
      <c r="R1916" s="111">
        <f ca="1">IFERROR(__xludf.DUMMYFUNCTION("""COMPUTED_VALUE"""),32.01)</f>
        <v>32.01</v>
      </c>
      <c r="S1916" s="112">
        <f ca="1">IFERROR(__xludf.DUMMYFUNCTION("""COMPUTED_VALUE"""),43087.7055555555)</f>
        <v>43087.705555555498</v>
      </c>
      <c r="T1916" s="111">
        <f ca="1">IFERROR(__xludf.DUMMYFUNCTION("""COMPUTED_VALUE"""),27.26)</f>
        <v>27.26</v>
      </c>
    </row>
    <row r="1917" spans="1:20" x14ac:dyDescent="0.3">
      <c r="A1917" s="112">
        <f ca="1">IFERROR(__xludf.DUMMYFUNCTION("""COMPUTED_VALUE"""),43084.7055555555)</f>
        <v>43084.705555555498</v>
      </c>
      <c r="B1917" s="111">
        <f ca="1">IFERROR(__xludf.DUMMYFUNCTION("""COMPUTED_VALUE"""),17.42)</f>
        <v>17.420000000000002</v>
      </c>
      <c r="C1917" s="112">
        <f ca="1">IFERROR(__xludf.DUMMYFUNCTION("""COMPUTED_VALUE"""),43095.7055555555)</f>
        <v>43095.705555555498</v>
      </c>
      <c r="D1917" s="111">
        <f ca="1">IFERROR(__xludf.DUMMYFUNCTION("""COMPUTED_VALUE"""),28.47)</f>
        <v>28.47</v>
      </c>
      <c r="E1917" s="112">
        <f ca="1">IFERROR(__xludf.DUMMYFUNCTION("""COMPUTED_VALUE"""),43095.7055555555)</f>
        <v>43095.705555555498</v>
      </c>
      <c r="F1917" s="111">
        <f ca="1">IFERROR(__xludf.DUMMYFUNCTION("""COMPUTED_VALUE"""),9.39)</f>
        <v>9.39</v>
      </c>
      <c r="G1917" s="112">
        <f ca="1">IFERROR(__xludf.DUMMYFUNCTION("""COMPUTED_VALUE"""),43089.7055555555)</f>
        <v>43089.705555555498</v>
      </c>
      <c r="H1917" s="111">
        <f ca="1">IFERROR(__xludf.DUMMYFUNCTION("""COMPUTED_VALUE"""),15.24)</f>
        <v>15.24</v>
      </c>
      <c r="K1917" s="112">
        <f ca="1">IFERROR(__xludf.DUMMYFUNCTION("""COMPUTED_VALUE"""),43550.7055555555)</f>
        <v>43550.705555555498</v>
      </c>
      <c r="L1917" s="111">
        <f ca="1">IFERROR(__xludf.DUMMYFUNCTION("""COMPUTED_VALUE"""),5.52)</f>
        <v>5.52</v>
      </c>
      <c r="M1917" s="112">
        <f ca="1">IFERROR(__xludf.DUMMYFUNCTION("""COMPUTED_VALUE"""),42999.7055555555)</f>
        <v>42999.705555555498</v>
      </c>
      <c r="N1917" s="111">
        <f ca="1">IFERROR(__xludf.DUMMYFUNCTION("""COMPUTED_VALUE"""),22.61)</f>
        <v>22.61</v>
      </c>
      <c r="O1917" s="112">
        <f ca="1">IFERROR(__xludf.DUMMYFUNCTION("""COMPUTED_VALUE"""),43077.7055555555)</f>
        <v>43077.705555555498</v>
      </c>
      <c r="P1917" s="111">
        <f ca="1">IFERROR(__xludf.DUMMYFUNCTION("""COMPUTED_VALUE"""),35.48)</f>
        <v>35.479999999999997</v>
      </c>
      <c r="Q1917" s="112">
        <f ca="1">IFERROR(__xludf.DUMMYFUNCTION("""COMPUTED_VALUE"""),43076.7055555555)</f>
        <v>43076.705555555498</v>
      </c>
      <c r="R1917" s="111">
        <f ca="1">IFERROR(__xludf.DUMMYFUNCTION("""COMPUTED_VALUE"""),30.77)</f>
        <v>30.77</v>
      </c>
      <c r="S1917" s="112">
        <f ca="1">IFERROR(__xludf.DUMMYFUNCTION("""COMPUTED_VALUE"""),43088.7055555555)</f>
        <v>43088.705555555498</v>
      </c>
      <c r="T1917" s="111">
        <f ca="1">IFERROR(__xludf.DUMMYFUNCTION("""COMPUTED_VALUE"""),27.35)</f>
        <v>27.35</v>
      </c>
    </row>
    <row r="1918" spans="1:20" x14ac:dyDescent="0.3">
      <c r="A1918" s="112">
        <f ca="1">IFERROR(__xludf.DUMMYFUNCTION("""COMPUTED_VALUE"""),43087.7055555555)</f>
        <v>43087.705555555498</v>
      </c>
      <c r="B1918" s="111">
        <f ca="1">IFERROR(__xludf.DUMMYFUNCTION("""COMPUTED_VALUE"""),17.52)</f>
        <v>17.52</v>
      </c>
      <c r="C1918" s="112">
        <f ca="1">IFERROR(__xludf.DUMMYFUNCTION("""COMPUTED_VALUE"""),43096.7055555555)</f>
        <v>43096.705555555498</v>
      </c>
      <c r="D1918" s="111">
        <f ca="1">IFERROR(__xludf.DUMMYFUNCTION("""COMPUTED_VALUE"""),28.31)</f>
        <v>28.31</v>
      </c>
      <c r="E1918" s="112">
        <f ca="1">IFERROR(__xludf.DUMMYFUNCTION("""COMPUTED_VALUE"""),43096.7055555555)</f>
        <v>43096.705555555498</v>
      </c>
      <c r="F1918" s="111">
        <f ca="1">IFERROR(__xludf.DUMMYFUNCTION("""COMPUTED_VALUE"""),9.36)</f>
        <v>9.36</v>
      </c>
      <c r="G1918" s="112">
        <f ca="1">IFERROR(__xludf.DUMMYFUNCTION("""COMPUTED_VALUE"""),43090.7055555555)</f>
        <v>43090.705555555498</v>
      </c>
      <c r="H1918" s="111">
        <f ca="1">IFERROR(__xludf.DUMMYFUNCTION("""COMPUTED_VALUE"""),15.86)</f>
        <v>15.86</v>
      </c>
      <c r="K1918" s="112">
        <f ca="1">IFERROR(__xludf.DUMMYFUNCTION("""COMPUTED_VALUE"""),43551.7055555555)</f>
        <v>43551.705555555498</v>
      </c>
      <c r="L1918" s="111">
        <f ca="1">IFERROR(__xludf.DUMMYFUNCTION("""COMPUTED_VALUE"""),5.25)</f>
        <v>5.25</v>
      </c>
      <c r="M1918" s="112">
        <f ca="1">IFERROR(__xludf.DUMMYFUNCTION("""COMPUTED_VALUE"""),43000.7055555555)</f>
        <v>43000.705555555498</v>
      </c>
      <c r="N1918" s="111">
        <f ca="1">IFERROR(__xludf.DUMMYFUNCTION("""COMPUTED_VALUE"""),22.55)</f>
        <v>22.55</v>
      </c>
      <c r="O1918" s="112">
        <f ca="1">IFERROR(__xludf.DUMMYFUNCTION("""COMPUTED_VALUE"""),43080.7055555555)</f>
        <v>43080.705555555498</v>
      </c>
      <c r="P1918" s="111">
        <f ca="1">IFERROR(__xludf.DUMMYFUNCTION("""COMPUTED_VALUE"""),35.76)</f>
        <v>35.76</v>
      </c>
      <c r="Q1918" s="112">
        <f ca="1">IFERROR(__xludf.DUMMYFUNCTION("""COMPUTED_VALUE"""),43077.7055555555)</f>
        <v>43077.705555555498</v>
      </c>
      <c r="R1918" s="111">
        <f ca="1">IFERROR(__xludf.DUMMYFUNCTION("""COMPUTED_VALUE"""),30.95)</f>
        <v>30.95</v>
      </c>
      <c r="S1918" s="112">
        <f ca="1">IFERROR(__xludf.DUMMYFUNCTION("""COMPUTED_VALUE"""),43089.7055555555)</f>
        <v>43089.705555555498</v>
      </c>
      <c r="T1918" s="111">
        <f ca="1">IFERROR(__xludf.DUMMYFUNCTION("""COMPUTED_VALUE"""),27.76)</f>
        <v>27.76</v>
      </c>
    </row>
    <row r="1919" spans="1:20" x14ac:dyDescent="0.3">
      <c r="A1919" s="112">
        <f ca="1">IFERROR(__xludf.DUMMYFUNCTION("""COMPUTED_VALUE"""),43088.7055555555)</f>
        <v>43088.705555555498</v>
      </c>
      <c r="B1919" s="111">
        <f ca="1">IFERROR(__xludf.DUMMYFUNCTION("""COMPUTED_VALUE"""),17.26)</f>
        <v>17.260000000000002</v>
      </c>
      <c r="C1919" s="112">
        <f ca="1">IFERROR(__xludf.DUMMYFUNCTION("""COMPUTED_VALUE"""),43097.7055555555)</f>
        <v>43097.705555555498</v>
      </c>
      <c r="D1919" s="111">
        <f ca="1">IFERROR(__xludf.DUMMYFUNCTION("""COMPUTED_VALUE"""),28.39)</f>
        <v>28.39</v>
      </c>
      <c r="E1919" s="112">
        <f ca="1">IFERROR(__xludf.DUMMYFUNCTION("""COMPUTED_VALUE"""),43097.7055555555)</f>
        <v>43097.705555555498</v>
      </c>
      <c r="F1919" s="111">
        <f ca="1">IFERROR(__xludf.DUMMYFUNCTION("""COMPUTED_VALUE"""),9.37)</f>
        <v>9.3699999999999992</v>
      </c>
      <c r="G1919" s="112">
        <f ca="1">IFERROR(__xludf.DUMMYFUNCTION("""COMPUTED_VALUE"""),43091.7055555555)</f>
        <v>43091.705555555498</v>
      </c>
      <c r="H1919" s="111">
        <f ca="1">IFERROR(__xludf.DUMMYFUNCTION("""COMPUTED_VALUE"""),15.75)</f>
        <v>15.75</v>
      </c>
      <c r="K1919" s="112">
        <f ca="1">IFERROR(__xludf.DUMMYFUNCTION("""COMPUTED_VALUE"""),43552.7055555555)</f>
        <v>43552.705555555498</v>
      </c>
      <c r="L1919" s="111">
        <f ca="1">IFERROR(__xludf.DUMMYFUNCTION("""COMPUTED_VALUE"""),5.34)</f>
        <v>5.34</v>
      </c>
      <c r="M1919" s="112">
        <f ca="1">IFERROR(__xludf.DUMMYFUNCTION("""COMPUTED_VALUE"""),43003.7055555555)</f>
        <v>43003.705555555498</v>
      </c>
      <c r="N1919" s="111">
        <f ca="1">IFERROR(__xludf.DUMMYFUNCTION("""COMPUTED_VALUE"""),22.17)</f>
        <v>22.17</v>
      </c>
      <c r="O1919" s="112">
        <f ca="1">IFERROR(__xludf.DUMMYFUNCTION("""COMPUTED_VALUE"""),43081.7055555555)</f>
        <v>43081.705555555498</v>
      </c>
      <c r="P1919" s="111">
        <f ca="1">IFERROR(__xludf.DUMMYFUNCTION("""COMPUTED_VALUE"""),36.18)</f>
        <v>36.18</v>
      </c>
      <c r="Q1919" s="112">
        <f ca="1">IFERROR(__xludf.DUMMYFUNCTION("""COMPUTED_VALUE"""),43080.7055555555)</f>
        <v>43080.705555555498</v>
      </c>
      <c r="R1919" s="111">
        <f ca="1">IFERROR(__xludf.DUMMYFUNCTION("""COMPUTED_VALUE"""),30.7)</f>
        <v>30.7</v>
      </c>
      <c r="S1919" s="112">
        <f ca="1">IFERROR(__xludf.DUMMYFUNCTION("""COMPUTED_VALUE"""),43090.7055555555)</f>
        <v>43090.705555555498</v>
      </c>
      <c r="T1919" s="111">
        <f ca="1">IFERROR(__xludf.DUMMYFUNCTION("""COMPUTED_VALUE"""),28.11)</f>
        <v>28.11</v>
      </c>
    </row>
    <row r="1920" spans="1:20" x14ac:dyDescent="0.3">
      <c r="A1920" s="112">
        <f ca="1">IFERROR(__xludf.DUMMYFUNCTION("""COMPUTED_VALUE"""),43089.7055555555)</f>
        <v>43089.705555555498</v>
      </c>
      <c r="B1920" s="111">
        <f ca="1">IFERROR(__xludf.DUMMYFUNCTION("""COMPUTED_VALUE"""),16.96)</f>
        <v>16.96</v>
      </c>
      <c r="C1920" s="112">
        <f ca="1">IFERROR(__xludf.DUMMYFUNCTION("""COMPUTED_VALUE"""),43102.7055555555)</f>
        <v>43102.705555555498</v>
      </c>
      <c r="D1920" s="111">
        <f ca="1">IFERROR(__xludf.DUMMYFUNCTION("""COMPUTED_VALUE"""),29.25)</f>
        <v>29.25</v>
      </c>
      <c r="E1920" s="112">
        <f ca="1">IFERROR(__xludf.DUMMYFUNCTION("""COMPUTED_VALUE"""),43102.7055555555)</f>
        <v>43102.705555555498</v>
      </c>
      <c r="F1920" s="111">
        <f ca="1">IFERROR(__xludf.DUMMYFUNCTION("""COMPUTED_VALUE"""),9.55)</f>
        <v>9.5500000000000007</v>
      </c>
      <c r="G1920" s="112">
        <f ca="1">IFERROR(__xludf.DUMMYFUNCTION("""COMPUTED_VALUE"""),43095.7055555555)</f>
        <v>43095.705555555498</v>
      </c>
      <c r="H1920" s="111">
        <f ca="1">IFERROR(__xludf.DUMMYFUNCTION("""COMPUTED_VALUE"""),15.97)</f>
        <v>15.97</v>
      </c>
      <c r="K1920" s="112">
        <f ca="1">IFERROR(__xludf.DUMMYFUNCTION("""COMPUTED_VALUE"""),43553.7055555555)</f>
        <v>43553.705555555498</v>
      </c>
      <c r="L1920" s="111">
        <f ca="1">IFERROR(__xludf.DUMMYFUNCTION("""COMPUTED_VALUE"""),5.4)</f>
        <v>5.4</v>
      </c>
      <c r="M1920" s="112">
        <f ca="1">IFERROR(__xludf.DUMMYFUNCTION("""COMPUTED_VALUE"""),43004.7055555555)</f>
        <v>43004.705555555498</v>
      </c>
      <c r="N1920" s="111">
        <f ca="1">IFERROR(__xludf.DUMMYFUNCTION("""COMPUTED_VALUE"""),22.15)</f>
        <v>22.15</v>
      </c>
      <c r="O1920" s="112">
        <f ca="1">IFERROR(__xludf.DUMMYFUNCTION("""COMPUTED_VALUE"""),43082.7055555555)</f>
        <v>43082.705555555498</v>
      </c>
      <c r="P1920" s="111">
        <f ca="1">IFERROR(__xludf.DUMMYFUNCTION("""COMPUTED_VALUE"""),36.11)</f>
        <v>36.11</v>
      </c>
      <c r="Q1920" s="112">
        <f ca="1">IFERROR(__xludf.DUMMYFUNCTION("""COMPUTED_VALUE"""),43081.7055555555)</f>
        <v>43081.705555555498</v>
      </c>
      <c r="R1920" s="111">
        <f ca="1">IFERROR(__xludf.DUMMYFUNCTION("""COMPUTED_VALUE"""),31.3)</f>
        <v>31.3</v>
      </c>
      <c r="S1920" s="112">
        <f ca="1">IFERROR(__xludf.DUMMYFUNCTION("""COMPUTED_VALUE"""),43091.7055555555)</f>
        <v>43091.705555555498</v>
      </c>
      <c r="T1920" s="111">
        <f ca="1">IFERROR(__xludf.DUMMYFUNCTION("""COMPUTED_VALUE"""),27.85)</f>
        <v>27.85</v>
      </c>
    </row>
    <row r="1921" spans="1:20" x14ac:dyDescent="0.3">
      <c r="A1921" s="112">
        <f ca="1">IFERROR(__xludf.DUMMYFUNCTION("""COMPUTED_VALUE"""),43090.7055555555)</f>
        <v>43090.705555555498</v>
      </c>
      <c r="B1921" s="111">
        <f ca="1">IFERROR(__xludf.DUMMYFUNCTION("""COMPUTED_VALUE"""),17.8)</f>
        <v>17.8</v>
      </c>
      <c r="C1921" s="112">
        <f ca="1">IFERROR(__xludf.DUMMYFUNCTION("""COMPUTED_VALUE"""),43103.7055555555)</f>
        <v>43103.705555555498</v>
      </c>
      <c r="D1921" s="111">
        <f ca="1">IFERROR(__xludf.DUMMYFUNCTION("""COMPUTED_VALUE"""),29.45)</f>
        <v>29.45</v>
      </c>
      <c r="E1921" s="112">
        <f ca="1">IFERROR(__xludf.DUMMYFUNCTION("""COMPUTED_VALUE"""),43103.7055555555)</f>
        <v>43103.705555555498</v>
      </c>
      <c r="F1921" s="111">
        <f ca="1">IFERROR(__xludf.DUMMYFUNCTION("""COMPUTED_VALUE"""),9.66)</f>
        <v>9.66</v>
      </c>
      <c r="G1921" s="112">
        <f ca="1">IFERROR(__xludf.DUMMYFUNCTION("""COMPUTED_VALUE"""),43096.7055555555)</f>
        <v>43096.705555555498</v>
      </c>
      <c r="H1921" s="111">
        <f ca="1">IFERROR(__xludf.DUMMYFUNCTION("""COMPUTED_VALUE"""),16.05)</f>
        <v>16.05</v>
      </c>
      <c r="K1921" s="112">
        <f ca="1">IFERROR(__xludf.DUMMYFUNCTION("""COMPUTED_VALUE"""),43556.7055555555)</f>
        <v>43556.705555555498</v>
      </c>
      <c r="L1921" s="111">
        <f ca="1">IFERROR(__xludf.DUMMYFUNCTION("""COMPUTED_VALUE"""),5.35)</f>
        <v>5.35</v>
      </c>
      <c r="M1921" s="112">
        <f ca="1">IFERROR(__xludf.DUMMYFUNCTION("""COMPUTED_VALUE"""),43005.7055555555)</f>
        <v>43005.705555555498</v>
      </c>
      <c r="N1921" s="111">
        <f ca="1">IFERROR(__xludf.DUMMYFUNCTION("""COMPUTED_VALUE"""),21.91)</f>
        <v>21.91</v>
      </c>
      <c r="O1921" s="112">
        <f ca="1">IFERROR(__xludf.DUMMYFUNCTION("""COMPUTED_VALUE"""),43083.7055555555)</f>
        <v>43083.705555555498</v>
      </c>
      <c r="P1921" s="111">
        <f ca="1">IFERROR(__xludf.DUMMYFUNCTION("""COMPUTED_VALUE"""),36.24)</f>
        <v>36.24</v>
      </c>
      <c r="Q1921" s="112">
        <f ca="1">IFERROR(__xludf.DUMMYFUNCTION("""COMPUTED_VALUE"""),43082.7055555555)</f>
        <v>43082.705555555498</v>
      </c>
      <c r="R1921" s="111">
        <f ca="1">IFERROR(__xludf.DUMMYFUNCTION("""COMPUTED_VALUE"""),30.55)</f>
        <v>30.55</v>
      </c>
      <c r="S1921" s="112">
        <f ca="1">IFERROR(__xludf.DUMMYFUNCTION("""COMPUTED_VALUE"""),43095.7055555555)</f>
        <v>43095.705555555498</v>
      </c>
      <c r="T1921" s="111">
        <f ca="1">IFERROR(__xludf.DUMMYFUNCTION("""COMPUTED_VALUE"""),28.61)</f>
        <v>28.61</v>
      </c>
    </row>
    <row r="1922" spans="1:20" x14ac:dyDescent="0.3">
      <c r="A1922" s="112">
        <f ca="1">IFERROR(__xludf.DUMMYFUNCTION("""COMPUTED_VALUE"""),43091.7055555555)</f>
        <v>43091.705555555498</v>
      </c>
      <c r="B1922" s="111">
        <f ca="1">IFERROR(__xludf.DUMMYFUNCTION("""COMPUTED_VALUE"""),18.57)</f>
        <v>18.57</v>
      </c>
      <c r="C1922" s="112">
        <f ca="1">IFERROR(__xludf.DUMMYFUNCTION("""COMPUTED_VALUE"""),43104.7055555555)</f>
        <v>43104.705555555498</v>
      </c>
      <c r="D1922" s="111">
        <f ca="1">IFERROR(__xludf.DUMMYFUNCTION("""COMPUTED_VALUE"""),30.07)</f>
        <v>30.07</v>
      </c>
      <c r="E1922" s="112">
        <f ca="1">IFERROR(__xludf.DUMMYFUNCTION("""COMPUTED_VALUE"""),43104.7055555555)</f>
        <v>43104.705555555498</v>
      </c>
      <c r="F1922" s="111">
        <f ca="1">IFERROR(__xludf.DUMMYFUNCTION("""COMPUTED_VALUE"""),9.84)</f>
        <v>9.84</v>
      </c>
      <c r="G1922" s="112">
        <f ca="1">IFERROR(__xludf.DUMMYFUNCTION("""COMPUTED_VALUE"""),43097.7055555555)</f>
        <v>43097.705555555498</v>
      </c>
      <c r="H1922" s="111">
        <f ca="1">IFERROR(__xludf.DUMMYFUNCTION("""COMPUTED_VALUE"""),16.1)</f>
        <v>16.100000000000001</v>
      </c>
      <c r="K1922" s="112">
        <f ca="1">IFERROR(__xludf.DUMMYFUNCTION("""COMPUTED_VALUE"""),43557.7055555555)</f>
        <v>43557.705555555498</v>
      </c>
      <c r="L1922" s="111">
        <f ca="1">IFERROR(__xludf.DUMMYFUNCTION("""COMPUTED_VALUE"""),5.19)</f>
        <v>5.19</v>
      </c>
      <c r="M1922" s="112">
        <f ca="1">IFERROR(__xludf.DUMMYFUNCTION("""COMPUTED_VALUE"""),43006.7055555555)</f>
        <v>43006.705555555498</v>
      </c>
      <c r="N1922" s="111">
        <f ca="1">IFERROR(__xludf.DUMMYFUNCTION("""COMPUTED_VALUE"""),21.64)</f>
        <v>21.64</v>
      </c>
      <c r="O1922" s="112">
        <f ca="1">IFERROR(__xludf.DUMMYFUNCTION("""COMPUTED_VALUE"""),43084.7055555555)</f>
        <v>43084.705555555498</v>
      </c>
      <c r="P1922" s="111">
        <f ca="1">IFERROR(__xludf.DUMMYFUNCTION("""COMPUTED_VALUE"""),36.89)</f>
        <v>36.89</v>
      </c>
      <c r="Q1922" s="112">
        <f ca="1">IFERROR(__xludf.DUMMYFUNCTION("""COMPUTED_VALUE"""),43083.7055555555)</f>
        <v>43083.705555555498</v>
      </c>
      <c r="R1922" s="111">
        <f ca="1">IFERROR(__xludf.DUMMYFUNCTION("""COMPUTED_VALUE"""),30.43)</f>
        <v>30.43</v>
      </c>
      <c r="S1922" s="112">
        <f ca="1">IFERROR(__xludf.DUMMYFUNCTION("""COMPUTED_VALUE"""),43096.7055555555)</f>
        <v>43096.705555555498</v>
      </c>
      <c r="T1922" s="111">
        <f ca="1">IFERROR(__xludf.DUMMYFUNCTION("""COMPUTED_VALUE"""),29.34)</f>
        <v>29.34</v>
      </c>
    </row>
    <row r="1923" spans="1:20" x14ac:dyDescent="0.3">
      <c r="A1923" s="112">
        <f ca="1">IFERROR(__xludf.DUMMYFUNCTION("""COMPUTED_VALUE"""),43095.7055555555)</f>
        <v>43095.705555555498</v>
      </c>
      <c r="B1923" s="111">
        <f ca="1">IFERROR(__xludf.DUMMYFUNCTION("""COMPUTED_VALUE"""),18.2)</f>
        <v>18.2</v>
      </c>
      <c r="C1923" s="112">
        <f ca="1">IFERROR(__xludf.DUMMYFUNCTION("""COMPUTED_VALUE"""),43105.7055555555)</f>
        <v>43105.705555555498</v>
      </c>
      <c r="D1923" s="111">
        <f ca="1">IFERROR(__xludf.DUMMYFUNCTION("""COMPUTED_VALUE"""),30.15)</f>
        <v>30.15</v>
      </c>
      <c r="E1923" s="112">
        <f ca="1">IFERROR(__xludf.DUMMYFUNCTION("""COMPUTED_VALUE"""),43105.7055555555)</f>
        <v>43105.705555555498</v>
      </c>
      <c r="F1923" s="111">
        <f ca="1">IFERROR(__xludf.DUMMYFUNCTION("""COMPUTED_VALUE"""),9.86)</f>
        <v>9.86</v>
      </c>
      <c r="G1923" s="112">
        <f ca="1">IFERROR(__xludf.DUMMYFUNCTION("""COMPUTED_VALUE"""),43102.7055555555)</f>
        <v>43102.705555555498</v>
      </c>
      <c r="H1923" s="111">
        <f ca="1">IFERROR(__xludf.DUMMYFUNCTION("""COMPUTED_VALUE"""),16.55)</f>
        <v>16.55</v>
      </c>
      <c r="K1923" s="112">
        <f ca="1">IFERROR(__xludf.DUMMYFUNCTION("""COMPUTED_VALUE"""),43558.7055555555)</f>
        <v>43558.705555555498</v>
      </c>
      <c r="L1923" s="111">
        <f ca="1">IFERROR(__xludf.DUMMYFUNCTION("""COMPUTED_VALUE"""),5.29)</f>
        <v>5.29</v>
      </c>
      <c r="M1923" s="112">
        <f ca="1">IFERROR(__xludf.DUMMYFUNCTION("""COMPUTED_VALUE"""),43007.7055555555)</f>
        <v>43007.705555555498</v>
      </c>
      <c r="N1923" s="111">
        <f ca="1">IFERROR(__xludf.DUMMYFUNCTION("""COMPUTED_VALUE"""),21.94)</f>
        <v>21.94</v>
      </c>
      <c r="O1923" s="112">
        <f ca="1">IFERROR(__xludf.DUMMYFUNCTION("""COMPUTED_VALUE"""),43087.7055555555)</f>
        <v>43087.705555555498</v>
      </c>
      <c r="P1923" s="111">
        <f ca="1">IFERROR(__xludf.DUMMYFUNCTION("""COMPUTED_VALUE"""),37.84)</f>
        <v>37.840000000000003</v>
      </c>
      <c r="Q1923" s="112">
        <f ca="1">IFERROR(__xludf.DUMMYFUNCTION("""COMPUTED_VALUE"""),43084.7055555555)</f>
        <v>43084.705555555498</v>
      </c>
      <c r="R1923" s="111">
        <f ca="1">IFERROR(__xludf.DUMMYFUNCTION("""COMPUTED_VALUE"""),30.6)</f>
        <v>30.6</v>
      </c>
      <c r="S1923" s="112">
        <f ca="1">IFERROR(__xludf.DUMMYFUNCTION("""COMPUTED_VALUE"""),43097.7055555555)</f>
        <v>43097.705555555498</v>
      </c>
      <c r="T1923" s="111">
        <f ca="1">IFERROR(__xludf.DUMMYFUNCTION("""COMPUTED_VALUE"""),29.33)</f>
        <v>29.33</v>
      </c>
    </row>
    <row r="1924" spans="1:20" x14ac:dyDescent="0.3">
      <c r="A1924" s="112">
        <f ca="1">IFERROR(__xludf.DUMMYFUNCTION("""COMPUTED_VALUE"""),43096.7055555555)</f>
        <v>43096.705555555498</v>
      </c>
      <c r="B1924" s="111">
        <f ca="1">IFERROR(__xludf.DUMMYFUNCTION("""COMPUTED_VALUE"""),18.18)</f>
        <v>18.18</v>
      </c>
      <c r="C1924" s="112">
        <f ca="1">IFERROR(__xludf.DUMMYFUNCTION("""COMPUTED_VALUE"""),43108.7055555555)</f>
        <v>43108.705555555498</v>
      </c>
      <c r="D1924" s="111">
        <f ca="1">IFERROR(__xludf.DUMMYFUNCTION("""COMPUTED_VALUE"""),30.05)</f>
        <v>30.05</v>
      </c>
      <c r="E1924" s="112">
        <f ca="1">IFERROR(__xludf.DUMMYFUNCTION("""COMPUTED_VALUE"""),43108.7055555555)</f>
        <v>43108.705555555498</v>
      </c>
      <c r="F1924" s="111">
        <f ca="1">IFERROR(__xludf.DUMMYFUNCTION("""COMPUTED_VALUE"""),9.85)</f>
        <v>9.85</v>
      </c>
      <c r="G1924" s="112">
        <f ca="1">IFERROR(__xludf.DUMMYFUNCTION("""COMPUTED_VALUE"""),43103.7055555555)</f>
        <v>43103.705555555498</v>
      </c>
      <c r="H1924" s="111">
        <f ca="1">IFERROR(__xludf.DUMMYFUNCTION("""COMPUTED_VALUE"""),16.7)</f>
        <v>16.7</v>
      </c>
      <c r="K1924" s="112">
        <f ca="1">IFERROR(__xludf.DUMMYFUNCTION("""COMPUTED_VALUE"""),43559.7055555555)</f>
        <v>43559.705555555498</v>
      </c>
      <c r="L1924" s="111">
        <f ca="1">IFERROR(__xludf.DUMMYFUNCTION("""COMPUTED_VALUE"""),5.28)</f>
        <v>5.28</v>
      </c>
      <c r="M1924" s="112">
        <f ca="1">IFERROR(__xludf.DUMMYFUNCTION("""COMPUTED_VALUE"""),43010.7055555555)</f>
        <v>43010.705555555498</v>
      </c>
      <c r="N1924" s="111">
        <f ca="1">IFERROR(__xludf.DUMMYFUNCTION("""COMPUTED_VALUE"""),22.16)</f>
        <v>22.16</v>
      </c>
      <c r="O1924" s="112">
        <f ca="1">IFERROR(__xludf.DUMMYFUNCTION("""COMPUTED_VALUE"""),43088.7055555555)</f>
        <v>43088.705555555498</v>
      </c>
      <c r="P1924" s="111">
        <f ca="1">IFERROR(__xludf.DUMMYFUNCTION("""COMPUTED_VALUE"""),37.85)</f>
        <v>37.85</v>
      </c>
      <c r="Q1924" s="112">
        <f ca="1">IFERROR(__xludf.DUMMYFUNCTION("""COMPUTED_VALUE"""),43087.7055555555)</f>
        <v>43087.705555555498</v>
      </c>
      <c r="R1924" s="111">
        <f ca="1">IFERROR(__xludf.DUMMYFUNCTION("""COMPUTED_VALUE"""),31.01)</f>
        <v>31.01</v>
      </c>
      <c r="S1924" s="112">
        <f ca="1">IFERROR(__xludf.DUMMYFUNCTION("""COMPUTED_VALUE"""),43102.7055555555)</f>
        <v>43102.705555555498</v>
      </c>
      <c r="T1924" s="111">
        <f ca="1">IFERROR(__xludf.DUMMYFUNCTION("""COMPUTED_VALUE"""),29.21)</f>
        <v>29.21</v>
      </c>
    </row>
    <row r="1925" spans="1:20" x14ac:dyDescent="0.3">
      <c r="A1925" s="112">
        <f ca="1">IFERROR(__xludf.DUMMYFUNCTION("""COMPUTED_VALUE"""),43097.7055555555)</f>
        <v>43097.705555555498</v>
      </c>
      <c r="B1925" s="111">
        <f ca="1">IFERROR(__xludf.DUMMYFUNCTION("""COMPUTED_VALUE"""),19.13)</f>
        <v>19.13</v>
      </c>
      <c r="C1925" s="112">
        <f ca="1">IFERROR(__xludf.DUMMYFUNCTION("""COMPUTED_VALUE"""),43109.7055555555)</f>
        <v>43109.705555555498</v>
      </c>
      <c r="D1925" s="111">
        <f ca="1">IFERROR(__xludf.DUMMYFUNCTION("""COMPUTED_VALUE"""),29.73)</f>
        <v>29.73</v>
      </c>
      <c r="E1925" s="112">
        <f ca="1">IFERROR(__xludf.DUMMYFUNCTION("""COMPUTED_VALUE"""),43109.7055555555)</f>
        <v>43109.705555555498</v>
      </c>
      <c r="F1925" s="111">
        <f ca="1">IFERROR(__xludf.DUMMYFUNCTION("""COMPUTED_VALUE"""),9.7)</f>
        <v>9.6999999999999993</v>
      </c>
      <c r="G1925" s="112">
        <f ca="1">IFERROR(__xludf.DUMMYFUNCTION("""COMPUTED_VALUE"""),43104.7055555555)</f>
        <v>43104.705555555498</v>
      </c>
      <c r="H1925" s="111">
        <f ca="1">IFERROR(__xludf.DUMMYFUNCTION("""COMPUTED_VALUE"""),16.73)</f>
        <v>16.73</v>
      </c>
      <c r="K1925" s="112">
        <f ca="1">IFERROR(__xludf.DUMMYFUNCTION("""COMPUTED_VALUE"""),43560.7055555555)</f>
        <v>43560.705555555498</v>
      </c>
      <c r="L1925" s="111">
        <f ca="1">IFERROR(__xludf.DUMMYFUNCTION("""COMPUTED_VALUE"""),5.31)</f>
        <v>5.31</v>
      </c>
      <c r="M1925" s="112">
        <f ca="1">IFERROR(__xludf.DUMMYFUNCTION("""COMPUTED_VALUE"""),43011.7055555555)</f>
        <v>43011.705555555498</v>
      </c>
      <c r="N1925" s="111">
        <f ca="1">IFERROR(__xludf.DUMMYFUNCTION("""COMPUTED_VALUE"""),23.1)</f>
        <v>23.1</v>
      </c>
      <c r="O1925" s="112">
        <f ca="1">IFERROR(__xludf.DUMMYFUNCTION("""COMPUTED_VALUE"""),43089.7055555555)</f>
        <v>43089.705555555498</v>
      </c>
      <c r="P1925" s="111">
        <f ca="1">IFERROR(__xludf.DUMMYFUNCTION("""COMPUTED_VALUE"""),39.15)</f>
        <v>39.15</v>
      </c>
      <c r="Q1925" s="112">
        <f ca="1">IFERROR(__xludf.DUMMYFUNCTION("""COMPUTED_VALUE"""),43088.7055555555)</f>
        <v>43088.705555555498</v>
      </c>
      <c r="R1925" s="111">
        <f ca="1">IFERROR(__xludf.DUMMYFUNCTION("""COMPUTED_VALUE"""),30.83)</f>
        <v>30.83</v>
      </c>
      <c r="S1925" s="112">
        <f ca="1">IFERROR(__xludf.DUMMYFUNCTION("""COMPUTED_VALUE"""),43103.7055555555)</f>
        <v>43103.705555555498</v>
      </c>
      <c r="T1925" s="111">
        <f ca="1">IFERROR(__xludf.DUMMYFUNCTION("""COMPUTED_VALUE"""),29.59)</f>
        <v>29.59</v>
      </c>
    </row>
    <row r="1926" spans="1:20" x14ac:dyDescent="0.3">
      <c r="A1926" s="112">
        <f ca="1">IFERROR(__xludf.DUMMYFUNCTION("""COMPUTED_VALUE"""),43102.7055555555)</f>
        <v>43102.705555555498</v>
      </c>
      <c r="B1926" s="111">
        <f ca="1">IFERROR(__xludf.DUMMYFUNCTION("""COMPUTED_VALUE"""),18.58)</f>
        <v>18.579999999999998</v>
      </c>
      <c r="C1926" s="112">
        <f ca="1">IFERROR(__xludf.DUMMYFUNCTION("""COMPUTED_VALUE"""),43110.7055555555)</f>
        <v>43110.705555555498</v>
      </c>
      <c r="D1926" s="111">
        <f ca="1">IFERROR(__xludf.DUMMYFUNCTION("""COMPUTED_VALUE"""),29.63)</f>
        <v>29.63</v>
      </c>
      <c r="E1926" s="112">
        <f ca="1">IFERROR(__xludf.DUMMYFUNCTION("""COMPUTED_VALUE"""),43110.7055555555)</f>
        <v>43110.705555555498</v>
      </c>
      <c r="F1926" s="111">
        <f ca="1">IFERROR(__xludf.DUMMYFUNCTION("""COMPUTED_VALUE"""),9.7)</f>
        <v>9.6999999999999993</v>
      </c>
      <c r="G1926" s="112">
        <f ca="1">IFERROR(__xludf.DUMMYFUNCTION("""COMPUTED_VALUE"""),43105.7055555555)</f>
        <v>43105.705555555498</v>
      </c>
      <c r="H1926" s="111">
        <f ca="1">IFERROR(__xludf.DUMMYFUNCTION("""COMPUTED_VALUE"""),16.83)</f>
        <v>16.829999999999998</v>
      </c>
      <c r="K1926" s="112">
        <f ca="1">IFERROR(__xludf.DUMMYFUNCTION("""COMPUTED_VALUE"""),43563.7055555555)</f>
        <v>43563.705555555498</v>
      </c>
      <c r="L1926" s="111">
        <f ca="1">IFERROR(__xludf.DUMMYFUNCTION("""COMPUTED_VALUE"""),5.21)</f>
        <v>5.21</v>
      </c>
      <c r="M1926" s="112">
        <f ca="1">IFERROR(__xludf.DUMMYFUNCTION("""COMPUTED_VALUE"""),43012.7055555555)</f>
        <v>43012.705555555498</v>
      </c>
      <c r="N1926" s="111">
        <f ca="1">IFERROR(__xludf.DUMMYFUNCTION("""COMPUTED_VALUE"""),22.95)</f>
        <v>22.95</v>
      </c>
      <c r="O1926" s="112">
        <f ca="1">IFERROR(__xludf.DUMMYFUNCTION("""COMPUTED_VALUE"""),43090.7055555555)</f>
        <v>43090.705555555498</v>
      </c>
      <c r="P1926" s="111">
        <f ca="1">IFERROR(__xludf.DUMMYFUNCTION("""COMPUTED_VALUE"""),39.73)</f>
        <v>39.729999999999997</v>
      </c>
      <c r="Q1926" s="112">
        <f ca="1">IFERROR(__xludf.DUMMYFUNCTION("""COMPUTED_VALUE"""),43089.7055555555)</f>
        <v>43089.705555555498</v>
      </c>
      <c r="R1926" s="111">
        <f ca="1">IFERROR(__xludf.DUMMYFUNCTION("""COMPUTED_VALUE"""),30.85)</f>
        <v>30.85</v>
      </c>
      <c r="S1926" s="112">
        <f ca="1">IFERROR(__xludf.DUMMYFUNCTION("""COMPUTED_VALUE"""),43104.7055555555)</f>
        <v>43104.705555555498</v>
      </c>
      <c r="T1926" s="111">
        <f ca="1">IFERROR(__xludf.DUMMYFUNCTION("""COMPUTED_VALUE"""),29.75)</f>
        <v>29.75</v>
      </c>
    </row>
    <row r="1927" spans="1:20" x14ac:dyDescent="0.3">
      <c r="A1927" s="112">
        <f ca="1">IFERROR(__xludf.DUMMYFUNCTION("""COMPUTED_VALUE"""),43103.7055555555)</f>
        <v>43103.705555555498</v>
      </c>
      <c r="B1927" s="111">
        <f ca="1">IFERROR(__xludf.DUMMYFUNCTION("""COMPUTED_VALUE"""),18.34)</f>
        <v>18.34</v>
      </c>
      <c r="C1927" s="112">
        <f ca="1">IFERROR(__xludf.DUMMYFUNCTION("""COMPUTED_VALUE"""),43111.7055555555)</f>
        <v>43111.705555555498</v>
      </c>
      <c r="D1927" s="111">
        <f ca="1">IFERROR(__xludf.DUMMYFUNCTION("""COMPUTED_VALUE"""),30.25)</f>
        <v>30.25</v>
      </c>
      <c r="E1927" s="112">
        <f ca="1">IFERROR(__xludf.DUMMYFUNCTION("""COMPUTED_VALUE"""),43111.7055555555)</f>
        <v>43111.705555555498</v>
      </c>
      <c r="F1927" s="111">
        <f ca="1">IFERROR(__xludf.DUMMYFUNCTION("""COMPUTED_VALUE"""),9.85)</f>
        <v>9.85</v>
      </c>
      <c r="G1927" s="112">
        <f ca="1">IFERROR(__xludf.DUMMYFUNCTION("""COMPUTED_VALUE"""),43108.7055555555)</f>
        <v>43108.705555555498</v>
      </c>
      <c r="H1927" s="111">
        <f ca="1">IFERROR(__xludf.DUMMYFUNCTION("""COMPUTED_VALUE"""),17.03)</f>
        <v>17.03</v>
      </c>
      <c r="K1927" s="112">
        <f ca="1">IFERROR(__xludf.DUMMYFUNCTION("""COMPUTED_VALUE"""),43564.7055555555)</f>
        <v>43564.705555555498</v>
      </c>
      <c r="L1927" s="111">
        <f ca="1">IFERROR(__xludf.DUMMYFUNCTION("""COMPUTED_VALUE"""),5.2)</f>
        <v>5.2</v>
      </c>
      <c r="M1927" s="112">
        <f ca="1">IFERROR(__xludf.DUMMYFUNCTION("""COMPUTED_VALUE"""),43013.7055555555)</f>
        <v>43013.705555555498</v>
      </c>
      <c r="N1927" s="111">
        <f ca="1">IFERROR(__xludf.DUMMYFUNCTION("""COMPUTED_VALUE"""),22.97)</f>
        <v>22.97</v>
      </c>
      <c r="O1927" s="112">
        <f ca="1">IFERROR(__xludf.DUMMYFUNCTION("""COMPUTED_VALUE"""),43091.7055555555)</f>
        <v>43091.705555555498</v>
      </c>
      <c r="P1927" s="111">
        <f ca="1">IFERROR(__xludf.DUMMYFUNCTION("""COMPUTED_VALUE"""),39.79)</f>
        <v>39.79</v>
      </c>
      <c r="Q1927" s="112">
        <f ca="1">IFERROR(__xludf.DUMMYFUNCTION("""COMPUTED_VALUE"""),43090.7055555555)</f>
        <v>43090.705555555498</v>
      </c>
      <c r="R1927" s="111">
        <f ca="1">IFERROR(__xludf.DUMMYFUNCTION("""COMPUTED_VALUE"""),31.19)</f>
        <v>31.19</v>
      </c>
      <c r="S1927" s="112">
        <f ca="1">IFERROR(__xludf.DUMMYFUNCTION("""COMPUTED_VALUE"""),43105.7055555555)</f>
        <v>43105.705555555498</v>
      </c>
      <c r="T1927" s="111">
        <f ca="1">IFERROR(__xludf.DUMMYFUNCTION("""COMPUTED_VALUE"""),29.57)</f>
        <v>29.57</v>
      </c>
    </row>
    <row r="1928" spans="1:20" x14ac:dyDescent="0.3">
      <c r="A1928" s="112">
        <f ca="1">IFERROR(__xludf.DUMMYFUNCTION("""COMPUTED_VALUE"""),43104.7055555555)</f>
        <v>43104.705555555498</v>
      </c>
      <c r="B1928" s="111">
        <f ca="1">IFERROR(__xludf.DUMMYFUNCTION("""COMPUTED_VALUE"""),18.23)</f>
        <v>18.23</v>
      </c>
      <c r="C1928" s="112">
        <f ca="1">IFERROR(__xludf.DUMMYFUNCTION("""COMPUTED_VALUE"""),43112.7055555555)</f>
        <v>43112.705555555498</v>
      </c>
      <c r="D1928" s="111">
        <f ca="1">IFERROR(__xludf.DUMMYFUNCTION("""COMPUTED_VALUE"""),30.22)</f>
        <v>30.22</v>
      </c>
      <c r="E1928" s="112">
        <f ca="1">IFERROR(__xludf.DUMMYFUNCTION("""COMPUTED_VALUE"""),43112.7055555555)</f>
        <v>43112.705555555498</v>
      </c>
      <c r="F1928" s="111">
        <f ca="1">IFERROR(__xludf.DUMMYFUNCTION("""COMPUTED_VALUE"""),9.88)</f>
        <v>9.8800000000000008</v>
      </c>
      <c r="G1928" s="112">
        <f ca="1">IFERROR(__xludf.DUMMYFUNCTION("""COMPUTED_VALUE"""),43109.7055555555)</f>
        <v>43109.705555555498</v>
      </c>
      <c r="H1928" s="111">
        <f ca="1">IFERROR(__xludf.DUMMYFUNCTION("""COMPUTED_VALUE"""),17.03)</f>
        <v>17.03</v>
      </c>
      <c r="K1928" s="112">
        <f ca="1">IFERROR(__xludf.DUMMYFUNCTION("""COMPUTED_VALUE"""),43565.7055555555)</f>
        <v>43565.705555555498</v>
      </c>
      <c r="L1928" s="111">
        <f ca="1">IFERROR(__xludf.DUMMYFUNCTION("""COMPUTED_VALUE"""),5.27)</f>
        <v>5.27</v>
      </c>
      <c r="M1928" s="112">
        <f ca="1">IFERROR(__xludf.DUMMYFUNCTION("""COMPUTED_VALUE"""),43014.7055555555)</f>
        <v>43014.705555555498</v>
      </c>
      <c r="N1928" s="111">
        <f ca="1">IFERROR(__xludf.DUMMYFUNCTION("""COMPUTED_VALUE"""),22.73)</f>
        <v>22.73</v>
      </c>
      <c r="O1928" s="112">
        <f ca="1">IFERROR(__xludf.DUMMYFUNCTION("""COMPUTED_VALUE"""),43095.7055555555)</f>
        <v>43095.705555555498</v>
      </c>
      <c r="P1928" s="111">
        <f ca="1">IFERROR(__xludf.DUMMYFUNCTION("""COMPUTED_VALUE"""),39.85)</f>
        <v>39.85</v>
      </c>
      <c r="Q1928" s="112">
        <f ca="1">IFERROR(__xludf.DUMMYFUNCTION("""COMPUTED_VALUE"""),43091.7055555555)</f>
        <v>43091.705555555498</v>
      </c>
      <c r="R1928" s="111">
        <f ca="1">IFERROR(__xludf.DUMMYFUNCTION("""COMPUTED_VALUE"""),31.3)</f>
        <v>31.3</v>
      </c>
      <c r="S1928" s="112">
        <f ca="1">IFERROR(__xludf.DUMMYFUNCTION("""COMPUTED_VALUE"""),43108.7055555555)</f>
        <v>43108.705555555498</v>
      </c>
      <c r="T1928" s="111">
        <f ca="1">IFERROR(__xludf.DUMMYFUNCTION("""COMPUTED_VALUE"""),29.42)</f>
        <v>29.42</v>
      </c>
    </row>
    <row r="1929" spans="1:20" x14ac:dyDescent="0.3">
      <c r="A1929" s="112">
        <f ca="1">IFERROR(__xludf.DUMMYFUNCTION("""COMPUTED_VALUE"""),43105.7055555555)</f>
        <v>43105.705555555498</v>
      </c>
      <c r="B1929" s="111">
        <f ca="1">IFERROR(__xludf.DUMMYFUNCTION("""COMPUTED_VALUE"""),18.06)</f>
        <v>18.059999999999999</v>
      </c>
      <c r="C1929" s="112">
        <f ca="1">IFERROR(__xludf.DUMMYFUNCTION("""COMPUTED_VALUE"""),43115.7055555555)</f>
        <v>43115.705555555498</v>
      </c>
      <c r="D1929" s="111">
        <f ca="1">IFERROR(__xludf.DUMMYFUNCTION("""COMPUTED_VALUE"""),30.41)</f>
        <v>30.41</v>
      </c>
      <c r="E1929" s="112">
        <f ca="1">IFERROR(__xludf.DUMMYFUNCTION("""COMPUTED_VALUE"""),43115.7055555555)</f>
        <v>43115.705555555498</v>
      </c>
      <c r="F1929" s="111">
        <f ca="1">IFERROR(__xludf.DUMMYFUNCTION("""COMPUTED_VALUE"""),10)</f>
        <v>10</v>
      </c>
      <c r="G1929" s="112">
        <f ca="1">IFERROR(__xludf.DUMMYFUNCTION("""COMPUTED_VALUE"""),43110.7055555555)</f>
        <v>43110.705555555498</v>
      </c>
      <c r="H1929" s="111">
        <f ca="1">IFERROR(__xludf.DUMMYFUNCTION("""COMPUTED_VALUE"""),16.8)</f>
        <v>16.8</v>
      </c>
      <c r="K1929" s="112">
        <f ca="1">IFERROR(__xludf.DUMMYFUNCTION("""COMPUTED_VALUE"""),43566.7055555555)</f>
        <v>43566.705555555498</v>
      </c>
      <c r="L1929" s="111">
        <f ca="1">IFERROR(__xludf.DUMMYFUNCTION("""COMPUTED_VALUE"""),5.19)</f>
        <v>5.19</v>
      </c>
      <c r="M1929" s="112">
        <f ca="1">IFERROR(__xludf.DUMMYFUNCTION("""COMPUTED_VALUE"""),43017.7055555555)</f>
        <v>43017.705555555498</v>
      </c>
      <c r="N1929" s="111">
        <f ca="1">IFERROR(__xludf.DUMMYFUNCTION("""COMPUTED_VALUE"""),22.72)</f>
        <v>22.72</v>
      </c>
      <c r="O1929" s="112">
        <f ca="1">IFERROR(__xludf.DUMMYFUNCTION("""COMPUTED_VALUE"""),43096.7055555555)</f>
        <v>43096.705555555498</v>
      </c>
      <c r="P1929" s="111">
        <f ca="1">IFERROR(__xludf.DUMMYFUNCTION("""COMPUTED_VALUE"""),39.86)</f>
        <v>39.86</v>
      </c>
      <c r="Q1929" s="112">
        <f ca="1">IFERROR(__xludf.DUMMYFUNCTION("""COMPUTED_VALUE"""),43095.7055555555)</f>
        <v>43095.705555555498</v>
      </c>
      <c r="R1929" s="111">
        <f ca="1">IFERROR(__xludf.DUMMYFUNCTION("""COMPUTED_VALUE"""),31.64)</f>
        <v>31.64</v>
      </c>
      <c r="S1929" s="112">
        <f ca="1">IFERROR(__xludf.DUMMYFUNCTION("""COMPUTED_VALUE"""),43109.7055555555)</f>
        <v>43109.705555555498</v>
      </c>
      <c r="T1929" s="111">
        <f ca="1">IFERROR(__xludf.DUMMYFUNCTION("""COMPUTED_VALUE"""),29.6)</f>
        <v>29.6</v>
      </c>
    </row>
    <row r="1930" spans="1:20" x14ac:dyDescent="0.3">
      <c r="A1930" s="112">
        <f ca="1">IFERROR(__xludf.DUMMYFUNCTION("""COMPUTED_VALUE"""),43108.7055555555)</f>
        <v>43108.705555555498</v>
      </c>
      <c r="B1930" s="111">
        <f ca="1">IFERROR(__xludf.DUMMYFUNCTION("""COMPUTED_VALUE"""),18.18)</f>
        <v>18.18</v>
      </c>
      <c r="C1930" s="112">
        <f ca="1">IFERROR(__xludf.DUMMYFUNCTION("""COMPUTED_VALUE"""),43116.7055555555)</f>
        <v>43116.705555555498</v>
      </c>
      <c r="D1930" s="111">
        <f ca="1">IFERROR(__xludf.DUMMYFUNCTION("""COMPUTED_VALUE"""),30.69)</f>
        <v>30.69</v>
      </c>
      <c r="E1930" s="112">
        <f ca="1">IFERROR(__xludf.DUMMYFUNCTION("""COMPUTED_VALUE"""),43116.7055555555)</f>
        <v>43116.705555555498</v>
      </c>
      <c r="F1930" s="111">
        <f ca="1">IFERROR(__xludf.DUMMYFUNCTION("""COMPUTED_VALUE"""),10.13)</f>
        <v>10.130000000000001</v>
      </c>
      <c r="G1930" s="112">
        <f ca="1">IFERROR(__xludf.DUMMYFUNCTION("""COMPUTED_VALUE"""),43111.7055555555)</f>
        <v>43111.705555555498</v>
      </c>
      <c r="H1930" s="111">
        <f ca="1">IFERROR(__xludf.DUMMYFUNCTION("""COMPUTED_VALUE"""),17.25)</f>
        <v>17.25</v>
      </c>
      <c r="K1930" s="112">
        <f ca="1">IFERROR(__xludf.DUMMYFUNCTION("""COMPUTED_VALUE"""),43567.7055555555)</f>
        <v>43567.705555555498</v>
      </c>
      <c r="L1930" s="111">
        <f ca="1">IFERROR(__xludf.DUMMYFUNCTION("""COMPUTED_VALUE"""),5.15)</f>
        <v>5.15</v>
      </c>
      <c r="M1930" s="112">
        <f ca="1">IFERROR(__xludf.DUMMYFUNCTION("""COMPUTED_VALUE"""),43018.7055555555)</f>
        <v>43018.705555555498</v>
      </c>
      <c r="N1930" s="111">
        <f ca="1">IFERROR(__xludf.DUMMYFUNCTION("""COMPUTED_VALUE"""),23.24)</f>
        <v>23.24</v>
      </c>
      <c r="O1930" s="112">
        <f ca="1">IFERROR(__xludf.DUMMYFUNCTION("""COMPUTED_VALUE"""),43097.7055555555)</f>
        <v>43097.705555555498</v>
      </c>
      <c r="P1930" s="111">
        <f ca="1">IFERROR(__xludf.DUMMYFUNCTION("""COMPUTED_VALUE"""),40.26)</f>
        <v>40.26</v>
      </c>
      <c r="Q1930" s="112">
        <f ca="1">IFERROR(__xludf.DUMMYFUNCTION("""COMPUTED_VALUE"""),43096.7055555555)</f>
        <v>43096.705555555498</v>
      </c>
      <c r="R1930" s="111">
        <f ca="1">IFERROR(__xludf.DUMMYFUNCTION("""COMPUTED_VALUE"""),32.03)</f>
        <v>32.03</v>
      </c>
      <c r="S1930" s="112">
        <f ca="1">IFERROR(__xludf.DUMMYFUNCTION("""COMPUTED_VALUE"""),43110.7055555555)</f>
        <v>43110.705555555498</v>
      </c>
      <c r="T1930" s="111">
        <f ca="1">IFERROR(__xludf.DUMMYFUNCTION("""COMPUTED_VALUE"""),28.8)</f>
        <v>28.8</v>
      </c>
    </row>
    <row r="1931" spans="1:20" x14ac:dyDescent="0.3">
      <c r="A1931" s="112">
        <f ca="1">IFERROR(__xludf.DUMMYFUNCTION("""COMPUTED_VALUE"""),43109.7055555555)</f>
        <v>43109.705555555498</v>
      </c>
      <c r="B1931" s="111">
        <f ca="1">IFERROR(__xludf.DUMMYFUNCTION("""COMPUTED_VALUE"""),17.45)</f>
        <v>17.45</v>
      </c>
      <c r="C1931" s="112">
        <f ca="1">IFERROR(__xludf.DUMMYFUNCTION("""COMPUTED_VALUE"""),43117.7055555555)</f>
        <v>43117.705555555498</v>
      </c>
      <c r="D1931" s="111">
        <f ca="1">IFERROR(__xludf.DUMMYFUNCTION("""COMPUTED_VALUE"""),31.19)</f>
        <v>31.19</v>
      </c>
      <c r="E1931" s="112">
        <f ca="1">IFERROR(__xludf.DUMMYFUNCTION("""COMPUTED_VALUE"""),43117.7055555555)</f>
        <v>43117.705555555498</v>
      </c>
      <c r="F1931" s="111">
        <f ca="1">IFERROR(__xludf.DUMMYFUNCTION("""COMPUTED_VALUE"""),10.29)</f>
        <v>10.29</v>
      </c>
      <c r="G1931" s="112">
        <f ca="1">IFERROR(__xludf.DUMMYFUNCTION("""COMPUTED_VALUE"""),43112.7055555555)</f>
        <v>43112.705555555498</v>
      </c>
      <c r="H1931" s="111">
        <f ca="1">IFERROR(__xludf.DUMMYFUNCTION("""COMPUTED_VALUE"""),17.3)</f>
        <v>17.3</v>
      </c>
      <c r="K1931" s="112">
        <f ca="1">IFERROR(__xludf.DUMMYFUNCTION("""COMPUTED_VALUE"""),43570.7055555555)</f>
        <v>43570.705555555498</v>
      </c>
      <c r="L1931" s="111">
        <f ca="1">IFERROR(__xludf.DUMMYFUNCTION("""COMPUTED_VALUE"""),5.11)</f>
        <v>5.1100000000000003</v>
      </c>
      <c r="M1931" s="112">
        <f ca="1">IFERROR(__xludf.DUMMYFUNCTION("""COMPUTED_VALUE"""),43019.7055555555)</f>
        <v>43019.705555555498</v>
      </c>
      <c r="N1931" s="111">
        <f ca="1">IFERROR(__xludf.DUMMYFUNCTION("""COMPUTED_VALUE"""),23.1)</f>
        <v>23.1</v>
      </c>
      <c r="O1931" s="112">
        <f ca="1">IFERROR(__xludf.DUMMYFUNCTION("""COMPUTED_VALUE"""),43102.7055555555)</f>
        <v>43102.705555555498</v>
      </c>
      <c r="P1931" s="111">
        <f ca="1">IFERROR(__xludf.DUMMYFUNCTION("""COMPUTED_VALUE"""),41.72)</f>
        <v>41.72</v>
      </c>
      <c r="Q1931" s="112">
        <f ca="1">IFERROR(__xludf.DUMMYFUNCTION("""COMPUTED_VALUE"""),43097.7055555555)</f>
        <v>43097.705555555498</v>
      </c>
      <c r="R1931" s="111">
        <f ca="1">IFERROR(__xludf.DUMMYFUNCTION("""COMPUTED_VALUE"""),31.82)</f>
        <v>31.82</v>
      </c>
      <c r="S1931" s="112">
        <f ca="1">IFERROR(__xludf.DUMMYFUNCTION("""COMPUTED_VALUE"""),43111.7055555555)</f>
        <v>43111.705555555498</v>
      </c>
      <c r="T1931" s="111">
        <f ca="1">IFERROR(__xludf.DUMMYFUNCTION("""COMPUTED_VALUE"""),28.93)</f>
        <v>28.93</v>
      </c>
    </row>
    <row r="1932" spans="1:20" x14ac:dyDescent="0.3">
      <c r="A1932" s="112">
        <f ca="1">IFERROR(__xludf.DUMMYFUNCTION("""COMPUTED_VALUE"""),43110.7055555555)</f>
        <v>43110.705555555498</v>
      </c>
      <c r="B1932" s="111">
        <f ca="1">IFERROR(__xludf.DUMMYFUNCTION("""COMPUTED_VALUE"""),16.75)</f>
        <v>16.75</v>
      </c>
      <c r="C1932" s="112">
        <f ca="1">IFERROR(__xludf.DUMMYFUNCTION("""COMPUTED_VALUE"""),43118.7055555555)</f>
        <v>43118.705555555498</v>
      </c>
      <c r="D1932" s="111">
        <f ca="1">IFERROR(__xludf.DUMMYFUNCTION("""COMPUTED_VALUE"""),31.12)</f>
        <v>31.12</v>
      </c>
      <c r="E1932" s="112">
        <f ca="1">IFERROR(__xludf.DUMMYFUNCTION("""COMPUTED_VALUE"""),43118.7055555555)</f>
        <v>43118.705555555498</v>
      </c>
      <c r="F1932" s="111">
        <f ca="1">IFERROR(__xludf.DUMMYFUNCTION("""COMPUTED_VALUE"""),10.34)</f>
        <v>10.34</v>
      </c>
      <c r="G1932" s="112">
        <f ca="1">IFERROR(__xludf.DUMMYFUNCTION("""COMPUTED_VALUE"""),43115.7055555555)</f>
        <v>43115.705555555498</v>
      </c>
      <c r="H1932" s="111">
        <f ca="1">IFERROR(__xludf.DUMMYFUNCTION("""COMPUTED_VALUE"""),17.35)</f>
        <v>17.350000000000001</v>
      </c>
      <c r="K1932" s="112">
        <f ca="1">IFERROR(__xludf.DUMMYFUNCTION("""COMPUTED_VALUE"""),43571.7055555555)</f>
        <v>43571.705555555498</v>
      </c>
      <c r="L1932" s="111">
        <f ca="1">IFERROR(__xludf.DUMMYFUNCTION("""COMPUTED_VALUE"""),5.09)</f>
        <v>5.09</v>
      </c>
      <c r="M1932" s="112">
        <f ca="1">IFERROR(__xludf.DUMMYFUNCTION("""COMPUTED_VALUE"""),43021.7055555555)</f>
        <v>43021.705555555498</v>
      </c>
      <c r="N1932" s="111">
        <f ca="1">IFERROR(__xludf.DUMMYFUNCTION("""COMPUTED_VALUE"""),22.93)</f>
        <v>22.93</v>
      </c>
      <c r="O1932" s="112">
        <f ca="1">IFERROR(__xludf.DUMMYFUNCTION("""COMPUTED_VALUE"""),43103.7055555555)</f>
        <v>43103.705555555498</v>
      </c>
      <c r="P1932" s="111">
        <f ca="1">IFERROR(__xludf.DUMMYFUNCTION("""COMPUTED_VALUE"""),41.47)</f>
        <v>41.47</v>
      </c>
      <c r="Q1932" s="112">
        <f ca="1">IFERROR(__xludf.DUMMYFUNCTION("""COMPUTED_VALUE"""),43102.7055555555)</f>
        <v>43102.705555555498</v>
      </c>
      <c r="R1932" s="111">
        <f ca="1">IFERROR(__xludf.DUMMYFUNCTION("""COMPUTED_VALUE"""),32.93)</f>
        <v>32.93</v>
      </c>
      <c r="S1932" s="112">
        <f ca="1">IFERROR(__xludf.DUMMYFUNCTION("""COMPUTED_VALUE"""),43112.7055555555)</f>
        <v>43112.705555555498</v>
      </c>
      <c r="T1932" s="111">
        <f ca="1">IFERROR(__xludf.DUMMYFUNCTION("""COMPUTED_VALUE"""),29.17)</f>
        <v>29.17</v>
      </c>
    </row>
    <row r="1933" spans="1:20" x14ac:dyDescent="0.3">
      <c r="A1933" s="112">
        <f ca="1">IFERROR(__xludf.DUMMYFUNCTION("""COMPUTED_VALUE"""),43111.7055555555)</f>
        <v>43111.705555555498</v>
      </c>
      <c r="B1933" s="111">
        <f ca="1">IFERROR(__xludf.DUMMYFUNCTION("""COMPUTED_VALUE"""),17.01)</f>
        <v>17.010000000000002</v>
      </c>
      <c r="C1933" s="112">
        <f ca="1">IFERROR(__xludf.DUMMYFUNCTION("""COMPUTED_VALUE"""),43119.7055555555)</f>
        <v>43119.705555555498</v>
      </c>
      <c r="D1933" s="111">
        <f ca="1">IFERROR(__xludf.DUMMYFUNCTION("""COMPUTED_VALUE"""),31.37)</f>
        <v>31.37</v>
      </c>
      <c r="E1933" s="112">
        <f ca="1">IFERROR(__xludf.DUMMYFUNCTION("""COMPUTED_VALUE"""),43119.7055555555)</f>
        <v>43119.705555555498</v>
      </c>
      <c r="F1933" s="111">
        <f ca="1">IFERROR(__xludf.DUMMYFUNCTION("""COMPUTED_VALUE"""),10.37)</f>
        <v>10.37</v>
      </c>
      <c r="G1933" s="112">
        <f ca="1">IFERROR(__xludf.DUMMYFUNCTION("""COMPUTED_VALUE"""),43116.7055555555)</f>
        <v>43116.705555555498</v>
      </c>
      <c r="H1933" s="111">
        <f ca="1">IFERROR(__xludf.DUMMYFUNCTION("""COMPUTED_VALUE"""),17.65)</f>
        <v>17.649999999999999</v>
      </c>
      <c r="K1933" s="112">
        <f ca="1">IFERROR(__xludf.DUMMYFUNCTION("""COMPUTED_VALUE"""),43572.7055555555)</f>
        <v>43572.705555555498</v>
      </c>
      <c r="L1933" s="111">
        <f ca="1">IFERROR(__xludf.DUMMYFUNCTION("""COMPUTED_VALUE"""),5)</f>
        <v>5</v>
      </c>
      <c r="M1933" s="112">
        <f ca="1">IFERROR(__xludf.DUMMYFUNCTION("""COMPUTED_VALUE"""),43024.7055555555)</f>
        <v>43024.705555555498</v>
      </c>
      <c r="N1933" s="111">
        <f ca="1">IFERROR(__xludf.DUMMYFUNCTION("""COMPUTED_VALUE"""),22.87)</f>
        <v>22.87</v>
      </c>
      <c r="O1933" s="112">
        <f ca="1">IFERROR(__xludf.DUMMYFUNCTION("""COMPUTED_VALUE"""),43104.7055555555)</f>
        <v>43104.705555555498</v>
      </c>
      <c r="P1933" s="111">
        <f ca="1">IFERROR(__xludf.DUMMYFUNCTION("""COMPUTED_VALUE"""),41.64)</f>
        <v>41.64</v>
      </c>
      <c r="Q1933" s="112">
        <f ca="1">IFERROR(__xludf.DUMMYFUNCTION("""COMPUTED_VALUE"""),43103.7055555555)</f>
        <v>43103.705555555498</v>
      </c>
      <c r="R1933" s="111">
        <f ca="1">IFERROR(__xludf.DUMMYFUNCTION("""COMPUTED_VALUE"""),33.35)</f>
        <v>33.35</v>
      </c>
      <c r="S1933" s="112">
        <f ca="1">IFERROR(__xludf.DUMMYFUNCTION("""COMPUTED_VALUE"""),43115.7055555555)</f>
        <v>43115.705555555498</v>
      </c>
      <c r="T1933" s="111">
        <f ca="1">IFERROR(__xludf.DUMMYFUNCTION("""COMPUTED_VALUE"""),29.92)</f>
        <v>29.92</v>
      </c>
    </row>
    <row r="1934" spans="1:20" x14ac:dyDescent="0.3">
      <c r="A1934" s="112">
        <f ca="1">IFERROR(__xludf.DUMMYFUNCTION("""COMPUTED_VALUE"""),43112.7055555555)</f>
        <v>43112.705555555498</v>
      </c>
      <c r="B1934" s="111">
        <f ca="1">IFERROR(__xludf.DUMMYFUNCTION("""COMPUTED_VALUE"""),16.62)</f>
        <v>16.62</v>
      </c>
      <c r="C1934" s="112">
        <f ca="1">IFERROR(__xludf.DUMMYFUNCTION("""COMPUTED_VALUE"""),43122.7055555555)</f>
        <v>43122.705555555498</v>
      </c>
      <c r="D1934" s="111">
        <f ca="1">IFERROR(__xludf.DUMMYFUNCTION("""COMPUTED_VALUE"""),32.15)</f>
        <v>32.15</v>
      </c>
      <c r="E1934" s="112">
        <f ca="1">IFERROR(__xludf.DUMMYFUNCTION("""COMPUTED_VALUE"""),43122.7055555555)</f>
        <v>43122.705555555498</v>
      </c>
      <c r="F1934" s="111">
        <f ca="1">IFERROR(__xludf.DUMMYFUNCTION("""COMPUTED_VALUE"""),10.63)</f>
        <v>10.63</v>
      </c>
      <c r="G1934" s="112">
        <f ca="1">IFERROR(__xludf.DUMMYFUNCTION("""COMPUTED_VALUE"""),43117.7055555555)</f>
        <v>43117.705555555498</v>
      </c>
      <c r="H1934" s="111">
        <f ca="1">IFERROR(__xludf.DUMMYFUNCTION("""COMPUTED_VALUE"""),18.36)</f>
        <v>18.36</v>
      </c>
      <c r="K1934" s="112">
        <f ca="1">IFERROR(__xludf.DUMMYFUNCTION("""COMPUTED_VALUE"""),43573.7055555555)</f>
        <v>43573.705555555498</v>
      </c>
      <c r="L1934" s="111">
        <f ca="1">IFERROR(__xludf.DUMMYFUNCTION("""COMPUTED_VALUE"""),5.34)</f>
        <v>5.34</v>
      </c>
      <c r="M1934" s="112">
        <f ca="1">IFERROR(__xludf.DUMMYFUNCTION("""COMPUTED_VALUE"""),43025.7055555555)</f>
        <v>43025.705555555498</v>
      </c>
      <c r="N1934" s="111">
        <f ca="1">IFERROR(__xludf.DUMMYFUNCTION("""COMPUTED_VALUE"""),22.81)</f>
        <v>22.81</v>
      </c>
      <c r="O1934" s="112">
        <f ca="1">IFERROR(__xludf.DUMMYFUNCTION("""COMPUTED_VALUE"""),43105.7055555555)</f>
        <v>43105.705555555498</v>
      </c>
      <c r="P1934" s="111">
        <f ca="1">IFERROR(__xludf.DUMMYFUNCTION("""COMPUTED_VALUE"""),42.29)</f>
        <v>42.29</v>
      </c>
      <c r="Q1934" s="112">
        <f ca="1">IFERROR(__xludf.DUMMYFUNCTION("""COMPUTED_VALUE"""),43104.7055555555)</f>
        <v>43104.705555555498</v>
      </c>
      <c r="R1934" s="111">
        <f ca="1">IFERROR(__xludf.DUMMYFUNCTION("""COMPUTED_VALUE"""),33.67)</f>
        <v>33.67</v>
      </c>
      <c r="S1934" s="112">
        <f ca="1">IFERROR(__xludf.DUMMYFUNCTION("""COMPUTED_VALUE"""),43116.7055555555)</f>
        <v>43116.705555555498</v>
      </c>
      <c r="T1934" s="111">
        <f ca="1">IFERROR(__xludf.DUMMYFUNCTION("""COMPUTED_VALUE"""),30.02)</f>
        <v>30.02</v>
      </c>
    </row>
    <row r="1935" spans="1:20" x14ac:dyDescent="0.3">
      <c r="A1935" s="112">
        <f ca="1">IFERROR(__xludf.DUMMYFUNCTION("""COMPUTED_VALUE"""),43115.7055555555)</f>
        <v>43115.705555555498</v>
      </c>
      <c r="B1935" s="111">
        <f ca="1">IFERROR(__xludf.DUMMYFUNCTION("""COMPUTED_VALUE"""),16.84)</f>
        <v>16.84</v>
      </c>
      <c r="C1935" s="112">
        <f ca="1">IFERROR(__xludf.DUMMYFUNCTION("""COMPUTED_VALUE"""),43123.7055555555)</f>
        <v>43123.705555555498</v>
      </c>
      <c r="D1935" s="111">
        <f ca="1">IFERROR(__xludf.DUMMYFUNCTION("""COMPUTED_VALUE"""),32.03)</f>
        <v>32.03</v>
      </c>
      <c r="E1935" s="112">
        <f ca="1">IFERROR(__xludf.DUMMYFUNCTION("""COMPUTED_VALUE"""),43123.7055555555)</f>
        <v>43123.705555555498</v>
      </c>
      <c r="F1935" s="111">
        <f ca="1">IFERROR(__xludf.DUMMYFUNCTION("""COMPUTED_VALUE"""),10.49)</f>
        <v>10.49</v>
      </c>
      <c r="G1935" s="112">
        <f ca="1">IFERROR(__xludf.DUMMYFUNCTION("""COMPUTED_VALUE"""),43118.7055555555)</f>
        <v>43118.705555555498</v>
      </c>
      <c r="H1935" s="111">
        <f ca="1">IFERROR(__xludf.DUMMYFUNCTION("""COMPUTED_VALUE"""),18.22)</f>
        <v>18.22</v>
      </c>
      <c r="K1935" s="112">
        <f ca="1">IFERROR(__xludf.DUMMYFUNCTION("""COMPUTED_VALUE"""),43577.7055555555)</f>
        <v>43577.705555555498</v>
      </c>
      <c r="L1935" s="111">
        <f ca="1">IFERROR(__xludf.DUMMYFUNCTION("""COMPUTED_VALUE"""),5.23)</f>
        <v>5.23</v>
      </c>
      <c r="M1935" s="112">
        <f ca="1">IFERROR(__xludf.DUMMYFUNCTION("""COMPUTED_VALUE"""),43026.7055555555)</f>
        <v>43026.705555555498</v>
      </c>
      <c r="N1935" s="111">
        <f ca="1">IFERROR(__xludf.DUMMYFUNCTION("""COMPUTED_VALUE"""),22.71)</f>
        <v>22.71</v>
      </c>
      <c r="O1935" s="112">
        <f ca="1">IFERROR(__xludf.DUMMYFUNCTION("""COMPUTED_VALUE"""),43108.7055555555)</f>
        <v>43108.705555555498</v>
      </c>
      <c r="P1935" s="111">
        <f ca="1">IFERROR(__xludf.DUMMYFUNCTION("""COMPUTED_VALUE"""),43.23)</f>
        <v>43.23</v>
      </c>
      <c r="Q1935" s="112">
        <f ca="1">IFERROR(__xludf.DUMMYFUNCTION("""COMPUTED_VALUE"""),43105.7055555555)</f>
        <v>43105.705555555498</v>
      </c>
      <c r="R1935" s="111">
        <f ca="1">IFERROR(__xludf.DUMMYFUNCTION("""COMPUTED_VALUE"""),33.67)</f>
        <v>33.67</v>
      </c>
      <c r="S1935" s="112">
        <f ca="1">IFERROR(__xludf.DUMMYFUNCTION("""COMPUTED_VALUE"""),43117.7055555555)</f>
        <v>43117.705555555498</v>
      </c>
      <c r="T1935" s="111">
        <f ca="1">IFERROR(__xludf.DUMMYFUNCTION("""COMPUTED_VALUE"""),30.77)</f>
        <v>30.77</v>
      </c>
    </row>
    <row r="1936" spans="1:20" x14ac:dyDescent="0.3">
      <c r="A1936" s="112">
        <f ca="1">IFERROR(__xludf.DUMMYFUNCTION("""COMPUTED_VALUE"""),43116.7055555555)</f>
        <v>43116.705555555498</v>
      </c>
      <c r="B1936" s="111">
        <f ca="1">IFERROR(__xludf.DUMMYFUNCTION("""COMPUTED_VALUE"""),17.03)</f>
        <v>17.03</v>
      </c>
      <c r="C1936" s="112">
        <f ca="1">IFERROR(__xludf.DUMMYFUNCTION("""COMPUTED_VALUE"""),43124.7055555555)</f>
        <v>43124.705555555498</v>
      </c>
      <c r="D1936" s="111">
        <f ca="1">IFERROR(__xludf.DUMMYFUNCTION("""COMPUTED_VALUE"""),33.58)</f>
        <v>33.58</v>
      </c>
      <c r="E1936" s="112">
        <f ca="1">IFERROR(__xludf.DUMMYFUNCTION("""COMPUTED_VALUE"""),43124.7055555555)</f>
        <v>43124.705555555498</v>
      </c>
      <c r="F1936" s="111">
        <f ca="1">IFERROR(__xludf.DUMMYFUNCTION("""COMPUTED_VALUE"""),11.18)</f>
        <v>11.18</v>
      </c>
      <c r="G1936" s="112">
        <f ca="1">IFERROR(__xludf.DUMMYFUNCTION("""COMPUTED_VALUE"""),43119.7055555555)</f>
        <v>43119.705555555498</v>
      </c>
      <c r="H1936" s="111">
        <f ca="1">IFERROR(__xludf.DUMMYFUNCTION("""COMPUTED_VALUE"""),18.26)</f>
        <v>18.260000000000002</v>
      </c>
      <c r="K1936" s="112">
        <f ca="1">IFERROR(__xludf.DUMMYFUNCTION("""COMPUTED_VALUE"""),43578.7055555555)</f>
        <v>43578.705555555498</v>
      </c>
      <c r="L1936" s="111">
        <f ca="1">IFERROR(__xludf.DUMMYFUNCTION("""COMPUTED_VALUE"""),5.35)</f>
        <v>5.35</v>
      </c>
      <c r="M1936" s="112">
        <f ca="1">IFERROR(__xludf.DUMMYFUNCTION("""COMPUTED_VALUE"""),43027.7055555555)</f>
        <v>43027.705555555498</v>
      </c>
      <c r="N1936" s="111">
        <f ca="1">IFERROR(__xludf.DUMMYFUNCTION("""COMPUTED_VALUE"""),22.61)</f>
        <v>22.61</v>
      </c>
      <c r="O1936" s="112">
        <f ca="1">IFERROR(__xludf.DUMMYFUNCTION("""COMPUTED_VALUE"""),43109.7055555555)</f>
        <v>43109.705555555498</v>
      </c>
      <c r="P1936" s="111">
        <f ca="1">IFERROR(__xludf.DUMMYFUNCTION("""COMPUTED_VALUE"""),43.07)</f>
        <v>43.07</v>
      </c>
      <c r="Q1936" s="112">
        <f ca="1">IFERROR(__xludf.DUMMYFUNCTION("""COMPUTED_VALUE"""),43108.7055555555)</f>
        <v>43108.705555555498</v>
      </c>
      <c r="R1936" s="111">
        <f ca="1">IFERROR(__xludf.DUMMYFUNCTION("""COMPUTED_VALUE"""),33.75)</f>
        <v>33.75</v>
      </c>
      <c r="S1936" s="112">
        <f ca="1">IFERROR(__xludf.DUMMYFUNCTION("""COMPUTED_VALUE"""),43118.7055555555)</f>
        <v>43118.705555555498</v>
      </c>
      <c r="T1936" s="111">
        <f ca="1">IFERROR(__xludf.DUMMYFUNCTION("""COMPUTED_VALUE"""),30.45)</f>
        <v>30.45</v>
      </c>
    </row>
    <row r="1937" spans="1:20" x14ac:dyDescent="0.3">
      <c r="A1937" s="112">
        <f ca="1">IFERROR(__xludf.DUMMYFUNCTION("""COMPUTED_VALUE"""),43117.7055555555)</f>
        <v>43117.705555555498</v>
      </c>
      <c r="B1937" s="111">
        <f ca="1">IFERROR(__xludf.DUMMYFUNCTION("""COMPUTED_VALUE"""),17.08)</f>
        <v>17.079999999999998</v>
      </c>
      <c r="C1937" s="112">
        <f ca="1">IFERROR(__xludf.DUMMYFUNCTION("""COMPUTED_VALUE"""),43126.7055555555)</f>
        <v>43126.705555555498</v>
      </c>
      <c r="D1937" s="111">
        <f ca="1">IFERROR(__xludf.DUMMYFUNCTION("""COMPUTED_VALUE"""),35.41)</f>
        <v>35.409999999999997</v>
      </c>
      <c r="E1937" s="112">
        <f ca="1">IFERROR(__xludf.DUMMYFUNCTION("""COMPUTED_VALUE"""),43126.7055555555)</f>
        <v>43126.705555555498</v>
      </c>
      <c r="F1937" s="111">
        <f ca="1">IFERROR(__xludf.DUMMYFUNCTION("""COMPUTED_VALUE"""),11.65)</f>
        <v>11.65</v>
      </c>
      <c r="G1937" s="112">
        <f ca="1">IFERROR(__xludf.DUMMYFUNCTION("""COMPUTED_VALUE"""),43122.7055555555)</f>
        <v>43122.705555555498</v>
      </c>
      <c r="H1937" s="111">
        <f ca="1">IFERROR(__xludf.DUMMYFUNCTION("""COMPUTED_VALUE"""),18.47)</f>
        <v>18.47</v>
      </c>
      <c r="K1937" s="112">
        <f ca="1">IFERROR(__xludf.DUMMYFUNCTION("""COMPUTED_VALUE"""),43579.7055555555)</f>
        <v>43579.705555555498</v>
      </c>
      <c r="L1937" s="111">
        <f ca="1">IFERROR(__xludf.DUMMYFUNCTION("""COMPUTED_VALUE"""),5.39)</f>
        <v>5.39</v>
      </c>
      <c r="M1937" s="112">
        <f ca="1">IFERROR(__xludf.DUMMYFUNCTION("""COMPUTED_VALUE"""),43028.7055555555)</f>
        <v>43028.705555555498</v>
      </c>
      <c r="N1937" s="111">
        <f ca="1">IFERROR(__xludf.DUMMYFUNCTION("""COMPUTED_VALUE"""),22.5)</f>
        <v>22.5</v>
      </c>
      <c r="O1937" s="112">
        <f ca="1">IFERROR(__xludf.DUMMYFUNCTION("""COMPUTED_VALUE"""),43110.7055555555)</f>
        <v>43110.705555555498</v>
      </c>
      <c r="P1937" s="111">
        <f ca="1">IFERROR(__xludf.DUMMYFUNCTION("""COMPUTED_VALUE"""),42.47)</f>
        <v>42.47</v>
      </c>
      <c r="Q1937" s="112">
        <f ca="1">IFERROR(__xludf.DUMMYFUNCTION("""COMPUTED_VALUE"""),43109.7055555555)</f>
        <v>43109.705555555498</v>
      </c>
      <c r="R1937" s="111">
        <f ca="1">IFERROR(__xludf.DUMMYFUNCTION("""COMPUTED_VALUE"""),33.43)</f>
        <v>33.43</v>
      </c>
      <c r="S1937" s="112">
        <f ca="1">IFERROR(__xludf.DUMMYFUNCTION("""COMPUTED_VALUE"""),43119.7055555555)</f>
        <v>43119.705555555498</v>
      </c>
      <c r="T1937" s="111">
        <f ca="1">IFERROR(__xludf.DUMMYFUNCTION("""COMPUTED_VALUE"""),30.23)</f>
        <v>30.23</v>
      </c>
    </row>
    <row r="1938" spans="1:20" x14ac:dyDescent="0.3">
      <c r="A1938" s="112">
        <f ca="1">IFERROR(__xludf.DUMMYFUNCTION("""COMPUTED_VALUE"""),43118.7055555555)</f>
        <v>43118.705555555498</v>
      </c>
      <c r="B1938" s="111">
        <f ca="1">IFERROR(__xludf.DUMMYFUNCTION("""COMPUTED_VALUE"""),16.96)</f>
        <v>16.96</v>
      </c>
      <c r="C1938" s="112">
        <f ca="1">IFERROR(__xludf.DUMMYFUNCTION("""COMPUTED_VALUE"""),43129.7055555555)</f>
        <v>43129.705555555498</v>
      </c>
      <c r="D1938" s="111">
        <f ca="1">IFERROR(__xludf.DUMMYFUNCTION("""COMPUTED_VALUE"""),34.46)</f>
        <v>34.46</v>
      </c>
      <c r="E1938" s="112">
        <f ca="1">IFERROR(__xludf.DUMMYFUNCTION("""COMPUTED_VALUE"""),43129.7055555555)</f>
        <v>43129.705555555498</v>
      </c>
      <c r="F1938" s="111">
        <f ca="1">IFERROR(__xludf.DUMMYFUNCTION("""COMPUTED_VALUE"""),11.34)</f>
        <v>11.34</v>
      </c>
      <c r="G1938" s="112">
        <f ca="1">IFERROR(__xludf.DUMMYFUNCTION("""COMPUTED_VALUE"""),43123.7055555555)</f>
        <v>43123.705555555498</v>
      </c>
      <c r="H1938" s="111">
        <f ca="1">IFERROR(__xludf.DUMMYFUNCTION("""COMPUTED_VALUE"""),18.24)</f>
        <v>18.239999999999998</v>
      </c>
      <c r="K1938" s="112">
        <f ca="1">IFERROR(__xludf.DUMMYFUNCTION("""COMPUTED_VALUE"""),43580.7055555555)</f>
        <v>43580.705555555498</v>
      </c>
      <c r="L1938" s="111">
        <f ca="1">IFERROR(__xludf.DUMMYFUNCTION("""COMPUTED_VALUE"""),5.47)</f>
        <v>5.47</v>
      </c>
      <c r="M1938" s="112">
        <f ca="1">IFERROR(__xludf.DUMMYFUNCTION("""COMPUTED_VALUE"""),43031.7055555555)</f>
        <v>43031.705555555498</v>
      </c>
      <c r="N1938" s="111">
        <f ca="1">IFERROR(__xludf.DUMMYFUNCTION("""COMPUTED_VALUE"""),22.29)</f>
        <v>22.29</v>
      </c>
      <c r="O1938" s="112">
        <f ca="1">IFERROR(__xludf.DUMMYFUNCTION("""COMPUTED_VALUE"""),43111.7055555555)</f>
        <v>43111.705555555498</v>
      </c>
      <c r="P1938" s="111">
        <f ca="1">IFERROR(__xludf.DUMMYFUNCTION("""COMPUTED_VALUE"""),43.3)</f>
        <v>43.3</v>
      </c>
      <c r="Q1938" s="112">
        <f ca="1">IFERROR(__xludf.DUMMYFUNCTION("""COMPUTED_VALUE"""),43110.7055555555)</f>
        <v>43110.705555555498</v>
      </c>
      <c r="R1938" s="111">
        <f ca="1">IFERROR(__xludf.DUMMYFUNCTION("""COMPUTED_VALUE"""),33.29)</f>
        <v>33.29</v>
      </c>
      <c r="S1938" s="112">
        <f ca="1">IFERROR(__xludf.DUMMYFUNCTION("""COMPUTED_VALUE"""),43122.7055555555)</f>
        <v>43122.705555555498</v>
      </c>
      <c r="T1938" s="111">
        <f ca="1">IFERROR(__xludf.DUMMYFUNCTION("""COMPUTED_VALUE"""),30.09)</f>
        <v>30.09</v>
      </c>
    </row>
    <row r="1939" spans="1:20" x14ac:dyDescent="0.3">
      <c r="A1939" s="112">
        <f ca="1">IFERROR(__xludf.DUMMYFUNCTION("""COMPUTED_VALUE"""),43119.7055555555)</f>
        <v>43119.705555555498</v>
      </c>
      <c r="B1939" s="111">
        <f ca="1">IFERROR(__xludf.DUMMYFUNCTION("""COMPUTED_VALUE"""),17.31)</f>
        <v>17.309999999999999</v>
      </c>
      <c r="C1939" s="112">
        <f ca="1">IFERROR(__xludf.DUMMYFUNCTION("""COMPUTED_VALUE"""),43130.7055555555)</f>
        <v>43130.705555555498</v>
      </c>
      <c r="D1939" s="111">
        <f ca="1">IFERROR(__xludf.DUMMYFUNCTION("""COMPUTED_VALUE"""),34.33)</f>
        <v>34.33</v>
      </c>
      <c r="E1939" s="112">
        <f ca="1">IFERROR(__xludf.DUMMYFUNCTION("""COMPUTED_VALUE"""),43130.7055555555)</f>
        <v>43130.705555555498</v>
      </c>
      <c r="F1939" s="111">
        <f ca="1">IFERROR(__xludf.DUMMYFUNCTION("""COMPUTED_VALUE"""),11.41)</f>
        <v>11.41</v>
      </c>
      <c r="G1939" s="112">
        <f ca="1">IFERROR(__xludf.DUMMYFUNCTION("""COMPUTED_VALUE"""),43124.7055555555)</f>
        <v>43124.705555555498</v>
      </c>
      <c r="H1939" s="111">
        <f ca="1">IFERROR(__xludf.DUMMYFUNCTION("""COMPUTED_VALUE"""),19.34)</f>
        <v>19.34</v>
      </c>
      <c r="K1939" s="112">
        <f ca="1">IFERROR(__xludf.DUMMYFUNCTION("""COMPUTED_VALUE"""),43581.7055555555)</f>
        <v>43581.705555555498</v>
      </c>
      <c r="L1939" s="111">
        <f ca="1">IFERROR(__xludf.DUMMYFUNCTION("""COMPUTED_VALUE"""),5.59)</f>
        <v>5.59</v>
      </c>
      <c r="M1939" s="112">
        <f ca="1">IFERROR(__xludf.DUMMYFUNCTION("""COMPUTED_VALUE"""),43032.7055555555)</f>
        <v>43032.705555555498</v>
      </c>
      <c r="N1939" s="111">
        <f ca="1">IFERROR(__xludf.DUMMYFUNCTION("""COMPUTED_VALUE"""),22.59)</f>
        <v>22.59</v>
      </c>
      <c r="O1939" s="112">
        <f ca="1">IFERROR(__xludf.DUMMYFUNCTION("""COMPUTED_VALUE"""),43112.7055555555)</f>
        <v>43112.705555555498</v>
      </c>
      <c r="P1939" s="111">
        <f ca="1">IFERROR(__xludf.DUMMYFUNCTION("""COMPUTED_VALUE"""),43.55)</f>
        <v>43.55</v>
      </c>
      <c r="Q1939" s="112">
        <f ca="1">IFERROR(__xludf.DUMMYFUNCTION("""COMPUTED_VALUE"""),43111.7055555555)</f>
        <v>43111.705555555498</v>
      </c>
      <c r="R1939" s="111">
        <f ca="1">IFERROR(__xludf.DUMMYFUNCTION("""COMPUTED_VALUE"""),34.05)</f>
        <v>34.049999999999997</v>
      </c>
      <c r="S1939" s="112">
        <f ca="1">IFERROR(__xludf.DUMMYFUNCTION("""COMPUTED_VALUE"""),43123.7055555555)</f>
        <v>43123.705555555498</v>
      </c>
      <c r="T1939" s="111">
        <f ca="1">IFERROR(__xludf.DUMMYFUNCTION("""COMPUTED_VALUE"""),29.43)</f>
        <v>29.43</v>
      </c>
    </row>
    <row r="1940" spans="1:20" x14ac:dyDescent="0.3">
      <c r="A1940" s="112">
        <f ca="1">IFERROR(__xludf.DUMMYFUNCTION("""COMPUTED_VALUE"""),43122.7055555555)</f>
        <v>43122.705555555498</v>
      </c>
      <c r="B1940" s="111">
        <f ca="1">IFERROR(__xludf.DUMMYFUNCTION("""COMPUTED_VALUE"""),18.56)</f>
        <v>18.559999999999999</v>
      </c>
      <c r="C1940" s="112">
        <f ca="1">IFERROR(__xludf.DUMMYFUNCTION("""COMPUTED_VALUE"""),43131.7055555555)</f>
        <v>43131.705555555498</v>
      </c>
      <c r="D1940" s="111">
        <f ca="1">IFERROR(__xludf.DUMMYFUNCTION("""COMPUTED_VALUE"""),34.84)</f>
        <v>34.840000000000003</v>
      </c>
      <c r="E1940" s="112">
        <f ca="1">IFERROR(__xludf.DUMMYFUNCTION("""COMPUTED_VALUE"""),43131.7055555555)</f>
        <v>43131.705555555498</v>
      </c>
      <c r="F1940" s="111">
        <f ca="1">IFERROR(__xludf.DUMMYFUNCTION("""COMPUTED_VALUE"""),11.47)</f>
        <v>11.47</v>
      </c>
      <c r="G1940" s="112">
        <f ca="1">IFERROR(__xludf.DUMMYFUNCTION("""COMPUTED_VALUE"""),43126.7055555555)</f>
        <v>43126.705555555498</v>
      </c>
      <c r="H1940" s="111">
        <f ca="1">IFERROR(__xludf.DUMMYFUNCTION("""COMPUTED_VALUE"""),19.93)</f>
        <v>19.93</v>
      </c>
      <c r="K1940" s="112">
        <f ca="1">IFERROR(__xludf.DUMMYFUNCTION("""COMPUTED_VALUE"""),43584.7055555555)</f>
        <v>43584.705555555498</v>
      </c>
      <c r="L1940" s="111">
        <f ca="1">IFERROR(__xludf.DUMMYFUNCTION("""COMPUTED_VALUE"""),5.58)</f>
        <v>5.58</v>
      </c>
      <c r="M1940" s="112">
        <f ca="1">IFERROR(__xludf.DUMMYFUNCTION("""COMPUTED_VALUE"""),43033.7055555555)</f>
        <v>43033.705555555498</v>
      </c>
      <c r="N1940" s="111">
        <f ca="1">IFERROR(__xludf.DUMMYFUNCTION("""COMPUTED_VALUE"""),22.66)</f>
        <v>22.66</v>
      </c>
      <c r="O1940" s="112">
        <f ca="1">IFERROR(__xludf.DUMMYFUNCTION("""COMPUTED_VALUE"""),43115.7055555555)</f>
        <v>43115.705555555498</v>
      </c>
      <c r="P1940" s="111">
        <f ca="1">IFERROR(__xludf.DUMMYFUNCTION("""COMPUTED_VALUE"""),43.47)</f>
        <v>43.47</v>
      </c>
      <c r="Q1940" s="112">
        <f ca="1">IFERROR(__xludf.DUMMYFUNCTION("""COMPUTED_VALUE"""),43112.7055555555)</f>
        <v>43112.705555555498</v>
      </c>
      <c r="R1940" s="111">
        <f ca="1">IFERROR(__xludf.DUMMYFUNCTION("""COMPUTED_VALUE"""),34.13)</f>
        <v>34.130000000000003</v>
      </c>
      <c r="S1940" s="112">
        <f ca="1">IFERROR(__xludf.DUMMYFUNCTION("""COMPUTED_VALUE"""),43124.7055555555)</f>
        <v>43124.705555555498</v>
      </c>
      <c r="T1940" s="111">
        <f ca="1">IFERROR(__xludf.DUMMYFUNCTION("""COMPUTED_VALUE"""),30.79)</f>
        <v>30.79</v>
      </c>
    </row>
    <row r="1941" spans="1:20" x14ac:dyDescent="0.3">
      <c r="A1941" s="112">
        <f ca="1">IFERROR(__xludf.DUMMYFUNCTION("""COMPUTED_VALUE"""),43123.7055555555)</f>
        <v>43123.705555555498</v>
      </c>
      <c r="B1941" s="111">
        <f ca="1">IFERROR(__xludf.DUMMYFUNCTION("""COMPUTED_VALUE"""),18.06)</f>
        <v>18.059999999999999</v>
      </c>
      <c r="C1941" s="112">
        <f ca="1">IFERROR(__xludf.DUMMYFUNCTION("""COMPUTED_VALUE"""),43132.7055555555)</f>
        <v>43132.705555555498</v>
      </c>
      <c r="D1941" s="111">
        <f ca="1">IFERROR(__xludf.DUMMYFUNCTION("""COMPUTED_VALUE"""),35.01)</f>
        <v>35.01</v>
      </c>
      <c r="E1941" s="112">
        <f ca="1">IFERROR(__xludf.DUMMYFUNCTION("""COMPUTED_VALUE"""),43132.7055555555)</f>
        <v>43132.705555555498</v>
      </c>
      <c r="F1941" s="111">
        <f ca="1">IFERROR(__xludf.DUMMYFUNCTION("""COMPUTED_VALUE"""),11.44)</f>
        <v>11.44</v>
      </c>
      <c r="G1941" s="112">
        <f ca="1">IFERROR(__xludf.DUMMYFUNCTION("""COMPUTED_VALUE"""),43129.7055555555)</f>
        <v>43129.705555555498</v>
      </c>
      <c r="H1941" s="111">
        <f ca="1">IFERROR(__xludf.DUMMYFUNCTION("""COMPUTED_VALUE"""),19.85)</f>
        <v>19.850000000000001</v>
      </c>
      <c r="K1941" s="112">
        <f ca="1">IFERROR(__xludf.DUMMYFUNCTION("""COMPUTED_VALUE"""),43585.7055555555)</f>
        <v>43585.705555555498</v>
      </c>
      <c r="L1941" s="111">
        <f ca="1">IFERROR(__xludf.DUMMYFUNCTION("""COMPUTED_VALUE"""),5.98)</f>
        <v>5.98</v>
      </c>
      <c r="M1941" s="112">
        <f ca="1">IFERROR(__xludf.DUMMYFUNCTION("""COMPUTED_VALUE"""),43034.7055555555)</f>
        <v>43034.705555555498</v>
      </c>
      <c r="N1941" s="111">
        <f ca="1">IFERROR(__xludf.DUMMYFUNCTION("""COMPUTED_VALUE"""),22.45)</f>
        <v>22.45</v>
      </c>
      <c r="O1941" s="112">
        <f ca="1">IFERROR(__xludf.DUMMYFUNCTION("""COMPUTED_VALUE"""),43116.7055555555)</f>
        <v>43116.705555555498</v>
      </c>
      <c r="P1941" s="111">
        <f ca="1">IFERROR(__xludf.DUMMYFUNCTION("""COMPUTED_VALUE"""),42.3)</f>
        <v>42.3</v>
      </c>
      <c r="Q1941" s="112">
        <f ca="1">IFERROR(__xludf.DUMMYFUNCTION("""COMPUTED_VALUE"""),43115.7055555555)</f>
        <v>43115.705555555498</v>
      </c>
      <c r="R1941" s="111">
        <f ca="1">IFERROR(__xludf.DUMMYFUNCTION("""COMPUTED_VALUE"""),34.3)</f>
        <v>34.299999999999997</v>
      </c>
      <c r="S1941" s="112">
        <f ca="1">IFERROR(__xludf.DUMMYFUNCTION("""COMPUTED_VALUE"""),43126.7055555555)</f>
        <v>43126.705555555498</v>
      </c>
      <c r="T1941" s="111">
        <f ca="1">IFERROR(__xludf.DUMMYFUNCTION("""COMPUTED_VALUE"""),31.58)</f>
        <v>31.58</v>
      </c>
    </row>
    <row r="1942" spans="1:20" x14ac:dyDescent="0.3">
      <c r="A1942" s="112">
        <f ca="1">IFERROR(__xludf.DUMMYFUNCTION("""COMPUTED_VALUE"""),43124.7055555555)</f>
        <v>43124.705555555498</v>
      </c>
      <c r="B1942" s="111">
        <f ca="1">IFERROR(__xludf.DUMMYFUNCTION("""COMPUTED_VALUE"""),19.33)</f>
        <v>19.329999999999998</v>
      </c>
      <c r="C1942" s="112">
        <f ca="1">IFERROR(__xludf.DUMMYFUNCTION("""COMPUTED_VALUE"""),43133.7055555555)</f>
        <v>43133.705555555498</v>
      </c>
      <c r="D1942" s="111">
        <f ca="1">IFERROR(__xludf.DUMMYFUNCTION("""COMPUTED_VALUE"""),34.57)</f>
        <v>34.57</v>
      </c>
      <c r="E1942" s="112">
        <f ca="1">IFERROR(__xludf.DUMMYFUNCTION("""COMPUTED_VALUE"""),43133.7055555555)</f>
        <v>43133.705555555498</v>
      </c>
      <c r="F1942" s="111">
        <f ca="1">IFERROR(__xludf.DUMMYFUNCTION("""COMPUTED_VALUE"""),11.26)</f>
        <v>11.26</v>
      </c>
      <c r="G1942" s="112">
        <f ca="1">IFERROR(__xludf.DUMMYFUNCTION("""COMPUTED_VALUE"""),43130.7055555555)</f>
        <v>43130.705555555498</v>
      </c>
      <c r="H1942" s="111">
        <f ca="1">IFERROR(__xludf.DUMMYFUNCTION("""COMPUTED_VALUE"""),19.49)</f>
        <v>19.489999999999998</v>
      </c>
      <c r="K1942" s="112">
        <f ca="1">IFERROR(__xludf.DUMMYFUNCTION("""COMPUTED_VALUE"""),43587.7055555555)</f>
        <v>43587.705555555498</v>
      </c>
      <c r="L1942" s="111">
        <f ca="1">IFERROR(__xludf.DUMMYFUNCTION("""COMPUTED_VALUE"""),5.96)</f>
        <v>5.96</v>
      </c>
      <c r="M1942" s="112">
        <f ca="1">IFERROR(__xludf.DUMMYFUNCTION("""COMPUTED_VALUE"""),43035.7055555555)</f>
        <v>43035.705555555498</v>
      </c>
      <c r="N1942" s="111">
        <f ca="1">IFERROR(__xludf.DUMMYFUNCTION("""COMPUTED_VALUE"""),22.41)</f>
        <v>22.41</v>
      </c>
      <c r="O1942" s="112">
        <f ca="1">IFERROR(__xludf.DUMMYFUNCTION("""COMPUTED_VALUE"""),43117.7055555555)</f>
        <v>43117.705555555498</v>
      </c>
      <c r="P1942" s="111">
        <f ca="1">IFERROR(__xludf.DUMMYFUNCTION("""COMPUTED_VALUE"""),43.15)</f>
        <v>43.15</v>
      </c>
      <c r="Q1942" s="112">
        <f ca="1">IFERROR(__xludf.DUMMYFUNCTION("""COMPUTED_VALUE"""),43116.7055555555)</f>
        <v>43116.705555555498</v>
      </c>
      <c r="R1942" s="111">
        <f ca="1">IFERROR(__xludf.DUMMYFUNCTION("""COMPUTED_VALUE"""),34.6)</f>
        <v>34.6</v>
      </c>
      <c r="S1942" s="112">
        <f ca="1">IFERROR(__xludf.DUMMYFUNCTION("""COMPUTED_VALUE"""),43129.7055555555)</f>
        <v>43129.705555555498</v>
      </c>
      <c r="T1942" s="111">
        <f ca="1">IFERROR(__xludf.DUMMYFUNCTION("""COMPUTED_VALUE"""),30.88)</f>
        <v>30.88</v>
      </c>
    </row>
    <row r="1943" spans="1:20" x14ac:dyDescent="0.3">
      <c r="A1943" s="112">
        <f ca="1">IFERROR(__xludf.DUMMYFUNCTION("""COMPUTED_VALUE"""),43126.7055555555)</f>
        <v>43126.705555555498</v>
      </c>
      <c r="B1943" s="111">
        <f ca="1">IFERROR(__xludf.DUMMYFUNCTION("""COMPUTED_VALUE"""),20.03)</f>
        <v>20.03</v>
      </c>
      <c r="C1943" s="112">
        <f ca="1">IFERROR(__xludf.DUMMYFUNCTION("""COMPUTED_VALUE"""),43136.7055555555)</f>
        <v>43136.705555555498</v>
      </c>
      <c r="D1943" s="111">
        <f ca="1">IFERROR(__xludf.DUMMYFUNCTION("""COMPUTED_VALUE"""),33.35)</f>
        <v>33.35</v>
      </c>
      <c r="E1943" s="112">
        <f ca="1">IFERROR(__xludf.DUMMYFUNCTION("""COMPUTED_VALUE"""),43136.7055555555)</f>
        <v>43136.705555555498</v>
      </c>
      <c r="F1943" s="111">
        <f ca="1">IFERROR(__xludf.DUMMYFUNCTION("""COMPUTED_VALUE"""),10.91)</f>
        <v>10.91</v>
      </c>
      <c r="G1943" s="112">
        <f ca="1">IFERROR(__xludf.DUMMYFUNCTION("""COMPUTED_VALUE"""),43131.7055555555)</f>
        <v>43131.705555555498</v>
      </c>
      <c r="H1943" s="111">
        <f ca="1">IFERROR(__xludf.DUMMYFUNCTION("""COMPUTED_VALUE"""),19.7)</f>
        <v>19.7</v>
      </c>
      <c r="K1943" s="112">
        <f ca="1">IFERROR(__xludf.DUMMYFUNCTION("""COMPUTED_VALUE"""),43588.7055555555)</f>
        <v>43588.705555555498</v>
      </c>
      <c r="L1943" s="111">
        <f ca="1">IFERROR(__xludf.DUMMYFUNCTION("""COMPUTED_VALUE"""),6.13)</f>
        <v>6.13</v>
      </c>
      <c r="M1943" s="112">
        <f ca="1">IFERROR(__xludf.DUMMYFUNCTION("""COMPUTED_VALUE"""),43038.7055555555)</f>
        <v>43038.705555555498</v>
      </c>
      <c r="N1943" s="111">
        <f ca="1">IFERROR(__xludf.DUMMYFUNCTION("""COMPUTED_VALUE"""),22.01)</f>
        <v>22.01</v>
      </c>
      <c r="O1943" s="112">
        <f ca="1">IFERROR(__xludf.DUMMYFUNCTION("""COMPUTED_VALUE"""),43118.7055555555)</f>
        <v>43118.705555555498</v>
      </c>
      <c r="P1943" s="111">
        <f ca="1">IFERROR(__xludf.DUMMYFUNCTION("""COMPUTED_VALUE"""),42.86)</f>
        <v>42.86</v>
      </c>
      <c r="Q1943" s="112">
        <f ca="1">IFERROR(__xludf.DUMMYFUNCTION("""COMPUTED_VALUE"""),43117.7055555555)</f>
        <v>43117.705555555498</v>
      </c>
      <c r="R1943" s="111">
        <f ca="1">IFERROR(__xludf.DUMMYFUNCTION("""COMPUTED_VALUE"""),35.42)</f>
        <v>35.42</v>
      </c>
      <c r="S1943" s="112">
        <f ca="1">IFERROR(__xludf.DUMMYFUNCTION("""COMPUTED_VALUE"""),43130.7055555555)</f>
        <v>43130.705555555498</v>
      </c>
      <c r="T1943" s="111">
        <f ca="1">IFERROR(__xludf.DUMMYFUNCTION("""COMPUTED_VALUE"""),30.99)</f>
        <v>30.99</v>
      </c>
    </row>
    <row r="1944" spans="1:20" x14ac:dyDescent="0.3">
      <c r="A1944" s="112">
        <f ca="1">IFERROR(__xludf.DUMMYFUNCTION("""COMPUTED_VALUE"""),43129.7055555555)</f>
        <v>43129.705555555498</v>
      </c>
      <c r="B1944" s="111">
        <f ca="1">IFERROR(__xludf.DUMMYFUNCTION("""COMPUTED_VALUE"""),20)</f>
        <v>20</v>
      </c>
      <c r="C1944" s="112">
        <f ca="1">IFERROR(__xludf.DUMMYFUNCTION("""COMPUTED_VALUE"""),43137.7055555555)</f>
        <v>43137.705555555498</v>
      </c>
      <c r="D1944" s="111">
        <f ca="1">IFERROR(__xludf.DUMMYFUNCTION("""COMPUTED_VALUE"""),34.55)</f>
        <v>34.549999999999997</v>
      </c>
      <c r="E1944" s="112">
        <f ca="1">IFERROR(__xludf.DUMMYFUNCTION("""COMPUTED_VALUE"""),43137.7055555555)</f>
        <v>43137.705555555498</v>
      </c>
      <c r="F1944" s="111">
        <f ca="1">IFERROR(__xludf.DUMMYFUNCTION("""COMPUTED_VALUE"""),11.33)</f>
        <v>11.33</v>
      </c>
      <c r="G1944" s="112">
        <f ca="1">IFERROR(__xludf.DUMMYFUNCTION("""COMPUTED_VALUE"""),43132.7055555555)</f>
        <v>43132.705555555498</v>
      </c>
      <c r="H1944" s="111">
        <f ca="1">IFERROR(__xludf.DUMMYFUNCTION("""COMPUTED_VALUE"""),20.52)</f>
        <v>20.52</v>
      </c>
      <c r="K1944" s="112">
        <f ca="1">IFERROR(__xludf.DUMMYFUNCTION("""COMPUTED_VALUE"""),43591.7055555555)</f>
        <v>43591.705555555498</v>
      </c>
      <c r="L1944" s="111">
        <f ca="1">IFERROR(__xludf.DUMMYFUNCTION("""COMPUTED_VALUE"""),6.26)</f>
        <v>6.26</v>
      </c>
      <c r="M1944" s="112">
        <f ca="1">IFERROR(__xludf.DUMMYFUNCTION("""COMPUTED_VALUE"""),43039.7055555555)</f>
        <v>43039.705555555498</v>
      </c>
      <c r="N1944" s="111">
        <f ca="1">IFERROR(__xludf.DUMMYFUNCTION("""COMPUTED_VALUE"""),21.71)</f>
        <v>21.71</v>
      </c>
      <c r="O1944" s="112">
        <f ca="1">IFERROR(__xludf.DUMMYFUNCTION("""COMPUTED_VALUE"""),43119.7055555555)</f>
        <v>43119.705555555498</v>
      </c>
      <c r="P1944" s="111">
        <f ca="1">IFERROR(__xludf.DUMMYFUNCTION("""COMPUTED_VALUE"""),42.88)</f>
        <v>42.88</v>
      </c>
      <c r="Q1944" s="112">
        <f ca="1">IFERROR(__xludf.DUMMYFUNCTION("""COMPUTED_VALUE"""),43118.7055555555)</f>
        <v>43118.705555555498</v>
      </c>
      <c r="R1944" s="111">
        <f ca="1">IFERROR(__xludf.DUMMYFUNCTION("""COMPUTED_VALUE"""),35.18)</f>
        <v>35.18</v>
      </c>
      <c r="S1944" s="112">
        <f ca="1">IFERROR(__xludf.DUMMYFUNCTION("""COMPUTED_VALUE"""),43131.7055555555)</f>
        <v>43131.705555555498</v>
      </c>
      <c r="T1944" s="111">
        <f ca="1">IFERROR(__xludf.DUMMYFUNCTION("""COMPUTED_VALUE"""),31.29)</f>
        <v>31.29</v>
      </c>
    </row>
    <row r="1945" spans="1:20" x14ac:dyDescent="0.3">
      <c r="A1945" s="112">
        <f ca="1">IFERROR(__xludf.DUMMYFUNCTION("""COMPUTED_VALUE"""),43130.7055555555)</f>
        <v>43130.705555555498</v>
      </c>
      <c r="B1945" s="111">
        <f ca="1">IFERROR(__xludf.DUMMYFUNCTION("""COMPUTED_VALUE"""),19.78)</f>
        <v>19.78</v>
      </c>
      <c r="C1945" s="112">
        <f ca="1">IFERROR(__xludf.DUMMYFUNCTION("""COMPUTED_VALUE"""),43138.7055555555)</f>
        <v>43138.705555555498</v>
      </c>
      <c r="D1945" s="111">
        <f ca="1">IFERROR(__xludf.DUMMYFUNCTION("""COMPUTED_VALUE"""),33.73)</f>
        <v>33.729999999999997</v>
      </c>
      <c r="E1945" s="112">
        <f ca="1">IFERROR(__xludf.DUMMYFUNCTION("""COMPUTED_VALUE"""),43138.7055555555)</f>
        <v>43138.705555555498</v>
      </c>
      <c r="F1945" s="111">
        <f ca="1">IFERROR(__xludf.DUMMYFUNCTION("""COMPUTED_VALUE"""),11.1)</f>
        <v>11.1</v>
      </c>
      <c r="G1945" s="112">
        <f ca="1">IFERROR(__xludf.DUMMYFUNCTION("""COMPUTED_VALUE"""),43133.7055555555)</f>
        <v>43133.705555555498</v>
      </c>
      <c r="H1945" s="111">
        <f ca="1">IFERROR(__xludf.DUMMYFUNCTION("""COMPUTED_VALUE"""),19.97)</f>
        <v>19.97</v>
      </c>
      <c r="K1945" s="112">
        <f ca="1">IFERROR(__xludf.DUMMYFUNCTION("""COMPUTED_VALUE"""),43592.7055555555)</f>
        <v>43592.705555555498</v>
      </c>
      <c r="L1945" s="111">
        <f ca="1">IFERROR(__xludf.DUMMYFUNCTION("""COMPUTED_VALUE"""),6.01)</f>
        <v>6.01</v>
      </c>
      <c r="M1945" s="112">
        <f ca="1">IFERROR(__xludf.DUMMYFUNCTION("""COMPUTED_VALUE"""),43040.7055555555)</f>
        <v>43040.705555555498</v>
      </c>
      <c r="N1945" s="111">
        <f ca="1">IFERROR(__xludf.DUMMYFUNCTION("""COMPUTED_VALUE"""),21.04)</f>
        <v>21.04</v>
      </c>
      <c r="O1945" s="112">
        <f ca="1">IFERROR(__xludf.DUMMYFUNCTION("""COMPUTED_VALUE"""),43122.7055555555)</f>
        <v>43122.705555555498</v>
      </c>
      <c r="P1945" s="111">
        <f ca="1">IFERROR(__xludf.DUMMYFUNCTION("""COMPUTED_VALUE"""),42.65)</f>
        <v>42.65</v>
      </c>
      <c r="Q1945" s="112">
        <f ca="1">IFERROR(__xludf.DUMMYFUNCTION("""COMPUTED_VALUE"""),43119.7055555555)</f>
        <v>43119.705555555498</v>
      </c>
      <c r="R1945" s="111">
        <f ca="1">IFERROR(__xludf.DUMMYFUNCTION("""COMPUTED_VALUE"""),34.95)</f>
        <v>34.950000000000003</v>
      </c>
      <c r="S1945" s="112">
        <f ca="1">IFERROR(__xludf.DUMMYFUNCTION("""COMPUTED_VALUE"""),43132.7055555555)</f>
        <v>43132.705555555498</v>
      </c>
      <c r="T1945" s="111">
        <f ca="1">IFERROR(__xludf.DUMMYFUNCTION("""COMPUTED_VALUE"""),31.15)</f>
        <v>31.15</v>
      </c>
    </row>
    <row r="1946" spans="1:20" x14ac:dyDescent="0.3">
      <c r="A1946" s="112">
        <f ca="1">IFERROR(__xludf.DUMMYFUNCTION("""COMPUTED_VALUE"""),43131.7055555555)</f>
        <v>43131.705555555498</v>
      </c>
      <c r="B1946" s="111">
        <f ca="1">IFERROR(__xludf.DUMMYFUNCTION("""COMPUTED_VALUE"""),20.11)</f>
        <v>20.11</v>
      </c>
      <c r="C1946" s="112">
        <f ca="1">IFERROR(__xludf.DUMMYFUNCTION("""COMPUTED_VALUE"""),43139.7055555555)</f>
        <v>43139.705555555498</v>
      </c>
      <c r="D1946" s="111">
        <f ca="1">IFERROR(__xludf.DUMMYFUNCTION("""COMPUTED_VALUE"""),33.57)</f>
        <v>33.57</v>
      </c>
      <c r="E1946" s="112">
        <f ca="1">IFERROR(__xludf.DUMMYFUNCTION("""COMPUTED_VALUE"""),43139.7055555555)</f>
        <v>43139.705555555498</v>
      </c>
      <c r="F1946" s="111">
        <f ca="1">IFERROR(__xludf.DUMMYFUNCTION("""COMPUTED_VALUE"""),11)</f>
        <v>11</v>
      </c>
      <c r="G1946" s="112">
        <f ca="1">IFERROR(__xludf.DUMMYFUNCTION("""COMPUTED_VALUE"""),43136.7055555555)</f>
        <v>43136.705555555498</v>
      </c>
      <c r="H1946" s="111">
        <f ca="1">IFERROR(__xludf.DUMMYFUNCTION("""COMPUTED_VALUE"""),19.04)</f>
        <v>19.04</v>
      </c>
      <c r="K1946" s="112">
        <f ca="1">IFERROR(__xludf.DUMMYFUNCTION("""COMPUTED_VALUE"""),43593.7055555555)</f>
        <v>43593.705555555498</v>
      </c>
      <c r="L1946" s="111">
        <f ca="1">IFERROR(__xludf.DUMMYFUNCTION("""COMPUTED_VALUE"""),6.05)</f>
        <v>6.05</v>
      </c>
      <c r="M1946" s="112">
        <f ca="1">IFERROR(__xludf.DUMMYFUNCTION("""COMPUTED_VALUE"""),43042.7055555555)</f>
        <v>43042.705555555498</v>
      </c>
      <c r="N1946" s="111">
        <f ca="1">IFERROR(__xludf.DUMMYFUNCTION("""COMPUTED_VALUE"""),21.24)</f>
        <v>21.24</v>
      </c>
      <c r="O1946" s="112">
        <f ca="1">IFERROR(__xludf.DUMMYFUNCTION("""COMPUTED_VALUE"""),43123.7055555555)</f>
        <v>43123.705555555498</v>
      </c>
      <c r="P1946" s="111">
        <f ca="1">IFERROR(__xludf.DUMMYFUNCTION("""COMPUTED_VALUE"""),40.93)</f>
        <v>40.93</v>
      </c>
      <c r="Q1946" s="112">
        <f ca="1">IFERROR(__xludf.DUMMYFUNCTION("""COMPUTED_VALUE"""),43122.7055555555)</f>
        <v>43122.705555555498</v>
      </c>
      <c r="R1946" s="111">
        <f ca="1">IFERROR(__xludf.DUMMYFUNCTION("""COMPUTED_VALUE"""),35.07)</f>
        <v>35.07</v>
      </c>
      <c r="S1946" s="112">
        <f ca="1">IFERROR(__xludf.DUMMYFUNCTION("""COMPUTED_VALUE"""),43133.7055555555)</f>
        <v>43133.705555555498</v>
      </c>
      <c r="T1946" s="111">
        <f ca="1">IFERROR(__xludf.DUMMYFUNCTION("""COMPUTED_VALUE"""),30.79)</f>
        <v>30.79</v>
      </c>
    </row>
    <row r="1947" spans="1:20" x14ac:dyDescent="0.3">
      <c r="A1947" s="112">
        <f ca="1">IFERROR(__xludf.DUMMYFUNCTION("""COMPUTED_VALUE"""),43132.7055555555)</f>
        <v>43132.705555555498</v>
      </c>
      <c r="B1947" s="111">
        <f ca="1">IFERROR(__xludf.DUMMYFUNCTION("""COMPUTED_VALUE"""),20.17)</f>
        <v>20.170000000000002</v>
      </c>
      <c r="C1947" s="112">
        <f ca="1">IFERROR(__xludf.DUMMYFUNCTION("""COMPUTED_VALUE"""),43140.7055555555)</f>
        <v>43140.705555555498</v>
      </c>
      <c r="D1947" s="111">
        <f ca="1">IFERROR(__xludf.DUMMYFUNCTION("""COMPUTED_VALUE"""),33.65)</f>
        <v>33.65</v>
      </c>
      <c r="E1947" s="112">
        <f ca="1">IFERROR(__xludf.DUMMYFUNCTION("""COMPUTED_VALUE"""),43140.7055555555)</f>
        <v>43140.705555555498</v>
      </c>
      <c r="F1947" s="111">
        <f ca="1">IFERROR(__xludf.DUMMYFUNCTION("""COMPUTED_VALUE"""),10.98)</f>
        <v>10.98</v>
      </c>
      <c r="G1947" s="112">
        <f ca="1">IFERROR(__xludf.DUMMYFUNCTION("""COMPUTED_VALUE"""),43137.7055555555)</f>
        <v>43137.705555555498</v>
      </c>
      <c r="H1947" s="111">
        <f ca="1">IFERROR(__xludf.DUMMYFUNCTION("""COMPUTED_VALUE"""),19.99)</f>
        <v>19.989999999999998</v>
      </c>
      <c r="K1947" s="112">
        <f ca="1">IFERROR(__xludf.DUMMYFUNCTION("""COMPUTED_VALUE"""),43594.7055555555)</f>
        <v>43594.705555555498</v>
      </c>
      <c r="L1947" s="111">
        <f ca="1">IFERROR(__xludf.DUMMYFUNCTION("""COMPUTED_VALUE"""),5.81)</f>
        <v>5.81</v>
      </c>
      <c r="M1947" s="112">
        <f ca="1">IFERROR(__xludf.DUMMYFUNCTION("""COMPUTED_VALUE"""),43045.7055555555)</f>
        <v>43045.705555555498</v>
      </c>
      <c r="N1947" s="111">
        <f ca="1">IFERROR(__xludf.DUMMYFUNCTION("""COMPUTED_VALUE"""),21.15)</f>
        <v>21.15</v>
      </c>
      <c r="O1947" s="112">
        <f ca="1">IFERROR(__xludf.DUMMYFUNCTION("""COMPUTED_VALUE"""),43124.7055555555)</f>
        <v>43124.705555555498</v>
      </c>
      <c r="P1947" s="111">
        <f ca="1">IFERROR(__xludf.DUMMYFUNCTION("""COMPUTED_VALUE"""),41.78)</f>
        <v>41.78</v>
      </c>
      <c r="Q1947" s="112">
        <f ca="1">IFERROR(__xludf.DUMMYFUNCTION("""COMPUTED_VALUE"""),43123.7055555555)</f>
        <v>43123.705555555498</v>
      </c>
      <c r="R1947" s="111">
        <f ca="1">IFERROR(__xludf.DUMMYFUNCTION("""COMPUTED_VALUE"""),35.22)</f>
        <v>35.22</v>
      </c>
      <c r="S1947" s="112">
        <f ca="1">IFERROR(__xludf.DUMMYFUNCTION("""COMPUTED_VALUE"""),43136.7055555555)</f>
        <v>43136.705555555498</v>
      </c>
      <c r="T1947" s="111">
        <f ca="1">IFERROR(__xludf.DUMMYFUNCTION("""COMPUTED_VALUE"""),29.73)</f>
        <v>29.73</v>
      </c>
    </row>
    <row r="1948" spans="1:20" x14ac:dyDescent="0.3">
      <c r="A1948" s="112">
        <f ca="1">IFERROR(__xludf.DUMMYFUNCTION("""COMPUTED_VALUE"""),43133.7055555555)</f>
        <v>43133.705555555498</v>
      </c>
      <c r="B1948" s="111">
        <f ca="1">IFERROR(__xludf.DUMMYFUNCTION("""COMPUTED_VALUE"""),19.57)</f>
        <v>19.57</v>
      </c>
      <c r="C1948" s="112">
        <f ca="1">IFERROR(__xludf.DUMMYFUNCTION("""COMPUTED_VALUE"""),43145.7055555555)</f>
        <v>43145.705555555498</v>
      </c>
      <c r="D1948" s="111">
        <f ca="1">IFERROR(__xludf.DUMMYFUNCTION("""COMPUTED_VALUE"""),35.11)</f>
        <v>35.11</v>
      </c>
      <c r="E1948" s="112">
        <f ca="1">IFERROR(__xludf.DUMMYFUNCTION("""COMPUTED_VALUE"""),43145.7055555555)</f>
        <v>43145.705555555498</v>
      </c>
      <c r="F1948" s="111">
        <f ca="1">IFERROR(__xludf.DUMMYFUNCTION("""COMPUTED_VALUE"""),11.33)</f>
        <v>11.33</v>
      </c>
      <c r="G1948" s="112">
        <f ca="1">IFERROR(__xludf.DUMMYFUNCTION("""COMPUTED_VALUE"""),43138.7055555555)</f>
        <v>43138.705555555498</v>
      </c>
      <c r="H1948" s="111">
        <f ca="1">IFERROR(__xludf.DUMMYFUNCTION("""COMPUTED_VALUE"""),19.44)</f>
        <v>19.440000000000001</v>
      </c>
      <c r="K1948" s="112">
        <f ca="1">IFERROR(__xludf.DUMMYFUNCTION("""COMPUTED_VALUE"""),43595.7055555555)</f>
        <v>43595.705555555498</v>
      </c>
      <c r="L1948" s="111">
        <f ca="1">IFERROR(__xludf.DUMMYFUNCTION("""COMPUTED_VALUE"""),5.83)</f>
        <v>5.83</v>
      </c>
      <c r="M1948" s="112">
        <f ca="1">IFERROR(__xludf.DUMMYFUNCTION("""COMPUTED_VALUE"""),43046.7055555555)</f>
        <v>43046.705555555498</v>
      </c>
      <c r="N1948" s="111">
        <f ca="1">IFERROR(__xludf.DUMMYFUNCTION("""COMPUTED_VALUE"""),20.5)</f>
        <v>20.5</v>
      </c>
      <c r="O1948" s="112">
        <f ca="1">IFERROR(__xludf.DUMMYFUNCTION("""COMPUTED_VALUE"""),43126.7055555555)</f>
        <v>43126.705555555498</v>
      </c>
      <c r="P1948" s="111">
        <f ca="1">IFERROR(__xludf.DUMMYFUNCTION("""COMPUTED_VALUE"""),41.43)</f>
        <v>41.43</v>
      </c>
      <c r="Q1948" s="112">
        <f ca="1">IFERROR(__xludf.DUMMYFUNCTION("""COMPUTED_VALUE"""),43124.7055555555)</f>
        <v>43124.705555555498</v>
      </c>
      <c r="R1948" s="111">
        <f ca="1">IFERROR(__xludf.DUMMYFUNCTION("""COMPUTED_VALUE"""),37.99)</f>
        <v>37.99</v>
      </c>
      <c r="S1948" s="112">
        <f ca="1">IFERROR(__xludf.DUMMYFUNCTION("""COMPUTED_VALUE"""),43137.7055555555)</f>
        <v>43137.705555555498</v>
      </c>
      <c r="T1948" s="111">
        <f ca="1">IFERROR(__xludf.DUMMYFUNCTION("""COMPUTED_VALUE"""),30.05)</f>
        <v>30.05</v>
      </c>
    </row>
    <row r="1949" spans="1:20" x14ac:dyDescent="0.3">
      <c r="A1949" s="112">
        <f ca="1">IFERROR(__xludf.DUMMYFUNCTION("""COMPUTED_VALUE"""),43136.7055555555)</f>
        <v>43136.705555555498</v>
      </c>
      <c r="B1949" s="111">
        <f ca="1">IFERROR(__xludf.DUMMYFUNCTION("""COMPUTED_VALUE"""),19.57)</f>
        <v>19.57</v>
      </c>
      <c r="C1949" s="112">
        <f ca="1">IFERROR(__xludf.DUMMYFUNCTION("""COMPUTED_VALUE"""),43146.7055555555)</f>
        <v>43146.705555555498</v>
      </c>
      <c r="D1949" s="111">
        <f ca="1">IFERROR(__xludf.DUMMYFUNCTION("""COMPUTED_VALUE"""),35.11)</f>
        <v>35.11</v>
      </c>
      <c r="E1949" s="112">
        <f ca="1">IFERROR(__xludf.DUMMYFUNCTION("""COMPUTED_VALUE"""),43146.7055555555)</f>
        <v>43146.705555555498</v>
      </c>
      <c r="F1949" s="111">
        <f ca="1">IFERROR(__xludf.DUMMYFUNCTION("""COMPUTED_VALUE"""),11.33)</f>
        <v>11.33</v>
      </c>
      <c r="G1949" s="112">
        <f ca="1">IFERROR(__xludf.DUMMYFUNCTION("""COMPUTED_VALUE"""),43139.7055555555)</f>
        <v>43139.705555555498</v>
      </c>
      <c r="H1949" s="111">
        <f ca="1">IFERROR(__xludf.DUMMYFUNCTION("""COMPUTED_VALUE"""),19.05)</f>
        <v>19.05</v>
      </c>
      <c r="K1949" s="112">
        <f ca="1">IFERROR(__xludf.DUMMYFUNCTION("""COMPUTED_VALUE"""),43598.7055555555)</f>
        <v>43598.705555555498</v>
      </c>
      <c r="L1949" s="111">
        <f ca="1">IFERROR(__xludf.DUMMYFUNCTION("""COMPUTED_VALUE"""),5.63)</f>
        <v>5.63</v>
      </c>
      <c r="M1949" s="112">
        <f ca="1">IFERROR(__xludf.DUMMYFUNCTION("""COMPUTED_VALUE"""),43047.7055555555)</f>
        <v>43047.705555555498</v>
      </c>
      <c r="N1949" s="111">
        <f ca="1">IFERROR(__xludf.DUMMYFUNCTION("""COMPUTED_VALUE"""),21.25)</f>
        <v>21.25</v>
      </c>
      <c r="O1949" s="112">
        <f ca="1">IFERROR(__xludf.DUMMYFUNCTION("""COMPUTED_VALUE"""),43129.7055555555)</f>
        <v>43129.705555555498</v>
      </c>
      <c r="P1949" s="111">
        <f ca="1">IFERROR(__xludf.DUMMYFUNCTION("""COMPUTED_VALUE"""),41.89)</f>
        <v>41.89</v>
      </c>
      <c r="Q1949" s="112">
        <f ca="1">IFERROR(__xludf.DUMMYFUNCTION("""COMPUTED_VALUE"""),43126.7055555555)</f>
        <v>43126.705555555498</v>
      </c>
      <c r="R1949" s="111">
        <f ca="1">IFERROR(__xludf.DUMMYFUNCTION("""COMPUTED_VALUE"""),39.17)</f>
        <v>39.17</v>
      </c>
      <c r="S1949" s="112">
        <f ca="1">IFERROR(__xludf.DUMMYFUNCTION("""COMPUTED_VALUE"""),43138.7055555555)</f>
        <v>43138.705555555498</v>
      </c>
      <c r="T1949" s="111">
        <f ca="1">IFERROR(__xludf.DUMMYFUNCTION("""COMPUTED_VALUE"""),29.05)</f>
        <v>29.05</v>
      </c>
    </row>
    <row r="1950" spans="1:20" x14ac:dyDescent="0.3">
      <c r="A1950" s="112">
        <f ca="1">IFERROR(__xludf.DUMMYFUNCTION("""COMPUTED_VALUE"""),43137.7055555555)</f>
        <v>43137.705555555498</v>
      </c>
      <c r="B1950" s="111">
        <f ca="1">IFERROR(__xludf.DUMMYFUNCTION("""COMPUTED_VALUE"""),20.66)</f>
        <v>20.66</v>
      </c>
      <c r="C1950" s="112">
        <f ca="1">IFERROR(__xludf.DUMMYFUNCTION("""COMPUTED_VALUE"""),43147.7055555555)</f>
        <v>43147.705555555498</v>
      </c>
      <c r="D1950" s="111">
        <f ca="1">IFERROR(__xludf.DUMMYFUNCTION("""COMPUTED_VALUE"""),33.89)</f>
        <v>33.89</v>
      </c>
      <c r="E1950" s="112">
        <f ca="1">IFERROR(__xludf.DUMMYFUNCTION("""COMPUTED_VALUE"""),43147.7055555555)</f>
        <v>43147.705555555498</v>
      </c>
      <c r="F1950" s="111">
        <f ca="1">IFERROR(__xludf.DUMMYFUNCTION("""COMPUTED_VALUE"""),11.6)</f>
        <v>11.6</v>
      </c>
      <c r="G1950" s="112">
        <f ca="1">IFERROR(__xludf.DUMMYFUNCTION("""COMPUTED_VALUE"""),43140.7055555555)</f>
        <v>43140.705555555498</v>
      </c>
      <c r="H1950" s="111">
        <f ca="1">IFERROR(__xludf.DUMMYFUNCTION("""COMPUTED_VALUE"""),18.77)</f>
        <v>18.77</v>
      </c>
      <c r="K1950" s="112">
        <f ca="1">IFERROR(__xludf.DUMMYFUNCTION("""COMPUTED_VALUE"""),43599.7055555555)</f>
        <v>43599.705555555498</v>
      </c>
      <c r="L1950" s="111">
        <f ca="1">IFERROR(__xludf.DUMMYFUNCTION("""COMPUTED_VALUE"""),5.57)</f>
        <v>5.57</v>
      </c>
      <c r="M1950" s="112">
        <f ca="1">IFERROR(__xludf.DUMMYFUNCTION("""COMPUTED_VALUE"""),43048.7055555555)</f>
        <v>43048.705555555498</v>
      </c>
      <c r="N1950" s="111">
        <f ca="1">IFERROR(__xludf.DUMMYFUNCTION("""COMPUTED_VALUE"""),20.48)</f>
        <v>20.48</v>
      </c>
      <c r="O1950" s="112">
        <f ca="1">IFERROR(__xludf.DUMMYFUNCTION("""COMPUTED_VALUE"""),43130.7055555555)</f>
        <v>43130.705555555498</v>
      </c>
      <c r="P1950" s="111">
        <f ca="1">IFERROR(__xludf.DUMMYFUNCTION("""COMPUTED_VALUE"""),41.47)</f>
        <v>41.47</v>
      </c>
      <c r="Q1950" s="112">
        <f ca="1">IFERROR(__xludf.DUMMYFUNCTION("""COMPUTED_VALUE"""),43129.7055555555)</f>
        <v>43129.705555555498</v>
      </c>
      <c r="R1950" s="111">
        <f ca="1">IFERROR(__xludf.DUMMYFUNCTION("""COMPUTED_VALUE"""),38.95)</f>
        <v>38.950000000000003</v>
      </c>
      <c r="S1950" s="112">
        <f ca="1">IFERROR(__xludf.DUMMYFUNCTION("""COMPUTED_VALUE"""),43139.7055555555)</f>
        <v>43139.705555555498</v>
      </c>
      <c r="T1950" s="111">
        <f ca="1">IFERROR(__xludf.DUMMYFUNCTION("""COMPUTED_VALUE"""),28.74)</f>
        <v>28.74</v>
      </c>
    </row>
    <row r="1951" spans="1:20" x14ac:dyDescent="0.3">
      <c r="A1951" s="112">
        <f ca="1">IFERROR(__xludf.DUMMYFUNCTION("""COMPUTED_VALUE"""),43138.7055555555)</f>
        <v>43138.705555555498</v>
      </c>
      <c r="B1951" s="111">
        <f ca="1">IFERROR(__xludf.DUMMYFUNCTION("""COMPUTED_VALUE"""),20.83)</f>
        <v>20.83</v>
      </c>
      <c r="C1951" s="112">
        <f ca="1">IFERROR(__xludf.DUMMYFUNCTION("""COMPUTED_VALUE"""),43150.7055555555)</f>
        <v>43150.705555555498</v>
      </c>
      <c r="D1951" s="111">
        <f ca="1">IFERROR(__xludf.DUMMYFUNCTION("""COMPUTED_VALUE"""),33.62)</f>
        <v>33.619999999999997</v>
      </c>
      <c r="E1951" s="112">
        <f ca="1">IFERROR(__xludf.DUMMYFUNCTION("""COMPUTED_VALUE"""),43150.7055555555)</f>
        <v>43150.705555555498</v>
      </c>
      <c r="F1951" s="111">
        <f ca="1">IFERROR(__xludf.DUMMYFUNCTION("""COMPUTED_VALUE"""),11.58)</f>
        <v>11.58</v>
      </c>
      <c r="G1951" s="112">
        <f ca="1">IFERROR(__xludf.DUMMYFUNCTION("""COMPUTED_VALUE"""),43145.7055555555)</f>
        <v>43145.705555555498</v>
      </c>
      <c r="H1951" s="111">
        <f ca="1">IFERROR(__xludf.DUMMYFUNCTION("""COMPUTED_VALUE"""),19.25)</f>
        <v>19.25</v>
      </c>
      <c r="K1951" s="112">
        <f ca="1">IFERROR(__xludf.DUMMYFUNCTION("""COMPUTED_VALUE"""),43600.7055555555)</f>
        <v>43600.705555555498</v>
      </c>
      <c r="L1951" s="111">
        <f ca="1">IFERROR(__xludf.DUMMYFUNCTION("""COMPUTED_VALUE"""),5.41)</f>
        <v>5.41</v>
      </c>
      <c r="M1951" s="112">
        <f ca="1">IFERROR(__xludf.DUMMYFUNCTION("""COMPUTED_VALUE"""),43049.7055555555)</f>
        <v>43049.705555555498</v>
      </c>
      <c r="N1951" s="111">
        <f ca="1">IFERROR(__xludf.DUMMYFUNCTION("""COMPUTED_VALUE"""),20.5)</f>
        <v>20.5</v>
      </c>
      <c r="O1951" s="112">
        <f ca="1">IFERROR(__xludf.DUMMYFUNCTION("""COMPUTED_VALUE"""),43131.7055555555)</f>
        <v>43131.705555555498</v>
      </c>
      <c r="P1951" s="111">
        <f ca="1">IFERROR(__xludf.DUMMYFUNCTION("""COMPUTED_VALUE"""),41.45)</f>
        <v>41.45</v>
      </c>
      <c r="Q1951" s="112">
        <f ca="1">IFERROR(__xludf.DUMMYFUNCTION("""COMPUTED_VALUE"""),43130.7055555555)</f>
        <v>43130.705555555498</v>
      </c>
      <c r="R1951" s="111">
        <f ca="1">IFERROR(__xludf.DUMMYFUNCTION("""COMPUTED_VALUE"""),38.8)</f>
        <v>38.799999999999997</v>
      </c>
      <c r="S1951" s="112">
        <f ca="1">IFERROR(__xludf.DUMMYFUNCTION("""COMPUTED_VALUE"""),43140.7055555555)</f>
        <v>43140.705555555498</v>
      </c>
      <c r="T1951" s="111">
        <f ca="1">IFERROR(__xludf.DUMMYFUNCTION("""COMPUTED_VALUE"""),27.41)</f>
        <v>27.41</v>
      </c>
    </row>
    <row r="1952" spans="1:20" x14ac:dyDescent="0.3">
      <c r="A1952" s="112">
        <f ca="1">IFERROR(__xludf.DUMMYFUNCTION("""COMPUTED_VALUE"""),43139.7055555555)</f>
        <v>43139.705555555498</v>
      </c>
      <c r="B1952" s="111">
        <f ca="1">IFERROR(__xludf.DUMMYFUNCTION("""COMPUTED_VALUE"""),21.4)</f>
        <v>21.4</v>
      </c>
      <c r="C1952" s="112">
        <f ca="1">IFERROR(__xludf.DUMMYFUNCTION("""COMPUTED_VALUE"""),43151.7055555555)</f>
        <v>43151.705555555498</v>
      </c>
      <c r="D1952" s="111">
        <f ca="1">IFERROR(__xludf.DUMMYFUNCTION("""COMPUTED_VALUE"""),34.45)</f>
        <v>34.450000000000003</v>
      </c>
      <c r="E1952" s="112">
        <f ca="1">IFERROR(__xludf.DUMMYFUNCTION("""COMPUTED_VALUE"""),43151.7055555555)</f>
        <v>43151.705555555498</v>
      </c>
      <c r="F1952" s="111">
        <f ca="1">IFERROR(__xludf.DUMMYFUNCTION("""COMPUTED_VALUE"""),12.04)</f>
        <v>12.04</v>
      </c>
      <c r="G1952" s="112">
        <f ca="1">IFERROR(__xludf.DUMMYFUNCTION("""COMPUTED_VALUE"""),43146.7055555555)</f>
        <v>43146.705555555498</v>
      </c>
      <c r="H1952" s="111">
        <f ca="1">IFERROR(__xludf.DUMMYFUNCTION("""COMPUTED_VALUE"""),19.4)</f>
        <v>19.399999999999999</v>
      </c>
      <c r="K1952" s="112">
        <f ca="1">IFERROR(__xludf.DUMMYFUNCTION("""COMPUTED_VALUE"""),43601.7055555555)</f>
        <v>43601.705555555498</v>
      </c>
      <c r="L1952" s="111">
        <f ca="1">IFERROR(__xludf.DUMMYFUNCTION("""COMPUTED_VALUE"""),5.22)</f>
        <v>5.22</v>
      </c>
      <c r="M1952" s="112">
        <f ca="1">IFERROR(__xludf.DUMMYFUNCTION("""COMPUTED_VALUE"""),43052.7055555555)</f>
        <v>43052.705555555498</v>
      </c>
      <c r="N1952" s="111">
        <f ca="1">IFERROR(__xludf.DUMMYFUNCTION("""COMPUTED_VALUE"""),20.6)</f>
        <v>20.6</v>
      </c>
      <c r="O1952" s="112">
        <f ca="1">IFERROR(__xludf.DUMMYFUNCTION("""COMPUTED_VALUE"""),43132.7055555555)</f>
        <v>43132.705555555498</v>
      </c>
      <c r="P1952" s="111">
        <f ca="1">IFERROR(__xludf.DUMMYFUNCTION("""COMPUTED_VALUE"""),41.79)</f>
        <v>41.79</v>
      </c>
      <c r="Q1952" s="112">
        <f ca="1">IFERROR(__xludf.DUMMYFUNCTION("""COMPUTED_VALUE"""),43131.7055555555)</f>
        <v>43131.705555555498</v>
      </c>
      <c r="R1952" s="111">
        <f ca="1">IFERROR(__xludf.DUMMYFUNCTION("""COMPUTED_VALUE"""),39.68)</f>
        <v>39.68</v>
      </c>
      <c r="S1952" s="112">
        <f ca="1">IFERROR(__xludf.DUMMYFUNCTION("""COMPUTED_VALUE"""),43145.7055555555)</f>
        <v>43145.705555555498</v>
      </c>
      <c r="T1952" s="111">
        <f ca="1">IFERROR(__xludf.DUMMYFUNCTION("""COMPUTED_VALUE"""),28.02)</f>
        <v>28.02</v>
      </c>
    </row>
    <row r="1953" spans="1:20" x14ac:dyDescent="0.3">
      <c r="A1953" s="112">
        <f ca="1">IFERROR(__xludf.DUMMYFUNCTION("""COMPUTED_VALUE"""),43140.7055555555)</f>
        <v>43140.705555555498</v>
      </c>
      <c r="B1953" s="111">
        <f ca="1">IFERROR(__xludf.DUMMYFUNCTION("""COMPUTED_VALUE"""),20.89)</f>
        <v>20.89</v>
      </c>
      <c r="C1953" s="112">
        <f ca="1">IFERROR(__xludf.DUMMYFUNCTION("""COMPUTED_VALUE"""),43152.7055555555)</f>
        <v>43152.705555555498</v>
      </c>
      <c r="D1953" s="111">
        <f ca="1">IFERROR(__xludf.DUMMYFUNCTION("""COMPUTED_VALUE"""),34.9)</f>
        <v>34.9</v>
      </c>
      <c r="E1953" s="112">
        <f ca="1">IFERROR(__xludf.DUMMYFUNCTION("""COMPUTED_VALUE"""),43152.7055555555)</f>
        <v>43152.705555555498</v>
      </c>
      <c r="F1953" s="111">
        <f ca="1">IFERROR(__xludf.DUMMYFUNCTION("""COMPUTED_VALUE"""),12.25)</f>
        <v>12.25</v>
      </c>
      <c r="G1953" s="112">
        <f ca="1">IFERROR(__xludf.DUMMYFUNCTION("""COMPUTED_VALUE"""),43147.7055555555)</f>
        <v>43147.705555555498</v>
      </c>
      <c r="H1953" s="111">
        <f ca="1">IFERROR(__xludf.DUMMYFUNCTION("""COMPUTED_VALUE"""),19.42)</f>
        <v>19.420000000000002</v>
      </c>
      <c r="K1953" s="112">
        <f ca="1">IFERROR(__xludf.DUMMYFUNCTION("""COMPUTED_VALUE"""),43602.7055555555)</f>
        <v>43602.705555555498</v>
      </c>
      <c r="L1953" s="111">
        <f ca="1">IFERROR(__xludf.DUMMYFUNCTION("""COMPUTED_VALUE"""),5.28)</f>
        <v>5.28</v>
      </c>
      <c r="M1953" s="112">
        <f ca="1">IFERROR(__xludf.DUMMYFUNCTION("""COMPUTED_VALUE"""),43053.7055555555)</f>
        <v>43053.705555555498</v>
      </c>
      <c r="N1953" s="111">
        <f ca="1">IFERROR(__xludf.DUMMYFUNCTION("""COMPUTED_VALUE"""),20.16)</f>
        <v>20.16</v>
      </c>
      <c r="O1953" s="112">
        <f ca="1">IFERROR(__xludf.DUMMYFUNCTION("""COMPUTED_VALUE"""),43133.7055555555)</f>
        <v>43133.705555555498</v>
      </c>
      <c r="P1953" s="111">
        <f ca="1">IFERROR(__xludf.DUMMYFUNCTION("""COMPUTED_VALUE"""),40.8)</f>
        <v>40.799999999999997</v>
      </c>
      <c r="Q1953" s="112">
        <f ca="1">IFERROR(__xludf.DUMMYFUNCTION("""COMPUTED_VALUE"""),43132.7055555555)</f>
        <v>43132.705555555498</v>
      </c>
      <c r="R1953" s="111">
        <f ca="1">IFERROR(__xludf.DUMMYFUNCTION("""COMPUTED_VALUE"""),39.79)</f>
        <v>39.79</v>
      </c>
      <c r="S1953" s="112">
        <f ca="1">IFERROR(__xludf.DUMMYFUNCTION("""COMPUTED_VALUE"""),43146.7055555555)</f>
        <v>43146.705555555498</v>
      </c>
      <c r="T1953" s="111">
        <f ca="1">IFERROR(__xludf.DUMMYFUNCTION("""COMPUTED_VALUE"""),28.93)</f>
        <v>28.93</v>
      </c>
    </row>
    <row r="1954" spans="1:20" x14ac:dyDescent="0.3">
      <c r="A1954" s="112">
        <f ca="1">IFERROR(__xludf.DUMMYFUNCTION("""COMPUTED_VALUE"""),43145.7055555555)</f>
        <v>43145.705555555498</v>
      </c>
      <c r="B1954" s="111">
        <f ca="1">IFERROR(__xludf.DUMMYFUNCTION("""COMPUTED_VALUE"""),21.29)</f>
        <v>21.29</v>
      </c>
      <c r="C1954" s="112">
        <f ca="1">IFERROR(__xludf.DUMMYFUNCTION("""COMPUTED_VALUE"""),43153.7055555555)</f>
        <v>43153.705555555498</v>
      </c>
      <c r="D1954" s="111">
        <f ca="1">IFERROR(__xludf.DUMMYFUNCTION("""COMPUTED_VALUE"""),35.09)</f>
        <v>35.090000000000003</v>
      </c>
      <c r="E1954" s="112">
        <f ca="1">IFERROR(__xludf.DUMMYFUNCTION("""COMPUTED_VALUE"""),43153.7055555555)</f>
        <v>43153.705555555498</v>
      </c>
      <c r="F1954" s="111">
        <f ca="1">IFERROR(__xludf.DUMMYFUNCTION("""COMPUTED_VALUE"""),12.45)</f>
        <v>12.45</v>
      </c>
      <c r="G1954" s="112">
        <f ca="1">IFERROR(__xludf.DUMMYFUNCTION("""COMPUTED_VALUE"""),43150.7055555555)</f>
        <v>43150.705555555498</v>
      </c>
      <c r="H1954" s="111">
        <f ca="1">IFERROR(__xludf.DUMMYFUNCTION("""COMPUTED_VALUE"""),20.05)</f>
        <v>20.05</v>
      </c>
      <c r="K1954" s="112">
        <f ca="1">IFERROR(__xludf.DUMMYFUNCTION("""COMPUTED_VALUE"""),43605.7055555555)</f>
        <v>43605.705555555498</v>
      </c>
      <c r="L1954" s="111">
        <f ca="1">IFERROR(__xludf.DUMMYFUNCTION("""COMPUTED_VALUE"""),5.41)</f>
        <v>5.41</v>
      </c>
      <c r="M1954" s="112">
        <f ca="1">IFERROR(__xludf.DUMMYFUNCTION("""COMPUTED_VALUE"""),43055.7055555555)</f>
        <v>43055.705555555498</v>
      </c>
      <c r="N1954" s="111">
        <f ca="1">IFERROR(__xludf.DUMMYFUNCTION("""COMPUTED_VALUE"""),20.69)</f>
        <v>20.69</v>
      </c>
      <c r="O1954" s="112">
        <f ca="1">IFERROR(__xludf.DUMMYFUNCTION("""COMPUTED_VALUE"""),43136.7055555555)</f>
        <v>43136.705555555498</v>
      </c>
      <c r="P1954" s="111">
        <f ca="1">IFERROR(__xludf.DUMMYFUNCTION("""COMPUTED_VALUE"""),40.35)</f>
        <v>40.35</v>
      </c>
      <c r="Q1954" s="112">
        <f ca="1">IFERROR(__xludf.DUMMYFUNCTION("""COMPUTED_VALUE"""),43133.7055555555)</f>
        <v>43133.705555555498</v>
      </c>
      <c r="R1954" s="111">
        <f ca="1">IFERROR(__xludf.DUMMYFUNCTION("""COMPUTED_VALUE"""),39.25)</f>
        <v>39.25</v>
      </c>
      <c r="S1954" s="112">
        <f ca="1">IFERROR(__xludf.DUMMYFUNCTION("""COMPUTED_VALUE"""),43147.7055555555)</f>
        <v>43147.705555555498</v>
      </c>
      <c r="T1954" s="111">
        <f ca="1">IFERROR(__xludf.DUMMYFUNCTION("""COMPUTED_VALUE"""),28.59)</f>
        <v>28.59</v>
      </c>
    </row>
    <row r="1955" spans="1:20" x14ac:dyDescent="0.3">
      <c r="A1955" s="112">
        <f ca="1">IFERROR(__xludf.DUMMYFUNCTION("""COMPUTED_VALUE"""),43146.7055555555)</f>
        <v>43146.705555555498</v>
      </c>
      <c r="B1955" s="111">
        <f ca="1">IFERROR(__xludf.DUMMYFUNCTION("""COMPUTED_VALUE"""),21.2)</f>
        <v>21.2</v>
      </c>
      <c r="C1955" s="112">
        <f ca="1">IFERROR(__xludf.DUMMYFUNCTION("""COMPUTED_VALUE"""),43154.7055555555)</f>
        <v>43154.705555555498</v>
      </c>
      <c r="D1955" s="111">
        <f ca="1">IFERROR(__xludf.DUMMYFUNCTION("""COMPUTED_VALUE"""),35.33)</f>
        <v>35.33</v>
      </c>
      <c r="E1955" s="112">
        <f ca="1">IFERROR(__xludf.DUMMYFUNCTION("""COMPUTED_VALUE"""),43154.7055555555)</f>
        <v>43154.705555555498</v>
      </c>
      <c r="F1955" s="111">
        <f ca="1">IFERROR(__xludf.DUMMYFUNCTION("""COMPUTED_VALUE"""),11.8)</f>
        <v>11.8</v>
      </c>
      <c r="G1955" s="112">
        <f ca="1">IFERROR(__xludf.DUMMYFUNCTION("""COMPUTED_VALUE"""),43151.7055555555)</f>
        <v>43151.705555555498</v>
      </c>
      <c r="H1955" s="111">
        <f ca="1">IFERROR(__xludf.DUMMYFUNCTION("""COMPUTED_VALUE"""),20.44)</f>
        <v>20.440000000000001</v>
      </c>
      <c r="K1955" s="112">
        <f ca="1">IFERROR(__xludf.DUMMYFUNCTION("""COMPUTED_VALUE"""),43606.7055555555)</f>
        <v>43606.705555555498</v>
      </c>
      <c r="L1955" s="111">
        <f ca="1">IFERROR(__xludf.DUMMYFUNCTION("""COMPUTED_VALUE"""),5.61)</f>
        <v>5.61</v>
      </c>
      <c r="M1955" s="112">
        <f ca="1">IFERROR(__xludf.DUMMYFUNCTION("""COMPUTED_VALUE"""),43056.7055555555)</f>
        <v>43056.705555555498</v>
      </c>
      <c r="N1955" s="111">
        <f ca="1">IFERROR(__xludf.DUMMYFUNCTION("""COMPUTED_VALUE"""),21.05)</f>
        <v>21.05</v>
      </c>
      <c r="O1955" s="112">
        <f ca="1">IFERROR(__xludf.DUMMYFUNCTION("""COMPUTED_VALUE"""),43137.7055555555)</f>
        <v>43137.705555555498</v>
      </c>
      <c r="P1955" s="111">
        <f ca="1">IFERROR(__xludf.DUMMYFUNCTION("""COMPUTED_VALUE"""),42.47)</f>
        <v>42.47</v>
      </c>
      <c r="Q1955" s="112">
        <f ca="1">IFERROR(__xludf.DUMMYFUNCTION("""COMPUTED_VALUE"""),43136.7055555555)</f>
        <v>43136.705555555498</v>
      </c>
      <c r="R1955" s="111">
        <f ca="1">IFERROR(__xludf.DUMMYFUNCTION("""COMPUTED_VALUE"""),38.08)</f>
        <v>38.08</v>
      </c>
      <c r="S1955" s="112">
        <f ca="1">IFERROR(__xludf.DUMMYFUNCTION("""COMPUTED_VALUE"""),43150.7055555555)</f>
        <v>43150.705555555498</v>
      </c>
      <c r="T1955" s="111">
        <f ca="1">IFERROR(__xludf.DUMMYFUNCTION("""COMPUTED_VALUE"""),28.5)</f>
        <v>28.5</v>
      </c>
    </row>
    <row r="1956" spans="1:20" x14ac:dyDescent="0.3">
      <c r="A1956" s="112">
        <f ca="1">IFERROR(__xludf.DUMMYFUNCTION("""COMPUTED_VALUE"""),43147.7055555555)</f>
        <v>43147.705555555498</v>
      </c>
      <c r="B1956" s="111">
        <f ca="1">IFERROR(__xludf.DUMMYFUNCTION("""COMPUTED_VALUE"""),21.21)</f>
        <v>21.21</v>
      </c>
      <c r="C1956" s="112">
        <f ca="1">IFERROR(__xludf.DUMMYFUNCTION("""COMPUTED_VALUE"""),43157.7055555555)</f>
        <v>43157.705555555498</v>
      </c>
      <c r="D1956" s="111">
        <f ca="1">IFERROR(__xludf.DUMMYFUNCTION("""COMPUTED_VALUE"""),35.29)</f>
        <v>35.29</v>
      </c>
      <c r="E1956" s="112">
        <f ca="1">IFERROR(__xludf.DUMMYFUNCTION("""COMPUTED_VALUE"""),43157.7055555555)</f>
        <v>43157.705555555498</v>
      </c>
      <c r="F1956" s="111">
        <f ca="1">IFERROR(__xludf.DUMMYFUNCTION("""COMPUTED_VALUE"""),11.82)</f>
        <v>11.82</v>
      </c>
      <c r="G1956" s="112">
        <f ca="1">IFERROR(__xludf.DUMMYFUNCTION("""COMPUTED_VALUE"""),43152.7055555555)</f>
        <v>43152.705555555498</v>
      </c>
      <c r="H1956" s="111">
        <f ca="1">IFERROR(__xludf.DUMMYFUNCTION("""COMPUTED_VALUE"""),20.25)</f>
        <v>20.25</v>
      </c>
      <c r="K1956" s="112">
        <f ca="1">IFERROR(__xludf.DUMMYFUNCTION("""COMPUTED_VALUE"""),43607.7055555555)</f>
        <v>43607.705555555498</v>
      </c>
      <c r="L1956" s="111">
        <f ca="1">IFERROR(__xludf.DUMMYFUNCTION("""COMPUTED_VALUE"""),5.63)</f>
        <v>5.63</v>
      </c>
      <c r="M1956" s="112">
        <f ca="1">IFERROR(__xludf.DUMMYFUNCTION("""COMPUTED_VALUE"""),43060.7055555555)</f>
        <v>43060.705555555498</v>
      </c>
      <c r="N1956" s="111">
        <f ca="1">IFERROR(__xludf.DUMMYFUNCTION("""COMPUTED_VALUE"""),21.53)</f>
        <v>21.53</v>
      </c>
      <c r="O1956" s="112">
        <f ca="1">IFERROR(__xludf.DUMMYFUNCTION("""COMPUTED_VALUE"""),43138.7055555555)</f>
        <v>43138.705555555498</v>
      </c>
      <c r="P1956" s="111">
        <f ca="1">IFERROR(__xludf.DUMMYFUNCTION("""COMPUTED_VALUE"""),41.71)</f>
        <v>41.71</v>
      </c>
      <c r="Q1956" s="112">
        <f ca="1">IFERROR(__xludf.DUMMYFUNCTION("""COMPUTED_VALUE"""),43137.7055555555)</f>
        <v>43137.705555555498</v>
      </c>
      <c r="R1956" s="111">
        <f ca="1">IFERROR(__xludf.DUMMYFUNCTION("""COMPUTED_VALUE"""),39.75)</f>
        <v>39.75</v>
      </c>
      <c r="S1956" s="112">
        <f ca="1">IFERROR(__xludf.DUMMYFUNCTION("""COMPUTED_VALUE"""),43151.7055555555)</f>
        <v>43151.705555555498</v>
      </c>
      <c r="T1956" s="111">
        <f ca="1">IFERROR(__xludf.DUMMYFUNCTION("""COMPUTED_VALUE"""),28.64)</f>
        <v>28.64</v>
      </c>
    </row>
    <row r="1957" spans="1:20" x14ac:dyDescent="0.3">
      <c r="A1957" s="112">
        <f ca="1">IFERROR(__xludf.DUMMYFUNCTION("""COMPUTED_VALUE"""),43150.7055555555)</f>
        <v>43150.705555555498</v>
      </c>
      <c r="B1957" s="111">
        <f ca="1">IFERROR(__xludf.DUMMYFUNCTION("""COMPUTED_VALUE"""),21.18)</f>
        <v>21.18</v>
      </c>
      <c r="C1957" s="112">
        <f ca="1">IFERROR(__xludf.DUMMYFUNCTION("""COMPUTED_VALUE"""),43158.7055555555)</f>
        <v>43158.705555555498</v>
      </c>
      <c r="D1957" s="111">
        <f ca="1">IFERROR(__xludf.DUMMYFUNCTION("""COMPUTED_VALUE"""),34.77)</f>
        <v>34.770000000000003</v>
      </c>
      <c r="E1957" s="112">
        <f ca="1">IFERROR(__xludf.DUMMYFUNCTION("""COMPUTED_VALUE"""),43158.7055555555)</f>
        <v>43158.705555555498</v>
      </c>
      <c r="F1957" s="111">
        <f ca="1">IFERROR(__xludf.DUMMYFUNCTION("""COMPUTED_VALUE"""),11.66)</f>
        <v>11.66</v>
      </c>
      <c r="G1957" s="112">
        <f ca="1">IFERROR(__xludf.DUMMYFUNCTION("""COMPUTED_VALUE"""),43153.7055555555)</f>
        <v>43153.705555555498</v>
      </c>
      <c r="H1957" s="111">
        <f ca="1">IFERROR(__xludf.DUMMYFUNCTION("""COMPUTED_VALUE"""),20.74)</f>
        <v>20.74</v>
      </c>
      <c r="K1957" s="112">
        <f ca="1">IFERROR(__xludf.DUMMYFUNCTION("""COMPUTED_VALUE"""),43608.7055555555)</f>
        <v>43608.705555555498</v>
      </c>
      <c r="L1957" s="111">
        <f ca="1">IFERROR(__xludf.DUMMYFUNCTION("""COMPUTED_VALUE"""),5.64)</f>
        <v>5.64</v>
      </c>
      <c r="M1957" s="112">
        <f ca="1">IFERROR(__xludf.DUMMYFUNCTION("""COMPUTED_VALUE"""),43061.7055555555)</f>
        <v>43061.705555555498</v>
      </c>
      <c r="N1957" s="111">
        <f ca="1">IFERROR(__xludf.DUMMYFUNCTION("""COMPUTED_VALUE"""),21.29)</f>
        <v>21.29</v>
      </c>
      <c r="O1957" s="112">
        <f ca="1">IFERROR(__xludf.DUMMYFUNCTION("""COMPUTED_VALUE"""),43139.7055555555)</f>
        <v>43139.705555555498</v>
      </c>
      <c r="P1957" s="111">
        <f ca="1">IFERROR(__xludf.DUMMYFUNCTION("""COMPUTED_VALUE"""),41.59)</f>
        <v>41.59</v>
      </c>
      <c r="Q1957" s="112">
        <f ca="1">IFERROR(__xludf.DUMMYFUNCTION("""COMPUTED_VALUE"""),43138.7055555555)</f>
        <v>43138.705555555498</v>
      </c>
      <c r="R1957" s="111">
        <f ca="1">IFERROR(__xludf.DUMMYFUNCTION("""COMPUTED_VALUE"""),39.79)</f>
        <v>39.79</v>
      </c>
      <c r="S1957" s="112">
        <f ca="1">IFERROR(__xludf.DUMMYFUNCTION("""COMPUTED_VALUE"""),43152.7055555555)</f>
        <v>43152.705555555498</v>
      </c>
      <c r="T1957" s="111">
        <f ca="1">IFERROR(__xludf.DUMMYFUNCTION("""COMPUTED_VALUE"""),28.84)</f>
        <v>28.84</v>
      </c>
    </row>
    <row r="1958" spans="1:20" x14ac:dyDescent="0.3">
      <c r="A1958" s="112">
        <f ca="1">IFERROR(__xludf.DUMMYFUNCTION("""COMPUTED_VALUE"""),43151.7055555555)</f>
        <v>43151.705555555498</v>
      </c>
      <c r="B1958" s="111">
        <f ca="1">IFERROR(__xludf.DUMMYFUNCTION("""COMPUTED_VALUE"""),22.63)</f>
        <v>22.63</v>
      </c>
      <c r="C1958" s="112">
        <f ca="1">IFERROR(__xludf.DUMMYFUNCTION("""COMPUTED_VALUE"""),43159.7055555555)</f>
        <v>43159.705555555498</v>
      </c>
      <c r="D1958" s="111">
        <f ca="1">IFERROR(__xludf.DUMMYFUNCTION("""COMPUTED_VALUE"""),33.59)</f>
        <v>33.590000000000003</v>
      </c>
      <c r="E1958" s="112">
        <f ca="1">IFERROR(__xludf.DUMMYFUNCTION("""COMPUTED_VALUE"""),43159.7055555555)</f>
        <v>43159.705555555498</v>
      </c>
      <c r="F1958" s="111">
        <f ca="1">IFERROR(__xludf.DUMMYFUNCTION("""COMPUTED_VALUE"""),11.36)</f>
        <v>11.36</v>
      </c>
      <c r="G1958" s="112">
        <f ca="1">IFERROR(__xludf.DUMMYFUNCTION("""COMPUTED_VALUE"""),43154.7055555555)</f>
        <v>43154.705555555498</v>
      </c>
      <c r="H1958" s="111">
        <f ca="1">IFERROR(__xludf.DUMMYFUNCTION("""COMPUTED_VALUE"""),21.12)</f>
        <v>21.12</v>
      </c>
      <c r="K1958" s="112">
        <f ca="1">IFERROR(__xludf.DUMMYFUNCTION("""COMPUTED_VALUE"""),43609.7055555555)</f>
        <v>43609.705555555498</v>
      </c>
      <c r="L1958" s="111">
        <f ca="1">IFERROR(__xludf.DUMMYFUNCTION("""COMPUTED_VALUE"""),5.53)</f>
        <v>5.53</v>
      </c>
      <c r="M1958" s="112">
        <f ca="1">IFERROR(__xludf.DUMMYFUNCTION("""COMPUTED_VALUE"""),43062.7055555555)</f>
        <v>43062.705555555498</v>
      </c>
      <c r="N1958" s="111">
        <f ca="1">IFERROR(__xludf.DUMMYFUNCTION("""COMPUTED_VALUE"""),21.13)</f>
        <v>21.13</v>
      </c>
      <c r="O1958" s="112">
        <f ca="1">IFERROR(__xludf.DUMMYFUNCTION("""COMPUTED_VALUE"""),43140.7055555555)</f>
        <v>43140.705555555498</v>
      </c>
      <c r="P1958" s="111">
        <f ca="1">IFERROR(__xludf.DUMMYFUNCTION("""COMPUTED_VALUE"""),42)</f>
        <v>42</v>
      </c>
      <c r="Q1958" s="112">
        <f ca="1">IFERROR(__xludf.DUMMYFUNCTION("""COMPUTED_VALUE"""),43139.7055555555)</f>
        <v>43139.705555555498</v>
      </c>
      <c r="R1958" s="111">
        <f ca="1">IFERROR(__xludf.DUMMYFUNCTION("""COMPUTED_VALUE"""),38.54)</f>
        <v>38.54</v>
      </c>
      <c r="S1958" s="112">
        <f ca="1">IFERROR(__xludf.DUMMYFUNCTION("""COMPUTED_VALUE"""),43153.7055555555)</f>
        <v>43153.705555555498</v>
      </c>
      <c r="T1958" s="111">
        <f ca="1">IFERROR(__xludf.DUMMYFUNCTION("""COMPUTED_VALUE"""),29.94)</f>
        <v>29.94</v>
      </c>
    </row>
    <row r="1959" spans="1:20" x14ac:dyDescent="0.3">
      <c r="A1959" s="112">
        <f ca="1">IFERROR(__xludf.DUMMYFUNCTION("""COMPUTED_VALUE"""),43152.7055555555)</f>
        <v>43152.705555555498</v>
      </c>
      <c r="B1959" s="111">
        <f ca="1">IFERROR(__xludf.DUMMYFUNCTION("""COMPUTED_VALUE"""),23.09)</f>
        <v>23.09</v>
      </c>
      <c r="C1959" s="112">
        <f ca="1">IFERROR(__xludf.DUMMYFUNCTION("""COMPUTED_VALUE"""),43160.7055555555)</f>
        <v>43160.705555555498</v>
      </c>
      <c r="D1959" s="111">
        <f ca="1">IFERROR(__xludf.DUMMYFUNCTION("""COMPUTED_VALUE"""),34.07)</f>
        <v>34.07</v>
      </c>
      <c r="E1959" s="112">
        <f ca="1">IFERROR(__xludf.DUMMYFUNCTION("""COMPUTED_VALUE"""),43160.7055555555)</f>
        <v>43160.705555555498</v>
      </c>
      <c r="F1959" s="111">
        <f ca="1">IFERROR(__xludf.DUMMYFUNCTION("""COMPUTED_VALUE"""),11.54)</f>
        <v>11.54</v>
      </c>
      <c r="G1959" s="112">
        <f ca="1">IFERROR(__xludf.DUMMYFUNCTION("""COMPUTED_VALUE"""),43157.7055555555)</f>
        <v>43157.705555555498</v>
      </c>
      <c r="H1959" s="111">
        <f ca="1">IFERROR(__xludf.DUMMYFUNCTION("""COMPUTED_VALUE"""),21.52)</f>
        <v>21.52</v>
      </c>
      <c r="K1959" s="112">
        <f ca="1">IFERROR(__xludf.DUMMYFUNCTION("""COMPUTED_VALUE"""),43612.7055555555)</f>
        <v>43612.705555555498</v>
      </c>
      <c r="L1959" s="111">
        <f ca="1">IFERROR(__xludf.DUMMYFUNCTION("""COMPUTED_VALUE"""),5.56)</f>
        <v>5.56</v>
      </c>
      <c r="M1959" s="112">
        <f ca="1">IFERROR(__xludf.DUMMYFUNCTION("""COMPUTED_VALUE"""),43063.7055555555)</f>
        <v>43063.705555555498</v>
      </c>
      <c r="N1959" s="111">
        <f ca="1">IFERROR(__xludf.DUMMYFUNCTION("""COMPUTED_VALUE"""),20.94)</f>
        <v>20.94</v>
      </c>
      <c r="O1959" s="112">
        <f ca="1">IFERROR(__xludf.DUMMYFUNCTION("""COMPUTED_VALUE"""),43145.7055555555)</f>
        <v>43145.705555555498</v>
      </c>
      <c r="P1959" s="111">
        <f ca="1">IFERROR(__xludf.DUMMYFUNCTION("""COMPUTED_VALUE"""),44.51)</f>
        <v>44.51</v>
      </c>
      <c r="Q1959" s="112">
        <f ca="1">IFERROR(__xludf.DUMMYFUNCTION("""COMPUTED_VALUE"""),43140.7055555555)</f>
        <v>43140.705555555498</v>
      </c>
      <c r="R1959" s="111">
        <f ca="1">IFERROR(__xludf.DUMMYFUNCTION("""COMPUTED_VALUE"""),37.82)</f>
        <v>37.82</v>
      </c>
      <c r="S1959" s="112">
        <f ca="1">IFERROR(__xludf.DUMMYFUNCTION("""COMPUTED_VALUE"""),43154.7055555555)</f>
        <v>43154.705555555498</v>
      </c>
      <c r="T1959" s="111">
        <f ca="1">IFERROR(__xludf.DUMMYFUNCTION("""COMPUTED_VALUE"""),30.07)</f>
        <v>30.07</v>
      </c>
    </row>
    <row r="1960" spans="1:20" x14ac:dyDescent="0.3">
      <c r="A1960" s="112">
        <f ca="1">IFERROR(__xludf.DUMMYFUNCTION("""COMPUTED_VALUE"""),43153.7055555555)</f>
        <v>43153.705555555498</v>
      </c>
      <c r="B1960" s="111">
        <f ca="1">IFERROR(__xludf.DUMMYFUNCTION("""COMPUTED_VALUE"""),23.63)</f>
        <v>23.63</v>
      </c>
      <c r="C1960" s="112">
        <f ca="1">IFERROR(__xludf.DUMMYFUNCTION("""COMPUTED_VALUE"""),43161.7055555555)</f>
        <v>43161.705555555498</v>
      </c>
      <c r="D1960" s="111">
        <f ca="1">IFERROR(__xludf.DUMMYFUNCTION("""COMPUTED_VALUE"""),34.25)</f>
        <v>34.25</v>
      </c>
      <c r="E1960" s="112">
        <f ca="1">IFERROR(__xludf.DUMMYFUNCTION("""COMPUTED_VALUE"""),43161.7055555555)</f>
        <v>43161.705555555498</v>
      </c>
      <c r="F1960" s="111">
        <f ca="1">IFERROR(__xludf.DUMMYFUNCTION("""COMPUTED_VALUE"""),11.64)</f>
        <v>11.64</v>
      </c>
      <c r="G1960" s="112">
        <f ca="1">IFERROR(__xludf.DUMMYFUNCTION("""COMPUTED_VALUE"""),43158.7055555555)</f>
        <v>43158.705555555498</v>
      </c>
      <c r="H1960" s="111">
        <f ca="1">IFERROR(__xludf.DUMMYFUNCTION("""COMPUTED_VALUE"""),21.5)</f>
        <v>21.5</v>
      </c>
      <c r="K1960" s="112">
        <f ca="1">IFERROR(__xludf.DUMMYFUNCTION("""COMPUTED_VALUE"""),43613.7055555555)</f>
        <v>43613.705555555498</v>
      </c>
      <c r="L1960" s="111">
        <f ca="1">IFERROR(__xludf.DUMMYFUNCTION("""COMPUTED_VALUE"""),5.91)</f>
        <v>5.91</v>
      </c>
      <c r="M1960" s="112">
        <f ca="1">IFERROR(__xludf.DUMMYFUNCTION("""COMPUTED_VALUE"""),43066.7055555555)</f>
        <v>43066.705555555498</v>
      </c>
      <c r="N1960" s="111">
        <f ca="1">IFERROR(__xludf.DUMMYFUNCTION("""COMPUTED_VALUE"""),20.91)</f>
        <v>20.91</v>
      </c>
      <c r="O1960" s="112">
        <f ca="1">IFERROR(__xludf.DUMMYFUNCTION("""COMPUTED_VALUE"""),43146.7055555555)</f>
        <v>43146.705555555498</v>
      </c>
      <c r="P1960" s="111">
        <f ca="1">IFERROR(__xludf.DUMMYFUNCTION("""COMPUTED_VALUE"""),45.95)</f>
        <v>45.95</v>
      </c>
      <c r="Q1960" s="112">
        <f ca="1">IFERROR(__xludf.DUMMYFUNCTION("""COMPUTED_VALUE"""),43145.7055555555)</f>
        <v>43145.705555555498</v>
      </c>
      <c r="R1960" s="111">
        <f ca="1">IFERROR(__xludf.DUMMYFUNCTION("""COMPUTED_VALUE"""),39.56)</f>
        <v>39.56</v>
      </c>
      <c r="S1960" s="112">
        <f ca="1">IFERROR(__xludf.DUMMYFUNCTION("""COMPUTED_VALUE"""),43157.7055555555)</f>
        <v>43157.705555555498</v>
      </c>
      <c r="T1960" s="111">
        <f ca="1">IFERROR(__xludf.DUMMYFUNCTION("""COMPUTED_VALUE"""),29.64)</f>
        <v>29.64</v>
      </c>
    </row>
    <row r="1961" spans="1:20" x14ac:dyDescent="0.3">
      <c r="A1961" s="112">
        <f ca="1">IFERROR(__xludf.DUMMYFUNCTION("""COMPUTED_VALUE"""),43154.7055555555)</f>
        <v>43154.705555555498</v>
      </c>
      <c r="B1961" s="111">
        <f ca="1">IFERROR(__xludf.DUMMYFUNCTION("""COMPUTED_VALUE"""),24.62)</f>
        <v>24.62</v>
      </c>
      <c r="C1961" s="112">
        <f ca="1">IFERROR(__xludf.DUMMYFUNCTION("""COMPUTED_VALUE"""),43164.7055555555)</f>
        <v>43164.705555555498</v>
      </c>
      <c r="D1961" s="111">
        <f ca="1">IFERROR(__xludf.DUMMYFUNCTION("""COMPUTED_VALUE"""),34.74)</f>
        <v>34.74</v>
      </c>
      <c r="E1961" s="112">
        <f ca="1">IFERROR(__xludf.DUMMYFUNCTION("""COMPUTED_VALUE"""),43164.7055555555)</f>
        <v>43164.705555555498</v>
      </c>
      <c r="F1961" s="111">
        <f ca="1">IFERROR(__xludf.DUMMYFUNCTION("""COMPUTED_VALUE"""),11.95)</f>
        <v>11.95</v>
      </c>
      <c r="G1961" s="112">
        <f ca="1">IFERROR(__xludf.DUMMYFUNCTION("""COMPUTED_VALUE"""),43159.7055555555)</f>
        <v>43159.705555555498</v>
      </c>
      <c r="H1961" s="111">
        <f ca="1">IFERROR(__xludf.DUMMYFUNCTION("""COMPUTED_VALUE"""),21.46)</f>
        <v>21.46</v>
      </c>
      <c r="K1961" s="112">
        <f ca="1">IFERROR(__xludf.DUMMYFUNCTION("""COMPUTED_VALUE"""),43614.7055555555)</f>
        <v>43614.705555555498</v>
      </c>
      <c r="L1961" s="111">
        <f ca="1">IFERROR(__xludf.DUMMYFUNCTION("""COMPUTED_VALUE"""),5.92)</f>
        <v>5.92</v>
      </c>
      <c r="M1961" s="112">
        <f ca="1">IFERROR(__xludf.DUMMYFUNCTION("""COMPUTED_VALUE"""),43067.7055555555)</f>
        <v>43067.705555555498</v>
      </c>
      <c r="N1961" s="111">
        <f ca="1">IFERROR(__xludf.DUMMYFUNCTION("""COMPUTED_VALUE"""),20.97)</f>
        <v>20.97</v>
      </c>
      <c r="O1961" s="112">
        <f ca="1">IFERROR(__xludf.DUMMYFUNCTION("""COMPUTED_VALUE"""),43147.7055555555)</f>
        <v>43147.705555555498</v>
      </c>
      <c r="P1961" s="111">
        <f ca="1">IFERROR(__xludf.DUMMYFUNCTION("""COMPUTED_VALUE"""),46.03)</f>
        <v>46.03</v>
      </c>
      <c r="Q1961" s="112">
        <f ca="1">IFERROR(__xludf.DUMMYFUNCTION("""COMPUTED_VALUE"""),43146.7055555555)</f>
        <v>43146.705555555498</v>
      </c>
      <c r="R1961" s="111">
        <f ca="1">IFERROR(__xludf.DUMMYFUNCTION("""COMPUTED_VALUE"""),39.9)</f>
        <v>39.9</v>
      </c>
      <c r="S1961" s="112">
        <f ca="1">IFERROR(__xludf.DUMMYFUNCTION("""COMPUTED_VALUE"""),43158.7055555555)</f>
        <v>43158.705555555498</v>
      </c>
      <c r="T1961" s="111">
        <f ca="1">IFERROR(__xludf.DUMMYFUNCTION("""COMPUTED_VALUE"""),28.64)</f>
        <v>28.64</v>
      </c>
    </row>
    <row r="1962" spans="1:20" x14ac:dyDescent="0.3">
      <c r="A1962" s="112">
        <f ca="1">IFERROR(__xludf.DUMMYFUNCTION("""COMPUTED_VALUE"""),43157.7055555555)</f>
        <v>43157.705555555498</v>
      </c>
      <c r="B1962" s="111">
        <f ca="1">IFERROR(__xludf.DUMMYFUNCTION("""COMPUTED_VALUE"""),24.19)</f>
        <v>24.19</v>
      </c>
      <c r="C1962" s="112">
        <f ca="1">IFERROR(__xludf.DUMMYFUNCTION("""COMPUTED_VALUE"""),43165.7055555555)</f>
        <v>43165.705555555498</v>
      </c>
      <c r="D1962" s="111">
        <f ca="1">IFERROR(__xludf.DUMMYFUNCTION("""COMPUTED_VALUE"""),34.61)</f>
        <v>34.61</v>
      </c>
      <c r="E1962" s="112">
        <f ca="1">IFERROR(__xludf.DUMMYFUNCTION("""COMPUTED_VALUE"""),43165.7055555555)</f>
        <v>43165.705555555498</v>
      </c>
      <c r="F1962" s="111">
        <f ca="1">IFERROR(__xludf.DUMMYFUNCTION("""COMPUTED_VALUE"""),11.9)</f>
        <v>11.9</v>
      </c>
      <c r="G1962" s="112">
        <f ca="1">IFERROR(__xludf.DUMMYFUNCTION("""COMPUTED_VALUE"""),43160.7055555555)</f>
        <v>43160.705555555498</v>
      </c>
      <c r="H1962" s="111">
        <f ca="1">IFERROR(__xludf.DUMMYFUNCTION("""COMPUTED_VALUE"""),21.03)</f>
        <v>21.03</v>
      </c>
      <c r="K1962" s="112">
        <f ca="1">IFERROR(__xludf.DUMMYFUNCTION("""COMPUTED_VALUE"""),43615.7055555555)</f>
        <v>43615.705555555498</v>
      </c>
      <c r="L1962" s="111">
        <f ca="1">IFERROR(__xludf.DUMMYFUNCTION("""COMPUTED_VALUE"""),6.03)</f>
        <v>6.03</v>
      </c>
      <c r="M1962" s="112">
        <f ca="1">IFERROR(__xludf.DUMMYFUNCTION("""COMPUTED_VALUE"""),43068.7055555555)</f>
        <v>43068.705555555498</v>
      </c>
      <c r="N1962" s="111">
        <f ca="1">IFERROR(__xludf.DUMMYFUNCTION("""COMPUTED_VALUE"""),20.57)</f>
        <v>20.57</v>
      </c>
      <c r="O1962" s="112">
        <f ca="1">IFERROR(__xludf.DUMMYFUNCTION("""COMPUTED_VALUE"""),43150.7055555555)</f>
        <v>43150.705555555498</v>
      </c>
      <c r="P1962" s="111">
        <f ca="1">IFERROR(__xludf.DUMMYFUNCTION("""COMPUTED_VALUE"""),46.45)</f>
        <v>46.45</v>
      </c>
      <c r="Q1962" s="112">
        <f ca="1">IFERROR(__xludf.DUMMYFUNCTION("""COMPUTED_VALUE"""),43147.7055555555)</f>
        <v>43147.705555555498</v>
      </c>
      <c r="R1962" s="111">
        <f ca="1">IFERROR(__xludf.DUMMYFUNCTION("""COMPUTED_VALUE"""),40.3)</f>
        <v>40.299999999999997</v>
      </c>
      <c r="S1962" s="112">
        <f ca="1">IFERROR(__xludf.DUMMYFUNCTION("""COMPUTED_VALUE"""),43159.7055555555)</f>
        <v>43159.705555555498</v>
      </c>
      <c r="T1962" s="111">
        <f ca="1">IFERROR(__xludf.DUMMYFUNCTION("""COMPUTED_VALUE"""),28.53)</f>
        <v>28.53</v>
      </c>
    </row>
    <row r="1963" spans="1:20" x14ac:dyDescent="0.3">
      <c r="A1963" s="112">
        <f ca="1">IFERROR(__xludf.DUMMYFUNCTION("""COMPUTED_VALUE"""),43158.7055555555)</f>
        <v>43158.705555555498</v>
      </c>
      <c r="B1963" s="111">
        <f ca="1">IFERROR(__xludf.DUMMYFUNCTION("""COMPUTED_VALUE"""),24.62)</f>
        <v>24.62</v>
      </c>
      <c r="C1963" s="112">
        <f ca="1">IFERROR(__xludf.DUMMYFUNCTION("""COMPUTED_VALUE"""),43166.7055555555)</f>
        <v>43166.705555555498</v>
      </c>
      <c r="D1963" s="111">
        <f ca="1">IFERROR(__xludf.DUMMYFUNCTION("""COMPUTED_VALUE"""),34.57)</f>
        <v>34.57</v>
      </c>
      <c r="E1963" s="112">
        <f ca="1">IFERROR(__xludf.DUMMYFUNCTION("""COMPUTED_VALUE"""),43166.7055555555)</f>
        <v>43166.705555555498</v>
      </c>
      <c r="F1963" s="111">
        <f ca="1">IFERROR(__xludf.DUMMYFUNCTION("""COMPUTED_VALUE"""),11.86)</f>
        <v>11.86</v>
      </c>
      <c r="G1963" s="112">
        <f ca="1">IFERROR(__xludf.DUMMYFUNCTION("""COMPUTED_VALUE"""),43161.7055555555)</f>
        <v>43161.705555555498</v>
      </c>
      <c r="H1963" s="111">
        <f ca="1">IFERROR(__xludf.DUMMYFUNCTION("""COMPUTED_VALUE"""),21.51)</f>
        <v>21.51</v>
      </c>
      <c r="K1963" s="112">
        <f ca="1">IFERROR(__xludf.DUMMYFUNCTION("""COMPUTED_VALUE"""),43616.7055555555)</f>
        <v>43616.705555555498</v>
      </c>
      <c r="L1963" s="111">
        <f ca="1">IFERROR(__xludf.DUMMYFUNCTION("""COMPUTED_VALUE"""),6.13)</f>
        <v>6.13</v>
      </c>
      <c r="M1963" s="112">
        <f ca="1">IFERROR(__xludf.DUMMYFUNCTION("""COMPUTED_VALUE"""),43069.7055555555)</f>
        <v>43069.705555555498</v>
      </c>
      <c r="N1963" s="111">
        <f ca="1">IFERROR(__xludf.DUMMYFUNCTION("""COMPUTED_VALUE"""),20.44)</f>
        <v>20.440000000000001</v>
      </c>
      <c r="O1963" s="112">
        <f ca="1">IFERROR(__xludf.DUMMYFUNCTION("""COMPUTED_VALUE"""),43151.7055555555)</f>
        <v>43151.705555555498</v>
      </c>
      <c r="P1963" s="111">
        <f ca="1">IFERROR(__xludf.DUMMYFUNCTION("""COMPUTED_VALUE"""),45.51)</f>
        <v>45.51</v>
      </c>
      <c r="Q1963" s="112">
        <f ca="1">IFERROR(__xludf.DUMMYFUNCTION("""COMPUTED_VALUE"""),43150.7055555555)</f>
        <v>43150.705555555498</v>
      </c>
      <c r="R1963" s="111">
        <f ca="1">IFERROR(__xludf.DUMMYFUNCTION("""COMPUTED_VALUE"""),39.63)</f>
        <v>39.630000000000003</v>
      </c>
      <c r="S1963" s="112">
        <f ca="1">IFERROR(__xludf.DUMMYFUNCTION("""COMPUTED_VALUE"""),43160.7055555555)</f>
        <v>43160.705555555498</v>
      </c>
      <c r="T1963" s="111">
        <f ca="1">IFERROR(__xludf.DUMMYFUNCTION("""COMPUTED_VALUE"""),28.68)</f>
        <v>28.68</v>
      </c>
    </row>
    <row r="1964" spans="1:20" x14ac:dyDescent="0.3">
      <c r="A1964" s="112">
        <f ca="1">IFERROR(__xludf.DUMMYFUNCTION("""COMPUTED_VALUE"""),43159.7055555555)</f>
        <v>43159.705555555498</v>
      </c>
      <c r="B1964" s="111">
        <f ca="1">IFERROR(__xludf.DUMMYFUNCTION("""COMPUTED_VALUE"""),24.5)</f>
        <v>24.5</v>
      </c>
      <c r="C1964" s="112">
        <f ca="1">IFERROR(__xludf.DUMMYFUNCTION("""COMPUTED_VALUE"""),43167.7055555555)</f>
        <v>43167.705555555498</v>
      </c>
      <c r="D1964" s="111">
        <f ca="1">IFERROR(__xludf.DUMMYFUNCTION("""COMPUTED_VALUE"""),34.33)</f>
        <v>34.33</v>
      </c>
      <c r="E1964" s="112">
        <f ca="1">IFERROR(__xludf.DUMMYFUNCTION("""COMPUTED_VALUE"""),43167.7055555555)</f>
        <v>43167.705555555498</v>
      </c>
      <c r="F1964" s="111">
        <f ca="1">IFERROR(__xludf.DUMMYFUNCTION("""COMPUTED_VALUE"""),11.78)</f>
        <v>11.78</v>
      </c>
      <c r="G1964" s="112">
        <f ca="1">IFERROR(__xludf.DUMMYFUNCTION("""COMPUTED_VALUE"""),43164.7055555555)</f>
        <v>43164.705555555498</v>
      </c>
      <c r="H1964" s="111">
        <f ca="1">IFERROR(__xludf.DUMMYFUNCTION("""COMPUTED_VALUE"""),22.12)</f>
        <v>22.12</v>
      </c>
      <c r="K1964" s="112">
        <f ca="1">IFERROR(__xludf.DUMMYFUNCTION("""COMPUTED_VALUE"""),43619.7055555555)</f>
        <v>43619.705555555498</v>
      </c>
      <c r="L1964" s="111">
        <f ca="1">IFERROR(__xludf.DUMMYFUNCTION("""COMPUTED_VALUE"""),6.09)</f>
        <v>6.09</v>
      </c>
      <c r="M1964" s="112">
        <f ca="1">IFERROR(__xludf.DUMMYFUNCTION("""COMPUTED_VALUE"""),43070.7055555555)</f>
        <v>43070.705555555498</v>
      </c>
      <c r="N1964" s="111">
        <f ca="1">IFERROR(__xludf.DUMMYFUNCTION("""COMPUTED_VALUE"""),20.39)</f>
        <v>20.39</v>
      </c>
      <c r="O1964" s="112">
        <f ca="1">IFERROR(__xludf.DUMMYFUNCTION("""COMPUTED_VALUE"""),43152.7055555555)</f>
        <v>43152.705555555498</v>
      </c>
      <c r="P1964" s="111">
        <f ca="1">IFERROR(__xludf.DUMMYFUNCTION("""COMPUTED_VALUE"""),44.8)</f>
        <v>44.8</v>
      </c>
      <c r="Q1964" s="112">
        <f ca="1">IFERROR(__xludf.DUMMYFUNCTION("""COMPUTED_VALUE"""),43151.7055555555)</f>
        <v>43151.705555555498</v>
      </c>
      <c r="R1964" s="111">
        <f ca="1">IFERROR(__xludf.DUMMYFUNCTION("""COMPUTED_VALUE"""),40.8)</f>
        <v>40.799999999999997</v>
      </c>
      <c r="S1964" s="112">
        <f ca="1">IFERROR(__xludf.DUMMYFUNCTION("""COMPUTED_VALUE"""),43161.7055555555)</f>
        <v>43161.705555555498</v>
      </c>
      <c r="T1964" s="111">
        <f ca="1">IFERROR(__xludf.DUMMYFUNCTION("""COMPUTED_VALUE"""),29.17)</f>
        <v>29.17</v>
      </c>
    </row>
    <row r="1965" spans="1:20" x14ac:dyDescent="0.3">
      <c r="A1965" s="112">
        <f ca="1">IFERROR(__xludf.DUMMYFUNCTION("""COMPUTED_VALUE"""),43160.7055555555)</f>
        <v>43160.705555555498</v>
      </c>
      <c r="B1965" s="111">
        <f ca="1">IFERROR(__xludf.DUMMYFUNCTION("""COMPUTED_VALUE"""),23.9)</f>
        <v>23.9</v>
      </c>
      <c r="C1965" s="112">
        <f ca="1">IFERROR(__xludf.DUMMYFUNCTION("""COMPUTED_VALUE"""),43168.7055555555)</f>
        <v>43168.705555555498</v>
      </c>
      <c r="D1965" s="111">
        <f ca="1">IFERROR(__xludf.DUMMYFUNCTION("""COMPUTED_VALUE"""),34.8)</f>
        <v>34.799999999999997</v>
      </c>
      <c r="E1965" s="112">
        <f ca="1">IFERROR(__xludf.DUMMYFUNCTION("""COMPUTED_VALUE"""),43168.7055555555)</f>
        <v>43168.705555555498</v>
      </c>
      <c r="F1965" s="111">
        <f ca="1">IFERROR(__xludf.DUMMYFUNCTION("""COMPUTED_VALUE"""),11.89)</f>
        <v>11.89</v>
      </c>
      <c r="G1965" s="112">
        <f ca="1">IFERROR(__xludf.DUMMYFUNCTION("""COMPUTED_VALUE"""),43165.7055555555)</f>
        <v>43165.705555555498</v>
      </c>
      <c r="H1965" s="111">
        <f ca="1">IFERROR(__xludf.DUMMYFUNCTION("""COMPUTED_VALUE"""),21.9)</f>
        <v>21.9</v>
      </c>
      <c r="K1965" s="112">
        <f ca="1">IFERROR(__xludf.DUMMYFUNCTION("""COMPUTED_VALUE"""),43620.7055555555)</f>
        <v>43620.705555555498</v>
      </c>
      <c r="L1965" s="111">
        <f ca="1">IFERROR(__xludf.DUMMYFUNCTION("""COMPUTED_VALUE"""),6.08)</f>
        <v>6.08</v>
      </c>
      <c r="M1965" s="112">
        <f ca="1">IFERROR(__xludf.DUMMYFUNCTION("""COMPUTED_VALUE"""),43073.7055555555)</f>
        <v>43073.705555555498</v>
      </c>
      <c r="N1965" s="111">
        <f ca="1">IFERROR(__xludf.DUMMYFUNCTION("""COMPUTED_VALUE"""),20.73)</f>
        <v>20.73</v>
      </c>
      <c r="O1965" s="112">
        <f ca="1">IFERROR(__xludf.DUMMYFUNCTION("""COMPUTED_VALUE"""),43153.7055555555)</f>
        <v>43153.705555555498</v>
      </c>
      <c r="P1965" s="111">
        <f ca="1">IFERROR(__xludf.DUMMYFUNCTION("""COMPUTED_VALUE"""),45.67)</f>
        <v>45.67</v>
      </c>
      <c r="Q1965" s="112">
        <f ca="1">IFERROR(__xludf.DUMMYFUNCTION("""COMPUTED_VALUE"""),43152.7055555555)</f>
        <v>43152.705555555498</v>
      </c>
      <c r="R1965" s="111">
        <f ca="1">IFERROR(__xludf.DUMMYFUNCTION("""COMPUTED_VALUE"""),41.12)</f>
        <v>41.12</v>
      </c>
      <c r="S1965" s="112">
        <f ca="1">IFERROR(__xludf.DUMMYFUNCTION("""COMPUTED_VALUE"""),43164.7055555555)</f>
        <v>43164.705555555498</v>
      </c>
      <c r="T1965" s="111">
        <f ca="1">IFERROR(__xludf.DUMMYFUNCTION("""COMPUTED_VALUE"""),28.85)</f>
        <v>28.85</v>
      </c>
    </row>
    <row r="1966" spans="1:20" x14ac:dyDescent="0.3">
      <c r="A1966" s="112">
        <f ca="1">IFERROR(__xludf.DUMMYFUNCTION("""COMPUTED_VALUE"""),43161.7055555555)</f>
        <v>43161.705555555498</v>
      </c>
      <c r="B1966" s="111">
        <f ca="1">IFERROR(__xludf.DUMMYFUNCTION("""COMPUTED_VALUE"""),24.44)</f>
        <v>24.44</v>
      </c>
      <c r="C1966" s="112">
        <f ca="1">IFERROR(__xludf.DUMMYFUNCTION("""COMPUTED_VALUE"""),43171.7055555555)</f>
        <v>43171.705555555498</v>
      </c>
      <c r="D1966" s="111">
        <f ca="1">IFERROR(__xludf.DUMMYFUNCTION("""COMPUTED_VALUE"""),35.19)</f>
        <v>35.19</v>
      </c>
      <c r="E1966" s="112">
        <f ca="1">IFERROR(__xludf.DUMMYFUNCTION("""COMPUTED_VALUE"""),43171.7055555555)</f>
        <v>43171.705555555498</v>
      </c>
      <c r="F1966" s="111">
        <f ca="1">IFERROR(__xludf.DUMMYFUNCTION("""COMPUTED_VALUE"""),12)</f>
        <v>12</v>
      </c>
      <c r="G1966" s="112">
        <f ca="1">IFERROR(__xludf.DUMMYFUNCTION("""COMPUTED_VALUE"""),43166.7055555555)</f>
        <v>43166.705555555498</v>
      </c>
      <c r="H1966" s="111">
        <f ca="1">IFERROR(__xludf.DUMMYFUNCTION("""COMPUTED_VALUE"""),21.67)</f>
        <v>21.67</v>
      </c>
      <c r="K1966" s="112">
        <f ca="1">IFERROR(__xludf.DUMMYFUNCTION("""COMPUTED_VALUE"""),43621.7055555555)</f>
        <v>43621.705555555498</v>
      </c>
      <c r="L1966" s="111">
        <f ca="1">IFERROR(__xludf.DUMMYFUNCTION("""COMPUTED_VALUE"""),5.98)</f>
        <v>5.98</v>
      </c>
      <c r="M1966" s="112">
        <f ca="1">IFERROR(__xludf.DUMMYFUNCTION("""COMPUTED_VALUE"""),43074.7055555555)</f>
        <v>43074.705555555498</v>
      </c>
      <c r="N1966" s="111">
        <f ca="1">IFERROR(__xludf.DUMMYFUNCTION("""COMPUTED_VALUE"""),20.52)</f>
        <v>20.52</v>
      </c>
      <c r="O1966" s="112">
        <f ca="1">IFERROR(__xludf.DUMMYFUNCTION("""COMPUTED_VALUE"""),43154.7055555555)</f>
        <v>43154.705555555498</v>
      </c>
      <c r="P1966" s="111">
        <f ca="1">IFERROR(__xludf.DUMMYFUNCTION("""COMPUTED_VALUE"""),46.08)</f>
        <v>46.08</v>
      </c>
      <c r="Q1966" s="112">
        <f ca="1">IFERROR(__xludf.DUMMYFUNCTION("""COMPUTED_VALUE"""),43153.7055555555)</f>
        <v>43153.705555555498</v>
      </c>
      <c r="R1966" s="111">
        <f ca="1">IFERROR(__xludf.DUMMYFUNCTION("""COMPUTED_VALUE"""),42.4)</f>
        <v>42.4</v>
      </c>
      <c r="S1966" s="112">
        <f ca="1">IFERROR(__xludf.DUMMYFUNCTION("""COMPUTED_VALUE"""),43165.7055555555)</f>
        <v>43165.705555555498</v>
      </c>
      <c r="T1966" s="111">
        <f ca="1">IFERROR(__xludf.DUMMYFUNCTION("""COMPUTED_VALUE"""),28.51)</f>
        <v>28.51</v>
      </c>
    </row>
    <row r="1967" spans="1:20" x14ac:dyDescent="0.3">
      <c r="A1967" s="112">
        <f ca="1">IFERROR(__xludf.DUMMYFUNCTION("""COMPUTED_VALUE"""),43164.7055555555)</f>
        <v>43164.705555555498</v>
      </c>
      <c r="B1967" s="111">
        <f ca="1">IFERROR(__xludf.DUMMYFUNCTION("""COMPUTED_VALUE"""),24.4)</f>
        <v>24.4</v>
      </c>
      <c r="C1967" s="112">
        <f ca="1">IFERROR(__xludf.DUMMYFUNCTION("""COMPUTED_VALUE"""),43172.7055555555)</f>
        <v>43172.705555555498</v>
      </c>
      <c r="D1967" s="111">
        <f ca="1">IFERROR(__xludf.DUMMYFUNCTION("""COMPUTED_VALUE"""),34.91)</f>
        <v>34.909999999999997</v>
      </c>
      <c r="E1967" s="112">
        <f ca="1">IFERROR(__xludf.DUMMYFUNCTION("""COMPUTED_VALUE"""),43172.7055555555)</f>
        <v>43172.705555555498</v>
      </c>
      <c r="F1967" s="111">
        <f ca="1">IFERROR(__xludf.DUMMYFUNCTION("""COMPUTED_VALUE"""),11.92)</f>
        <v>11.92</v>
      </c>
      <c r="G1967" s="112">
        <f ca="1">IFERROR(__xludf.DUMMYFUNCTION("""COMPUTED_VALUE"""),43167.7055555555)</f>
        <v>43167.705555555498</v>
      </c>
      <c r="H1967" s="111">
        <f ca="1">IFERROR(__xludf.DUMMYFUNCTION("""COMPUTED_VALUE"""),21.7)</f>
        <v>21.7</v>
      </c>
      <c r="K1967" s="112">
        <f ca="1">IFERROR(__xludf.DUMMYFUNCTION("""COMPUTED_VALUE"""),43622.7055555555)</f>
        <v>43622.705555555498</v>
      </c>
      <c r="L1967" s="111">
        <f ca="1">IFERROR(__xludf.DUMMYFUNCTION("""COMPUTED_VALUE"""),5.94)</f>
        <v>5.94</v>
      </c>
      <c r="M1967" s="112">
        <f ca="1">IFERROR(__xludf.DUMMYFUNCTION("""COMPUTED_VALUE"""),43075.7055555555)</f>
        <v>43075.705555555498</v>
      </c>
      <c r="N1967" s="111">
        <f ca="1">IFERROR(__xludf.DUMMYFUNCTION("""COMPUTED_VALUE"""),20.73)</f>
        <v>20.73</v>
      </c>
      <c r="O1967" s="112">
        <f ca="1">IFERROR(__xludf.DUMMYFUNCTION("""COMPUTED_VALUE"""),43157.7055555555)</f>
        <v>43157.705555555498</v>
      </c>
      <c r="P1967" s="111">
        <f ca="1">IFERROR(__xludf.DUMMYFUNCTION("""COMPUTED_VALUE"""),47.4)</f>
        <v>47.4</v>
      </c>
      <c r="Q1967" s="112">
        <f ca="1">IFERROR(__xludf.DUMMYFUNCTION("""COMPUTED_VALUE"""),43154.7055555555)</f>
        <v>43154.705555555498</v>
      </c>
      <c r="R1967" s="111">
        <f ca="1">IFERROR(__xludf.DUMMYFUNCTION("""COMPUTED_VALUE"""),42.4)</f>
        <v>42.4</v>
      </c>
      <c r="S1967" s="112">
        <f ca="1">IFERROR(__xludf.DUMMYFUNCTION("""COMPUTED_VALUE"""),43166.7055555555)</f>
        <v>43166.705555555498</v>
      </c>
      <c r="T1967" s="111">
        <f ca="1">IFERROR(__xludf.DUMMYFUNCTION("""COMPUTED_VALUE"""),28.6)</f>
        <v>28.6</v>
      </c>
    </row>
    <row r="1968" spans="1:20" x14ac:dyDescent="0.3">
      <c r="A1968" s="112">
        <f ca="1">IFERROR(__xludf.DUMMYFUNCTION("""COMPUTED_VALUE"""),43165.7055555555)</f>
        <v>43165.705555555498</v>
      </c>
      <c r="B1968" s="111">
        <f ca="1">IFERROR(__xludf.DUMMYFUNCTION("""COMPUTED_VALUE"""),24.13)</f>
        <v>24.13</v>
      </c>
      <c r="C1968" s="112">
        <f ca="1">IFERROR(__xludf.DUMMYFUNCTION("""COMPUTED_VALUE"""),43173.7055555555)</f>
        <v>43173.705555555498</v>
      </c>
      <c r="D1968" s="111">
        <f ca="1">IFERROR(__xludf.DUMMYFUNCTION("""COMPUTED_VALUE"""),34.13)</f>
        <v>34.130000000000003</v>
      </c>
      <c r="E1968" s="112">
        <f ca="1">IFERROR(__xludf.DUMMYFUNCTION("""COMPUTED_VALUE"""),43173.7055555555)</f>
        <v>43173.705555555498</v>
      </c>
      <c r="F1968" s="111">
        <f ca="1">IFERROR(__xludf.DUMMYFUNCTION("""COMPUTED_VALUE"""),11.8)</f>
        <v>11.8</v>
      </c>
      <c r="G1968" s="112">
        <f ca="1">IFERROR(__xludf.DUMMYFUNCTION("""COMPUTED_VALUE"""),43168.7055555555)</f>
        <v>43168.705555555498</v>
      </c>
      <c r="H1968" s="111">
        <f ca="1">IFERROR(__xludf.DUMMYFUNCTION("""COMPUTED_VALUE"""),22.39)</f>
        <v>22.39</v>
      </c>
      <c r="K1968" s="112">
        <f ca="1">IFERROR(__xludf.DUMMYFUNCTION("""COMPUTED_VALUE"""),43623.7055555555)</f>
        <v>43623.705555555498</v>
      </c>
      <c r="L1968" s="111">
        <f ca="1">IFERROR(__xludf.DUMMYFUNCTION("""COMPUTED_VALUE"""),6.2)</f>
        <v>6.2</v>
      </c>
      <c r="M1968" s="112">
        <f ca="1">IFERROR(__xludf.DUMMYFUNCTION("""COMPUTED_VALUE"""),43076.7055555555)</f>
        <v>43076.705555555498</v>
      </c>
      <c r="N1968" s="111">
        <f ca="1">IFERROR(__xludf.DUMMYFUNCTION("""COMPUTED_VALUE"""),20.58)</f>
        <v>20.58</v>
      </c>
      <c r="O1968" s="112">
        <f ca="1">IFERROR(__xludf.DUMMYFUNCTION("""COMPUTED_VALUE"""),43158.7055555555)</f>
        <v>43158.705555555498</v>
      </c>
      <c r="P1968" s="111">
        <f ca="1">IFERROR(__xludf.DUMMYFUNCTION("""COMPUTED_VALUE"""),47.33)</f>
        <v>47.33</v>
      </c>
      <c r="Q1968" s="112">
        <f ca="1">IFERROR(__xludf.DUMMYFUNCTION("""COMPUTED_VALUE"""),43157.7055555555)</f>
        <v>43157.705555555498</v>
      </c>
      <c r="R1968" s="111">
        <f ca="1">IFERROR(__xludf.DUMMYFUNCTION("""COMPUTED_VALUE"""),43.02)</f>
        <v>43.02</v>
      </c>
      <c r="S1968" s="112">
        <f ca="1">IFERROR(__xludf.DUMMYFUNCTION("""COMPUTED_VALUE"""),43167.7055555555)</f>
        <v>43167.705555555498</v>
      </c>
      <c r="T1968" s="111">
        <f ca="1">IFERROR(__xludf.DUMMYFUNCTION("""COMPUTED_VALUE"""),28.64)</f>
        <v>28.64</v>
      </c>
    </row>
    <row r="1969" spans="1:20" x14ac:dyDescent="0.3">
      <c r="A1969" s="112">
        <f ca="1">IFERROR(__xludf.DUMMYFUNCTION("""COMPUTED_VALUE"""),43166.7055555555)</f>
        <v>43166.705555555498</v>
      </c>
      <c r="B1969" s="111">
        <f ca="1">IFERROR(__xludf.DUMMYFUNCTION("""COMPUTED_VALUE"""),23.39)</f>
        <v>23.39</v>
      </c>
      <c r="C1969" s="112">
        <f ca="1">IFERROR(__xludf.DUMMYFUNCTION("""COMPUTED_VALUE"""),43174.7055555555)</f>
        <v>43174.705555555498</v>
      </c>
      <c r="D1969" s="111">
        <f ca="1">IFERROR(__xludf.DUMMYFUNCTION("""COMPUTED_VALUE"""),34.29)</f>
        <v>34.29</v>
      </c>
      <c r="E1969" s="112">
        <f ca="1">IFERROR(__xludf.DUMMYFUNCTION("""COMPUTED_VALUE"""),43174.7055555555)</f>
        <v>43174.705555555498</v>
      </c>
      <c r="F1969" s="111">
        <f ca="1">IFERROR(__xludf.DUMMYFUNCTION("""COMPUTED_VALUE"""),11.75)</f>
        <v>11.75</v>
      </c>
      <c r="G1969" s="112">
        <f ca="1">IFERROR(__xludf.DUMMYFUNCTION("""COMPUTED_VALUE"""),43171.7055555555)</f>
        <v>43171.705555555498</v>
      </c>
      <c r="H1969" s="111">
        <f ca="1">IFERROR(__xludf.DUMMYFUNCTION("""COMPUTED_VALUE"""),22.33)</f>
        <v>22.33</v>
      </c>
      <c r="K1969" s="112">
        <f ca="1">IFERROR(__xludf.DUMMYFUNCTION("""COMPUTED_VALUE"""),43626.7055555555)</f>
        <v>43626.705555555498</v>
      </c>
      <c r="L1969" s="111">
        <f ca="1">IFERROR(__xludf.DUMMYFUNCTION("""COMPUTED_VALUE"""),6.33)</f>
        <v>6.33</v>
      </c>
      <c r="M1969" s="112">
        <f ca="1">IFERROR(__xludf.DUMMYFUNCTION("""COMPUTED_VALUE"""),43077.7055555555)</f>
        <v>43077.705555555498</v>
      </c>
      <c r="N1969" s="111">
        <f ca="1">IFERROR(__xludf.DUMMYFUNCTION("""COMPUTED_VALUE"""),20.64)</f>
        <v>20.64</v>
      </c>
      <c r="O1969" s="112">
        <f ca="1">IFERROR(__xludf.DUMMYFUNCTION("""COMPUTED_VALUE"""),43159.7055555555)</f>
        <v>43159.705555555498</v>
      </c>
      <c r="P1969" s="111">
        <f ca="1">IFERROR(__xludf.DUMMYFUNCTION("""COMPUTED_VALUE"""),45.05)</f>
        <v>45.05</v>
      </c>
      <c r="Q1969" s="112">
        <f ca="1">IFERROR(__xludf.DUMMYFUNCTION("""COMPUTED_VALUE"""),43158.7055555555)</f>
        <v>43158.705555555498</v>
      </c>
      <c r="R1969" s="111">
        <f ca="1">IFERROR(__xludf.DUMMYFUNCTION("""COMPUTED_VALUE"""),42.6)</f>
        <v>42.6</v>
      </c>
      <c r="S1969" s="112">
        <f ca="1">IFERROR(__xludf.DUMMYFUNCTION("""COMPUTED_VALUE"""),43168.7055555555)</f>
        <v>43168.705555555498</v>
      </c>
      <c r="T1969" s="111">
        <f ca="1">IFERROR(__xludf.DUMMYFUNCTION("""COMPUTED_VALUE"""),29.6)</f>
        <v>29.6</v>
      </c>
    </row>
    <row r="1970" spans="1:20" x14ac:dyDescent="0.3">
      <c r="A1970" s="112">
        <f ca="1">IFERROR(__xludf.DUMMYFUNCTION("""COMPUTED_VALUE"""),43167.7055555555)</f>
        <v>43167.705555555498</v>
      </c>
      <c r="B1970" s="111">
        <f ca="1">IFERROR(__xludf.DUMMYFUNCTION("""COMPUTED_VALUE"""),22.97)</f>
        <v>22.97</v>
      </c>
      <c r="C1970" s="112">
        <f ca="1">IFERROR(__xludf.DUMMYFUNCTION("""COMPUTED_VALUE"""),43175.7055555555)</f>
        <v>43175.705555555498</v>
      </c>
      <c r="D1970" s="111">
        <f ca="1">IFERROR(__xludf.DUMMYFUNCTION("""COMPUTED_VALUE"""),34.15)</f>
        <v>34.15</v>
      </c>
      <c r="E1970" s="112">
        <f ca="1">IFERROR(__xludf.DUMMYFUNCTION("""COMPUTED_VALUE"""),43175.7055555555)</f>
        <v>43175.705555555498</v>
      </c>
      <c r="F1970" s="111">
        <f ca="1">IFERROR(__xludf.DUMMYFUNCTION("""COMPUTED_VALUE"""),11.64)</f>
        <v>11.64</v>
      </c>
      <c r="G1970" s="112">
        <f ca="1">IFERROR(__xludf.DUMMYFUNCTION("""COMPUTED_VALUE"""),43172.7055555555)</f>
        <v>43172.705555555498</v>
      </c>
      <c r="H1970" s="111">
        <f ca="1">IFERROR(__xludf.DUMMYFUNCTION("""COMPUTED_VALUE"""),22.11)</f>
        <v>22.11</v>
      </c>
      <c r="K1970" s="112">
        <f ca="1">IFERROR(__xludf.DUMMYFUNCTION("""COMPUTED_VALUE"""),43627.7055555555)</f>
        <v>43627.705555555498</v>
      </c>
      <c r="L1970" s="111">
        <f ca="1">IFERROR(__xludf.DUMMYFUNCTION("""COMPUTED_VALUE"""),6.48)</f>
        <v>6.48</v>
      </c>
      <c r="M1970" s="112">
        <f ca="1">IFERROR(__xludf.DUMMYFUNCTION("""COMPUTED_VALUE"""),43080.7055555555)</f>
        <v>43080.705555555498</v>
      </c>
      <c r="N1970" s="111">
        <f ca="1">IFERROR(__xludf.DUMMYFUNCTION("""COMPUTED_VALUE"""),20.64)</f>
        <v>20.64</v>
      </c>
      <c r="O1970" s="112">
        <f ca="1">IFERROR(__xludf.DUMMYFUNCTION("""COMPUTED_VALUE"""),43160.7055555555)</f>
        <v>43160.705555555498</v>
      </c>
      <c r="P1970" s="111">
        <f ca="1">IFERROR(__xludf.DUMMYFUNCTION("""COMPUTED_VALUE"""),44.45)</f>
        <v>44.45</v>
      </c>
      <c r="Q1970" s="112">
        <f ca="1">IFERROR(__xludf.DUMMYFUNCTION("""COMPUTED_VALUE"""),43159.7055555555)</f>
        <v>43159.705555555498</v>
      </c>
      <c r="R1970" s="111">
        <f ca="1">IFERROR(__xludf.DUMMYFUNCTION("""COMPUTED_VALUE"""),41.8)</f>
        <v>41.8</v>
      </c>
      <c r="S1970" s="112">
        <f ca="1">IFERROR(__xludf.DUMMYFUNCTION("""COMPUTED_VALUE"""),43171.7055555555)</f>
        <v>43171.705555555498</v>
      </c>
      <c r="T1970" s="111">
        <f ca="1">IFERROR(__xludf.DUMMYFUNCTION("""COMPUTED_VALUE"""),29.69)</f>
        <v>29.69</v>
      </c>
    </row>
    <row r="1971" spans="1:20" x14ac:dyDescent="0.3">
      <c r="A1971" s="112">
        <f ca="1">IFERROR(__xludf.DUMMYFUNCTION("""COMPUTED_VALUE"""),43168.7055555555)</f>
        <v>43168.705555555498</v>
      </c>
      <c r="B1971" s="111">
        <f ca="1">IFERROR(__xludf.DUMMYFUNCTION("""COMPUTED_VALUE"""),23.64)</f>
        <v>23.64</v>
      </c>
      <c r="C1971" s="112">
        <f ca="1">IFERROR(__xludf.DUMMYFUNCTION("""COMPUTED_VALUE"""),43178.7055555555)</f>
        <v>43178.705555555498</v>
      </c>
      <c r="D1971" s="111">
        <f ca="1">IFERROR(__xludf.DUMMYFUNCTION("""COMPUTED_VALUE"""),33.41)</f>
        <v>33.409999999999997</v>
      </c>
      <c r="E1971" s="112">
        <f ca="1">IFERROR(__xludf.DUMMYFUNCTION("""COMPUTED_VALUE"""),43178.7055555555)</f>
        <v>43178.705555555498</v>
      </c>
      <c r="F1971" s="111">
        <f ca="1">IFERROR(__xludf.DUMMYFUNCTION("""COMPUTED_VALUE"""),11.52)</f>
        <v>11.52</v>
      </c>
      <c r="G1971" s="112">
        <f ca="1">IFERROR(__xludf.DUMMYFUNCTION("""COMPUTED_VALUE"""),43173.7055555555)</f>
        <v>43173.705555555498</v>
      </c>
      <c r="H1971" s="111">
        <f ca="1">IFERROR(__xludf.DUMMYFUNCTION("""COMPUTED_VALUE"""),22.38)</f>
        <v>22.38</v>
      </c>
      <c r="K1971" s="112">
        <f ca="1">IFERROR(__xludf.DUMMYFUNCTION("""COMPUTED_VALUE"""),43628.7055555555)</f>
        <v>43628.705555555498</v>
      </c>
      <c r="L1971" s="111">
        <f ca="1">IFERROR(__xludf.DUMMYFUNCTION("""COMPUTED_VALUE"""),6.35)</f>
        <v>6.35</v>
      </c>
      <c r="M1971" s="112">
        <f ca="1">IFERROR(__xludf.DUMMYFUNCTION("""COMPUTED_VALUE"""),43081.7055555555)</f>
        <v>43081.705555555498</v>
      </c>
      <c r="N1971" s="111">
        <f ca="1">IFERROR(__xludf.DUMMYFUNCTION("""COMPUTED_VALUE"""),21.04)</f>
        <v>21.04</v>
      </c>
      <c r="O1971" s="112">
        <f ca="1">IFERROR(__xludf.DUMMYFUNCTION("""COMPUTED_VALUE"""),43161.7055555555)</f>
        <v>43161.705555555498</v>
      </c>
      <c r="P1971" s="111">
        <f ca="1">IFERROR(__xludf.DUMMYFUNCTION("""COMPUTED_VALUE"""),43.75)</f>
        <v>43.75</v>
      </c>
      <c r="Q1971" s="112">
        <f ca="1">IFERROR(__xludf.DUMMYFUNCTION("""COMPUTED_VALUE"""),43160.7055555555)</f>
        <v>43160.705555555498</v>
      </c>
      <c r="R1971" s="111">
        <f ca="1">IFERROR(__xludf.DUMMYFUNCTION("""COMPUTED_VALUE"""),42.1)</f>
        <v>42.1</v>
      </c>
      <c r="S1971" s="112">
        <f ca="1">IFERROR(__xludf.DUMMYFUNCTION("""COMPUTED_VALUE"""),43172.7055555555)</f>
        <v>43172.705555555498</v>
      </c>
      <c r="T1971" s="111">
        <f ca="1">IFERROR(__xludf.DUMMYFUNCTION("""COMPUTED_VALUE"""),29.31)</f>
        <v>29.31</v>
      </c>
    </row>
    <row r="1972" spans="1:20" x14ac:dyDescent="0.3">
      <c r="A1972" s="112">
        <f ca="1">IFERROR(__xludf.DUMMYFUNCTION("""COMPUTED_VALUE"""),43171.7055555555)</f>
        <v>43171.705555555498</v>
      </c>
      <c r="B1972" s="111">
        <f ca="1">IFERROR(__xludf.DUMMYFUNCTION("""COMPUTED_VALUE"""),24.6)</f>
        <v>24.6</v>
      </c>
      <c r="C1972" s="112">
        <f ca="1">IFERROR(__xludf.DUMMYFUNCTION("""COMPUTED_VALUE"""),43179.7055555555)</f>
        <v>43179.705555555498</v>
      </c>
      <c r="D1972" s="111">
        <f ca="1">IFERROR(__xludf.DUMMYFUNCTION("""COMPUTED_VALUE"""),33.52)</f>
        <v>33.520000000000003</v>
      </c>
      <c r="E1972" s="112">
        <f ca="1">IFERROR(__xludf.DUMMYFUNCTION("""COMPUTED_VALUE"""),43179.7055555555)</f>
        <v>43179.705555555498</v>
      </c>
      <c r="F1972" s="111">
        <f ca="1">IFERROR(__xludf.DUMMYFUNCTION("""COMPUTED_VALUE"""),11.52)</f>
        <v>11.52</v>
      </c>
      <c r="G1972" s="112">
        <f ca="1">IFERROR(__xludf.DUMMYFUNCTION("""COMPUTED_VALUE"""),43174.7055555555)</f>
        <v>43174.705555555498</v>
      </c>
      <c r="H1972" s="111">
        <f ca="1">IFERROR(__xludf.DUMMYFUNCTION("""COMPUTED_VALUE"""),21.31)</f>
        <v>21.31</v>
      </c>
      <c r="K1972" s="112">
        <f ca="1">IFERROR(__xludf.DUMMYFUNCTION("""COMPUTED_VALUE"""),43629.7055555555)</f>
        <v>43629.705555555498</v>
      </c>
      <c r="L1972" s="111">
        <f ca="1">IFERROR(__xludf.DUMMYFUNCTION("""COMPUTED_VALUE"""),6.55)</f>
        <v>6.55</v>
      </c>
      <c r="M1972" s="112">
        <f ca="1">IFERROR(__xludf.DUMMYFUNCTION("""COMPUTED_VALUE"""),43082.7055555555)</f>
        <v>43082.705555555498</v>
      </c>
      <c r="N1972" s="111">
        <f ca="1">IFERROR(__xludf.DUMMYFUNCTION("""COMPUTED_VALUE"""),20.69)</f>
        <v>20.69</v>
      </c>
      <c r="O1972" s="112">
        <f ca="1">IFERROR(__xludf.DUMMYFUNCTION("""COMPUTED_VALUE"""),43164.7055555555)</f>
        <v>43164.705555555498</v>
      </c>
      <c r="P1972" s="111">
        <f ca="1">IFERROR(__xludf.DUMMYFUNCTION("""COMPUTED_VALUE"""),43.7)</f>
        <v>43.7</v>
      </c>
      <c r="Q1972" s="112">
        <f ca="1">IFERROR(__xludf.DUMMYFUNCTION("""COMPUTED_VALUE"""),43161.7055555555)</f>
        <v>43161.705555555498</v>
      </c>
      <c r="R1972" s="111">
        <f ca="1">IFERROR(__xludf.DUMMYFUNCTION("""COMPUTED_VALUE"""),42.2)</f>
        <v>42.2</v>
      </c>
      <c r="S1972" s="112">
        <f ca="1">IFERROR(__xludf.DUMMYFUNCTION("""COMPUTED_VALUE"""),43173.7055555555)</f>
        <v>43173.705555555498</v>
      </c>
      <c r="T1972" s="111">
        <f ca="1">IFERROR(__xludf.DUMMYFUNCTION("""COMPUTED_VALUE"""),29.23)</f>
        <v>29.23</v>
      </c>
    </row>
    <row r="1973" spans="1:20" x14ac:dyDescent="0.3">
      <c r="A1973" s="112">
        <f ca="1">IFERROR(__xludf.DUMMYFUNCTION("""COMPUTED_VALUE"""),43172.7055555555)</f>
        <v>43172.705555555498</v>
      </c>
      <c r="B1973" s="111">
        <f ca="1">IFERROR(__xludf.DUMMYFUNCTION("""COMPUTED_VALUE"""),24.21)</f>
        <v>24.21</v>
      </c>
      <c r="C1973" s="112">
        <f ca="1">IFERROR(__xludf.DUMMYFUNCTION("""COMPUTED_VALUE"""),43180.7055555555)</f>
        <v>43180.705555555498</v>
      </c>
      <c r="D1973" s="111">
        <f ca="1">IFERROR(__xludf.DUMMYFUNCTION("""COMPUTED_VALUE"""),33.39)</f>
        <v>33.39</v>
      </c>
      <c r="E1973" s="112">
        <f ca="1">IFERROR(__xludf.DUMMYFUNCTION("""COMPUTED_VALUE"""),43180.7055555555)</f>
        <v>43180.705555555498</v>
      </c>
      <c r="F1973" s="111">
        <f ca="1">IFERROR(__xludf.DUMMYFUNCTION("""COMPUTED_VALUE"""),11.53)</f>
        <v>11.53</v>
      </c>
      <c r="G1973" s="112">
        <f ca="1">IFERROR(__xludf.DUMMYFUNCTION("""COMPUTED_VALUE"""),43175.7055555555)</f>
        <v>43175.705555555498</v>
      </c>
      <c r="H1973" s="111">
        <f ca="1">IFERROR(__xludf.DUMMYFUNCTION("""COMPUTED_VALUE"""),21.43)</f>
        <v>21.43</v>
      </c>
      <c r="K1973" s="112">
        <f ca="1">IFERROR(__xludf.DUMMYFUNCTION("""COMPUTED_VALUE"""),43630.7055555555)</f>
        <v>43630.705555555498</v>
      </c>
      <c r="L1973" s="111">
        <f ca="1">IFERROR(__xludf.DUMMYFUNCTION("""COMPUTED_VALUE"""),6.61)</f>
        <v>6.61</v>
      </c>
      <c r="M1973" s="112">
        <f ca="1">IFERROR(__xludf.DUMMYFUNCTION("""COMPUTED_VALUE"""),43083.7055555555)</f>
        <v>43083.705555555498</v>
      </c>
      <c r="N1973" s="111">
        <f ca="1">IFERROR(__xludf.DUMMYFUNCTION("""COMPUTED_VALUE"""),20.52)</f>
        <v>20.52</v>
      </c>
      <c r="O1973" s="112">
        <f ca="1">IFERROR(__xludf.DUMMYFUNCTION("""COMPUTED_VALUE"""),43165.7055555555)</f>
        <v>43165.705555555498</v>
      </c>
      <c r="P1973" s="111">
        <f ca="1">IFERROR(__xludf.DUMMYFUNCTION("""COMPUTED_VALUE"""),43.49)</f>
        <v>43.49</v>
      </c>
      <c r="Q1973" s="112">
        <f ca="1">IFERROR(__xludf.DUMMYFUNCTION("""COMPUTED_VALUE"""),43164.7055555555)</f>
        <v>43164.705555555498</v>
      </c>
      <c r="R1973" s="111">
        <f ca="1">IFERROR(__xludf.DUMMYFUNCTION("""COMPUTED_VALUE"""),42.55)</f>
        <v>42.55</v>
      </c>
      <c r="S1973" s="112">
        <f ca="1">IFERROR(__xludf.DUMMYFUNCTION("""COMPUTED_VALUE"""),43174.7055555555)</f>
        <v>43174.705555555498</v>
      </c>
      <c r="T1973" s="111">
        <f ca="1">IFERROR(__xludf.DUMMYFUNCTION("""COMPUTED_VALUE"""),29.3)</f>
        <v>29.3</v>
      </c>
    </row>
    <row r="1974" spans="1:20" x14ac:dyDescent="0.3">
      <c r="A1974" s="112">
        <f ca="1">IFERROR(__xludf.DUMMYFUNCTION("""COMPUTED_VALUE"""),43173.7055555555)</f>
        <v>43173.705555555498</v>
      </c>
      <c r="B1974" s="111">
        <f ca="1">IFERROR(__xludf.DUMMYFUNCTION("""COMPUTED_VALUE"""),22.55)</f>
        <v>22.55</v>
      </c>
      <c r="C1974" s="112">
        <f ca="1">IFERROR(__xludf.DUMMYFUNCTION("""COMPUTED_VALUE"""),43181.7055555555)</f>
        <v>43181.705555555498</v>
      </c>
      <c r="D1974" s="111">
        <f ca="1">IFERROR(__xludf.DUMMYFUNCTION("""COMPUTED_VALUE"""),33.28)</f>
        <v>33.28</v>
      </c>
      <c r="E1974" s="112">
        <f ca="1">IFERROR(__xludf.DUMMYFUNCTION("""COMPUTED_VALUE"""),43181.7055555555)</f>
        <v>43181.705555555498</v>
      </c>
      <c r="F1974" s="111">
        <f ca="1">IFERROR(__xludf.DUMMYFUNCTION("""COMPUTED_VALUE"""),11.49)</f>
        <v>11.49</v>
      </c>
      <c r="G1974" s="112">
        <f ca="1">IFERROR(__xludf.DUMMYFUNCTION("""COMPUTED_VALUE"""),43178.7055555555)</f>
        <v>43178.705555555498</v>
      </c>
      <c r="H1974" s="111">
        <f ca="1">IFERROR(__xludf.DUMMYFUNCTION("""COMPUTED_VALUE"""),20.93)</f>
        <v>20.93</v>
      </c>
      <c r="K1974" s="112">
        <f ca="1">IFERROR(__xludf.DUMMYFUNCTION("""COMPUTED_VALUE"""),43633.7055555555)</f>
        <v>43633.705555555498</v>
      </c>
      <c r="L1974" s="111">
        <f ca="1">IFERROR(__xludf.DUMMYFUNCTION("""COMPUTED_VALUE"""),6.49)</f>
        <v>6.49</v>
      </c>
      <c r="M1974" s="112">
        <f ca="1">IFERROR(__xludf.DUMMYFUNCTION("""COMPUTED_VALUE"""),43084.7055555555)</f>
        <v>43084.705555555498</v>
      </c>
      <c r="N1974" s="111">
        <f ca="1">IFERROR(__xludf.DUMMYFUNCTION("""COMPUTED_VALUE"""),20.44)</f>
        <v>20.440000000000001</v>
      </c>
      <c r="O1974" s="112">
        <f ca="1">IFERROR(__xludf.DUMMYFUNCTION("""COMPUTED_VALUE"""),43166.7055555555)</f>
        <v>43166.705555555498</v>
      </c>
      <c r="P1974" s="111">
        <f ca="1">IFERROR(__xludf.DUMMYFUNCTION("""COMPUTED_VALUE"""),42.85)</f>
        <v>42.85</v>
      </c>
      <c r="Q1974" s="112">
        <f ca="1">IFERROR(__xludf.DUMMYFUNCTION("""COMPUTED_VALUE"""),43165.7055555555)</f>
        <v>43165.705555555498</v>
      </c>
      <c r="R1974" s="111">
        <f ca="1">IFERROR(__xludf.DUMMYFUNCTION("""COMPUTED_VALUE"""),43.49)</f>
        <v>43.49</v>
      </c>
      <c r="S1974" s="112">
        <f ca="1">IFERROR(__xludf.DUMMYFUNCTION("""COMPUTED_VALUE"""),43175.7055555555)</f>
        <v>43175.705555555498</v>
      </c>
      <c r="T1974" s="111">
        <f ca="1">IFERROR(__xludf.DUMMYFUNCTION("""COMPUTED_VALUE"""),29.13)</f>
        <v>29.13</v>
      </c>
    </row>
    <row r="1975" spans="1:20" x14ac:dyDescent="0.3">
      <c r="A1975" s="112">
        <f ca="1">IFERROR(__xludf.DUMMYFUNCTION("""COMPUTED_VALUE"""),43174.7055555555)</f>
        <v>43174.705555555498</v>
      </c>
      <c r="B1975" s="111">
        <f ca="1">IFERROR(__xludf.DUMMYFUNCTION("""COMPUTED_VALUE"""),22.45)</f>
        <v>22.45</v>
      </c>
      <c r="C1975" s="112">
        <f ca="1">IFERROR(__xludf.DUMMYFUNCTION("""COMPUTED_VALUE"""),43182.7055555555)</f>
        <v>43182.705555555498</v>
      </c>
      <c r="D1975" s="111">
        <f ca="1">IFERROR(__xludf.DUMMYFUNCTION("""COMPUTED_VALUE"""),33.44)</f>
        <v>33.44</v>
      </c>
      <c r="E1975" s="112">
        <f ca="1">IFERROR(__xludf.DUMMYFUNCTION("""COMPUTED_VALUE"""),43182.7055555555)</f>
        <v>43182.705555555498</v>
      </c>
      <c r="F1975" s="111">
        <f ca="1">IFERROR(__xludf.DUMMYFUNCTION("""COMPUTED_VALUE"""),11.52)</f>
        <v>11.52</v>
      </c>
      <c r="G1975" s="112">
        <f ca="1">IFERROR(__xludf.DUMMYFUNCTION("""COMPUTED_VALUE"""),43179.7055555555)</f>
        <v>43179.705555555498</v>
      </c>
      <c r="H1975" s="111">
        <f ca="1">IFERROR(__xludf.DUMMYFUNCTION("""COMPUTED_VALUE"""),21.16)</f>
        <v>21.16</v>
      </c>
      <c r="K1975" s="112">
        <f ca="1">IFERROR(__xludf.DUMMYFUNCTION("""COMPUTED_VALUE"""),43634.7055555555)</f>
        <v>43634.705555555498</v>
      </c>
      <c r="L1975" s="111">
        <f ca="1">IFERROR(__xludf.DUMMYFUNCTION("""COMPUTED_VALUE"""),6.51)</f>
        <v>6.51</v>
      </c>
      <c r="M1975" s="112">
        <f ca="1">IFERROR(__xludf.DUMMYFUNCTION("""COMPUTED_VALUE"""),43087.7055555555)</f>
        <v>43087.705555555498</v>
      </c>
      <c r="N1975" s="111">
        <f ca="1">IFERROR(__xludf.DUMMYFUNCTION("""COMPUTED_VALUE"""),20.6)</f>
        <v>20.6</v>
      </c>
      <c r="O1975" s="112">
        <f ca="1">IFERROR(__xludf.DUMMYFUNCTION("""COMPUTED_VALUE"""),43167.7055555555)</f>
        <v>43167.705555555498</v>
      </c>
      <c r="P1975" s="111">
        <f ca="1">IFERROR(__xludf.DUMMYFUNCTION("""COMPUTED_VALUE"""),41.46)</f>
        <v>41.46</v>
      </c>
      <c r="Q1975" s="112">
        <f ca="1">IFERROR(__xludf.DUMMYFUNCTION("""COMPUTED_VALUE"""),43166.7055555555)</f>
        <v>43166.705555555498</v>
      </c>
      <c r="R1975" s="111">
        <f ca="1">IFERROR(__xludf.DUMMYFUNCTION("""COMPUTED_VALUE"""),43.19)</f>
        <v>43.19</v>
      </c>
      <c r="S1975" s="112">
        <f ca="1">IFERROR(__xludf.DUMMYFUNCTION("""COMPUTED_VALUE"""),43178.7055555555)</f>
        <v>43178.705555555498</v>
      </c>
      <c r="T1975" s="111">
        <f ca="1">IFERROR(__xludf.DUMMYFUNCTION("""COMPUTED_VALUE"""),28.51)</f>
        <v>28.51</v>
      </c>
    </row>
    <row r="1976" spans="1:20" x14ac:dyDescent="0.3">
      <c r="A1976" s="112">
        <f ca="1">IFERROR(__xludf.DUMMYFUNCTION("""COMPUTED_VALUE"""),43175.7055555555)</f>
        <v>43175.705555555498</v>
      </c>
      <c r="B1976" s="111">
        <f ca="1">IFERROR(__xludf.DUMMYFUNCTION("""COMPUTED_VALUE"""),22.06)</f>
        <v>22.06</v>
      </c>
      <c r="C1976" s="112">
        <f ca="1">IFERROR(__xludf.DUMMYFUNCTION("""COMPUTED_VALUE"""),43185.7055555555)</f>
        <v>43185.705555555498</v>
      </c>
      <c r="D1976" s="111">
        <f ca="1">IFERROR(__xludf.DUMMYFUNCTION("""COMPUTED_VALUE"""),33.85)</f>
        <v>33.85</v>
      </c>
      <c r="E1976" s="112">
        <f ca="1">IFERROR(__xludf.DUMMYFUNCTION("""COMPUTED_VALUE"""),43185.7055555555)</f>
        <v>43185.705555555498</v>
      </c>
      <c r="F1976" s="111">
        <f ca="1">IFERROR(__xludf.DUMMYFUNCTION("""COMPUTED_VALUE"""),11.71)</f>
        <v>11.71</v>
      </c>
      <c r="G1976" s="112">
        <f ca="1">IFERROR(__xludf.DUMMYFUNCTION("""COMPUTED_VALUE"""),43180.7055555555)</f>
        <v>43180.705555555498</v>
      </c>
      <c r="H1976" s="111">
        <f ca="1">IFERROR(__xludf.DUMMYFUNCTION("""COMPUTED_VALUE"""),22.05)</f>
        <v>22.05</v>
      </c>
      <c r="K1976" s="112">
        <f ca="1">IFERROR(__xludf.DUMMYFUNCTION("""COMPUTED_VALUE"""),43635.7055555555)</f>
        <v>43635.705555555498</v>
      </c>
      <c r="L1976" s="111">
        <f ca="1">IFERROR(__xludf.DUMMYFUNCTION("""COMPUTED_VALUE"""),6.56)</f>
        <v>6.56</v>
      </c>
      <c r="M1976" s="112">
        <f ca="1">IFERROR(__xludf.DUMMYFUNCTION("""COMPUTED_VALUE"""),43088.7055555555)</f>
        <v>43088.705555555498</v>
      </c>
      <c r="N1976" s="111">
        <f ca="1">IFERROR(__xludf.DUMMYFUNCTION("""COMPUTED_VALUE"""),20.47)</f>
        <v>20.47</v>
      </c>
      <c r="O1976" s="112">
        <f ca="1">IFERROR(__xludf.DUMMYFUNCTION("""COMPUTED_VALUE"""),43168.7055555555)</f>
        <v>43168.705555555498</v>
      </c>
      <c r="P1976" s="111">
        <f ca="1">IFERROR(__xludf.DUMMYFUNCTION("""COMPUTED_VALUE"""),42.1)</f>
        <v>42.1</v>
      </c>
      <c r="Q1976" s="112">
        <f ca="1">IFERROR(__xludf.DUMMYFUNCTION("""COMPUTED_VALUE"""),43167.7055555555)</f>
        <v>43167.705555555498</v>
      </c>
      <c r="R1976" s="111">
        <f ca="1">IFERROR(__xludf.DUMMYFUNCTION("""COMPUTED_VALUE"""),43.42)</f>
        <v>43.42</v>
      </c>
      <c r="S1976" s="112">
        <f ca="1">IFERROR(__xludf.DUMMYFUNCTION("""COMPUTED_VALUE"""),43179.7055555555)</f>
        <v>43179.705555555498</v>
      </c>
      <c r="T1976" s="111">
        <f ca="1">IFERROR(__xludf.DUMMYFUNCTION("""COMPUTED_VALUE"""),28.18)</f>
        <v>28.18</v>
      </c>
    </row>
    <row r="1977" spans="1:20" x14ac:dyDescent="0.3">
      <c r="A1977" s="112">
        <f ca="1">IFERROR(__xludf.DUMMYFUNCTION("""COMPUTED_VALUE"""),43178.7055555555)</f>
        <v>43178.705555555498</v>
      </c>
      <c r="B1977" s="111">
        <f ca="1">IFERROR(__xludf.DUMMYFUNCTION("""COMPUTED_VALUE"""),21.99)</f>
        <v>21.99</v>
      </c>
      <c r="C1977" s="112">
        <f ca="1">IFERROR(__xludf.DUMMYFUNCTION("""COMPUTED_VALUE"""),43186.7055555555)</f>
        <v>43186.705555555498</v>
      </c>
      <c r="D1977" s="111">
        <f ca="1">IFERROR(__xludf.DUMMYFUNCTION("""COMPUTED_VALUE"""),33.45)</f>
        <v>33.450000000000003</v>
      </c>
      <c r="E1977" s="112">
        <f ca="1">IFERROR(__xludf.DUMMYFUNCTION("""COMPUTED_VALUE"""),43186.7055555555)</f>
        <v>43186.705555555498</v>
      </c>
      <c r="F1977" s="111">
        <f ca="1">IFERROR(__xludf.DUMMYFUNCTION("""COMPUTED_VALUE"""),11.59)</f>
        <v>11.59</v>
      </c>
      <c r="G1977" s="112">
        <f ca="1">IFERROR(__xludf.DUMMYFUNCTION("""COMPUTED_VALUE"""),43181.7055555555)</f>
        <v>43181.705555555498</v>
      </c>
      <c r="H1977" s="111">
        <f ca="1">IFERROR(__xludf.DUMMYFUNCTION("""COMPUTED_VALUE"""),21.72)</f>
        <v>21.72</v>
      </c>
      <c r="K1977" s="112">
        <f ca="1">IFERROR(__xludf.DUMMYFUNCTION("""COMPUTED_VALUE"""),43637.7055555555)</f>
        <v>43637.705555555498</v>
      </c>
      <c r="L1977" s="111">
        <f ca="1">IFERROR(__xludf.DUMMYFUNCTION("""COMPUTED_VALUE"""),6.65)</f>
        <v>6.65</v>
      </c>
      <c r="M1977" s="112">
        <f ca="1">IFERROR(__xludf.DUMMYFUNCTION("""COMPUTED_VALUE"""),43089.7055555555)</f>
        <v>43089.705555555498</v>
      </c>
      <c r="N1977" s="111">
        <f ca="1">IFERROR(__xludf.DUMMYFUNCTION("""COMPUTED_VALUE"""),20.66)</f>
        <v>20.66</v>
      </c>
      <c r="O1977" s="112">
        <f ca="1">IFERROR(__xludf.DUMMYFUNCTION("""COMPUTED_VALUE"""),43171.7055555555)</f>
        <v>43171.705555555498</v>
      </c>
      <c r="P1977" s="111">
        <f ca="1">IFERROR(__xludf.DUMMYFUNCTION("""COMPUTED_VALUE"""),42.46)</f>
        <v>42.46</v>
      </c>
      <c r="Q1977" s="112">
        <f ca="1">IFERROR(__xludf.DUMMYFUNCTION("""COMPUTED_VALUE"""),43168.7055555555)</f>
        <v>43168.705555555498</v>
      </c>
      <c r="R1977" s="111">
        <f ca="1">IFERROR(__xludf.DUMMYFUNCTION("""COMPUTED_VALUE"""),43.71)</f>
        <v>43.71</v>
      </c>
      <c r="S1977" s="112">
        <f ca="1">IFERROR(__xludf.DUMMYFUNCTION("""COMPUTED_VALUE"""),43180.7055555555)</f>
        <v>43180.705555555498</v>
      </c>
      <c r="T1977" s="111">
        <f ca="1">IFERROR(__xludf.DUMMYFUNCTION("""COMPUTED_VALUE"""),28.17)</f>
        <v>28.17</v>
      </c>
    </row>
    <row r="1978" spans="1:20" x14ac:dyDescent="0.3">
      <c r="A1978" s="112">
        <f ca="1">IFERROR(__xludf.DUMMYFUNCTION("""COMPUTED_VALUE"""),43179.7055555555)</f>
        <v>43179.705555555498</v>
      </c>
      <c r="B1978" s="111">
        <f ca="1">IFERROR(__xludf.DUMMYFUNCTION("""COMPUTED_VALUE"""),21.9)</f>
        <v>21.9</v>
      </c>
      <c r="C1978" s="112">
        <f ca="1">IFERROR(__xludf.DUMMYFUNCTION("""COMPUTED_VALUE"""),43187.7055555555)</f>
        <v>43187.705555555498</v>
      </c>
      <c r="D1978" s="111">
        <f ca="1">IFERROR(__xludf.DUMMYFUNCTION("""COMPUTED_VALUE"""),33.75)</f>
        <v>33.75</v>
      </c>
      <c r="E1978" s="112">
        <f ca="1">IFERROR(__xludf.DUMMYFUNCTION("""COMPUTED_VALUE"""),43187.7055555555)</f>
        <v>43187.705555555498</v>
      </c>
      <c r="F1978" s="111">
        <f ca="1">IFERROR(__xludf.DUMMYFUNCTION("""COMPUTED_VALUE"""),11.73)</f>
        <v>11.73</v>
      </c>
      <c r="G1978" s="112">
        <f ca="1">IFERROR(__xludf.DUMMYFUNCTION("""COMPUTED_VALUE"""),43182.7055555555)</f>
        <v>43182.705555555498</v>
      </c>
      <c r="H1978" s="111">
        <f ca="1">IFERROR(__xludf.DUMMYFUNCTION("""COMPUTED_VALUE"""),21.75)</f>
        <v>21.75</v>
      </c>
      <c r="K1978" s="112">
        <f ca="1">IFERROR(__xludf.DUMMYFUNCTION("""COMPUTED_VALUE"""),43640.7055555555)</f>
        <v>43640.705555555498</v>
      </c>
      <c r="L1978" s="111">
        <f ca="1">IFERROR(__xludf.DUMMYFUNCTION("""COMPUTED_VALUE"""),6.56)</f>
        <v>6.56</v>
      </c>
      <c r="M1978" s="112">
        <f ca="1">IFERROR(__xludf.DUMMYFUNCTION("""COMPUTED_VALUE"""),43090.7055555555)</f>
        <v>43090.705555555498</v>
      </c>
      <c r="N1978" s="111">
        <f ca="1">IFERROR(__xludf.DUMMYFUNCTION("""COMPUTED_VALUE"""),21.27)</f>
        <v>21.27</v>
      </c>
      <c r="O1978" s="112">
        <f ca="1">IFERROR(__xludf.DUMMYFUNCTION("""COMPUTED_VALUE"""),43172.7055555555)</f>
        <v>43172.705555555498</v>
      </c>
      <c r="P1978" s="111">
        <f ca="1">IFERROR(__xludf.DUMMYFUNCTION("""COMPUTED_VALUE"""),42.13)</f>
        <v>42.13</v>
      </c>
      <c r="Q1978" s="112">
        <f ca="1">IFERROR(__xludf.DUMMYFUNCTION("""COMPUTED_VALUE"""),43171.7055555555)</f>
        <v>43171.705555555498</v>
      </c>
      <c r="R1978" s="111">
        <f ca="1">IFERROR(__xludf.DUMMYFUNCTION("""COMPUTED_VALUE"""),43.48)</f>
        <v>43.48</v>
      </c>
      <c r="S1978" s="112">
        <f ca="1">IFERROR(__xludf.DUMMYFUNCTION("""COMPUTED_VALUE"""),43181.7055555555)</f>
        <v>43181.705555555498</v>
      </c>
      <c r="T1978" s="111">
        <f ca="1">IFERROR(__xludf.DUMMYFUNCTION("""COMPUTED_VALUE"""),28.97)</f>
        <v>28.97</v>
      </c>
    </row>
    <row r="1979" spans="1:20" x14ac:dyDescent="0.3">
      <c r="A1979" s="112">
        <f ca="1">IFERROR(__xludf.DUMMYFUNCTION("""COMPUTED_VALUE"""),43180.7055555555)</f>
        <v>43180.705555555498</v>
      </c>
      <c r="B1979" s="111">
        <f ca="1">IFERROR(__xludf.DUMMYFUNCTION("""COMPUTED_VALUE"""),21.21)</f>
        <v>21.21</v>
      </c>
      <c r="C1979" s="112">
        <f ca="1">IFERROR(__xludf.DUMMYFUNCTION("""COMPUTED_VALUE"""),43188.7055555555)</f>
        <v>43188.705555555498</v>
      </c>
      <c r="D1979" s="111">
        <f ca="1">IFERROR(__xludf.DUMMYFUNCTION("""COMPUTED_VALUE"""),34.21)</f>
        <v>34.21</v>
      </c>
      <c r="E1979" s="112">
        <f ca="1">IFERROR(__xludf.DUMMYFUNCTION("""COMPUTED_VALUE"""),43188.7055555555)</f>
        <v>43188.705555555498</v>
      </c>
      <c r="F1979" s="111">
        <f ca="1">IFERROR(__xludf.DUMMYFUNCTION("""COMPUTED_VALUE"""),11.94)</f>
        <v>11.94</v>
      </c>
      <c r="G1979" s="112">
        <f ca="1">IFERROR(__xludf.DUMMYFUNCTION("""COMPUTED_VALUE"""),43185.7055555555)</f>
        <v>43185.705555555498</v>
      </c>
      <c r="H1979" s="111">
        <f ca="1">IFERROR(__xludf.DUMMYFUNCTION("""COMPUTED_VALUE"""),22.03)</f>
        <v>22.03</v>
      </c>
      <c r="K1979" s="112">
        <f ca="1">IFERROR(__xludf.DUMMYFUNCTION("""COMPUTED_VALUE"""),43641.7055555555)</f>
        <v>43641.705555555498</v>
      </c>
      <c r="L1979" s="111">
        <f ca="1">IFERROR(__xludf.DUMMYFUNCTION("""COMPUTED_VALUE"""),6.46)</f>
        <v>6.46</v>
      </c>
      <c r="M1979" s="112">
        <f ca="1">IFERROR(__xludf.DUMMYFUNCTION("""COMPUTED_VALUE"""),43091.7055555555)</f>
        <v>43091.705555555498</v>
      </c>
      <c r="N1979" s="111">
        <f ca="1">IFERROR(__xludf.DUMMYFUNCTION("""COMPUTED_VALUE"""),21.33)</f>
        <v>21.33</v>
      </c>
      <c r="O1979" s="112">
        <f ca="1">IFERROR(__xludf.DUMMYFUNCTION("""COMPUTED_VALUE"""),43173.7055555555)</f>
        <v>43173.705555555498</v>
      </c>
      <c r="P1979" s="111">
        <f ca="1">IFERROR(__xludf.DUMMYFUNCTION("""COMPUTED_VALUE"""),42.6)</f>
        <v>42.6</v>
      </c>
      <c r="Q1979" s="112">
        <f ca="1">IFERROR(__xludf.DUMMYFUNCTION("""COMPUTED_VALUE"""),43172.7055555555)</f>
        <v>43172.705555555498</v>
      </c>
      <c r="R1979" s="111">
        <f ca="1">IFERROR(__xludf.DUMMYFUNCTION("""COMPUTED_VALUE"""),42.85)</f>
        <v>42.85</v>
      </c>
      <c r="S1979" s="112">
        <f ca="1">IFERROR(__xludf.DUMMYFUNCTION("""COMPUTED_VALUE"""),43182.7055555555)</f>
        <v>43182.705555555498</v>
      </c>
      <c r="T1979" s="111">
        <f ca="1">IFERROR(__xludf.DUMMYFUNCTION("""COMPUTED_VALUE"""),28.22)</f>
        <v>28.22</v>
      </c>
    </row>
    <row r="1980" spans="1:20" x14ac:dyDescent="0.3">
      <c r="A1980" s="112">
        <f ca="1">IFERROR(__xludf.DUMMYFUNCTION("""COMPUTED_VALUE"""),43181.7055555555)</f>
        <v>43181.705555555498</v>
      </c>
      <c r="B1980" s="111">
        <f ca="1">IFERROR(__xludf.DUMMYFUNCTION("""COMPUTED_VALUE"""),21.12)</f>
        <v>21.12</v>
      </c>
      <c r="C1980" s="112">
        <f ca="1">IFERROR(__xludf.DUMMYFUNCTION("""COMPUTED_VALUE"""),43192.7055555555)</f>
        <v>43192.705555555498</v>
      </c>
      <c r="D1980" s="111">
        <f ca="1">IFERROR(__xludf.DUMMYFUNCTION("""COMPUTED_VALUE"""),34.03)</f>
        <v>34.03</v>
      </c>
      <c r="E1980" s="112">
        <f ca="1">IFERROR(__xludf.DUMMYFUNCTION("""COMPUTED_VALUE"""),43192.7055555555)</f>
        <v>43192.705555555498</v>
      </c>
      <c r="F1980" s="111">
        <f ca="1">IFERROR(__xludf.DUMMYFUNCTION("""COMPUTED_VALUE"""),11.87)</f>
        <v>11.87</v>
      </c>
      <c r="G1980" s="112">
        <f ca="1">IFERROR(__xludf.DUMMYFUNCTION("""COMPUTED_VALUE"""),43186.7055555555)</f>
        <v>43186.705555555498</v>
      </c>
      <c r="H1980" s="111">
        <f ca="1">IFERROR(__xludf.DUMMYFUNCTION("""COMPUTED_VALUE"""),21.44)</f>
        <v>21.44</v>
      </c>
      <c r="K1980" s="112">
        <f ca="1">IFERROR(__xludf.DUMMYFUNCTION("""COMPUTED_VALUE"""),43642.7055555555)</f>
        <v>43642.705555555498</v>
      </c>
      <c r="L1980" s="111">
        <f ca="1">IFERROR(__xludf.DUMMYFUNCTION("""COMPUTED_VALUE"""),6.52)</f>
        <v>6.52</v>
      </c>
      <c r="M1980" s="112">
        <f ca="1">IFERROR(__xludf.DUMMYFUNCTION("""COMPUTED_VALUE"""),43095.7055555555)</f>
        <v>43095.705555555498</v>
      </c>
      <c r="N1980" s="111">
        <f ca="1">IFERROR(__xludf.DUMMYFUNCTION("""COMPUTED_VALUE"""),20.86)</f>
        <v>20.86</v>
      </c>
      <c r="O1980" s="112">
        <f ca="1">IFERROR(__xludf.DUMMYFUNCTION("""COMPUTED_VALUE"""),43174.7055555555)</f>
        <v>43174.705555555498</v>
      </c>
      <c r="P1980" s="111">
        <f ca="1">IFERROR(__xludf.DUMMYFUNCTION("""COMPUTED_VALUE"""),42.4)</f>
        <v>42.4</v>
      </c>
      <c r="Q1980" s="112">
        <f ca="1">IFERROR(__xludf.DUMMYFUNCTION("""COMPUTED_VALUE"""),43173.7055555555)</f>
        <v>43173.705555555498</v>
      </c>
      <c r="R1980" s="111">
        <f ca="1">IFERROR(__xludf.DUMMYFUNCTION("""COMPUTED_VALUE"""),42.48)</f>
        <v>42.48</v>
      </c>
      <c r="S1980" s="112">
        <f ca="1">IFERROR(__xludf.DUMMYFUNCTION("""COMPUTED_VALUE"""),43185.7055555555)</f>
        <v>43185.705555555498</v>
      </c>
      <c r="T1980" s="111">
        <f ca="1">IFERROR(__xludf.DUMMYFUNCTION("""COMPUTED_VALUE"""),28.34)</f>
        <v>28.34</v>
      </c>
    </row>
    <row r="1981" spans="1:20" x14ac:dyDescent="0.3">
      <c r="A1981" s="112">
        <f ca="1">IFERROR(__xludf.DUMMYFUNCTION("""COMPUTED_VALUE"""),43182.7055555555)</f>
        <v>43182.705555555498</v>
      </c>
      <c r="B1981" s="111">
        <f ca="1">IFERROR(__xludf.DUMMYFUNCTION("""COMPUTED_VALUE"""),20.95)</f>
        <v>20.95</v>
      </c>
      <c r="C1981" s="112">
        <f ca="1">IFERROR(__xludf.DUMMYFUNCTION("""COMPUTED_VALUE"""),43193.7055555555)</f>
        <v>43193.705555555498</v>
      </c>
      <c r="D1981" s="111">
        <f ca="1">IFERROR(__xludf.DUMMYFUNCTION("""COMPUTED_VALUE"""),33.71)</f>
        <v>33.71</v>
      </c>
      <c r="E1981" s="112">
        <f ca="1">IFERROR(__xludf.DUMMYFUNCTION("""COMPUTED_VALUE"""),43193.7055555555)</f>
        <v>43193.705555555498</v>
      </c>
      <c r="F1981" s="111">
        <f ca="1">IFERROR(__xludf.DUMMYFUNCTION("""COMPUTED_VALUE"""),11.81)</f>
        <v>11.81</v>
      </c>
      <c r="G1981" s="112">
        <f ca="1">IFERROR(__xludf.DUMMYFUNCTION("""COMPUTED_VALUE"""),43187.7055555555)</f>
        <v>43187.705555555498</v>
      </c>
      <c r="H1981" s="111">
        <f ca="1">IFERROR(__xludf.DUMMYFUNCTION("""COMPUTED_VALUE"""),21.2)</f>
        <v>21.2</v>
      </c>
      <c r="K1981" s="112">
        <f ca="1">IFERROR(__xludf.DUMMYFUNCTION("""COMPUTED_VALUE"""),43643.7055555555)</f>
        <v>43643.705555555498</v>
      </c>
      <c r="L1981" s="111">
        <f ca="1">IFERROR(__xludf.DUMMYFUNCTION("""COMPUTED_VALUE"""),6.52)</f>
        <v>6.52</v>
      </c>
      <c r="M1981" s="112">
        <f ca="1">IFERROR(__xludf.DUMMYFUNCTION("""COMPUTED_VALUE"""),43096.7055555555)</f>
        <v>43096.705555555498</v>
      </c>
      <c r="N1981" s="111">
        <f ca="1">IFERROR(__xludf.DUMMYFUNCTION("""COMPUTED_VALUE"""),20.88)</f>
        <v>20.88</v>
      </c>
      <c r="O1981" s="112">
        <f ca="1">IFERROR(__xludf.DUMMYFUNCTION("""COMPUTED_VALUE"""),43175.7055555555)</f>
        <v>43175.705555555498</v>
      </c>
      <c r="P1981" s="111">
        <f ca="1">IFERROR(__xludf.DUMMYFUNCTION("""COMPUTED_VALUE"""),42.3)</f>
        <v>42.3</v>
      </c>
      <c r="Q1981" s="112">
        <f ca="1">IFERROR(__xludf.DUMMYFUNCTION("""COMPUTED_VALUE"""),43174.7055555555)</f>
        <v>43174.705555555498</v>
      </c>
      <c r="R1981" s="111">
        <f ca="1">IFERROR(__xludf.DUMMYFUNCTION("""COMPUTED_VALUE"""),42.39)</f>
        <v>42.39</v>
      </c>
      <c r="S1981" s="112">
        <f ca="1">IFERROR(__xludf.DUMMYFUNCTION("""COMPUTED_VALUE"""),43186.7055555555)</f>
        <v>43186.705555555498</v>
      </c>
      <c r="T1981" s="111">
        <f ca="1">IFERROR(__xludf.DUMMYFUNCTION("""COMPUTED_VALUE"""),27.69)</f>
        <v>27.69</v>
      </c>
    </row>
    <row r="1982" spans="1:20" x14ac:dyDescent="0.3">
      <c r="A1982" s="112">
        <f ca="1">IFERROR(__xludf.DUMMYFUNCTION("""COMPUTED_VALUE"""),43185.7055555555)</f>
        <v>43185.705555555498</v>
      </c>
      <c r="B1982" s="111">
        <f ca="1">IFERROR(__xludf.DUMMYFUNCTION("""COMPUTED_VALUE"""),22.5)</f>
        <v>22.5</v>
      </c>
      <c r="C1982" s="112">
        <f ca="1">IFERROR(__xludf.DUMMYFUNCTION("""COMPUTED_VALUE"""),43194.7055555555)</f>
        <v>43194.705555555498</v>
      </c>
      <c r="D1982" s="111">
        <f ca="1">IFERROR(__xludf.DUMMYFUNCTION("""COMPUTED_VALUE"""),33.93)</f>
        <v>33.93</v>
      </c>
      <c r="E1982" s="112">
        <f ca="1">IFERROR(__xludf.DUMMYFUNCTION("""COMPUTED_VALUE"""),43194.7055555555)</f>
        <v>43194.705555555498</v>
      </c>
      <c r="F1982" s="111">
        <f ca="1">IFERROR(__xludf.DUMMYFUNCTION("""COMPUTED_VALUE"""),11.82)</f>
        <v>11.82</v>
      </c>
      <c r="G1982" s="112">
        <f ca="1">IFERROR(__xludf.DUMMYFUNCTION("""COMPUTED_VALUE"""),43188.7055555555)</f>
        <v>43188.705555555498</v>
      </c>
      <c r="H1982" s="111">
        <f ca="1">IFERROR(__xludf.DUMMYFUNCTION("""COMPUTED_VALUE"""),21.41)</f>
        <v>21.41</v>
      </c>
      <c r="K1982" s="112">
        <f ca="1">IFERROR(__xludf.DUMMYFUNCTION("""COMPUTED_VALUE"""),43644.7055555555)</f>
        <v>43644.705555555498</v>
      </c>
      <c r="L1982" s="111">
        <f ca="1">IFERROR(__xludf.DUMMYFUNCTION("""COMPUTED_VALUE"""),6.6)</f>
        <v>6.6</v>
      </c>
      <c r="M1982" s="112">
        <f ca="1">IFERROR(__xludf.DUMMYFUNCTION("""COMPUTED_VALUE"""),43097.7055555555)</f>
        <v>43097.705555555498</v>
      </c>
      <c r="N1982" s="111">
        <f ca="1">IFERROR(__xludf.DUMMYFUNCTION("""COMPUTED_VALUE"""),21.19)</f>
        <v>21.19</v>
      </c>
      <c r="O1982" s="112">
        <f ca="1">IFERROR(__xludf.DUMMYFUNCTION("""COMPUTED_VALUE"""),43178.7055555555)</f>
        <v>43178.705555555498</v>
      </c>
      <c r="P1982" s="111">
        <f ca="1">IFERROR(__xludf.DUMMYFUNCTION("""COMPUTED_VALUE"""),41.1)</f>
        <v>41.1</v>
      </c>
      <c r="Q1982" s="112">
        <f ca="1">IFERROR(__xludf.DUMMYFUNCTION("""COMPUTED_VALUE"""),43175.7055555555)</f>
        <v>43175.705555555498</v>
      </c>
      <c r="R1982" s="111">
        <f ca="1">IFERROR(__xludf.DUMMYFUNCTION("""COMPUTED_VALUE"""),42.4)</f>
        <v>42.4</v>
      </c>
      <c r="S1982" s="112">
        <f ca="1">IFERROR(__xludf.DUMMYFUNCTION("""COMPUTED_VALUE"""),43187.7055555555)</f>
        <v>43187.705555555498</v>
      </c>
      <c r="T1982" s="111">
        <f ca="1">IFERROR(__xludf.DUMMYFUNCTION("""COMPUTED_VALUE"""),27.59)</f>
        <v>27.59</v>
      </c>
    </row>
    <row r="1983" spans="1:20" x14ac:dyDescent="0.3">
      <c r="A1983" s="112">
        <f ca="1">IFERROR(__xludf.DUMMYFUNCTION("""COMPUTED_VALUE"""),43186.7055555555)</f>
        <v>43186.705555555498</v>
      </c>
      <c r="B1983" s="111">
        <f ca="1">IFERROR(__xludf.DUMMYFUNCTION("""COMPUTED_VALUE"""),21.92)</f>
        <v>21.92</v>
      </c>
      <c r="C1983" s="112">
        <f ca="1">IFERROR(__xludf.DUMMYFUNCTION("""COMPUTED_VALUE"""),43195.7055555555)</f>
        <v>43195.705555555498</v>
      </c>
      <c r="D1983" s="111">
        <f ca="1">IFERROR(__xludf.DUMMYFUNCTION("""COMPUTED_VALUE"""),34)</f>
        <v>34</v>
      </c>
      <c r="E1983" s="112">
        <f ca="1">IFERROR(__xludf.DUMMYFUNCTION("""COMPUTED_VALUE"""),43195.7055555555)</f>
        <v>43195.705555555498</v>
      </c>
      <c r="F1983" s="111">
        <f ca="1">IFERROR(__xludf.DUMMYFUNCTION("""COMPUTED_VALUE"""),11.78)</f>
        <v>11.78</v>
      </c>
      <c r="G1983" s="112">
        <f ca="1">IFERROR(__xludf.DUMMYFUNCTION("""COMPUTED_VALUE"""),43192.7055555555)</f>
        <v>43192.705555555498</v>
      </c>
      <c r="H1983" s="111">
        <f ca="1">IFERROR(__xludf.DUMMYFUNCTION("""COMPUTED_VALUE"""),20.9)</f>
        <v>20.9</v>
      </c>
      <c r="K1983" s="112">
        <f ca="1">IFERROR(__xludf.DUMMYFUNCTION("""COMPUTED_VALUE"""),43647.7055555555)</f>
        <v>43647.705555555498</v>
      </c>
      <c r="L1983" s="111">
        <f ca="1">IFERROR(__xludf.DUMMYFUNCTION("""COMPUTED_VALUE"""),6.57)</f>
        <v>6.57</v>
      </c>
      <c r="M1983" s="112">
        <f ca="1">IFERROR(__xludf.DUMMYFUNCTION("""COMPUTED_VALUE"""),43102.7055555555)</f>
        <v>43102.705555555498</v>
      </c>
      <c r="N1983" s="111">
        <f ca="1">IFERROR(__xludf.DUMMYFUNCTION("""COMPUTED_VALUE"""),21.66)</f>
        <v>21.66</v>
      </c>
      <c r="O1983" s="112">
        <f ca="1">IFERROR(__xludf.DUMMYFUNCTION("""COMPUTED_VALUE"""),43179.7055555555)</f>
        <v>43179.705555555498</v>
      </c>
      <c r="P1983" s="111">
        <f ca="1">IFERROR(__xludf.DUMMYFUNCTION("""COMPUTED_VALUE"""),41.6)</f>
        <v>41.6</v>
      </c>
      <c r="Q1983" s="112">
        <f ca="1">IFERROR(__xludf.DUMMYFUNCTION("""COMPUTED_VALUE"""),43178.7055555555)</f>
        <v>43178.705555555498</v>
      </c>
      <c r="R1983" s="111">
        <f ca="1">IFERROR(__xludf.DUMMYFUNCTION("""COMPUTED_VALUE"""),41.4)</f>
        <v>41.4</v>
      </c>
      <c r="S1983" s="112">
        <f ca="1">IFERROR(__xludf.DUMMYFUNCTION("""COMPUTED_VALUE"""),43188.7055555555)</f>
        <v>43188.705555555498</v>
      </c>
      <c r="T1983" s="111">
        <f ca="1">IFERROR(__xludf.DUMMYFUNCTION("""COMPUTED_VALUE"""),28.39)</f>
        <v>28.39</v>
      </c>
    </row>
    <row r="1984" spans="1:20" x14ac:dyDescent="0.3">
      <c r="A1984" s="112">
        <f ca="1">IFERROR(__xludf.DUMMYFUNCTION("""COMPUTED_VALUE"""),43187.7055555555)</f>
        <v>43187.705555555498</v>
      </c>
      <c r="B1984" s="111">
        <f ca="1">IFERROR(__xludf.DUMMYFUNCTION("""COMPUTED_VALUE"""),20.88)</f>
        <v>20.88</v>
      </c>
      <c r="C1984" s="112">
        <f ca="1">IFERROR(__xludf.DUMMYFUNCTION("""COMPUTED_VALUE"""),43196.7055555555)</f>
        <v>43196.705555555498</v>
      </c>
      <c r="D1984" s="111">
        <f ca="1">IFERROR(__xludf.DUMMYFUNCTION("""COMPUTED_VALUE"""),34.17)</f>
        <v>34.17</v>
      </c>
      <c r="E1984" s="112">
        <f ca="1">IFERROR(__xludf.DUMMYFUNCTION("""COMPUTED_VALUE"""),43196.7055555555)</f>
        <v>43196.705555555498</v>
      </c>
      <c r="F1984" s="111">
        <f ca="1">IFERROR(__xludf.DUMMYFUNCTION("""COMPUTED_VALUE"""),11.69)</f>
        <v>11.69</v>
      </c>
      <c r="G1984" s="112">
        <f ca="1">IFERROR(__xludf.DUMMYFUNCTION("""COMPUTED_VALUE"""),43193.7055555555)</f>
        <v>43193.705555555498</v>
      </c>
      <c r="H1984" s="111">
        <f ca="1">IFERROR(__xludf.DUMMYFUNCTION("""COMPUTED_VALUE"""),20.71)</f>
        <v>20.71</v>
      </c>
      <c r="K1984" s="112">
        <f ca="1">IFERROR(__xludf.DUMMYFUNCTION("""COMPUTED_VALUE"""),43648.7055555555)</f>
        <v>43648.705555555498</v>
      </c>
      <c r="L1984" s="111">
        <f ca="1">IFERROR(__xludf.DUMMYFUNCTION("""COMPUTED_VALUE"""),6.64)</f>
        <v>6.64</v>
      </c>
      <c r="M1984" s="112">
        <f ca="1">IFERROR(__xludf.DUMMYFUNCTION("""COMPUTED_VALUE"""),43103.7055555555)</f>
        <v>43103.705555555498</v>
      </c>
      <c r="N1984" s="111">
        <f ca="1">IFERROR(__xludf.DUMMYFUNCTION("""COMPUTED_VALUE"""),21.75)</f>
        <v>21.75</v>
      </c>
      <c r="O1984" s="112">
        <f ca="1">IFERROR(__xludf.DUMMYFUNCTION("""COMPUTED_VALUE"""),43180.7055555555)</f>
        <v>43180.705555555498</v>
      </c>
      <c r="P1984" s="111">
        <f ca="1">IFERROR(__xludf.DUMMYFUNCTION("""COMPUTED_VALUE"""),42.5)</f>
        <v>42.5</v>
      </c>
      <c r="Q1984" s="112">
        <f ca="1">IFERROR(__xludf.DUMMYFUNCTION("""COMPUTED_VALUE"""),43179.7055555555)</f>
        <v>43179.705555555498</v>
      </c>
      <c r="R1984" s="111">
        <f ca="1">IFERROR(__xludf.DUMMYFUNCTION("""COMPUTED_VALUE"""),41.56)</f>
        <v>41.56</v>
      </c>
      <c r="S1984" s="112">
        <f ca="1">IFERROR(__xludf.DUMMYFUNCTION("""COMPUTED_VALUE"""),43192.7055555555)</f>
        <v>43192.705555555498</v>
      </c>
      <c r="T1984" s="111">
        <f ca="1">IFERROR(__xludf.DUMMYFUNCTION("""COMPUTED_VALUE"""),28.2)</f>
        <v>28.2</v>
      </c>
    </row>
    <row r="1985" spans="1:20" x14ac:dyDescent="0.3">
      <c r="A1985" s="112">
        <f ca="1">IFERROR(__xludf.DUMMYFUNCTION("""COMPUTED_VALUE"""),43188.7055555555)</f>
        <v>43188.705555555498</v>
      </c>
      <c r="B1985" s="111">
        <f ca="1">IFERROR(__xludf.DUMMYFUNCTION("""COMPUTED_VALUE"""),20.77)</f>
        <v>20.77</v>
      </c>
      <c r="C1985" s="112">
        <f ca="1">IFERROR(__xludf.DUMMYFUNCTION("""COMPUTED_VALUE"""),43199.7055555555)</f>
        <v>43199.705555555498</v>
      </c>
      <c r="D1985" s="111">
        <f ca="1">IFERROR(__xludf.DUMMYFUNCTION("""COMPUTED_VALUE"""),33.41)</f>
        <v>33.409999999999997</v>
      </c>
      <c r="E1985" s="112">
        <f ca="1">IFERROR(__xludf.DUMMYFUNCTION("""COMPUTED_VALUE"""),43199.7055555555)</f>
        <v>43199.705555555498</v>
      </c>
      <c r="F1985" s="111">
        <f ca="1">IFERROR(__xludf.DUMMYFUNCTION("""COMPUTED_VALUE"""),11.45)</f>
        <v>11.45</v>
      </c>
      <c r="G1985" s="112">
        <f ca="1">IFERROR(__xludf.DUMMYFUNCTION("""COMPUTED_VALUE"""),43194.7055555555)</f>
        <v>43194.705555555498</v>
      </c>
      <c r="H1985" s="111">
        <f ca="1">IFERROR(__xludf.DUMMYFUNCTION("""COMPUTED_VALUE"""),20.38)</f>
        <v>20.38</v>
      </c>
      <c r="K1985" s="112">
        <f ca="1">IFERROR(__xludf.DUMMYFUNCTION("""COMPUTED_VALUE"""),43649.7055555555)</f>
        <v>43649.705555555498</v>
      </c>
      <c r="L1985" s="111">
        <f ca="1">IFERROR(__xludf.DUMMYFUNCTION("""COMPUTED_VALUE"""),6.9)</f>
        <v>6.9</v>
      </c>
      <c r="M1985" s="112">
        <f ca="1">IFERROR(__xludf.DUMMYFUNCTION("""COMPUTED_VALUE"""),43104.7055555555)</f>
        <v>43104.705555555498</v>
      </c>
      <c r="N1985" s="111">
        <f ca="1">IFERROR(__xludf.DUMMYFUNCTION("""COMPUTED_VALUE"""),22.11)</f>
        <v>22.11</v>
      </c>
      <c r="O1985" s="112">
        <f ca="1">IFERROR(__xludf.DUMMYFUNCTION("""COMPUTED_VALUE"""),43181.7055555555)</f>
        <v>43181.705555555498</v>
      </c>
      <c r="P1985" s="111">
        <f ca="1">IFERROR(__xludf.DUMMYFUNCTION("""COMPUTED_VALUE"""),41.93)</f>
        <v>41.93</v>
      </c>
      <c r="Q1985" s="112">
        <f ca="1">IFERROR(__xludf.DUMMYFUNCTION("""COMPUTED_VALUE"""),43180.7055555555)</f>
        <v>43180.705555555498</v>
      </c>
      <c r="R1985" s="111">
        <f ca="1">IFERROR(__xludf.DUMMYFUNCTION("""COMPUTED_VALUE"""),42.25)</f>
        <v>42.25</v>
      </c>
      <c r="S1985" s="112">
        <f ca="1">IFERROR(__xludf.DUMMYFUNCTION("""COMPUTED_VALUE"""),43193.7055555555)</f>
        <v>43193.705555555498</v>
      </c>
      <c r="T1985" s="111">
        <f ca="1">IFERROR(__xludf.DUMMYFUNCTION("""COMPUTED_VALUE"""),27.92)</f>
        <v>27.92</v>
      </c>
    </row>
    <row r="1986" spans="1:20" x14ac:dyDescent="0.3">
      <c r="A1986" s="112">
        <f ca="1">IFERROR(__xludf.DUMMYFUNCTION("""COMPUTED_VALUE"""),43192.7055555555)</f>
        <v>43192.705555555498</v>
      </c>
      <c r="B1986" s="111">
        <f ca="1">IFERROR(__xludf.DUMMYFUNCTION("""COMPUTED_VALUE"""),20.7)</f>
        <v>20.7</v>
      </c>
      <c r="C1986" s="112">
        <f ca="1">IFERROR(__xludf.DUMMYFUNCTION("""COMPUTED_VALUE"""),43200.7055555555)</f>
        <v>43200.705555555498</v>
      </c>
      <c r="D1986" s="111">
        <f ca="1">IFERROR(__xludf.DUMMYFUNCTION("""COMPUTED_VALUE"""),33.57)</f>
        <v>33.57</v>
      </c>
      <c r="E1986" s="112">
        <f ca="1">IFERROR(__xludf.DUMMYFUNCTION("""COMPUTED_VALUE"""),43200.7055555555)</f>
        <v>43200.705555555498</v>
      </c>
      <c r="F1986" s="111">
        <f ca="1">IFERROR(__xludf.DUMMYFUNCTION("""COMPUTED_VALUE"""),11.51)</f>
        <v>11.51</v>
      </c>
      <c r="G1986" s="112">
        <f ca="1">IFERROR(__xludf.DUMMYFUNCTION("""COMPUTED_VALUE"""),43195.7055555555)</f>
        <v>43195.705555555498</v>
      </c>
      <c r="H1986" s="111">
        <f ca="1">IFERROR(__xludf.DUMMYFUNCTION("""COMPUTED_VALUE"""),21.15)</f>
        <v>21.15</v>
      </c>
      <c r="K1986" s="112">
        <f ca="1">IFERROR(__xludf.DUMMYFUNCTION("""COMPUTED_VALUE"""),43650.7055555555)</f>
        <v>43650.705555555498</v>
      </c>
      <c r="L1986" s="111">
        <f ca="1">IFERROR(__xludf.DUMMYFUNCTION("""COMPUTED_VALUE"""),6.91)</f>
        <v>6.91</v>
      </c>
      <c r="M1986" s="112">
        <f ca="1">IFERROR(__xludf.DUMMYFUNCTION("""COMPUTED_VALUE"""),43105.7055555555)</f>
        <v>43105.705555555498</v>
      </c>
      <c r="N1986" s="111">
        <f ca="1">IFERROR(__xludf.DUMMYFUNCTION("""COMPUTED_VALUE"""),22.23)</f>
        <v>22.23</v>
      </c>
      <c r="O1986" s="112">
        <f ca="1">IFERROR(__xludf.DUMMYFUNCTION("""COMPUTED_VALUE"""),43182.7055555555)</f>
        <v>43182.705555555498</v>
      </c>
      <c r="P1986" s="111">
        <f ca="1">IFERROR(__xludf.DUMMYFUNCTION("""COMPUTED_VALUE"""),41.6)</f>
        <v>41.6</v>
      </c>
      <c r="Q1986" s="112">
        <f ca="1">IFERROR(__xludf.DUMMYFUNCTION("""COMPUTED_VALUE"""),43181.7055555555)</f>
        <v>43181.705555555498</v>
      </c>
      <c r="R1986" s="111">
        <f ca="1">IFERROR(__xludf.DUMMYFUNCTION("""COMPUTED_VALUE"""),41.49)</f>
        <v>41.49</v>
      </c>
      <c r="S1986" s="112">
        <f ca="1">IFERROR(__xludf.DUMMYFUNCTION("""COMPUTED_VALUE"""),43194.7055555555)</f>
        <v>43194.705555555498</v>
      </c>
      <c r="T1986" s="111">
        <f ca="1">IFERROR(__xludf.DUMMYFUNCTION("""COMPUTED_VALUE"""),28.04)</f>
        <v>28.04</v>
      </c>
    </row>
    <row r="1987" spans="1:20" x14ac:dyDescent="0.3">
      <c r="A1987" s="112">
        <f ca="1">IFERROR(__xludf.DUMMYFUNCTION("""COMPUTED_VALUE"""),43193.7055555555)</f>
        <v>43193.705555555498</v>
      </c>
      <c r="B1987" s="111">
        <f ca="1">IFERROR(__xludf.DUMMYFUNCTION("""COMPUTED_VALUE"""),21.06)</f>
        <v>21.06</v>
      </c>
      <c r="C1987" s="112">
        <f ca="1">IFERROR(__xludf.DUMMYFUNCTION("""COMPUTED_VALUE"""),43201.7055555555)</f>
        <v>43201.705555555498</v>
      </c>
      <c r="D1987" s="111">
        <f ca="1">IFERROR(__xludf.DUMMYFUNCTION("""COMPUTED_VALUE"""),34.13)</f>
        <v>34.130000000000003</v>
      </c>
      <c r="E1987" s="112">
        <f ca="1">IFERROR(__xludf.DUMMYFUNCTION("""COMPUTED_VALUE"""),43201.7055555555)</f>
        <v>43201.705555555498</v>
      </c>
      <c r="F1987" s="111">
        <f ca="1">IFERROR(__xludf.DUMMYFUNCTION("""COMPUTED_VALUE"""),11.5)</f>
        <v>11.5</v>
      </c>
      <c r="G1987" s="112">
        <f ca="1">IFERROR(__xludf.DUMMYFUNCTION("""COMPUTED_VALUE"""),43196.7055555555)</f>
        <v>43196.705555555498</v>
      </c>
      <c r="H1987" s="111">
        <f ca="1">IFERROR(__xludf.DUMMYFUNCTION("""COMPUTED_VALUE"""),21.28)</f>
        <v>21.28</v>
      </c>
      <c r="K1987" s="112">
        <f ca="1">IFERROR(__xludf.DUMMYFUNCTION("""COMPUTED_VALUE"""),43651.7055555555)</f>
        <v>43651.705555555498</v>
      </c>
      <c r="L1987" s="111">
        <f ca="1">IFERROR(__xludf.DUMMYFUNCTION("""COMPUTED_VALUE"""),7.07)</f>
        <v>7.07</v>
      </c>
      <c r="M1987" s="112">
        <f ca="1">IFERROR(__xludf.DUMMYFUNCTION("""COMPUTED_VALUE"""),43108.7055555555)</f>
        <v>43108.705555555498</v>
      </c>
      <c r="N1987" s="111">
        <f ca="1">IFERROR(__xludf.DUMMYFUNCTION("""COMPUTED_VALUE"""),22.23)</f>
        <v>22.23</v>
      </c>
      <c r="O1987" s="112">
        <f ca="1">IFERROR(__xludf.DUMMYFUNCTION("""COMPUTED_VALUE"""),43185.7055555555)</f>
        <v>43185.705555555498</v>
      </c>
      <c r="P1987" s="111">
        <f ca="1">IFERROR(__xludf.DUMMYFUNCTION("""COMPUTED_VALUE"""),42)</f>
        <v>42</v>
      </c>
      <c r="Q1987" s="112">
        <f ca="1">IFERROR(__xludf.DUMMYFUNCTION("""COMPUTED_VALUE"""),43182.7055555555)</f>
        <v>43182.705555555498</v>
      </c>
      <c r="R1987" s="111">
        <f ca="1">IFERROR(__xludf.DUMMYFUNCTION("""COMPUTED_VALUE"""),41.2)</f>
        <v>41.2</v>
      </c>
      <c r="S1987" s="112">
        <f ca="1">IFERROR(__xludf.DUMMYFUNCTION("""COMPUTED_VALUE"""),43195.7055555555)</f>
        <v>43195.705555555498</v>
      </c>
      <c r="T1987" s="111">
        <f ca="1">IFERROR(__xludf.DUMMYFUNCTION("""COMPUTED_VALUE"""),28.23)</f>
        <v>28.23</v>
      </c>
    </row>
    <row r="1988" spans="1:20" x14ac:dyDescent="0.3">
      <c r="A1988" s="112">
        <f ca="1">IFERROR(__xludf.DUMMYFUNCTION("""COMPUTED_VALUE"""),43194.7055555555)</f>
        <v>43194.705555555498</v>
      </c>
      <c r="B1988" s="111">
        <f ca="1">IFERROR(__xludf.DUMMYFUNCTION("""COMPUTED_VALUE"""),21.38)</f>
        <v>21.38</v>
      </c>
      <c r="C1988" s="112">
        <f ca="1">IFERROR(__xludf.DUMMYFUNCTION("""COMPUTED_VALUE"""),43202.7055555555)</f>
        <v>43202.705555555498</v>
      </c>
      <c r="D1988" s="111">
        <f ca="1">IFERROR(__xludf.DUMMYFUNCTION("""COMPUTED_VALUE"""),34.43)</f>
        <v>34.43</v>
      </c>
      <c r="E1988" s="112">
        <f ca="1">IFERROR(__xludf.DUMMYFUNCTION("""COMPUTED_VALUE"""),43202.7055555555)</f>
        <v>43202.705555555498</v>
      </c>
      <c r="F1988" s="111">
        <f ca="1">IFERROR(__xludf.DUMMYFUNCTION("""COMPUTED_VALUE"""),11.68)</f>
        <v>11.68</v>
      </c>
      <c r="G1988" s="112">
        <f ca="1">IFERROR(__xludf.DUMMYFUNCTION("""COMPUTED_VALUE"""),43199.7055555555)</f>
        <v>43199.705555555498</v>
      </c>
      <c r="H1988" s="111">
        <f ca="1">IFERROR(__xludf.DUMMYFUNCTION("""COMPUTED_VALUE"""),20.53)</f>
        <v>20.53</v>
      </c>
      <c r="K1988" s="112">
        <f ca="1">IFERROR(__xludf.DUMMYFUNCTION("""COMPUTED_VALUE"""),43654.7055555555)</f>
        <v>43654.705555555498</v>
      </c>
      <c r="L1988" s="111">
        <f ca="1">IFERROR(__xludf.DUMMYFUNCTION("""COMPUTED_VALUE"""),7.17)</f>
        <v>7.17</v>
      </c>
      <c r="M1988" s="112">
        <f ca="1">IFERROR(__xludf.DUMMYFUNCTION("""COMPUTED_VALUE"""),43109.7055555555)</f>
        <v>43109.705555555498</v>
      </c>
      <c r="N1988" s="111">
        <f ca="1">IFERROR(__xludf.DUMMYFUNCTION("""COMPUTED_VALUE"""),22.02)</f>
        <v>22.02</v>
      </c>
      <c r="O1988" s="112">
        <f ca="1">IFERROR(__xludf.DUMMYFUNCTION("""COMPUTED_VALUE"""),43186.7055555555)</f>
        <v>43186.705555555498</v>
      </c>
      <c r="P1988" s="111">
        <f ca="1">IFERROR(__xludf.DUMMYFUNCTION("""COMPUTED_VALUE"""),40.86)</f>
        <v>40.86</v>
      </c>
      <c r="Q1988" s="112">
        <f ca="1">IFERROR(__xludf.DUMMYFUNCTION("""COMPUTED_VALUE"""),43185.7055555555)</f>
        <v>43185.705555555498</v>
      </c>
      <c r="R1988" s="111">
        <f ca="1">IFERROR(__xludf.DUMMYFUNCTION("""COMPUTED_VALUE"""),41.48)</f>
        <v>41.48</v>
      </c>
      <c r="S1988" s="112">
        <f ca="1">IFERROR(__xludf.DUMMYFUNCTION("""COMPUTED_VALUE"""),43196.7055555555)</f>
        <v>43196.705555555498</v>
      </c>
      <c r="T1988" s="111">
        <f ca="1">IFERROR(__xludf.DUMMYFUNCTION("""COMPUTED_VALUE"""),28.01)</f>
        <v>28.01</v>
      </c>
    </row>
    <row r="1989" spans="1:20" x14ac:dyDescent="0.3">
      <c r="A1989" s="112">
        <f ca="1">IFERROR(__xludf.DUMMYFUNCTION("""COMPUTED_VALUE"""),43195.7055555555)</f>
        <v>43195.705555555498</v>
      </c>
      <c r="B1989" s="111">
        <f ca="1">IFERROR(__xludf.DUMMYFUNCTION("""COMPUTED_VALUE"""),22.1)</f>
        <v>22.1</v>
      </c>
      <c r="C1989" s="112">
        <f ca="1">IFERROR(__xludf.DUMMYFUNCTION("""COMPUTED_VALUE"""),43203.7055555555)</f>
        <v>43203.705555555498</v>
      </c>
      <c r="D1989" s="111">
        <f ca="1">IFERROR(__xludf.DUMMYFUNCTION("""COMPUTED_VALUE"""),33.63)</f>
        <v>33.630000000000003</v>
      </c>
      <c r="E1989" s="112">
        <f ca="1">IFERROR(__xludf.DUMMYFUNCTION("""COMPUTED_VALUE"""),43203.7055555555)</f>
        <v>43203.705555555498</v>
      </c>
      <c r="F1989" s="111">
        <f ca="1">IFERROR(__xludf.DUMMYFUNCTION("""COMPUTED_VALUE"""),11.43)</f>
        <v>11.43</v>
      </c>
      <c r="G1989" s="112">
        <f ca="1">IFERROR(__xludf.DUMMYFUNCTION("""COMPUTED_VALUE"""),43200.7055555555)</f>
        <v>43200.705555555498</v>
      </c>
      <c r="H1989" s="111">
        <f ca="1">IFERROR(__xludf.DUMMYFUNCTION("""COMPUTED_VALUE"""),21.4)</f>
        <v>21.4</v>
      </c>
      <c r="K1989" s="112">
        <f ca="1">IFERROR(__xludf.DUMMYFUNCTION("""COMPUTED_VALUE"""),43656.7055555555)</f>
        <v>43656.705555555498</v>
      </c>
      <c r="L1989" s="111">
        <f ca="1">IFERROR(__xludf.DUMMYFUNCTION("""COMPUTED_VALUE"""),7.3)</f>
        <v>7.3</v>
      </c>
      <c r="M1989" s="112">
        <f ca="1">IFERROR(__xludf.DUMMYFUNCTION("""COMPUTED_VALUE"""),43110.7055555555)</f>
        <v>43110.705555555498</v>
      </c>
      <c r="N1989" s="111">
        <f ca="1">IFERROR(__xludf.DUMMYFUNCTION("""COMPUTED_VALUE"""),21.79)</f>
        <v>21.79</v>
      </c>
      <c r="O1989" s="112">
        <f ca="1">IFERROR(__xludf.DUMMYFUNCTION("""COMPUTED_VALUE"""),43187.7055555555)</f>
        <v>43187.705555555498</v>
      </c>
      <c r="P1989" s="111">
        <f ca="1">IFERROR(__xludf.DUMMYFUNCTION("""COMPUTED_VALUE"""),41.54)</f>
        <v>41.54</v>
      </c>
      <c r="Q1989" s="112">
        <f ca="1">IFERROR(__xludf.DUMMYFUNCTION("""COMPUTED_VALUE"""),43186.7055555555)</f>
        <v>43186.705555555498</v>
      </c>
      <c r="R1989" s="111">
        <f ca="1">IFERROR(__xludf.DUMMYFUNCTION("""COMPUTED_VALUE"""),40.45)</f>
        <v>40.450000000000003</v>
      </c>
      <c r="S1989" s="112">
        <f ca="1">IFERROR(__xludf.DUMMYFUNCTION("""COMPUTED_VALUE"""),43199.7055555555)</f>
        <v>43199.705555555498</v>
      </c>
      <c r="T1989" s="111">
        <f ca="1">IFERROR(__xludf.DUMMYFUNCTION("""COMPUTED_VALUE"""),27.36)</f>
        <v>27.36</v>
      </c>
    </row>
    <row r="1990" spans="1:20" x14ac:dyDescent="0.3">
      <c r="A1990" s="112">
        <f ca="1">IFERROR(__xludf.DUMMYFUNCTION("""COMPUTED_VALUE"""),43196.7055555555)</f>
        <v>43196.705555555498</v>
      </c>
      <c r="B1990" s="111">
        <f ca="1">IFERROR(__xludf.DUMMYFUNCTION("""COMPUTED_VALUE"""),20.08)</f>
        <v>20.079999999999998</v>
      </c>
      <c r="C1990" s="112">
        <f ca="1">IFERROR(__xludf.DUMMYFUNCTION("""COMPUTED_VALUE"""),43206.7055555555)</f>
        <v>43206.705555555498</v>
      </c>
      <c r="D1990" s="111">
        <f ca="1">IFERROR(__xludf.DUMMYFUNCTION("""COMPUTED_VALUE"""),33.13)</f>
        <v>33.130000000000003</v>
      </c>
      <c r="E1990" s="112">
        <f ca="1">IFERROR(__xludf.DUMMYFUNCTION("""COMPUTED_VALUE"""),43206.7055555555)</f>
        <v>43206.705555555498</v>
      </c>
      <c r="F1990" s="111">
        <f ca="1">IFERROR(__xludf.DUMMYFUNCTION("""COMPUTED_VALUE"""),11.22)</f>
        <v>11.22</v>
      </c>
      <c r="G1990" s="112">
        <f ca="1">IFERROR(__xludf.DUMMYFUNCTION("""COMPUTED_VALUE"""),43201.7055555555)</f>
        <v>43201.705555555498</v>
      </c>
      <c r="H1990" s="111">
        <f ca="1">IFERROR(__xludf.DUMMYFUNCTION("""COMPUTED_VALUE"""),21.8)</f>
        <v>21.8</v>
      </c>
      <c r="K1990" s="112">
        <f ca="1">IFERROR(__xludf.DUMMYFUNCTION("""COMPUTED_VALUE"""),43657.7055555555)</f>
        <v>43657.705555555498</v>
      </c>
      <c r="L1990" s="111">
        <f ca="1">IFERROR(__xludf.DUMMYFUNCTION("""COMPUTED_VALUE"""),7.21)</f>
        <v>7.21</v>
      </c>
      <c r="M1990" s="112">
        <f ca="1">IFERROR(__xludf.DUMMYFUNCTION("""COMPUTED_VALUE"""),43111.7055555555)</f>
        <v>43111.705555555498</v>
      </c>
      <c r="N1990" s="111">
        <f ca="1">IFERROR(__xludf.DUMMYFUNCTION("""COMPUTED_VALUE"""),22.23)</f>
        <v>22.23</v>
      </c>
      <c r="O1990" s="112">
        <f ca="1">IFERROR(__xludf.DUMMYFUNCTION("""COMPUTED_VALUE"""),43188.7055555555)</f>
        <v>43188.705555555498</v>
      </c>
      <c r="P1990" s="111">
        <f ca="1">IFERROR(__xludf.DUMMYFUNCTION("""COMPUTED_VALUE"""),42.21)</f>
        <v>42.21</v>
      </c>
      <c r="Q1990" s="112">
        <f ca="1">IFERROR(__xludf.DUMMYFUNCTION("""COMPUTED_VALUE"""),43187.7055555555)</f>
        <v>43187.705555555498</v>
      </c>
      <c r="R1990" s="111">
        <f ca="1">IFERROR(__xludf.DUMMYFUNCTION("""COMPUTED_VALUE"""),40.32)</f>
        <v>40.32</v>
      </c>
      <c r="S1990" s="112">
        <f ca="1">IFERROR(__xludf.DUMMYFUNCTION("""COMPUTED_VALUE"""),43200.7055555555)</f>
        <v>43200.705555555498</v>
      </c>
      <c r="T1990" s="111">
        <f ca="1">IFERROR(__xludf.DUMMYFUNCTION("""COMPUTED_VALUE"""),26.95)</f>
        <v>26.95</v>
      </c>
    </row>
    <row r="1991" spans="1:20" x14ac:dyDescent="0.3">
      <c r="A1991" s="112">
        <f ca="1">IFERROR(__xludf.DUMMYFUNCTION("""COMPUTED_VALUE"""),43199.7055555555)</f>
        <v>43199.705555555498</v>
      </c>
      <c r="B1991" s="111">
        <f ca="1">IFERROR(__xludf.DUMMYFUNCTION("""COMPUTED_VALUE"""),18.16)</f>
        <v>18.16</v>
      </c>
      <c r="C1991" s="112">
        <f ca="1">IFERROR(__xludf.DUMMYFUNCTION("""COMPUTED_VALUE"""),43207.7055555555)</f>
        <v>43207.705555555498</v>
      </c>
      <c r="D1991" s="111">
        <f ca="1">IFERROR(__xludf.DUMMYFUNCTION("""COMPUTED_VALUE"""),33.68)</f>
        <v>33.68</v>
      </c>
      <c r="E1991" s="112">
        <f ca="1">IFERROR(__xludf.DUMMYFUNCTION("""COMPUTED_VALUE"""),43207.7055555555)</f>
        <v>43207.705555555498</v>
      </c>
      <c r="F1991" s="111">
        <f ca="1">IFERROR(__xludf.DUMMYFUNCTION("""COMPUTED_VALUE"""),11.43)</f>
        <v>11.43</v>
      </c>
      <c r="G1991" s="112">
        <f ca="1">IFERROR(__xludf.DUMMYFUNCTION("""COMPUTED_VALUE"""),43202.7055555555)</f>
        <v>43202.705555555498</v>
      </c>
      <c r="H1991" s="111">
        <f ca="1">IFERROR(__xludf.DUMMYFUNCTION("""COMPUTED_VALUE"""),21.68)</f>
        <v>21.68</v>
      </c>
      <c r="K1991" s="112">
        <f ca="1">IFERROR(__xludf.DUMMYFUNCTION("""COMPUTED_VALUE"""),43658.7055555555)</f>
        <v>43658.705555555498</v>
      </c>
      <c r="L1991" s="111">
        <f ca="1">IFERROR(__xludf.DUMMYFUNCTION("""COMPUTED_VALUE"""),7.25)</f>
        <v>7.25</v>
      </c>
      <c r="M1991" s="112">
        <f ca="1">IFERROR(__xludf.DUMMYFUNCTION("""COMPUTED_VALUE"""),43112.7055555555)</f>
        <v>43112.705555555498</v>
      </c>
      <c r="N1991" s="111">
        <f ca="1">IFERROR(__xludf.DUMMYFUNCTION("""COMPUTED_VALUE"""),22.23)</f>
        <v>22.23</v>
      </c>
      <c r="O1991" s="112">
        <f ca="1">IFERROR(__xludf.DUMMYFUNCTION("""COMPUTED_VALUE"""),43192.7055555555)</f>
        <v>43192.705555555498</v>
      </c>
      <c r="P1991" s="111">
        <f ca="1">IFERROR(__xludf.DUMMYFUNCTION("""COMPUTED_VALUE"""),43)</f>
        <v>43</v>
      </c>
      <c r="Q1991" s="112">
        <f ca="1">IFERROR(__xludf.DUMMYFUNCTION("""COMPUTED_VALUE"""),43188.7055555555)</f>
        <v>43188.705555555498</v>
      </c>
      <c r="R1991" s="111">
        <f ca="1">IFERROR(__xludf.DUMMYFUNCTION("""COMPUTED_VALUE"""),41.03)</f>
        <v>41.03</v>
      </c>
      <c r="S1991" s="112">
        <f ca="1">IFERROR(__xludf.DUMMYFUNCTION("""COMPUTED_VALUE"""),43201.7055555555)</f>
        <v>43201.705555555498</v>
      </c>
      <c r="T1991" s="111">
        <f ca="1">IFERROR(__xludf.DUMMYFUNCTION("""COMPUTED_VALUE"""),26.65)</f>
        <v>26.65</v>
      </c>
    </row>
    <row r="1992" spans="1:20" x14ac:dyDescent="0.3">
      <c r="A1992" s="112">
        <f ca="1">IFERROR(__xludf.DUMMYFUNCTION("""COMPUTED_VALUE"""),43200.7055555555)</f>
        <v>43200.705555555498</v>
      </c>
      <c r="B1992" s="111">
        <f ca="1">IFERROR(__xludf.DUMMYFUNCTION("""COMPUTED_VALUE"""),18.81)</f>
        <v>18.809999999999999</v>
      </c>
      <c r="C1992" s="112">
        <f ca="1">IFERROR(__xludf.DUMMYFUNCTION("""COMPUTED_VALUE"""),43208.7055555555)</f>
        <v>43208.705555555498</v>
      </c>
      <c r="D1992" s="111">
        <f ca="1">IFERROR(__xludf.DUMMYFUNCTION("""COMPUTED_VALUE"""),34.32)</f>
        <v>34.32</v>
      </c>
      <c r="E1992" s="112">
        <f ca="1">IFERROR(__xludf.DUMMYFUNCTION("""COMPUTED_VALUE"""),43208.7055555555)</f>
        <v>43208.705555555498</v>
      </c>
      <c r="F1992" s="111">
        <f ca="1">IFERROR(__xludf.DUMMYFUNCTION("""COMPUTED_VALUE"""),11.65)</f>
        <v>11.65</v>
      </c>
      <c r="G1992" s="112">
        <f ca="1">IFERROR(__xludf.DUMMYFUNCTION("""COMPUTED_VALUE"""),43203.7055555555)</f>
        <v>43203.705555555498</v>
      </c>
      <c r="H1992" s="111">
        <f ca="1">IFERROR(__xludf.DUMMYFUNCTION("""COMPUTED_VALUE"""),21.2)</f>
        <v>21.2</v>
      </c>
      <c r="K1992" s="112">
        <f ca="1">IFERROR(__xludf.DUMMYFUNCTION("""COMPUTED_VALUE"""),43661.7055555555)</f>
        <v>43661.705555555498</v>
      </c>
      <c r="L1992" s="111">
        <f ca="1">IFERROR(__xludf.DUMMYFUNCTION("""COMPUTED_VALUE"""),7.21)</f>
        <v>7.21</v>
      </c>
      <c r="M1992" s="112">
        <f ca="1">IFERROR(__xludf.DUMMYFUNCTION("""COMPUTED_VALUE"""),43115.7055555555)</f>
        <v>43115.705555555498</v>
      </c>
      <c r="N1992" s="111">
        <f ca="1">IFERROR(__xludf.DUMMYFUNCTION("""COMPUTED_VALUE"""),22.38)</f>
        <v>22.38</v>
      </c>
      <c r="O1992" s="112">
        <f ca="1">IFERROR(__xludf.DUMMYFUNCTION("""COMPUTED_VALUE"""),43193.7055555555)</f>
        <v>43193.705555555498</v>
      </c>
      <c r="P1992" s="111">
        <f ca="1">IFERROR(__xludf.DUMMYFUNCTION("""COMPUTED_VALUE"""),42.87)</f>
        <v>42.87</v>
      </c>
      <c r="Q1992" s="112">
        <f ca="1">IFERROR(__xludf.DUMMYFUNCTION("""COMPUTED_VALUE"""),43192.7055555555)</f>
        <v>43192.705555555498</v>
      </c>
      <c r="R1992" s="111">
        <f ca="1">IFERROR(__xludf.DUMMYFUNCTION("""COMPUTED_VALUE"""),40.25)</f>
        <v>40.25</v>
      </c>
      <c r="S1992" s="112">
        <f ca="1">IFERROR(__xludf.DUMMYFUNCTION("""COMPUTED_VALUE"""),43202.7055555555)</f>
        <v>43202.705555555498</v>
      </c>
      <c r="T1992" s="111">
        <f ca="1">IFERROR(__xludf.DUMMYFUNCTION("""COMPUTED_VALUE"""),27.4)</f>
        <v>27.4</v>
      </c>
    </row>
    <row r="1993" spans="1:20" x14ac:dyDescent="0.3">
      <c r="A1993" s="112">
        <f ca="1">IFERROR(__xludf.DUMMYFUNCTION("""COMPUTED_VALUE"""),43201.7055555555)</f>
        <v>43201.705555555498</v>
      </c>
      <c r="B1993" s="111">
        <f ca="1">IFERROR(__xludf.DUMMYFUNCTION("""COMPUTED_VALUE"""),18.48)</f>
        <v>18.48</v>
      </c>
      <c r="C1993" s="112">
        <f ca="1">IFERROR(__xludf.DUMMYFUNCTION("""COMPUTED_VALUE"""),43209.7055555555)</f>
        <v>43209.705555555498</v>
      </c>
      <c r="D1993" s="111">
        <f ca="1">IFERROR(__xludf.DUMMYFUNCTION("""COMPUTED_VALUE"""),34)</f>
        <v>34</v>
      </c>
      <c r="E1993" s="112">
        <f ca="1">IFERROR(__xludf.DUMMYFUNCTION("""COMPUTED_VALUE"""),43209.7055555555)</f>
        <v>43209.705555555498</v>
      </c>
      <c r="F1993" s="111">
        <f ca="1">IFERROR(__xludf.DUMMYFUNCTION("""COMPUTED_VALUE"""),11.47)</f>
        <v>11.47</v>
      </c>
      <c r="G1993" s="112">
        <f ca="1">IFERROR(__xludf.DUMMYFUNCTION("""COMPUTED_VALUE"""),43206.7055555555)</f>
        <v>43206.705555555498</v>
      </c>
      <c r="H1993" s="111">
        <f ca="1">IFERROR(__xludf.DUMMYFUNCTION("""COMPUTED_VALUE"""),20.62)</f>
        <v>20.62</v>
      </c>
      <c r="K1993" s="112">
        <f ca="1">IFERROR(__xludf.DUMMYFUNCTION("""COMPUTED_VALUE"""),43662.7055555555)</f>
        <v>43662.705555555498</v>
      </c>
      <c r="L1993" s="111">
        <f ca="1">IFERROR(__xludf.DUMMYFUNCTION("""COMPUTED_VALUE"""),7.31)</f>
        <v>7.31</v>
      </c>
      <c r="M1993" s="112">
        <f ca="1">IFERROR(__xludf.DUMMYFUNCTION("""COMPUTED_VALUE"""),43116.7055555555)</f>
        <v>43116.705555555498</v>
      </c>
      <c r="N1993" s="111">
        <f ca="1">IFERROR(__xludf.DUMMYFUNCTION("""COMPUTED_VALUE"""),22.53)</f>
        <v>22.53</v>
      </c>
      <c r="O1993" s="112">
        <f ca="1">IFERROR(__xludf.DUMMYFUNCTION("""COMPUTED_VALUE"""),43194.7055555555)</f>
        <v>43194.705555555498</v>
      </c>
      <c r="P1993" s="111">
        <f ca="1">IFERROR(__xludf.DUMMYFUNCTION("""COMPUTED_VALUE"""),42.55)</f>
        <v>42.55</v>
      </c>
      <c r="Q1993" s="112">
        <f ca="1">IFERROR(__xludf.DUMMYFUNCTION("""COMPUTED_VALUE"""),43193.7055555555)</f>
        <v>43193.705555555498</v>
      </c>
      <c r="R1993" s="111">
        <f ca="1">IFERROR(__xludf.DUMMYFUNCTION("""COMPUTED_VALUE"""),39.72)</f>
        <v>39.72</v>
      </c>
      <c r="S1993" s="112">
        <f ca="1">IFERROR(__xludf.DUMMYFUNCTION("""COMPUTED_VALUE"""),43203.7055555555)</f>
        <v>43203.705555555498</v>
      </c>
      <c r="T1993" s="111">
        <f ca="1">IFERROR(__xludf.DUMMYFUNCTION("""COMPUTED_VALUE"""),27.55)</f>
        <v>27.55</v>
      </c>
    </row>
    <row r="1994" spans="1:20" x14ac:dyDescent="0.3">
      <c r="A1994" s="112">
        <f ca="1">IFERROR(__xludf.DUMMYFUNCTION("""COMPUTED_VALUE"""),43202.7055555555)</f>
        <v>43202.705555555498</v>
      </c>
      <c r="B1994" s="111">
        <f ca="1">IFERROR(__xludf.DUMMYFUNCTION("""COMPUTED_VALUE"""),19.07)</f>
        <v>19.07</v>
      </c>
      <c r="C1994" s="112">
        <f ca="1">IFERROR(__xludf.DUMMYFUNCTION("""COMPUTED_VALUE"""),43210.7055555555)</f>
        <v>43210.705555555498</v>
      </c>
      <c r="D1994" s="111">
        <f ca="1">IFERROR(__xludf.DUMMYFUNCTION("""COMPUTED_VALUE"""),33.93)</f>
        <v>33.93</v>
      </c>
      <c r="E1994" s="112">
        <f ca="1">IFERROR(__xludf.DUMMYFUNCTION("""COMPUTED_VALUE"""),43210.7055555555)</f>
        <v>43210.705555555498</v>
      </c>
      <c r="F1994" s="111">
        <f ca="1">IFERROR(__xludf.DUMMYFUNCTION("""COMPUTED_VALUE"""),11.38)</f>
        <v>11.38</v>
      </c>
      <c r="G1994" s="112">
        <f ca="1">IFERROR(__xludf.DUMMYFUNCTION("""COMPUTED_VALUE"""),43207.7055555555)</f>
        <v>43207.705555555498</v>
      </c>
      <c r="H1994" s="111">
        <f ca="1">IFERROR(__xludf.DUMMYFUNCTION("""COMPUTED_VALUE"""),21.03)</f>
        <v>21.03</v>
      </c>
      <c r="K1994" s="112">
        <f ca="1">IFERROR(__xludf.DUMMYFUNCTION("""COMPUTED_VALUE"""),43663.7055555555)</f>
        <v>43663.705555555498</v>
      </c>
      <c r="L1994" s="111">
        <f ca="1">IFERROR(__xludf.DUMMYFUNCTION("""COMPUTED_VALUE"""),7.64)</f>
        <v>7.64</v>
      </c>
      <c r="M1994" s="112">
        <f ca="1">IFERROR(__xludf.DUMMYFUNCTION("""COMPUTED_VALUE"""),43117.7055555555)</f>
        <v>43117.705555555498</v>
      </c>
      <c r="N1994" s="111">
        <f ca="1">IFERROR(__xludf.DUMMYFUNCTION("""COMPUTED_VALUE"""),23.1)</f>
        <v>23.1</v>
      </c>
      <c r="O1994" s="112">
        <f ca="1">IFERROR(__xludf.DUMMYFUNCTION("""COMPUTED_VALUE"""),43195.7055555555)</f>
        <v>43195.705555555498</v>
      </c>
      <c r="P1994" s="111">
        <f ca="1">IFERROR(__xludf.DUMMYFUNCTION("""COMPUTED_VALUE"""),43.25)</f>
        <v>43.25</v>
      </c>
      <c r="Q1994" s="112">
        <f ca="1">IFERROR(__xludf.DUMMYFUNCTION("""COMPUTED_VALUE"""),43194.7055555555)</f>
        <v>43194.705555555498</v>
      </c>
      <c r="R1994" s="111">
        <f ca="1">IFERROR(__xludf.DUMMYFUNCTION("""COMPUTED_VALUE"""),40.05)</f>
        <v>40.049999999999997</v>
      </c>
      <c r="S1994" s="112">
        <f ca="1">IFERROR(__xludf.DUMMYFUNCTION("""COMPUTED_VALUE"""),43206.7055555555)</f>
        <v>43206.705555555498</v>
      </c>
      <c r="T1994" s="111">
        <f ca="1">IFERROR(__xludf.DUMMYFUNCTION("""COMPUTED_VALUE"""),27.43)</f>
        <v>27.43</v>
      </c>
    </row>
    <row r="1995" spans="1:20" x14ac:dyDescent="0.3">
      <c r="A1995" s="112">
        <f ca="1">IFERROR(__xludf.DUMMYFUNCTION("""COMPUTED_VALUE"""),43203.7055555555)</f>
        <v>43203.705555555498</v>
      </c>
      <c r="B1995" s="111">
        <f ca="1">IFERROR(__xludf.DUMMYFUNCTION("""COMPUTED_VALUE"""),19.01)</f>
        <v>19.010000000000002</v>
      </c>
      <c r="C1995" s="112">
        <f ca="1">IFERROR(__xludf.DUMMYFUNCTION("""COMPUTED_VALUE"""),43213.7055555555)</f>
        <v>43213.705555555498</v>
      </c>
      <c r="D1995" s="111">
        <f ca="1">IFERROR(__xludf.DUMMYFUNCTION("""COMPUTED_VALUE"""),33.99)</f>
        <v>33.99</v>
      </c>
      <c r="E1995" s="112">
        <f ca="1">IFERROR(__xludf.DUMMYFUNCTION("""COMPUTED_VALUE"""),43213.7055555555)</f>
        <v>43213.705555555498</v>
      </c>
      <c r="F1995" s="111">
        <f ca="1">IFERROR(__xludf.DUMMYFUNCTION("""COMPUTED_VALUE"""),11.42)</f>
        <v>11.42</v>
      </c>
      <c r="G1995" s="112">
        <f ca="1">IFERROR(__xludf.DUMMYFUNCTION("""COMPUTED_VALUE"""),43208.7055555555)</f>
        <v>43208.705555555498</v>
      </c>
      <c r="H1995" s="111">
        <f ca="1">IFERROR(__xludf.DUMMYFUNCTION("""COMPUTED_VALUE"""),21.8)</f>
        <v>21.8</v>
      </c>
      <c r="K1995" s="112">
        <f ca="1">IFERROR(__xludf.DUMMYFUNCTION("""COMPUTED_VALUE"""),43664.7055555555)</f>
        <v>43664.705555555498</v>
      </c>
      <c r="L1995" s="111">
        <f ca="1">IFERROR(__xludf.DUMMYFUNCTION("""COMPUTED_VALUE"""),7.72)</f>
        <v>7.72</v>
      </c>
      <c r="M1995" s="112">
        <f ca="1">IFERROR(__xludf.DUMMYFUNCTION("""COMPUTED_VALUE"""),43118.7055555555)</f>
        <v>43118.705555555498</v>
      </c>
      <c r="N1995" s="111">
        <f ca="1">IFERROR(__xludf.DUMMYFUNCTION("""COMPUTED_VALUE"""),23.07)</f>
        <v>23.07</v>
      </c>
      <c r="O1995" s="112">
        <f ca="1">IFERROR(__xludf.DUMMYFUNCTION("""COMPUTED_VALUE"""),43196.7055555555)</f>
        <v>43196.705555555498</v>
      </c>
      <c r="P1995" s="111">
        <f ca="1">IFERROR(__xludf.DUMMYFUNCTION("""COMPUTED_VALUE"""),42.74)</f>
        <v>42.74</v>
      </c>
      <c r="Q1995" s="112">
        <f ca="1">IFERROR(__xludf.DUMMYFUNCTION("""COMPUTED_VALUE"""),43195.7055555555)</f>
        <v>43195.705555555498</v>
      </c>
      <c r="R1995" s="111">
        <f ca="1">IFERROR(__xludf.DUMMYFUNCTION("""COMPUTED_VALUE"""),41.22)</f>
        <v>41.22</v>
      </c>
      <c r="S1995" s="112">
        <f ca="1">IFERROR(__xludf.DUMMYFUNCTION("""COMPUTED_VALUE"""),43207.7055555555)</f>
        <v>43207.705555555498</v>
      </c>
      <c r="T1995" s="111">
        <f ca="1">IFERROR(__xludf.DUMMYFUNCTION("""COMPUTED_VALUE"""),27.55)</f>
        <v>27.55</v>
      </c>
    </row>
    <row r="1996" spans="1:20" x14ac:dyDescent="0.3">
      <c r="A1996" s="112">
        <f ca="1">IFERROR(__xludf.DUMMYFUNCTION("""COMPUTED_VALUE"""),43206.7055555555)</f>
        <v>43206.705555555498</v>
      </c>
      <c r="B1996" s="111">
        <f ca="1">IFERROR(__xludf.DUMMYFUNCTION("""COMPUTED_VALUE"""),18.32)</f>
        <v>18.32</v>
      </c>
      <c r="C1996" s="112">
        <f ca="1">IFERROR(__xludf.DUMMYFUNCTION("""COMPUTED_VALUE"""),43214.7055555555)</f>
        <v>43214.705555555498</v>
      </c>
      <c r="D1996" s="111">
        <f ca="1">IFERROR(__xludf.DUMMYFUNCTION("""COMPUTED_VALUE"""),33.82)</f>
        <v>33.82</v>
      </c>
      <c r="E1996" s="112">
        <f ca="1">IFERROR(__xludf.DUMMYFUNCTION("""COMPUTED_VALUE"""),43214.7055555555)</f>
        <v>43214.705555555498</v>
      </c>
      <c r="F1996" s="111">
        <f ca="1">IFERROR(__xludf.DUMMYFUNCTION("""COMPUTED_VALUE"""),11.39)</f>
        <v>11.39</v>
      </c>
      <c r="G1996" s="112">
        <f ca="1">IFERROR(__xludf.DUMMYFUNCTION("""COMPUTED_VALUE"""),43209.7055555555)</f>
        <v>43209.705555555498</v>
      </c>
      <c r="H1996" s="111">
        <f ca="1">IFERROR(__xludf.DUMMYFUNCTION("""COMPUTED_VALUE"""),22.2)</f>
        <v>22.2</v>
      </c>
      <c r="K1996" s="112">
        <f ca="1">IFERROR(__xludf.DUMMYFUNCTION("""COMPUTED_VALUE"""),43665.7055555555)</f>
        <v>43665.705555555498</v>
      </c>
      <c r="L1996" s="111">
        <f ca="1">IFERROR(__xludf.DUMMYFUNCTION("""COMPUTED_VALUE"""),7.44)</f>
        <v>7.44</v>
      </c>
      <c r="M1996" s="112">
        <f ca="1">IFERROR(__xludf.DUMMYFUNCTION("""COMPUTED_VALUE"""),43119.7055555555)</f>
        <v>43119.705555555498</v>
      </c>
      <c r="N1996" s="111">
        <f ca="1">IFERROR(__xludf.DUMMYFUNCTION("""COMPUTED_VALUE"""),23.23)</f>
        <v>23.23</v>
      </c>
      <c r="O1996" s="112">
        <f ca="1">IFERROR(__xludf.DUMMYFUNCTION("""COMPUTED_VALUE"""),43199.7055555555)</f>
        <v>43199.705555555498</v>
      </c>
      <c r="P1996" s="111">
        <f ca="1">IFERROR(__xludf.DUMMYFUNCTION("""COMPUTED_VALUE"""),42.95)</f>
        <v>42.95</v>
      </c>
      <c r="Q1996" s="112">
        <f ca="1">IFERROR(__xludf.DUMMYFUNCTION("""COMPUTED_VALUE"""),43196.7055555555)</f>
        <v>43196.705555555498</v>
      </c>
      <c r="R1996" s="111">
        <f ca="1">IFERROR(__xludf.DUMMYFUNCTION("""COMPUTED_VALUE"""),40.68)</f>
        <v>40.68</v>
      </c>
      <c r="S1996" s="112">
        <f ca="1">IFERROR(__xludf.DUMMYFUNCTION("""COMPUTED_VALUE"""),43208.7055555555)</f>
        <v>43208.705555555498</v>
      </c>
      <c r="T1996" s="111">
        <f ca="1">IFERROR(__xludf.DUMMYFUNCTION("""COMPUTED_VALUE"""),27.82)</f>
        <v>27.82</v>
      </c>
    </row>
    <row r="1997" spans="1:20" x14ac:dyDescent="0.3">
      <c r="A1997" s="112">
        <f ca="1">IFERROR(__xludf.DUMMYFUNCTION("""COMPUTED_VALUE"""),43207.7055555555)</f>
        <v>43207.705555555498</v>
      </c>
      <c r="B1997" s="111">
        <f ca="1">IFERROR(__xludf.DUMMYFUNCTION("""COMPUTED_VALUE"""),18.28)</f>
        <v>18.28</v>
      </c>
      <c r="C1997" s="112">
        <f ca="1">IFERROR(__xludf.DUMMYFUNCTION("""COMPUTED_VALUE"""),43215.7055555555)</f>
        <v>43215.705555555498</v>
      </c>
      <c r="D1997" s="111">
        <f ca="1">IFERROR(__xludf.DUMMYFUNCTION("""COMPUTED_VALUE"""),33.62)</f>
        <v>33.619999999999997</v>
      </c>
      <c r="E1997" s="112">
        <f ca="1">IFERROR(__xludf.DUMMYFUNCTION("""COMPUTED_VALUE"""),43215.7055555555)</f>
        <v>43215.705555555498</v>
      </c>
      <c r="F1997" s="111">
        <f ca="1">IFERROR(__xludf.DUMMYFUNCTION("""COMPUTED_VALUE"""),11.46)</f>
        <v>11.46</v>
      </c>
      <c r="G1997" s="112">
        <f ca="1">IFERROR(__xludf.DUMMYFUNCTION("""COMPUTED_VALUE"""),43210.7055555555)</f>
        <v>43210.705555555498</v>
      </c>
      <c r="H1997" s="111">
        <f ca="1">IFERROR(__xludf.DUMMYFUNCTION("""COMPUTED_VALUE"""),22.36)</f>
        <v>22.36</v>
      </c>
      <c r="K1997" s="112">
        <f ca="1">IFERROR(__xludf.DUMMYFUNCTION("""COMPUTED_VALUE"""),43668.7055555555)</f>
        <v>43668.705555555498</v>
      </c>
      <c r="L1997" s="111">
        <f ca="1">IFERROR(__xludf.DUMMYFUNCTION("""COMPUTED_VALUE"""),7.73)</f>
        <v>7.73</v>
      </c>
      <c r="M1997" s="112">
        <f ca="1">IFERROR(__xludf.DUMMYFUNCTION("""COMPUTED_VALUE"""),43122.7055555555)</f>
        <v>43122.705555555498</v>
      </c>
      <c r="N1997" s="111">
        <f ca="1">IFERROR(__xludf.DUMMYFUNCTION("""COMPUTED_VALUE"""),23.55)</f>
        <v>23.55</v>
      </c>
      <c r="O1997" s="112">
        <f ca="1">IFERROR(__xludf.DUMMYFUNCTION("""COMPUTED_VALUE"""),43200.7055555555)</f>
        <v>43200.705555555498</v>
      </c>
      <c r="P1997" s="111">
        <f ca="1">IFERROR(__xludf.DUMMYFUNCTION("""COMPUTED_VALUE"""),44.84)</f>
        <v>44.84</v>
      </c>
      <c r="Q1997" s="112">
        <f ca="1">IFERROR(__xludf.DUMMYFUNCTION("""COMPUTED_VALUE"""),43199.7055555555)</f>
        <v>43199.705555555498</v>
      </c>
      <c r="R1997" s="111">
        <f ca="1">IFERROR(__xludf.DUMMYFUNCTION("""COMPUTED_VALUE"""),39.2)</f>
        <v>39.200000000000003</v>
      </c>
      <c r="S1997" s="112">
        <f ca="1">IFERROR(__xludf.DUMMYFUNCTION("""COMPUTED_VALUE"""),43209.7055555555)</f>
        <v>43209.705555555498</v>
      </c>
      <c r="T1997" s="111">
        <f ca="1">IFERROR(__xludf.DUMMYFUNCTION("""COMPUTED_VALUE"""),27.62)</f>
        <v>27.62</v>
      </c>
    </row>
    <row r="1998" spans="1:20" x14ac:dyDescent="0.3">
      <c r="A1998" s="112">
        <f ca="1">IFERROR(__xludf.DUMMYFUNCTION("""COMPUTED_VALUE"""),43208.7055555555)</f>
        <v>43208.705555555498</v>
      </c>
      <c r="B1998" s="111">
        <f ca="1">IFERROR(__xludf.DUMMYFUNCTION("""COMPUTED_VALUE"""),18.54)</f>
        <v>18.54</v>
      </c>
      <c r="C1998" s="112">
        <f ca="1">IFERROR(__xludf.DUMMYFUNCTION("""COMPUTED_VALUE"""),43216.7055555555)</f>
        <v>43216.705555555498</v>
      </c>
      <c r="D1998" s="111">
        <f ca="1">IFERROR(__xludf.DUMMYFUNCTION("""COMPUTED_VALUE"""),34.4)</f>
        <v>34.4</v>
      </c>
      <c r="E1998" s="112">
        <f ca="1">IFERROR(__xludf.DUMMYFUNCTION("""COMPUTED_VALUE"""),43216.7055555555)</f>
        <v>43216.705555555498</v>
      </c>
      <c r="F1998" s="111">
        <f ca="1">IFERROR(__xludf.DUMMYFUNCTION("""COMPUTED_VALUE"""),11.84)</f>
        <v>11.84</v>
      </c>
      <c r="G1998" s="112">
        <f ca="1">IFERROR(__xludf.DUMMYFUNCTION("""COMPUTED_VALUE"""),43213.7055555555)</f>
        <v>43213.705555555498</v>
      </c>
      <c r="H1998" s="111">
        <f ca="1">IFERROR(__xludf.DUMMYFUNCTION("""COMPUTED_VALUE"""),22.48)</f>
        <v>22.48</v>
      </c>
      <c r="K1998" s="112">
        <f ca="1">IFERROR(__xludf.DUMMYFUNCTION("""COMPUTED_VALUE"""),43669.7055555555)</f>
        <v>43669.705555555498</v>
      </c>
      <c r="L1998" s="111">
        <f ca="1">IFERROR(__xludf.DUMMYFUNCTION("""COMPUTED_VALUE"""),7.56)</f>
        <v>7.56</v>
      </c>
      <c r="M1998" s="112">
        <f ca="1">IFERROR(__xludf.DUMMYFUNCTION("""COMPUTED_VALUE"""),43123.7055555555)</f>
        <v>43123.705555555498</v>
      </c>
      <c r="N1998" s="111">
        <f ca="1">IFERROR(__xludf.DUMMYFUNCTION("""COMPUTED_VALUE"""),23.66)</f>
        <v>23.66</v>
      </c>
      <c r="O1998" s="112">
        <f ca="1">IFERROR(__xludf.DUMMYFUNCTION("""COMPUTED_VALUE"""),43201.7055555555)</f>
        <v>43201.705555555498</v>
      </c>
      <c r="P1998" s="111">
        <f ca="1">IFERROR(__xludf.DUMMYFUNCTION("""COMPUTED_VALUE"""),44.64)</f>
        <v>44.64</v>
      </c>
      <c r="Q1998" s="112">
        <f ca="1">IFERROR(__xludf.DUMMYFUNCTION("""COMPUTED_VALUE"""),43200.7055555555)</f>
        <v>43200.705555555498</v>
      </c>
      <c r="R1998" s="111">
        <f ca="1">IFERROR(__xludf.DUMMYFUNCTION("""COMPUTED_VALUE"""),38.73)</f>
        <v>38.729999999999997</v>
      </c>
      <c r="S1998" s="112">
        <f ca="1">IFERROR(__xludf.DUMMYFUNCTION("""COMPUTED_VALUE"""),43210.7055555555)</f>
        <v>43210.705555555498</v>
      </c>
      <c r="T1998" s="111">
        <f ca="1">IFERROR(__xludf.DUMMYFUNCTION("""COMPUTED_VALUE"""),27.33)</f>
        <v>27.33</v>
      </c>
    </row>
    <row r="1999" spans="1:20" x14ac:dyDescent="0.3">
      <c r="A1999" s="112">
        <f ca="1">IFERROR(__xludf.DUMMYFUNCTION("""COMPUTED_VALUE"""),43209.7055555555)</f>
        <v>43209.705555555498</v>
      </c>
      <c r="B1999" s="111">
        <f ca="1">IFERROR(__xludf.DUMMYFUNCTION("""COMPUTED_VALUE"""),18.64)</f>
        <v>18.64</v>
      </c>
      <c r="C1999" s="112">
        <f ca="1">IFERROR(__xludf.DUMMYFUNCTION("""COMPUTED_VALUE"""),43217.7055555555)</f>
        <v>43217.705555555498</v>
      </c>
      <c r="D1999" s="111">
        <f ca="1">IFERROR(__xludf.DUMMYFUNCTION("""COMPUTED_VALUE"""),34.33)</f>
        <v>34.33</v>
      </c>
      <c r="E1999" s="112">
        <f ca="1">IFERROR(__xludf.DUMMYFUNCTION("""COMPUTED_VALUE"""),43217.7055555555)</f>
        <v>43217.705555555498</v>
      </c>
      <c r="F1999" s="111">
        <f ca="1">IFERROR(__xludf.DUMMYFUNCTION("""COMPUTED_VALUE"""),11.85)</f>
        <v>11.85</v>
      </c>
      <c r="G1999" s="112">
        <f ca="1">IFERROR(__xludf.DUMMYFUNCTION("""COMPUTED_VALUE"""),43214.7055555555)</f>
        <v>43214.705555555498</v>
      </c>
      <c r="H1999" s="111">
        <f ca="1">IFERROR(__xludf.DUMMYFUNCTION("""COMPUTED_VALUE"""),22.4)</f>
        <v>22.4</v>
      </c>
      <c r="K1999" s="112">
        <f ca="1">IFERROR(__xludf.DUMMYFUNCTION("""COMPUTED_VALUE"""),43670.7055555555)</f>
        <v>43670.705555555498</v>
      </c>
      <c r="L1999" s="111">
        <f ca="1">IFERROR(__xludf.DUMMYFUNCTION("""COMPUTED_VALUE"""),7.68)</f>
        <v>7.68</v>
      </c>
      <c r="M1999" s="112">
        <f ca="1">IFERROR(__xludf.DUMMYFUNCTION("""COMPUTED_VALUE"""),43124.7055555555)</f>
        <v>43124.705555555498</v>
      </c>
      <c r="N1999" s="111">
        <f ca="1">IFERROR(__xludf.DUMMYFUNCTION("""COMPUTED_VALUE"""),24.92)</f>
        <v>24.92</v>
      </c>
      <c r="O1999" s="112">
        <f ca="1">IFERROR(__xludf.DUMMYFUNCTION("""COMPUTED_VALUE"""),43202.7055555555)</f>
        <v>43202.705555555498</v>
      </c>
      <c r="P1999" s="111">
        <f ca="1">IFERROR(__xludf.DUMMYFUNCTION("""COMPUTED_VALUE"""),44.81)</f>
        <v>44.81</v>
      </c>
      <c r="Q1999" s="112">
        <f ca="1">IFERROR(__xludf.DUMMYFUNCTION("""COMPUTED_VALUE"""),43201.7055555555)</f>
        <v>43201.705555555498</v>
      </c>
      <c r="R1999" s="111">
        <f ca="1">IFERROR(__xludf.DUMMYFUNCTION("""COMPUTED_VALUE"""),39.05)</f>
        <v>39.049999999999997</v>
      </c>
      <c r="S1999" s="112">
        <f ca="1">IFERROR(__xludf.DUMMYFUNCTION("""COMPUTED_VALUE"""),43213.7055555555)</f>
        <v>43213.705555555498</v>
      </c>
      <c r="T1999" s="111">
        <f ca="1">IFERROR(__xludf.DUMMYFUNCTION("""COMPUTED_VALUE"""),27.6)</f>
        <v>27.6</v>
      </c>
    </row>
    <row r="2000" spans="1:20" x14ac:dyDescent="0.3">
      <c r="A2000" s="112">
        <f ca="1">IFERROR(__xludf.DUMMYFUNCTION("""COMPUTED_VALUE"""),43210.7055555555)</f>
        <v>43210.705555555498</v>
      </c>
      <c r="B2000" s="111">
        <f ca="1">IFERROR(__xludf.DUMMYFUNCTION("""COMPUTED_VALUE"""),17.87)</f>
        <v>17.87</v>
      </c>
      <c r="C2000" s="112">
        <f ca="1">IFERROR(__xludf.DUMMYFUNCTION("""COMPUTED_VALUE"""),43220.7055555555)</f>
        <v>43220.705555555498</v>
      </c>
      <c r="D2000" s="111">
        <f ca="1">IFERROR(__xludf.DUMMYFUNCTION("""COMPUTED_VALUE"""),34.01)</f>
        <v>34.01</v>
      </c>
      <c r="E2000" s="112">
        <f ca="1">IFERROR(__xludf.DUMMYFUNCTION("""COMPUTED_VALUE"""),43220.7055555555)</f>
        <v>43220.705555555498</v>
      </c>
      <c r="F2000" s="111">
        <f ca="1">IFERROR(__xludf.DUMMYFUNCTION("""COMPUTED_VALUE"""),11.78)</f>
        <v>11.78</v>
      </c>
      <c r="G2000" s="112">
        <f ca="1">IFERROR(__xludf.DUMMYFUNCTION("""COMPUTED_VALUE"""),43215.7055555555)</f>
        <v>43215.705555555498</v>
      </c>
      <c r="H2000" s="111">
        <f ca="1">IFERROR(__xludf.DUMMYFUNCTION("""COMPUTED_VALUE"""),21.73)</f>
        <v>21.73</v>
      </c>
      <c r="K2000" s="112">
        <f ca="1">IFERROR(__xludf.DUMMYFUNCTION("""COMPUTED_VALUE"""),43671.7055555555)</f>
        <v>43671.705555555498</v>
      </c>
      <c r="L2000" s="111">
        <f ca="1">IFERROR(__xludf.DUMMYFUNCTION("""COMPUTED_VALUE"""),7.64)</f>
        <v>7.64</v>
      </c>
      <c r="M2000" s="112">
        <f ca="1">IFERROR(__xludf.DUMMYFUNCTION("""COMPUTED_VALUE"""),43126.7055555555)</f>
        <v>43126.705555555498</v>
      </c>
      <c r="N2000" s="111">
        <f ca="1">IFERROR(__xludf.DUMMYFUNCTION("""COMPUTED_VALUE"""),25.8)</f>
        <v>25.8</v>
      </c>
      <c r="O2000" s="112">
        <f ca="1">IFERROR(__xludf.DUMMYFUNCTION("""COMPUTED_VALUE"""),43203.7055555555)</f>
        <v>43203.705555555498</v>
      </c>
      <c r="P2000" s="111">
        <f ca="1">IFERROR(__xludf.DUMMYFUNCTION("""COMPUTED_VALUE"""),44.98)</f>
        <v>44.98</v>
      </c>
      <c r="Q2000" s="112">
        <f ca="1">IFERROR(__xludf.DUMMYFUNCTION("""COMPUTED_VALUE"""),43202.7055555555)</f>
        <v>43202.705555555498</v>
      </c>
      <c r="R2000" s="111">
        <f ca="1">IFERROR(__xludf.DUMMYFUNCTION("""COMPUTED_VALUE"""),38.95)</f>
        <v>38.950000000000003</v>
      </c>
      <c r="S2000" s="112">
        <f ca="1">IFERROR(__xludf.DUMMYFUNCTION("""COMPUTED_VALUE"""),43214.7055555555)</f>
        <v>43214.705555555498</v>
      </c>
      <c r="T2000" s="111">
        <f ca="1">IFERROR(__xludf.DUMMYFUNCTION("""COMPUTED_VALUE"""),27.27)</f>
        <v>27.27</v>
      </c>
    </row>
    <row r="2001" spans="1:20" x14ac:dyDescent="0.3">
      <c r="A2001" s="112">
        <f ca="1">IFERROR(__xludf.DUMMYFUNCTION("""COMPUTED_VALUE"""),43213.7055555555)</f>
        <v>43213.705555555498</v>
      </c>
      <c r="B2001" s="111">
        <f ca="1">IFERROR(__xludf.DUMMYFUNCTION("""COMPUTED_VALUE"""),17.79)</f>
        <v>17.79</v>
      </c>
      <c r="C2001" s="112">
        <f ca="1">IFERROR(__xludf.DUMMYFUNCTION("""COMPUTED_VALUE"""),43222.7055555555)</f>
        <v>43222.705555555498</v>
      </c>
      <c r="D2001" s="111">
        <f ca="1">IFERROR(__xludf.DUMMYFUNCTION("""COMPUTED_VALUE"""),32.47)</f>
        <v>32.47</v>
      </c>
      <c r="E2001" s="112">
        <f ca="1">IFERROR(__xludf.DUMMYFUNCTION("""COMPUTED_VALUE"""),43222.7055555555)</f>
        <v>43222.705555555498</v>
      </c>
      <c r="F2001" s="111">
        <f ca="1">IFERROR(__xludf.DUMMYFUNCTION("""COMPUTED_VALUE"""),11.08)</f>
        <v>11.08</v>
      </c>
      <c r="G2001" s="112">
        <f ca="1">IFERROR(__xludf.DUMMYFUNCTION("""COMPUTED_VALUE"""),43216.7055555555)</f>
        <v>43216.705555555498</v>
      </c>
      <c r="H2001" s="111">
        <f ca="1">IFERROR(__xludf.DUMMYFUNCTION("""COMPUTED_VALUE"""),22.63)</f>
        <v>22.63</v>
      </c>
      <c r="K2001" s="112">
        <f ca="1">IFERROR(__xludf.DUMMYFUNCTION("""COMPUTED_VALUE"""),43672.7055555555)</f>
        <v>43672.705555555498</v>
      </c>
      <c r="L2001" s="111">
        <f ca="1">IFERROR(__xludf.DUMMYFUNCTION("""COMPUTED_VALUE"""),7.88)</f>
        <v>7.88</v>
      </c>
      <c r="M2001" s="112">
        <f ca="1">IFERROR(__xludf.DUMMYFUNCTION("""COMPUTED_VALUE"""),43129.7055555555)</f>
        <v>43129.705555555498</v>
      </c>
      <c r="N2001" s="111">
        <f ca="1">IFERROR(__xludf.DUMMYFUNCTION("""COMPUTED_VALUE"""),25.04)</f>
        <v>25.04</v>
      </c>
      <c r="O2001" s="112">
        <f ca="1">IFERROR(__xludf.DUMMYFUNCTION("""COMPUTED_VALUE"""),43206.7055555555)</f>
        <v>43206.705555555498</v>
      </c>
      <c r="P2001" s="111">
        <f ca="1">IFERROR(__xludf.DUMMYFUNCTION("""COMPUTED_VALUE"""),44.54)</f>
        <v>44.54</v>
      </c>
      <c r="Q2001" s="112">
        <f ca="1">IFERROR(__xludf.DUMMYFUNCTION("""COMPUTED_VALUE"""),43203.7055555555)</f>
        <v>43203.705555555498</v>
      </c>
      <c r="R2001" s="111">
        <f ca="1">IFERROR(__xludf.DUMMYFUNCTION("""COMPUTED_VALUE"""),37.64)</f>
        <v>37.64</v>
      </c>
      <c r="S2001" s="112">
        <f ca="1">IFERROR(__xludf.DUMMYFUNCTION("""COMPUTED_VALUE"""),43215.7055555555)</f>
        <v>43215.705555555498</v>
      </c>
      <c r="T2001" s="111">
        <f ca="1">IFERROR(__xludf.DUMMYFUNCTION("""COMPUTED_VALUE"""),26.47)</f>
        <v>26.47</v>
      </c>
    </row>
    <row r="2002" spans="1:20" x14ac:dyDescent="0.3">
      <c r="A2002" s="112">
        <f ca="1">IFERROR(__xludf.DUMMYFUNCTION("""COMPUTED_VALUE"""),43214.7055555555)</f>
        <v>43214.705555555498</v>
      </c>
      <c r="B2002" s="111">
        <f ca="1">IFERROR(__xludf.DUMMYFUNCTION("""COMPUTED_VALUE"""),17.55)</f>
        <v>17.55</v>
      </c>
      <c r="C2002" s="112">
        <f ca="1">IFERROR(__xludf.DUMMYFUNCTION("""COMPUTED_VALUE"""),43223.7055555555)</f>
        <v>43223.705555555498</v>
      </c>
      <c r="D2002" s="111">
        <f ca="1">IFERROR(__xludf.DUMMYFUNCTION("""COMPUTED_VALUE"""),31.83)</f>
        <v>31.83</v>
      </c>
      <c r="E2002" s="112">
        <f ca="1">IFERROR(__xludf.DUMMYFUNCTION("""COMPUTED_VALUE"""),43223.7055555555)</f>
        <v>43223.705555555498</v>
      </c>
      <c r="F2002" s="111">
        <f ca="1">IFERROR(__xludf.DUMMYFUNCTION("""COMPUTED_VALUE"""),10.78)</f>
        <v>10.78</v>
      </c>
      <c r="G2002" s="112">
        <f ca="1">IFERROR(__xludf.DUMMYFUNCTION("""COMPUTED_VALUE"""),43217.7055555555)</f>
        <v>43217.705555555498</v>
      </c>
      <c r="H2002" s="111">
        <f ca="1">IFERROR(__xludf.DUMMYFUNCTION("""COMPUTED_VALUE"""),22.71)</f>
        <v>22.71</v>
      </c>
      <c r="K2002" s="112">
        <f ca="1">IFERROR(__xludf.DUMMYFUNCTION("""COMPUTED_VALUE"""),43675.7055555555)</f>
        <v>43675.705555555498</v>
      </c>
      <c r="L2002" s="111">
        <f ca="1">IFERROR(__xludf.DUMMYFUNCTION("""COMPUTED_VALUE"""),8.25)</f>
        <v>8.25</v>
      </c>
      <c r="M2002" s="112">
        <f ca="1">IFERROR(__xludf.DUMMYFUNCTION("""COMPUTED_VALUE"""),43130.7055555555)</f>
        <v>43130.705555555498</v>
      </c>
      <c r="N2002" s="111">
        <f ca="1">IFERROR(__xludf.DUMMYFUNCTION("""COMPUTED_VALUE"""),25.29)</f>
        <v>25.29</v>
      </c>
      <c r="O2002" s="112">
        <f ca="1">IFERROR(__xludf.DUMMYFUNCTION("""COMPUTED_VALUE"""),43207.7055555555)</f>
        <v>43207.705555555498</v>
      </c>
      <c r="P2002" s="111">
        <f ca="1">IFERROR(__xludf.DUMMYFUNCTION("""COMPUTED_VALUE"""),45.93)</f>
        <v>45.93</v>
      </c>
      <c r="Q2002" s="112">
        <f ca="1">IFERROR(__xludf.DUMMYFUNCTION("""COMPUTED_VALUE"""),43206.7055555555)</f>
        <v>43206.705555555498</v>
      </c>
      <c r="R2002" s="111">
        <f ca="1">IFERROR(__xludf.DUMMYFUNCTION("""COMPUTED_VALUE"""),36.3)</f>
        <v>36.299999999999997</v>
      </c>
      <c r="S2002" s="112">
        <f ca="1">IFERROR(__xludf.DUMMYFUNCTION("""COMPUTED_VALUE"""),43216.7055555555)</f>
        <v>43216.705555555498</v>
      </c>
      <c r="T2002" s="111">
        <f ca="1">IFERROR(__xludf.DUMMYFUNCTION("""COMPUTED_VALUE"""),26.67)</f>
        <v>26.67</v>
      </c>
    </row>
    <row r="2003" spans="1:20" x14ac:dyDescent="0.3">
      <c r="A2003" s="112">
        <f ca="1">IFERROR(__xludf.DUMMYFUNCTION("""COMPUTED_VALUE"""),43215.7055555555)</f>
        <v>43215.705555555498</v>
      </c>
      <c r="B2003" s="111">
        <f ca="1">IFERROR(__xludf.DUMMYFUNCTION("""COMPUTED_VALUE"""),17.85)</f>
        <v>17.850000000000001</v>
      </c>
      <c r="C2003" s="112">
        <f ca="1">IFERROR(__xludf.DUMMYFUNCTION("""COMPUTED_VALUE"""),43224.7055555555)</f>
        <v>43224.705555555498</v>
      </c>
      <c r="D2003" s="111">
        <f ca="1">IFERROR(__xludf.DUMMYFUNCTION("""COMPUTED_VALUE"""),31.45)</f>
        <v>31.45</v>
      </c>
      <c r="E2003" s="112">
        <f ca="1">IFERROR(__xludf.DUMMYFUNCTION("""COMPUTED_VALUE"""),43224.7055555555)</f>
        <v>43224.705555555498</v>
      </c>
      <c r="F2003" s="111">
        <f ca="1">IFERROR(__xludf.DUMMYFUNCTION("""COMPUTED_VALUE"""),10.61)</f>
        <v>10.61</v>
      </c>
      <c r="G2003" s="112">
        <f ca="1">IFERROR(__xludf.DUMMYFUNCTION("""COMPUTED_VALUE"""),43220.7055555555)</f>
        <v>43220.705555555498</v>
      </c>
      <c r="H2003" s="111">
        <f ca="1">IFERROR(__xludf.DUMMYFUNCTION("""COMPUTED_VALUE"""),22.97)</f>
        <v>22.97</v>
      </c>
      <c r="K2003" s="112">
        <f ca="1">IFERROR(__xludf.DUMMYFUNCTION("""COMPUTED_VALUE"""),43676.7055555555)</f>
        <v>43676.705555555498</v>
      </c>
      <c r="L2003" s="111">
        <f ca="1">IFERROR(__xludf.DUMMYFUNCTION("""COMPUTED_VALUE"""),8.27)</f>
        <v>8.27</v>
      </c>
      <c r="M2003" s="112">
        <f ca="1">IFERROR(__xludf.DUMMYFUNCTION("""COMPUTED_VALUE"""),43131.7055555555)</f>
        <v>43131.705555555498</v>
      </c>
      <c r="N2003" s="111">
        <f ca="1">IFERROR(__xludf.DUMMYFUNCTION("""COMPUTED_VALUE"""),25.51)</f>
        <v>25.51</v>
      </c>
      <c r="O2003" s="112">
        <f ca="1">IFERROR(__xludf.DUMMYFUNCTION("""COMPUTED_VALUE"""),43208.7055555555)</f>
        <v>43208.705555555498</v>
      </c>
      <c r="P2003" s="111">
        <f ca="1">IFERROR(__xludf.DUMMYFUNCTION("""COMPUTED_VALUE"""),47.48)</f>
        <v>47.48</v>
      </c>
      <c r="Q2003" s="112">
        <f ca="1">IFERROR(__xludf.DUMMYFUNCTION("""COMPUTED_VALUE"""),43207.7055555555)</f>
        <v>43207.705555555498</v>
      </c>
      <c r="R2003" s="111">
        <f ca="1">IFERROR(__xludf.DUMMYFUNCTION("""COMPUTED_VALUE"""),37.17)</f>
        <v>37.17</v>
      </c>
      <c r="S2003" s="112">
        <f ca="1">IFERROR(__xludf.DUMMYFUNCTION("""COMPUTED_VALUE"""),43217.7055555555)</f>
        <v>43217.705555555498</v>
      </c>
      <c r="T2003" s="111">
        <f ca="1">IFERROR(__xludf.DUMMYFUNCTION("""COMPUTED_VALUE"""),27.15)</f>
        <v>27.15</v>
      </c>
    </row>
    <row r="2004" spans="1:20" x14ac:dyDescent="0.3">
      <c r="A2004" s="112">
        <f ca="1">IFERROR(__xludf.DUMMYFUNCTION("""COMPUTED_VALUE"""),43216.7055555555)</f>
        <v>43216.705555555498</v>
      </c>
      <c r="B2004" s="111">
        <f ca="1">IFERROR(__xludf.DUMMYFUNCTION("""COMPUTED_VALUE"""),18.27)</f>
        <v>18.27</v>
      </c>
      <c r="C2004" s="112">
        <f ca="1">IFERROR(__xludf.DUMMYFUNCTION("""COMPUTED_VALUE"""),43227.7055555555)</f>
        <v>43227.705555555498</v>
      </c>
      <c r="D2004" s="111">
        <f ca="1">IFERROR(__xludf.DUMMYFUNCTION("""COMPUTED_VALUE"""),31.5)</f>
        <v>31.5</v>
      </c>
      <c r="E2004" s="112">
        <f ca="1">IFERROR(__xludf.DUMMYFUNCTION("""COMPUTED_VALUE"""),43227.7055555555)</f>
        <v>43227.705555555498</v>
      </c>
      <c r="F2004" s="111">
        <f ca="1">IFERROR(__xludf.DUMMYFUNCTION("""COMPUTED_VALUE"""),10.62)</f>
        <v>10.62</v>
      </c>
      <c r="G2004" s="112">
        <f ca="1">IFERROR(__xludf.DUMMYFUNCTION("""COMPUTED_VALUE"""),43222.7055555555)</f>
        <v>43222.705555555498</v>
      </c>
      <c r="H2004" s="111">
        <f ca="1">IFERROR(__xludf.DUMMYFUNCTION("""COMPUTED_VALUE"""),22.6)</f>
        <v>22.6</v>
      </c>
      <c r="K2004" s="112">
        <f ca="1">IFERROR(__xludf.DUMMYFUNCTION("""COMPUTED_VALUE"""),43677.7055555555)</f>
        <v>43677.705555555498</v>
      </c>
      <c r="L2004" s="111">
        <f ca="1">IFERROR(__xludf.DUMMYFUNCTION("""COMPUTED_VALUE"""),8.24)</f>
        <v>8.24</v>
      </c>
      <c r="M2004" s="112">
        <f ca="1">IFERROR(__xludf.DUMMYFUNCTION("""COMPUTED_VALUE"""),43132.7055555555)</f>
        <v>43132.705555555498</v>
      </c>
      <c r="N2004" s="111">
        <f ca="1">IFERROR(__xludf.DUMMYFUNCTION("""COMPUTED_VALUE"""),24.84)</f>
        <v>24.84</v>
      </c>
      <c r="O2004" s="112">
        <f ca="1">IFERROR(__xludf.DUMMYFUNCTION("""COMPUTED_VALUE"""),43209.7055555555)</f>
        <v>43209.705555555498</v>
      </c>
      <c r="P2004" s="111">
        <f ca="1">IFERROR(__xludf.DUMMYFUNCTION("""COMPUTED_VALUE"""),47.83)</f>
        <v>47.83</v>
      </c>
      <c r="Q2004" s="112">
        <f ca="1">IFERROR(__xludf.DUMMYFUNCTION("""COMPUTED_VALUE"""),43208.7055555555)</f>
        <v>43208.705555555498</v>
      </c>
      <c r="R2004" s="111">
        <f ca="1">IFERROR(__xludf.DUMMYFUNCTION("""COMPUTED_VALUE"""),38.02)</f>
        <v>38.020000000000003</v>
      </c>
      <c r="S2004" s="112">
        <f ca="1">IFERROR(__xludf.DUMMYFUNCTION("""COMPUTED_VALUE"""),43220.7055555555)</f>
        <v>43220.705555555498</v>
      </c>
      <c r="T2004" s="111">
        <f ca="1">IFERROR(__xludf.DUMMYFUNCTION("""COMPUTED_VALUE"""),26.95)</f>
        <v>26.95</v>
      </c>
    </row>
    <row r="2005" spans="1:20" x14ac:dyDescent="0.3">
      <c r="A2005" s="112">
        <f ca="1">IFERROR(__xludf.DUMMYFUNCTION("""COMPUTED_VALUE"""),43217.7055555555)</f>
        <v>43217.705555555498</v>
      </c>
      <c r="B2005" s="111">
        <f ca="1">IFERROR(__xludf.DUMMYFUNCTION("""COMPUTED_VALUE"""),19.04)</f>
        <v>19.04</v>
      </c>
      <c r="C2005" s="112">
        <f ca="1">IFERROR(__xludf.DUMMYFUNCTION("""COMPUTED_VALUE"""),43228.7055555555)</f>
        <v>43228.705555555498</v>
      </c>
      <c r="D2005" s="111">
        <f ca="1">IFERROR(__xludf.DUMMYFUNCTION("""COMPUTED_VALUE"""),31.6)</f>
        <v>31.6</v>
      </c>
      <c r="E2005" s="112">
        <f ca="1">IFERROR(__xludf.DUMMYFUNCTION("""COMPUTED_VALUE"""),43228.7055555555)</f>
        <v>43228.705555555498</v>
      </c>
      <c r="F2005" s="111">
        <f ca="1">IFERROR(__xludf.DUMMYFUNCTION("""COMPUTED_VALUE"""),10.65)</f>
        <v>10.65</v>
      </c>
      <c r="G2005" s="112">
        <f ca="1">IFERROR(__xludf.DUMMYFUNCTION("""COMPUTED_VALUE"""),43223.7055555555)</f>
        <v>43223.705555555498</v>
      </c>
      <c r="H2005" s="111">
        <f ca="1">IFERROR(__xludf.DUMMYFUNCTION("""COMPUTED_VALUE"""),22.45)</f>
        <v>22.45</v>
      </c>
      <c r="K2005" s="112">
        <f ca="1">IFERROR(__xludf.DUMMYFUNCTION("""COMPUTED_VALUE"""),43678.7055555555)</f>
        <v>43678.705555555498</v>
      </c>
      <c r="L2005" s="111">
        <f ca="1">IFERROR(__xludf.DUMMYFUNCTION("""COMPUTED_VALUE"""),8.64)</f>
        <v>8.64</v>
      </c>
      <c r="M2005" s="112">
        <f ca="1">IFERROR(__xludf.DUMMYFUNCTION("""COMPUTED_VALUE"""),43133.7055555555)</f>
        <v>43133.705555555498</v>
      </c>
      <c r="N2005" s="111">
        <f ca="1">IFERROR(__xludf.DUMMYFUNCTION("""COMPUTED_VALUE"""),24.05)</f>
        <v>24.05</v>
      </c>
      <c r="O2005" s="112">
        <f ca="1">IFERROR(__xludf.DUMMYFUNCTION("""COMPUTED_VALUE"""),43210.7055555555)</f>
        <v>43210.705555555498</v>
      </c>
      <c r="P2005" s="111">
        <f ca="1">IFERROR(__xludf.DUMMYFUNCTION("""COMPUTED_VALUE"""),47.63)</f>
        <v>47.63</v>
      </c>
      <c r="Q2005" s="112">
        <f ca="1">IFERROR(__xludf.DUMMYFUNCTION("""COMPUTED_VALUE"""),43209.7055555555)</f>
        <v>43209.705555555498</v>
      </c>
      <c r="R2005" s="111">
        <f ca="1">IFERROR(__xludf.DUMMYFUNCTION("""COMPUTED_VALUE"""),38.04)</f>
        <v>38.04</v>
      </c>
      <c r="S2005" s="112">
        <f ca="1">IFERROR(__xludf.DUMMYFUNCTION("""COMPUTED_VALUE"""),43222.7055555555)</f>
        <v>43222.705555555498</v>
      </c>
      <c r="T2005" s="111">
        <f ca="1">IFERROR(__xludf.DUMMYFUNCTION("""COMPUTED_VALUE"""),26.56)</f>
        <v>26.56</v>
      </c>
    </row>
    <row r="2006" spans="1:20" x14ac:dyDescent="0.3">
      <c r="A2006" s="112">
        <f ca="1">IFERROR(__xludf.DUMMYFUNCTION("""COMPUTED_VALUE"""),43220.7055555555)</f>
        <v>43220.705555555498</v>
      </c>
      <c r="B2006" s="111">
        <f ca="1">IFERROR(__xludf.DUMMYFUNCTION("""COMPUTED_VALUE"""),18.86)</f>
        <v>18.86</v>
      </c>
      <c r="C2006" s="112">
        <f ca="1">IFERROR(__xludf.DUMMYFUNCTION("""COMPUTED_VALUE"""),43229.7055555555)</f>
        <v>43229.705555555498</v>
      </c>
      <c r="D2006" s="111">
        <f ca="1">IFERROR(__xludf.DUMMYFUNCTION("""COMPUTED_VALUE"""),31.7)</f>
        <v>31.7</v>
      </c>
      <c r="E2006" s="112">
        <f ca="1">IFERROR(__xludf.DUMMYFUNCTION("""COMPUTED_VALUE"""),43229.7055555555)</f>
        <v>43229.705555555498</v>
      </c>
      <c r="F2006" s="111">
        <f ca="1">IFERROR(__xludf.DUMMYFUNCTION("""COMPUTED_VALUE"""),10.68)</f>
        <v>10.68</v>
      </c>
      <c r="G2006" s="112">
        <f ca="1">IFERROR(__xludf.DUMMYFUNCTION("""COMPUTED_VALUE"""),43224.7055555555)</f>
        <v>43224.705555555498</v>
      </c>
      <c r="H2006" s="111">
        <f ca="1">IFERROR(__xludf.DUMMYFUNCTION("""COMPUTED_VALUE"""),22.27)</f>
        <v>22.27</v>
      </c>
      <c r="K2006" s="112">
        <f ca="1">IFERROR(__xludf.DUMMYFUNCTION("""COMPUTED_VALUE"""),43679.7055555555)</f>
        <v>43679.705555555498</v>
      </c>
      <c r="L2006" s="111">
        <f ca="1">IFERROR(__xludf.DUMMYFUNCTION("""COMPUTED_VALUE"""),8.86)</f>
        <v>8.86</v>
      </c>
      <c r="M2006" s="112">
        <f ca="1">IFERROR(__xludf.DUMMYFUNCTION("""COMPUTED_VALUE"""),43136.7055555555)</f>
        <v>43136.705555555498</v>
      </c>
      <c r="N2006" s="111">
        <f ca="1">IFERROR(__xludf.DUMMYFUNCTION("""COMPUTED_VALUE"""),23.67)</f>
        <v>23.67</v>
      </c>
      <c r="O2006" s="112">
        <f ca="1">IFERROR(__xludf.DUMMYFUNCTION("""COMPUTED_VALUE"""),43213.7055555555)</f>
        <v>43213.705555555498</v>
      </c>
      <c r="P2006" s="111">
        <f ca="1">IFERROR(__xludf.DUMMYFUNCTION("""COMPUTED_VALUE"""),47.5)</f>
        <v>47.5</v>
      </c>
      <c r="Q2006" s="112">
        <f ca="1">IFERROR(__xludf.DUMMYFUNCTION("""COMPUTED_VALUE"""),43210.7055555555)</f>
        <v>43210.705555555498</v>
      </c>
      <c r="R2006" s="111">
        <f ca="1">IFERROR(__xludf.DUMMYFUNCTION("""COMPUTED_VALUE"""),37.62)</f>
        <v>37.619999999999997</v>
      </c>
      <c r="S2006" s="112">
        <f ca="1">IFERROR(__xludf.DUMMYFUNCTION("""COMPUTED_VALUE"""),43223.7055555555)</f>
        <v>43223.705555555498</v>
      </c>
      <c r="T2006" s="111">
        <f ca="1">IFERROR(__xludf.DUMMYFUNCTION("""COMPUTED_VALUE"""),26.65)</f>
        <v>26.65</v>
      </c>
    </row>
    <row r="2007" spans="1:20" x14ac:dyDescent="0.3">
      <c r="A2007" s="112">
        <f ca="1">IFERROR(__xludf.DUMMYFUNCTION("""COMPUTED_VALUE"""),43222.7055555555)</f>
        <v>43222.705555555498</v>
      </c>
      <c r="B2007" s="111">
        <f ca="1">IFERROR(__xludf.DUMMYFUNCTION("""COMPUTED_VALUE"""),19.7)</f>
        <v>19.7</v>
      </c>
      <c r="C2007" s="112">
        <f ca="1">IFERROR(__xludf.DUMMYFUNCTION("""COMPUTED_VALUE"""),43230.7055555555)</f>
        <v>43230.705555555498</v>
      </c>
      <c r="D2007" s="111">
        <f ca="1">IFERROR(__xludf.DUMMYFUNCTION("""COMPUTED_VALUE"""),32.57)</f>
        <v>32.57</v>
      </c>
      <c r="E2007" s="112">
        <f ca="1">IFERROR(__xludf.DUMMYFUNCTION("""COMPUTED_VALUE"""),43230.7055555555)</f>
        <v>43230.705555555498</v>
      </c>
      <c r="F2007" s="111">
        <f ca="1">IFERROR(__xludf.DUMMYFUNCTION("""COMPUTED_VALUE"""),11.03)</f>
        <v>11.03</v>
      </c>
      <c r="G2007" s="112">
        <f ca="1">IFERROR(__xludf.DUMMYFUNCTION("""COMPUTED_VALUE"""),43227.7055555555)</f>
        <v>43227.705555555498</v>
      </c>
      <c r="H2007" s="111">
        <f ca="1">IFERROR(__xludf.DUMMYFUNCTION("""COMPUTED_VALUE"""),22.65)</f>
        <v>22.65</v>
      </c>
      <c r="K2007" s="112">
        <f ca="1">IFERROR(__xludf.DUMMYFUNCTION("""COMPUTED_VALUE"""),43682.7055555555)</f>
        <v>43682.705555555498</v>
      </c>
      <c r="L2007" s="111">
        <f ca="1">IFERROR(__xludf.DUMMYFUNCTION("""COMPUTED_VALUE"""),8.63)</f>
        <v>8.6300000000000008</v>
      </c>
      <c r="M2007" s="112">
        <f ca="1">IFERROR(__xludf.DUMMYFUNCTION("""COMPUTED_VALUE"""),43137.7055555555)</f>
        <v>43137.705555555498</v>
      </c>
      <c r="N2007" s="111">
        <f ca="1">IFERROR(__xludf.DUMMYFUNCTION("""COMPUTED_VALUE"""),24.23)</f>
        <v>24.23</v>
      </c>
      <c r="O2007" s="112">
        <f ca="1">IFERROR(__xludf.DUMMYFUNCTION("""COMPUTED_VALUE"""),43214.7055555555)</f>
        <v>43214.705555555498</v>
      </c>
      <c r="P2007" s="111">
        <f ca="1">IFERROR(__xludf.DUMMYFUNCTION("""COMPUTED_VALUE"""),48.31)</f>
        <v>48.31</v>
      </c>
      <c r="Q2007" s="112">
        <f ca="1">IFERROR(__xludf.DUMMYFUNCTION("""COMPUTED_VALUE"""),43213.7055555555)</f>
        <v>43213.705555555498</v>
      </c>
      <c r="R2007" s="111">
        <f ca="1">IFERROR(__xludf.DUMMYFUNCTION("""COMPUTED_VALUE"""),36.94)</f>
        <v>36.94</v>
      </c>
      <c r="S2007" s="112">
        <f ca="1">IFERROR(__xludf.DUMMYFUNCTION("""COMPUTED_VALUE"""),43224.7055555555)</f>
        <v>43224.705555555498</v>
      </c>
      <c r="T2007" s="111">
        <f ca="1">IFERROR(__xludf.DUMMYFUNCTION("""COMPUTED_VALUE"""),28.1)</f>
        <v>28.1</v>
      </c>
    </row>
    <row r="2008" spans="1:20" x14ac:dyDescent="0.3">
      <c r="A2008" s="112">
        <f ca="1">IFERROR(__xludf.DUMMYFUNCTION("""COMPUTED_VALUE"""),43223.7055555555)</f>
        <v>43223.705555555498</v>
      </c>
      <c r="B2008" s="111">
        <f ca="1">IFERROR(__xludf.DUMMYFUNCTION("""COMPUTED_VALUE"""),19.38)</f>
        <v>19.38</v>
      </c>
      <c r="C2008" s="112">
        <f ca="1">IFERROR(__xludf.DUMMYFUNCTION("""COMPUTED_VALUE"""),43231.7055555555)</f>
        <v>43231.705555555498</v>
      </c>
      <c r="D2008" s="111">
        <f ca="1">IFERROR(__xludf.DUMMYFUNCTION("""COMPUTED_VALUE"""),32.05)</f>
        <v>32.049999999999997</v>
      </c>
      <c r="E2008" s="112">
        <f ca="1">IFERROR(__xludf.DUMMYFUNCTION("""COMPUTED_VALUE"""),43231.7055555555)</f>
        <v>43231.705555555498</v>
      </c>
      <c r="F2008" s="111">
        <f ca="1">IFERROR(__xludf.DUMMYFUNCTION("""COMPUTED_VALUE"""),10.86)</f>
        <v>10.86</v>
      </c>
      <c r="G2008" s="112">
        <f ca="1">IFERROR(__xludf.DUMMYFUNCTION("""COMPUTED_VALUE"""),43228.7055555555)</f>
        <v>43228.705555555498</v>
      </c>
      <c r="H2008" s="111">
        <f ca="1">IFERROR(__xludf.DUMMYFUNCTION("""COMPUTED_VALUE"""),22.91)</f>
        <v>22.91</v>
      </c>
      <c r="K2008" s="112">
        <f ca="1">IFERROR(__xludf.DUMMYFUNCTION("""COMPUTED_VALUE"""),43683.7055555555)</f>
        <v>43683.705555555498</v>
      </c>
      <c r="L2008" s="111">
        <f ca="1">IFERROR(__xludf.DUMMYFUNCTION("""COMPUTED_VALUE"""),9.15)</f>
        <v>9.15</v>
      </c>
      <c r="M2008" s="112">
        <f ca="1">IFERROR(__xludf.DUMMYFUNCTION("""COMPUTED_VALUE"""),43138.7055555555)</f>
        <v>43138.705555555498</v>
      </c>
      <c r="N2008" s="111">
        <f ca="1">IFERROR(__xludf.DUMMYFUNCTION("""COMPUTED_VALUE"""),23.87)</f>
        <v>23.87</v>
      </c>
      <c r="O2008" s="112">
        <f ca="1">IFERROR(__xludf.DUMMYFUNCTION("""COMPUTED_VALUE"""),43215.7055555555)</f>
        <v>43215.705555555498</v>
      </c>
      <c r="P2008" s="111">
        <f ca="1">IFERROR(__xludf.DUMMYFUNCTION("""COMPUTED_VALUE"""),47.95)</f>
        <v>47.95</v>
      </c>
      <c r="Q2008" s="112">
        <f ca="1">IFERROR(__xludf.DUMMYFUNCTION("""COMPUTED_VALUE"""),43214.7055555555)</f>
        <v>43214.705555555498</v>
      </c>
      <c r="R2008" s="111">
        <f ca="1">IFERROR(__xludf.DUMMYFUNCTION("""COMPUTED_VALUE"""),36.58)</f>
        <v>36.58</v>
      </c>
      <c r="S2008" s="112">
        <f ca="1">IFERROR(__xludf.DUMMYFUNCTION("""COMPUTED_VALUE"""),43227.7055555555)</f>
        <v>43227.705555555498</v>
      </c>
      <c r="T2008" s="111">
        <f ca="1">IFERROR(__xludf.DUMMYFUNCTION("""COMPUTED_VALUE"""),28)</f>
        <v>28</v>
      </c>
    </row>
    <row r="2009" spans="1:20" x14ac:dyDescent="0.3">
      <c r="A2009" s="112">
        <f ca="1">IFERROR(__xludf.DUMMYFUNCTION("""COMPUTED_VALUE"""),43224.7055555555)</f>
        <v>43224.705555555498</v>
      </c>
      <c r="B2009" s="111">
        <f ca="1">IFERROR(__xludf.DUMMYFUNCTION("""COMPUTED_VALUE"""),19.89)</f>
        <v>19.89</v>
      </c>
      <c r="C2009" s="112">
        <f ca="1">IFERROR(__xludf.DUMMYFUNCTION("""COMPUTED_VALUE"""),43234.7055555555)</f>
        <v>43234.705555555498</v>
      </c>
      <c r="D2009" s="111">
        <f ca="1">IFERROR(__xludf.DUMMYFUNCTION("""COMPUTED_VALUE"""),31.57)</f>
        <v>31.57</v>
      </c>
      <c r="E2009" s="112">
        <f ca="1">IFERROR(__xludf.DUMMYFUNCTION("""COMPUTED_VALUE"""),43234.7055555555)</f>
        <v>43234.705555555498</v>
      </c>
      <c r="F2009" s="111">
        <f ca="1">IFERROR(__xludf.DUMMYFUNCTION("""COMPUTED_VALUE"""),10.7)</f>
        <v>10.7</v>
      </c>
      <c r="G2009" s="112">
        <f ca="1">IFERROR(__xludf.DUMMYFUNCTION("""COMPUTED_VALUE"""),43229.7055555555)</f>
        <v>43229.705555555498</v>
      </c>
      <c r="H2009" s="111">
        <f ca="1">IFERROR(__xludf.DUMMYFUNCTION("""COMPUTED_VALUE"""),24.78)</f>
        <v>24.78</v>
      </c>
      <c r="K2009" s="112">
        <f ca="1">IFERROR(__xludf.DUMMYFUNCTION("""COMPUTED_VALUE"""),43684.7055555555)</f>
        <v>43684.705555555498</v>
      </c>
      <c r="L2009" s="111">
        <f ca="1">IFERROR(__xludf.DUMMYFUNCTION("""COMPUTED_VALUE"""),9.08)</f>
        <v>9.08</v>
      </c>
      <c r="M2009" s="112">
        <f ca="1">IFERROR(__xludf.DUMMYFUNCTION("""COMPUTED_VALUE"""),43139.7055555555)</f>
        <v>43139.705555555498</v>
      </c>
      <c r="N2009" s="111">
        <f ca="1">IFERROR(__xludf.DUMMYFUNCTION("""COMPUTED_VALUE"""),23.57)</f>
        <v>23.57</v>
      </c>
      <c r="O2009" s="112">
        <f ca="1">IFERROR(__xludf.DUMMYFUNCTION("""COMPUTED_VALUE"""),43216.7055555555)</f>
        <v>43216.705555555498</v>
      </c>
      <c r="P2009" s="111">
        <f ca="1">IFERROR(__xludf.DUMMYFUNCTION("""COMPUTED_VALUE"""),48.7)</f>
        <v>48.7</v>
      </c>
      <c r="Q2009" s="112">
        <f ca="1">IFERROR(__xludf.DUMMYFUNCTION("""COMPUTED_VALUE"""),43215.7055555555)</f>
        <v>43215.705555555498</v>
      </c>
      <c r="R2009" s="111">
        <f ca="1">IFERROR(__xludf.DUMMYFUNCTION("""COMPUTED_VALUE"""),37.06)</f>
        <v>37.06</v>
      </c>
      <c r="S2009" s="112">
        <f ca="1">IFERROR(__xludf.DUMMYFUNCTION("""COMPUTED_VALUE"""),43228.7055555555)</f>
        <v>43228.705555555498</v>
      </c>
      <c r="T2009" s="111">
        <f ca="1">IFERROR(__xludf.DUMMYFUNCTION("""COMPUTED_VALUE"""),27.78)</f>
        <v>27.78</v>
      </c>
    </row>
    <row r="2010" spans="1:20" x14ac:dyDescent="0.3">
      <c r="A2010" s="112">
        <f ca="1">IFERROR(__xludf.DUMMYFUNCTION("""COMPUTED_VALUE"""),43227.7055555555)</f>
        <v>43227.705555555498</v>
      </c>
      <c r="B2010" s="111">
        <f ca="1">IFERROR(__xludf.DUMMYFUNCTION("""COMPUTED_VALUE"""),18.07)</f>
        <v>18.07</v>
      </c>
      <c r="C2010" s="112">
        <f ca="1">IFERROR(__xludf.DUMMYFUNCTION("""COMPUTED_VALUE"""),43235.7055555555)</f>
        <v>43235.705555555498</v>
      </c>
      <c r="D2010" s="111">
        <f ca="1">IFERROR(__xludf.DUMMYFUNCTION("""COMPUTED_VALUE"""),31.45)</f>
        <v>31.45</v>
      </c>
      <c r="E2010" s="112">
        <f ca="1">IFERROR(__xludf.DUMMYFUNCTION("""COMPUTED_VALUE"""),43235.7055555555)</f>
        <v>43235.705555555498</v>
      </c>
      <c r="F2010" s="111">
        <f ca="1">IFERROR(__xludf.DUMMYFUNCTION("""COMPUTED_VALUE"""),10.55)</f>
        <v>10.55</v>
      </c>
      <c r="G2010" s="112">
        <f ca="1">IFERROR(__xludf.DUMMYFUNCTION("""COMPUTED_VALUE"""),43230.7055555555)</f>
        <v>43230.705555555498</v>
      </c>
      <c r="H2010" s="111">
        <f ca="1">IFERROR(__xludf.DUMMYFUNCTION("""COMPUTED_VALUE"""),25.75)</f>
        <v>25.75</v>
      </c>
      <c r="K2010" s="112">
        <f ca="1">IFERROR(__xludf.DUMMYFUNCTION("""COMPUTED_VALUE"""),43685.7055555555)</f>
        <v>43685.705555555498</v>
      </c>
      <c r="L2010" s="111">
        <f ca="1">IFERROR(__xludf.DUMMYFUNCTION("""COMPUTED_VALUE"""),9.29)</f>
        <v>9.2899999999999991</v>
      </c>
      <c r="M2010" s="112">
        <f ca="1">IFERROR(__xludf.DUMMYFUNCTION("""COMPUTED_VALUE"""),43140.7055555555)</f>
        <v>43140.705555555498</v>
      </c>
      <c r="N2010" s="111">
        <f ca="1">IFERROR(__xludf.DUMMYFUNCTION("""COMPUTED_VALUE"""),23.3)</f>
        <v>23.3</v>
      </c>
      <c r="O2010" s="112">
        <f ca="1">IFERROR(__xludf.DUMMYFUNCTION("""COMPUTED_VALUE"""),43217.7055555555)</f>
        <v>43217.705555555498</v>
      </c>
      <c r="P2010" s="111">
        <f ca="1">IFERROR(__xludf.DUMMYFUNCTION("""COMPUTED_VALUE"""),48.35)</f>
        <v>48.35</v>
      </c>
      <c r="Q2010" s="112">
        <f ca="1">IFERROR(__xludf.DUMMYFUNCTION("""COMPUTED_VALUE"""),43216.7055555555)</f>
        <v>43216.705555555498</v>
      </c>
      <c r="R2010" s="111">
        <f ca="1">IFERROR(__xludf.DUMMYFUNCTION("""COMPUTED_VALUE"""),37.35)</f>
        <v>37.35</v>
      </c>
      <c r="S2010" s="112">
        <f ca="1">IFERROR(__xludf.DUMMYFUNCTION("""COMPUTED_VALUE"""),43229.7055555555)</f>
        <v>43229.705555555498</v>
      </c>
      <c r="T2010" s="111">
        <f ca="1">IFERROR(__xludf.DUMMYFUNCTION("""COMPUTED_VALUE"""),27.21)</f>
        <v>27.21</v>
      </c>
    </row>
    <row r="2011" spans="1:20" x14ac:dyDescent="0.3">
      <c r="A2011" s="112">
        <f ca="1">IFERROR(__xludf.DUMMYFUNCTION("""COMPUTED_VALUE"""),43228.7055555555)</f>
        <v>43228.705555555498</v>
      </c>
      <c r="B2011" s="111">
        <f ca="1">IFERROR(__xludf.DUMMYFUNCTION("""COMPUTED_VALUE"""),18.11)</f>
        <v>18.11</v>
      </c>
      <c r="C2011" s="112">
        <f ca="1">IFERROR(__xludf.DUMMYFUNCTION("""COMPUTED_VALUE"""),43236.7055555555)</f>
        <v>43236.705555555498</v>
      </c>
      <c r="D2011" s="111">
        <f ca="1">IFERROR(__xludf.DUMMYFUNCTION("""COMPUTED_VALUE"""),31.99)</f>
        <v>31.99</v>
      </c>
      <c r="E2011" s="112">
        <f ca="1">IFERROR(__xludf.DUMMYFUNCTION("""COMPUTED_VALUE"""),43236.7055555555)</f>
        <v>43236.705555555498</v>
      </c>
      <c r="F2011" s="111">
        <f ca="1">IFERROR(__xludf.DUMMYFUNCTION("""COMPUTED_VALUE"""),10.66)</f>
        <v>10.66</v>
      </c>
      <c r="G2011" s="112">
        <f ca="1">IFERROR(__xludf.DUMMYFUNCTION("""COMPUTED_VALUE"""),43231.7055555555)</f>
        <v>43231.705555555498</v>
      </c>
      <c r="H2011" s="111">
        <f ca="1">IFERROR(__xludf.DUMMYFUNCTION("""COMPUTED_VALUE"""),25.44)</f>
        <v>25.44</v>
      </c>
      <c r="K2011" s="112">
        <f ca="1">IFERROR(__xludf.DUMMYFUNCTION("""COMPUTED_VALUE"""),43686.7055555555)</f>
        <v>43686.705555555498</v>
      </c>
      <c r="L2011" s="111">
        <f ca="1">IFERROR(__xludf.DUMMYFUNCTION("""COMPUTED_VALUE"""),9.45)</f>
        <v>9.4499999999999993</v>
      </c>
      <c r="M2011" s="112">
        <f ca="1">IFERROR(__xludf.DUMMYFUNCTION("""COMPUTED_VALUE"""),43145.7055555555)</f>
        <v>43145.705555555498</v>
      </c>
      <c r="N2011" s="111">
        <f ca="1">IFERROR(__xludf.DUMMYFUNCTION("""COMPUTED_VALUE"""),24.15)</f>
        <v>24.15</v>
      </c>
      <c r="O2011" s="112">
        <f ca="1">IFERROR(__xludf.DUMMYFUNCTION("""COMPUTED_VALUE"""),43220.7055555555)</f>
        <v>43220.705555555498</v>
      </c>
      <c r="P2011" s="111">
        <f ca="1">IFERROR(__xludf.DUMMYFUNCTION("""COMPUTED_VALUE"""),48.67)</f>
        <v>48.67</v>
      </c>
      <c r="Q2011" s="112">
        <f ca="1">IFERROR(__xludf.DUMMYFUNCTION("""COMPUTED_VALUE"""),43217.7055555555)</f>
        <v>43217.705555555498</v>
      </c>
      <c r="R2011" s="111">
        <f ca="1">IFERROR(__xludf.DUMMYFUNCTION("""COMPUTED_VALUE"""),37.35)</f>
        <v>37.35</v>
      </c>
      <c r="S2011" s="112">
        <f ca="1">IFERROR(__xludf.DUMMYFUNCTION("""COMPUTED_VALUE"""),43230.7055555555)</f>
        <v>43230.705555555498</v>
      </c>
      <c r="T2011" s="111">
        <f ca="1">IFERROR(__xludf.DUMMYFUNCTION("""COMPUTED_VALUE"""),27.36)</f>
        <v>27.36</v>
      </c>
    </row>
    <row r="2012" spans="1:20" x14ac:dyDescent="0.3">
      <c r="A2012" s="112">
        <f ca="1">IFERROR(__xludf.DUMMYFUNCTION("""COMPUTED_VALUE"""),43229.7055555555)</f>
        <v>43229.705555555498</v>
      </c>
      <c r="B2012" s="111">
        <f ca="1">IFERROR(__xludf.DUMMYFUNCTION("""COMPUTED_VALUE"""),18.44)</f>
        <v>18.440000000000001</v>
      </c>
      <c r="C2012" s="112">
        <f ca="1">IFERROR(__xludf.DUMMYFUNCTION("""COMPUTED_VALUE"""),43237.7055555555)</f>
        <v>43237.705555555498</v>
      </c>
      <c r="D2012" s="111">
        <f ca="1">IFERROR(__xludf.DUMMYFUNCTION("""COMPUTED_VALUE"""),30.32)</f>
        <v>30.32</v>
      </c>
      <c r="E2012" s="112">
        <f ca="1">IFERROR(__xludf.DUMMYFUNCTION("""COMPUTED_VALUE"""),43237.7055555555)</f>
        <v>43237.705555555498</v>
      </c>
      <c r="F2012" s="111">
        <f ca="1">IFERROR(__xludf.DUMMYFUNCTION("""COMPUTED_VALUE"""),10.19)</f>
        <v>10.19</v>
      </c>
      <c r="G2012" s="112">
        <f ca="1">IFERROR(__xludf.DUMMYFUNCTION("""COMPUTED_VALUE"""),43234.7055555555)</f>
        <v>43234.705555555498</v>
      </c>
      <c r="H2012" s="111">
        <f ca="1">IFERROR(__xludf.DUMMYFUNCTION("""COMPUTED_VALUE"""),26.24)</f>
        <v>26.24</v>
      </c>
      <c r="K2012" s="112">
        <f ca="1">IFERROR(__xludf.DUMMYFUNCTION("""COMPUTED_VALUE"""),43689.7055555555)</f>
        <v>43689.705555555498</v>
      </c>
      <c r="L2012" s="111">
        <f ca="1">IFERROR(__xludf.DUMMYFUNCTION("""COMPUTED_VALUE"""),9.11)</f>
        <v>9.11</v>
      </c>
      <c r="M2012" s="112">
        <f ca="1">IFERROR(__xludf.DUMMYFUNCTION("""COMPUTED_VALUE"""),43146.7055555555)</f>
        <v>43146.705555555498</v>
      </c>
      <c r="N2012" s="111">
        <f ca="1">IFERROR(__xludf.DUMMYFUNCTION("""COMPUTED_VALUE"""),24.25)</f>
        <v>24.25</v>
      </c>
      <c r="O2012" s="112">
        <f ca="1">IFERROR(__xludf.DUMMYFUNCTION("""COMPUTED_VALUE"""),43222.7055555555)</f>
        <v>43222.705555555498</v>
      </c>
      <c r="P2012" s="111">
        <f ca="1">IFERROR(__xludf.DUMMYFUNCTION("""COMPUTED_VALUE"""),48.71)</f>
        <v>48.71</v>
      </c>
      <c r="Q2012" s="112">
        <f ca="1">IFERROR(__xludf.DUMMYFUNCTION("""COMPUTED_VALUE"""),43220.7055555555)</f>
        <v>43220.705555555498</v>
      </c>
      <c r="R2012" s="111">
        <f ca="1">IFERROR(__xludf.DUMMYFUNCTION("""COMPUTED_VALUE"""),36.7)</f>
        <v>36.700000000000003</v>
      </c>
      <c r="S2012" s="112">
        <f ca="1">IFERROR(__xludf.DUMMYFUNCTION("""COMPUTED_VALUE"""),43231.7055555555)</f>
        <v>43231.705555555498</v>
      </c>
      <c r="T2012" s="111">
        <f ca="1">IFERROR(__xludf.DUMMYFUNCTION("""COMPUTED_VALUE"""),26.46)</f>
        <v>26.46</v>
      </c>
    </row>
    <row r="2013" spans="1:20" x14ac:dyDescent="0.3">
      <c r="A2013" s="112">
        <f ca="1">IFERROR(__xludf.DUMMYFUNCTION("""COMPUTED_VALUE"""),43230.7055555555)</f>
        <v>43230.705555555498</v>
      </c>
      <c r="B2013" s="111">
        <f ca="1">IFERROR(__xludf.DUMMYFUNCTION("""COMPUTED_VALUE"""),19.05)</f>
        <v>19.05</v>
      </c>
      <c r="C2013" s="112">
        <f ca="1">IFERROR(__xludf.DUMMYFUNCTION("""COMPUTED_VALUE"""),43238.7055555555)</f>
        <v>43238.705555555498</v>
      </c>
      <c r="D2013" s="111">
        <f ca="1">IFERROR(__xludf.DUMMYFUNCTION("""COMPUTED_VALUE"""),30.11)</f>
        <v>30.11</v>
      </c>
      <c r="E2013" s="112">
        <f ca="1">IFERROR(__xludf.DUMMYFUNCTION("""COMPUTED_VALUE"""),43238.7055555555)</f>
        <v>43238.705555555498</v>
      </c>
      <c r="F2013" s="111">
        <f ca="1">IFERROR(__xludf.DUMMYFUNCTION("""COMPUTED_VALUE"""),10.04)</f>
        <v>10.039999999999999</v>
      </c>
      <c r="G2013" s="112">
        <f ca="1">IFERROR(__xludf.DUMMYFUNCTION("""COMPUTED_VALUE"""),43235.7055555555)</f>
        <v>43235.705555555498</v>
      </c>
      <c r="H2013" s="111">
        <f ca="1">IFERROR(__xludf.DUMMYFUNCTION("""COMPUTED_VALUE"""),26.79)</f>
        <v>26.79</v>
      </c>
      <c r="K2013" s="112">
        <f ca="1">IFERROR(__xludf.DUMMYFUNCTION("""COMPUTED_VALUE"""),43690.7055555555)</f>
        <v>43690.705555555498</v>
      </c>
      <c r="L2013" s="111">
        <f ca="1">IFERROR(__xludf.DUMMYFUNCTION("""COMPUTED_VALUE"""),9.47)</f>
        <v>9.4700000000000006</v>
      </c>
      <c r="M2013" s="112">
        <f ca="1">IFERROR(__xludf.DUMMYFUNCTION("""COMPUTED_VALUE"""),43147.7055555555)</f>
        <v>43147.705555555498</v>
      </c>
      <c r="N2013" s="111">
        <f ca="1">IFERROR(__xludf.DUMMYFUNCTION("""COMPUTED_VALUE"""),24.21)</f>
        <v>24.21</v>
      </c>
      <c r="O2013" s="112">
        <f ca="1">IFERROR(__xludf.DUMMYFUNCTION("""COMPUTED_VALUE"""),43223.7055555555)</f>
        <v>43223.705555555498</v>
      </c>
      <c r="P2013" s="111">
        <f ca="1">IFERROR(__xludf.DUMMYFUNCTION("""COMPUTED_VALUE"""),49.09)</f>
        <v>49.09</v>
      </c>
      <c r="Q2013" s="112">
        <f ca="1">IFERROR(__xludf.DUMMYFUNCTION("""COMPUTED_VALUE"""),43222.7055555555)</f>
        <v>43222.705555555498</v>
      </c>
      <c r="R2013" s="111">
        <f ca="1">IFERROR(__xludf.DUMMYFUNCTION("""COMPUTED_VALUE"""),36.02)</f>
        <v>36.020000000000003</v>
      </c>
      <c r="S2013" s="112">
        <f ca="1">IFERROR(__xludf.DUMMYFUNCTION("""COMPUTED_VALUE"""),43234.7055555555)</f>
        <v>43234.705555555498</v>
      </c>
      <c r="T2013" s="111">
        <f ca="1">IFERROR(__xludf.DUMMYFUNCTION("""COMPUTED_VALUE"""),26.19)</f>
        <v>26.19</v>
      </c>
    </row>
    <row r="2014" spans="1:20" x14ac:dyDescent="0.3">
      <c r="A2014" s="112">
        <f ca="1">IFERROR(__xludf.DUMMYFUNCTION("""COMPUTED_VALUE"""),43231.7055555555)</f>
        <v>43231.705555555498</v>
      </c>
      <c r="B2014" s="111">
        <f ca="1">IFERROR(__xludf.DUMMYFUNCTION("""COMPUTED_VALUE"""),18.69)</f>
        <v>18.690000000000001</v>
      </c>
      <c r="C2014" s="112">
        <f ca="1">IFERROR(__xludf.DUMMYFUNCTION("""COMPUTED_VALUE"""),43241.7055555555)</f>
        <v>43241.705555555498</v>
      </c>
      <c r="D2014" s="111">
        <f ca="1">IFERROR(__xludf.DUMMYFUNCTION("""COMPUTED_VALUE"""),29.69)</f>
        <v>29.69</v>
      </c>
      <c r="E2014" s="112">
        <f ca="1">IFERROR(__xludf.DUMMYFUNCTION("""COMPUTED_VALUE"""),43241.7055555555)</f>
        <v>43241.705555555498</v>
      </c>
      <c r="F2014" s="111">
        <f ca="1">IFERROR(__xludf.DUMMYFUNCTION("""COMPUTED_VALUE"""),9.98)</f>
        <v>9.98</v>
      </c>
      <c r="G2014" s="112">
        <f ca="1">IFERROR(__xludf.DUMMYFUNCTION("""COMPUTED_VALUE"""),43236.7055555555)</f>
        <v>43236.705555555498</v>
      </c>
      <c r="H2014" s="111">
        <f ca="1">IFERROR(__xludf.DUMMYFUNCTION("""COMPUTED_VALUE"""),27.39)</f>
        <v>27.39</v>
      </c>
      <c r="K2014" s="112">
        <f ca="1">IFERROR(__xludf.DUMMYFUNCTION("""COMPUTED_VALUE"""),43691.7055555555)</f>
        <v>43691.705555555498</v>
      </c>
      <c r="L2014" s="111">
        <f ca="1">IFERROR(__xludf.DUMMYFUNCTION("""COMPUTED_VALUE"""),9.24)</f>
        <v>9.24</v>
      </c>
      <c r="M2014" s="112">
        <f ca="1">IFERROR(__xludf.DUMMYFUNCTION("""COMPUTED_VALUE"""),43150.7055555555)</f>
        <v>43150.705555555498</v>
      </c>
      <c r="N2014" s="111">
        <f ca="1">IFERROR(__xludf.DUMMYFUNCTION("""COMPUTED_VALUE"""),24.09)</f>
        <v>24.09</v>
      </c>
      <c r="O2014" s="112">
        <f ca="1">IFERROR(__xludf.DUMMYFUNCTION("""COMPUTED_VALUE"""),43224.7055555555)</f>
        <v>43224.705555555498</v>
      </c>
      <c r="P2014" s="111">
        <f ca="1">IFERROR(__xludf.DUMMYFUNCTION("""COMPUTED_VALUE"""),49.7)</f>
        <v>49.7</v>
      </c>
      <c r="Q2014" s="112">
        <f ca="1">IFERROR(__xludf.DUMMYFUNCTION("""COMPUTED_VALUE"""),43223.7055555555)</f>
        <v>43223.705555555498</v>
      </c>
      <c r="R2014" s="111">
        <f ca="1">IFERROR(__xludf.DUMMYFUNCTION("""COMPUTED_VALUE"""),35)</f>
        <v>35</v>
      </c>
      <c r="S2014" s="112">
        <f ca="1">IFERROR(__xludf.DUMMYFUNCTION("""COMPUTED_VALUE"""),43235.7055555555)</f>
        <v>43235.705555555498</v>
      </c>
      <c r="T2014" s="111">
        <f ca="1">IFERROR(__xludf.DUMMYFUNCTION("""COMPUTED_VALUE"""),25.29)</f>
        <v>25.29</v>
      </c>
    </row>
    <row r="2015" spans="1:20" x14ac:dyDescent="0.3">
      <c r="A2015" s="112">
        <f ca="1">IFERROR(__xludf.DUMMYFUNCTION("""COMPUTED_VALUE"""),43234.7055555555)</f>
        <v>43234.705555555498</v>
      </c>
      <c r="B2015" s="111">
        <f ca="1">IFERROR(__xludf.DUMMYFUNCTION("""COMPUTED_VALUE"""),18.18)</f>
        <v>18.18</v>
      </c>
      <c r="C2015" s="112">
        <f ca="1">IFERROR(__xludf.DUMMYFUNCTION("""COMPUTED_VALUE"""),43242.7055555555)</f>
        <v>43242.705555555498</v>
      </c>
      <c r="D2015" s="111">
        <f ca="1">IFERROR(__xludf.DUMMYFUNCTION("""COMPUTED_VALUE"""),30.41)</f>
        <v>30.41</v>
      </c>
      <c r="E2015" s="112">
        <f ca="1">IFERROR(__xludf.DUMMYFUNCTION("""COMPUTED_VALUE"""),43242.7055555555)</f>
        <v>43242.705555555498</v>
      </c>
      <c r="F2015" s="111">
        <f ca="1">IFERROR(__xludf.DUMMYFUNCTION("""COMPUTED_VALUE"""),10.42)</f>
        <v>10.42</v>
      </c>
      <c r="G2015" s="112">
        <f ca="1">IFERROR(__xludf.DUMMYFUNCTION("""COMPUTED_VALUE"""),43237.7055555555)</f>
        <v>43237.705555555498</v>
      </c>
      <c r="H2015" s="111">
        <f ca="1">IFERROR(__xludf.DUMMYFUNCTION("""COMPUTED_VALUE"""),25.95)</f>
        <v>25.95</v>
      </c>
      <c r="K2015" s="112">
        <f ca="1">IFERROR(__xludf.DUMMYFUNCTION("""COMPUTED_VALUE"""),43692.7055555555)</f>
        <v>43692.705555555498</v>
      </c>
      <c r="L2015" s="111">
        <f ca="1">IFERROR(__xludf.DUMMYFUNCTION("""COMPUTED_VALUE"""),9.08)</f>
        <v>9.08</v>
      </c>
      <c r="M2015" s="112">
        <f ca="1">IFERROR(__xludf.DUMMYFUNCTION("""COMPUTED_VALUE"""),43151.7055555555)</f>
        <v>43151.705555555498</v>
      </c>
      <c r="N2015" s="111">
        <f ca="1">IFERROR(__xludf.DUMMYFUNCTION("""COMPUTED_VALUE"""),24.82)</f>
        <v>24.82</v>
      </c>
      <c r="O2015" s="112">
        <f ca="1">IFERROR(__xludf.DUMMYFUNCTION("""COMPUTED_VALUE"""),43227.7055555555)</f>
        <v>43227.705555555498</v>
      </c>
      <c r="P2015" s="111">
        <f ca="1">IFERROR(__xludf.DUMMYFUNCTION("""COMPUTED_VALUE"""),49.24)</f>
        <v>49.24</v>
      </c>
      <c r="Q2015" s="112">
        <f ca="1">IFERROR(__xludf.DUMMYFUNCTION("""COMPUTED_VALUE"""),43224.7055555555)</f>
        <v>43224.705555555498</v>
      </c>
      <c r="R2015" s="111">
        <f ca="1">IFERROR(__xludf.DUMMYFUNCTION("""COMPUTED_VALUE"""),34.93)</f>
        <v>34.93</v>
      </c>
      <c r="S2015" s="112">
        <f ca="1">IFERROR(__xludf.DUMMYFUNCTION("""COMPUTED_VALUE"""),43236.7055555555)</f>
        <v>43236.705555555498</v>
      </c>
      <c r="T2015" s="111">
        <f ca="1">IFERROR(__xludf.DUMMYFUNCTION("""COMPUTED_VALUE"""),25.66)</f>
        <v>25.66</v>
      </c>
    </row>
    <row r="2016" spans="1:20" x14ac:dyDescent="0.3">
      <c r="A2016" s="112">
        <f ca="1">IFERROR(__xludf.DUMMYFUNCTION("""COMPUTED_VALUE"""),43235.7055555555)</f>
        <v>43235.705555555498</v>
      </c>
      <c r="B2016" s="111">
        <f ca="1">IFERROR(__xludf.DUMMYFUNCTION("""COMPUTED_VALUE"""),18.6)</f>
        <v>18.600000000000001</v>
      </c>
      <c r="C2016" s="112">
        <f ca="1">IFERROR(__xludf.DUMMYFUNCTION("""COMPUTED_VALUE"""),43243.7055555555)</f>
        <v>43243.705555555498</v>
      </c>
      <c r="D2016" s="111">
        <f ca="1">IFERROR(__xludf.DUMMYFUNCTION("""COMPUTED_VALUE"""),29.84)</f>
        <v>29.84</v>
      </c>
      <c r="E2016" s="112">
        <f ca="1">IFERROR(__xludf.DUMMYFUNCTION("""COMPUTED_VALUE"""),43243.7055555555)</f>
        <v>43243.705555555498</v>
      </c>
      <c r="F2016" s="111">
        <f ca="1">IFERROR(__xludf.DUMMYFUNCTION("""COMPUTED_VALUE"""),10.17)</f>
        <v>10.17</v>
      </c>
      <c r="G2016" s="112">
        <f ca="1">IFERROR(__xludf.DUMMYFUNCTION("""COMPUTED_VALUE"""),43238.7055555555)</f>
        <v>43238.705555555498</v>
      </c>
      <c r="H2016" s="111">
        <f ca="1">IFERROR(__xludf.DUMMYFUNCTION("""COMPUTED_VALUE"""),25.65)</f>
        <v>25.65</v>
      </c>
      <c r="K2016" s="112">
        <f ca="1">IFERROR(__xludf.DUMMYFUNCTION("""COMPUTED_VALUE"""),43693.7055555555)</f>
        <v>43693.705555555498</v>
      </c>
      <c r="L2016" s="111">
        <f ca="1">IFERROR(__xludf.DUMMYFUNCTION("""COMPUTED_VALUE"""),9.39)</f>
        <v>9.39</v>
      </c>
      <c r="M2016" s="112">
        <f ca="1">IFERROR(__xludf.DUMMYFUNCTION("""COMPUTED_VALUE"""),43152.7055555555)</f>
        <v>43152.705555555498</v>
      </c>
      <c r="N2016" s="111">
        <f ca="1">IFERROR(__xludf.DUMMYFUNCTION("""COMPUTED_VALUE"""),24.96)</f>
        <v>24.96</v>
      </c>
      <c r="O2016" s="112">
        <f ca="1">IFERROR(__xludf.DUMMYFUNCTION("""COMPUTED_VALUE"""),43228.7055555555)</f>
        <v>43228.705555555498</v>
      </c>
      <c r="P2016" s="111">
        <f ca="1">IFERROR(__xludf.DUMMYFUNCTION("""COMPUTED_VALUE"""),49.19)</f>
        <v>49.19</v>
      </c>
      <c r="Q2016" s="112">
        <f ca="1">IFERROR(__xludf.DUMMYFUNCTION("""COMPUTED_VALUE"""),43227.7055555555)</f>
        <v>43227.705555555498</v>
      </c>
      <c r="R2016" s="111">
        <f ca="1">IFERROR(__xludf.DUMMYFUNCTION("""COMPUTED_VALUE"""),34.89)</f>
        <v>34.89</v>
      </c>
      <c r="S2016" s="112">
        <f ca="1">IFERROR(__xludf.DUMMYFUNCTION("""COMPUTED_VALUE"""),43237.7055555555)</f>
        <v>43237.705555555498</v>
      </c>
      <c r="T2016" s="111">
        <f ca="1">IFERROR(__xludf.DUMMYFUNCTION("""COMPUTED_VALUE"""),25.12)</f>
        <v>25.12</v>
      </c>
    </row>
    <row r="2017" spans="1:20" x14ac:dyDescent="0.3">
      <c r="A2017" s="112">
        <f ca="1">IFERROR(__xludf.DUMMYFUNCTION("""COMPUTED_VALUE"""),43236.7055555555)</f>
        <v>43236.705555555498</v>
      </c>
      <c r="B2017" s="111">
        <f ca="1">IFERROR(__xludf.DUMMYFUNCTION("""COMPUTED_VALUE"""),18.54)</f>
        <v>18.54</v>
      </c>
      <c r="C2017" s="112">
        <f ca="1">IFERROR(__xludf.DUMMYFUNCTION("""COMPUTED_VALUE"""),43244.7055555555)</f>
        <v>43244.705555555498</v>
      </c>
      <c r="D2017" s="111">
        <f ca="1">IFERROR(__xludf.DUMMYFUNCTION("""COMPUTED_VALUE"""),30.23)</f>
        <v>30.23</v>
      </c>
      <c r="E2017" s="112">
        <f ca="1">IFERROR(__xludf.DUMMYFUNCTION("""COMPUTED_VALUE"""),43244.7055555555)</f>
        <v>43244.705555555498</v>
      </c>
      <c r="F2017" s="111">
        <f ca="1">IFERROR(__xludf.DUMMYFUNCTION("""COMPUTED_VALUE"""),10.34)</f>
        <v>10.34</v>
      </c>
      <c r="G2017" s="112">
        <f ca="1">IFERROR(__xludf.DUMMYFUNCTION("""COMPUTED_VALUE"""),43241.7055555555)</f>
        <v>43241.705555555498</v>
      </c>
      <c r="H2017" s="111">
        <f ca="1">IFERROR(__xludf.DUMMYFUNCTION("""COMPUTED_VALUE"""),25.05)</f>
        <v>25.05</v>
      </c>
      <c r="K2017" s="112">
        <f ca="1">IFERROR(__xludf.DUMMYFUNCTION("""COMPUTED_VALUE"""),43696.7055555555)</f>
        <v>43696.705555555498</v>
      </c>
      <c r="L2017" s="111">
        <f ca="1">IFERROR(__xludf.DUMMYFUNCTION("""COMPUTED_VALUE"""),9.46)</f>
        <v>9.4600000000000009</v>
      </c>
      <c r="M2017" s="112">
        <f ca="1">IFERROR(__xludf.DUMMYFUNCTION("""COMPUTED_VALUE"""),43153.7055555555)</f>
        <v>43153.705555555498</v>
      </c>
      <c r="N2017" s="111">
        <f ca="1">IFERROR(__xludf.DUMMYFUNCTION("""COMPUTED_VALUE"""),25.11)</f>
        <v>25.11</v>
      </c>
      <c r="O2017" s="112">
        <f ca="1">IFERROR(__xludf.DUMMYFUNCTION("""COMPUTED_VALUE"""),43229.7055555555)</f>
        <v>43229.705555555498</v>
      </c>
      <c r="P2017" s="111">
        <f ca="1">IFERROR(__xludf.DUMMYFUNCTION("""COMPUTED_VALUE"""),50.25)</f>
        <v>50.25</v>
      </c>
      <c r="Q2017" s="112">
        <f ca="1">IFERROR(__xludf.DUMMYFUNCTION("""COMPUTED_VALUE"""),43228.7055555555)</f>
        <v>43228.705555555498</v>
      </c>
      <c r="R2017" s="111">
        <f ca="1">IFERROR(__xludf.DUMMYFUNCTION("""COMPUTED_VALUE"""),35.84)</f>
        <v>35.840000000000003</v>
      </c>
      <c r="S2017" s="112">
        <f ca="1">IFERROR(__xludf.DUMMYFUNCTION("""COMPUTED_VALUE"""),43238.7055555555)</f>
        <v>43238.705555555498</v>
      </c>
      <c r="T2017" s="111">
        <f ca="1">IFERROR(__xludf.DUMMYFUNCTION("""COMPUTED_VALUE"""),24.89)</f>
        <v>24.89</v>
      </c>
    </row>
    <row r="2018" spans="1:20" x14ac:dyDescent="0.3">
      <c r="A2018" s="112">
        <f ca="1">IFERROR(__xludf.DUMMYFUNCTION("""COMPUTED_VALUE"""),43237.7055555555)</f>
        <v>43237.705555555498</v>
      </c>
      <c r="B2018" s="111">
        <f ca="1">IFERROR(__xludf.DUMMYFUNCTION("""COMPUTED_VALUE"""),18.78)</f>
        <v>18.78</v>
      </c>
      <c r="C2018" s="112">
        <f ca="1">IFERROR(__xludf.DUMMYFUNCTION("""COMPUTED_VALUE"""),43245.7055555555)</f>
        <v>43245.705555555498</v>
      </c>
      <c r="D2018" s="111">
        <f ca="1">IFERROR(__xludf.DUMMYFUNCTION("""COMPUTED_VALUE"""),29.97)</f>
        <v>29.97</v>
      </c>
      <c r="E2018" s="112">
        <f ca="1">IFERROR(__xludf.DUMMYFUNCTION("""COMPUTED_VALUE"""),43248.7055555555)</f>
        <v>43248.705555555498</v>
      </c>
      <c r="F2018" s="111">
        <f ca="1">IFERROR(__xludf.DUMMYFUNCTION("""COMPUTED_VALUE"""),9.77)</f>
        <v>9.77</v>
      </c>
      <c r="G2018" s="112">
        <f ca="1">IFERROR(__xludf.DUMMYFUNCTION("""COMPUTED_VALUE"""),43242.7055555555)</f>
        <v>43242.705555555498</v>
      </c>
      <c r="H2018" s="111">
        <f ca="1">IFERROR(__xludf.DUMMYFUNCTION("""COMPUTED_VALUE"""),24.71)</f>
        <v>24.71</v>
      </c>
      <c r="K2018" s="112">
        <f ca="1">IFERROR(__xludf.DUMMYFUNCTION("""COMPUTED_VALUE"""),43697.7055555555)</f>
        <v>43697.705555555498</v>
      </c>
      <c r="L2018" s="111">
        <f ca="1">IFERROR(__xludf.DUMMYFUNCTION("""COMPUTED_VALUE"""),9.14)</f>
        <v>9.14</v>
      </c>
      <c r="M2018" s="112">
        <f ca="1">IFERROR(__xludf.DUMMYFUNCTION("""COMPUTED_VALUE"""),43154.7055555555)</f>
        <v>43154.705555555498</v>
      </c>
      <c r="N2018" s="111">
        <f ca="1">IFERROR(__xludf.DUMMYFUNCTION("""COMPUTED_VALUE"""),25.34)</f>
        <v>25.34</v>
      </c>
      <c r="O2018" s="112">
        <f ca="1">IFERROR(__xludf.DUMMYFUNCTION("""COMPUTED_VALUE"""),43230.7055555555)</f>
        <v>43230.705555555498</v>
      </c>
      <c r="P2018" s="111">
        <f ca="1">IFERROR(__xludf.DUMMYFUNCTION("""COMPUTED_VALUE"""),51.4)</f>
        <v>51.4</v>
      </c>
      <c r="Q2018" s="112">
        <f ca="1">IFERROR(__xludf.DUMMYFUNCTION("""COMPUTED_VALUE"""),43229.7055555555)</f>
        <v>43229.705555555498</v>
      </c>
      <c r="R2018" s="111">
        <f ca="1">IFERROR(__xludf.DUMMYFUNCTION("""COMPUTED_VALUE"""),37.35)</f>
        <v>37.35</v>
      </c>
      <c r="S2018" s="112">
        <f ca="1">IFERROR(__xludf.DUMMYFUNCTION("""COMPUTED_VALUE"""),43241.7055555555)</f>
        <v>43241.705555555498</v>
      </c>
      <c r="T2018" s="111">
        <f ca="1">IFERROR(__xludf.DUMMYFUNCTION("""COMPUTED_VALUE"""),24.98)</f>
        <v>24.98</v>
      </c>
    </row>
    <row r="2019" spans="1:20" x14ac:dyDescent="0.3">
      <c r="A2019" s="112">
        <f ca="1">IFERROR(__xludf.DUMMYFUNCTION("""COMPUTED_VALUE"""),43238.7055555555)</f>
        <v>43238.705555555498</v>
      </c>
      <c r="B2019" s="111">
        <f ca="1">IFERROR(__xludf.DUMMYFUNCTION("""COMPUTED_VALUE"""),18.25)</f>
        <v>18.25</v>
      </c>
      <c r="C2019" s="112">
        <f ca="1">IFERROR(__xludf.DUMMYFUNCTION("""COMPUTED_VALUE"""),43248.7055555555)</f>
        <v>43248.705555555498</v>
      </c>
      <c r="D2019" s="111">
        <f ca="1">IFERROR(__xludf.DUMMYFUNCTION("""COMPUTED_VALUE"""),28.7)</f>
        <v>28.7</v>
      </c>
      <c r="E2019" s="112">
        <f ca="1">IFERROR(__xludf.DUMMYFUNCTION("""COMPUTED_VALUE"""),43249.7055555555)</f>
        <v>43249.705555555498</v>
      </c>
      <c r="F2019" s="111">
        <f ca="1">IFERROR(__xludf.DUMMYFUNCTION("""COMPUTED_VALUE"""),9.7)</f>
        <v>9.6999999999999993</v>
      </c>
      <c r="G2019" s="112">
        <f ca="1">IFERROR(__xludf.DUMMYFUNCTION("""COMPUTED_VALUE"""),43243.7055555555)</f>
        <v>43243.705555555498</v>
      </c>
      <c r="H2019" s="111">
        <f ca="1">IFERROR(__xludf.DUMMYFUNCTION("""COMPUTED_VALUE"""),23.27)</f>
        <v>23.27</v>
      </c>
      <c r="K2019" s="112">
        <f ca="1">IFERROR(__xludf.DUMMYFUNCTION("""COMPUTED_VALUE"""),43698.7055555555)</f>
        <v>43698.705555555498</v>
      </c>
      <c r="L2019" s="111">
        <f ca="1">IFERROR(__xludf.DUMMYFUNCTION("""COMPUTED_VALUE"""),9.14)</f>
        <v>9.14</v>
      </c>
      <c r="M2019" s="112">
        <f ca="1">IFERROR(__xludf.DUMMYFUNCTION("""COMPUTED_VALUE"""),43157.7055555555)</f>
        <v>43157.705555555498</v>
      </c>
      <c r="N2019" s="111">
        <f ca="1">IFERROR(__xludf.DUMMYFUNCTION("""COMPUTED_VALUE"""),25.34)</f>
        <v>25.34</v>
      </c>
      <c r="O2019" s="112">
        <f ca="1">IFERROR(__xludf.DUMMYFUNCTION("""COMPUTED_VALUE"""),43231.7055555555)</f>
        <v>43231.705555555498</v>
      </c>
      <c r="P2019" s="111">
        <f ca="1">IFERROR(__xludf.DUMMYFUNCTION("""COMPUTED_VALUE"""),52.63)</f>
        <v>52.63</v>
      </c>
      <c r="Q2019" s="112">
        <f ca="1">IFERROR(__xludf.DUMMYFUNCTION("""COMPUTED_VALUE"""),43230.7055555555)</f>
        <v>43230.705555555498</v>
      </c>
      <c r="R2019" s="111">
        <f ca="1">IFERROR(__xludf.DUMMYFUNCTION("""COMPUTED_VALUE"""),35.98)</f>
        <v>35.979999999999997</v>
      </c>
      <c r="S2019" s="112">
        <f ca="1">IFERROR(__xludf.DUMMYFUNCTION("""COMPUTED_VALUE"""),43242.7055555555)</f>
        <v>43242.705555555498</v>
      </c>
      <c r="T2019" s="111">
        <f ca="1">IFERROR(__xludf.DUMMYFUNCTION("""COMPUTED_VALUE"""),26.21)</f>
        <v>26.21</v>
      </c>
    </row>
    <row r="2020" spans="1:20" x14ac:dyDescent="0.3">
      <c r="A2020" s="112">
        <f ca="1">IFERROR(__xludf.DUMMYFUNCTION("""COMPUTED_VALUE"""),43241.7055555555)</f>
        <v>43241.705555555498</v>
      </c>
      <c r="B2020" s="111">
        <f ca="1">IFERROR(__xludf.DUMMYFUNCTION("""COMPUTED_VALUE"""),17.51)</f>
        <v>17.510000000000002</v>
      </c>
      <c r="C2020" s="112">
        <f ca="1">IFERROR(__xludf.DUMMYFUNCTION("""COMPUTED_VALUE"""),43249.7055555555)</f>
        <v>43249.705555555498</v>
      </c>
      <c r="D2020" s="111">
        <f ca="1">IFERROR(__xludf.DUMMYFUNCTION("""COMPUTED_VALUE"""),28.6)</f>
        <v>28.6</v>
      </c>
      <c r="E2020" s="112">
        <f ca="1">IFERROR(__xludf.DUMMYFUNCTION("""COMPUTED_VALUE"""),43250.7055555555)</f>
        <v>43250.705555555498</v>
      </c>
      <c r="F2020" s="111">
        <f ca="1">IFERROR(__xludf.DUMMYFUNCTION("""COMPUTED_VALUE"""),9.72)</f>
        <v>9.7200000000000006</v>
      </c>
      <c r="G2020" s="112">
        <f ca="1">IFERROR(__xludf.DUMMYFUNCTION("""COMPUTED_VALUE"""),43244.7055555555)</f>
        <v>43244.705555555498</v>
      </c>
      <c r="H2020" s="111">
        <f ca="1">IFERROR(__xludf.DUMMYFUNCTION("""COMPUTED_VALUE"""),20.08)</f>
        <v>20.079999999999998</v>
      </c>
      <c r="K2020" s="112">
        <f ca="1">IFERROR(__xludf.DUMMYFUNCTION("""COMPUTED_VALUE"""),43699.7055555555)</f>
        <v>43699.705555555498</v>
      </c>
      <c r="L2020" s="111">
        <f ca="1">IFERROR(__xludf.DUMMYFUNCTION("""COMPUTED_VALUE"""),8.61)</f>
        <v>8.61</v>
      </c>
      <c r="M2020" s="112">
        <f ca="1">IFERROR(__xludf.DUMMYFUNCTION("""COMPUTED_VALUE"""),43158.7055555555)</f>
        <v>43158.705555555498</v>
      </c>
      <c r="N2020" s="111">
        <f ca="1">IFERROR(__xludf.DUMMYFUNCTION("""COMPUTED_VALUE"""),25.06)</f>
        <v>25.06</v>
      </c>
      <c r="O2020" s="112">
        <f ca="1">IFERROR(__xludf.DUMMYFUNCTION("""COMPUTED_VALUE"""),43234.7055555555)</f>
        <v>43234.705555555498</v>
      </c>
      <c r="P2020" s="111">
        <f ca="1">IFERROR(__xludf.DUMMYFUNCTION("""COMPUTED_VALUE"""),54.27)</f>
        <v>54.27</v>
      </c>
      <c r="Q2020" s="112">
        <f ca="1">IFERROR(__xludf.DUMMYFUNCTION("""COMPUTED_VALUE"""),43231.7055555555)</f>
        <v>43231.705555555498</v>
      </c>
      <c r="R2020" s="111">
        <f ca="1">IFERROR(__xludf.DUMMYFUNCTION("""COMPUTED_VALUE"""),35.81)</f>
        <v>35.81</v>
      </c>
      <c r="S2020" s="112">
        <f ca="1">IFERROR(__xludf.DUMMYFUNCTION("""COMPUTED_VALUE"""),43243.7055555555)</f>
        <v>43243.705555555498</v>
      </c>
      <c r="T2020" s="111">
        <f ca="1">IFERROR(__xludf.DUMMYFUNCTION("""COMPUTED_VALUE"""),25.54)</f>
        <v>25.54</v>
      </c>
    </row>
    <row r="2021" spans="1:20" x14ac:dyDescent="0.3">
      <c r="A2021" s="112">
        <f ca="1">IFERROR(__xludf.DUMMYFUNCTION("""COMPUTED_VALUE"""),43242.7055555555)</f>
        <v>43242.705555555498</v>
      </c>
      <c r="B2021" s="111">
        <f ca="1">IFERROR(__xludf.DUMMYFUNCTION("""COMPUTED_VALUE"""),17.84)</f>
        <v>17.84</v>
      </c>
      <c r="C2021" s="112">
        <f ca="1">IFERROR(__xludf.DUMMYFUNCTION("""COMPUTED_VALUE"""),43250.7055555555)</f>
        <v>43250.705555555498</v>
      </c>
      <c r="D2021" s="111">
        <f ca="1">IFERROR(__xludf.DUMMYFUNCTION("""COMPUTED_VALUE"""),28.65)</f>
        <v>28.65</v>
      </c>
      <c r="E2021" s="112">
        <f ca="1">IFERROR(__xludf.DUMMYFUNCTION("""COMPUTED_VALUE"""),43252.7055555555)</f>
        <v>43252.705555555498</v>
      </c>
      <c r="F2021" s="111">
        <f ca="1">IFERROR(__xludf.DUMMYFUNCTION("""COMPUTED_VALUE"""),9.86)</f>
        <v>9.86</v>
      </c>
      <c r="G2021" s="112">
        <f ca="1">IFERROR(__xludf.DUMMYFUNCTION("""COMPUTED_VALUE"""),43248.7055555555)</f>
        <v>43248.705555555498</v>
      </c>
      <c r="H2021" s="111">
        <f ca="1">IFERROR(__xludf.DUMMYFUNCTION("""COMPUTED_VALUE"""),16.91)</f>
        <v>16.91</v>
      </c>
      <c r="K2021" s="112">
        <f ca="1">IFERROR(__xludf.DUMMYFUNCTION("""COMPUTED_VALUE"""),43700.7055555555)</f>
        <v>43700.705555555498</v>
      </c>
      <c r="L2021" s="111">
        <f ca="1">IFERROR(__xludf.DUMMYFUNCTION("""COMPUTED_VALUE"""),8.45)</f>
        <v>8.4499999999999993</v>
      </c>
      <c r="M2021" s="112">
        <f ca="1">IFERROR(__xludf.DUMMYFUNCTION("""COMPUTED_VALUE"""),43159.7055555555)</f>
        <v>43159.705555555498</v>
      </c>
      <c r="N2021" s="111">
        <f ca="1">IFERROR(__xludf.DUMMYFUNCTION("""COMPUTED_VALUE"""),24.27)</f>
        <v>24.27</v>
      </c>
      <c r="O2021" s="112">
        <f ca="1">IFERROR(__xludf.DUMMYFUNCTION("""COMPUTED_VALUE"""),43235.7055555555)</f>
        <v>43235.705555555498</v>
      </c>
      <c r="P2021" s="111">
        <f ca="1">IFERROR(__xludf.DUMMYFUNCTION("""COMPUTED_VALUE"""),54.65)</f>
        <v>54.65</v>
      </c>
      <c r="Q2021" s="112">
        <f ca="1">IFERROR(__xludf.DUMMYFUNCTION("""COMPUTED_VALUE"""),43234.7055555555)</f>
        <v>43234.705555555498</v>
      </c>
      <c r="R2021" s="111">
        <f ca="1">IFERROR(__xludf.DUMMYFUNCTION("""COMPUTED_VALUE"""),34.92)</f>
        <v>34.92</v>
      </c>
      <c r="S2021" s="112">
        <f ca="1">IFERROR(__xludf.DUMMYFUNCTION("""COMPUTED_VALUE"""),43244.7055555555)</f>
        <v>43244.705555555498</v>
      </c>
      <c r="T2021" s="111">
        <f ca="1">IFERROR(__xludf.DUMMYFUNCTION("""COMPUTED_VALUE"""),26.36)</f>
        <v>26.36</v>
      </c>
    </row>
    <row r="2022" spans="1:20" x14ac:dyDescent="0.3">
      <c r="A2022" s="112">
        <f ca="1">IFERROR(__xludf.DUMMYFUNCTION("""COMPUTED_VALUE"""),43243.7055555555)</f>
        <v>43243.705555555498</v>
      </c>
      <c r="B2022" s="111">
        <f ca="1">IFERROR(__xludf.DUMMYFUNCTION("""COMPUTED_VALUE"""),15.79)</f>
        <v>15.79</v>
      </c>
      <c r="C2022" s="112">
        <f ca="1">IFERROR(__xludf.DUMMYFUNCTION("""COMPUTED_VALUE"""),43252.7055555555)</f>
        <v>43252.705555555498</v>
      </c>
      <c r="D2022" s="111">
        <f ca="1">IFERROR(__xludf.DUMMYFUNCTION("""COMPUTED_VALUE"""),29.21)</f>
        <v>29.21</v>
      </c>
      <c r="E2022" s="112">
        <f ca="1">IFERROR(__xludf.DUMMYFUNCTION("""COMPUTED_VALUE"""),43255.7055555555)</f>
        <v>43255.705555555498</v>
      </c>
      <c r="F2022" s="111">
        <f ca="1">IFERROR(__xludf.DUMMYFUNCTION("""COMPUTED_VALUE"""),10.17)</f>
        <v>10.17</v>
      </c>
      <c r="G2022" s="112">
        <f ca="1">IFERROR(__xludf.DUMMYFUNCTION("""COMPUTED_VALUE"""),43249.7055555555)</f>
        <v>43249.705555555498</v>
      </c>
      <c r="H2022" s="111">
        <f ca="1">IFERROR(__xludf.DUMMYFUNCTION("""COMPUTED_VALUE"""),19.3)</f>
        <v>19.3</v>
      </c>
      <c r="K2022" s="112">
        <f ca="1">IFERROR(__xludf.DUMMYFUNCTION("""COMPUTED_VALUE"""),43703.7055555555)</f>
        <v>43703.705555555498</v>
      </c>
      <c r="L2022" s="111">
        <f ca="1">IFERROR(__xludf.DUMMYFUNCTION("""COMPUTED_VALUE"""),8.43)</f>
        <v>8.43</v>
      </c>
      <c r="M2022" s="112">
        <f ca="1">IFERROR(__xludf.DUMMYFUNCTION("""COMPUTED_VALUE"""),43160.7055555555)</f>
        <v>43160.705555555498</v>
      </c>
      <c r="N2022" s="111">
        <f ca="1">IFERROR(__xludf.DUMMYFUNCTION("""COMPUTED_VALUE"""),24.41)</f>
        <v>24.41</v>
      </c>
      <c r="O2022" s="112">
        <f ca="1">IFERROR(__xludf.DUMMYFUNCTION("""COMPUTED_VALUE"""),43236.7055555555)</f>
        <v>43236.705555555498</v>
      </c>
      <c r="P2022" s="111">
        <f ca="1">IFERROR(__xludf.DUMMYFUNCTION("""COMPUTED_VALUE"""),55.9)</f>
        <v>55.9</v>
      </c>
      <c r="Q2022" s="112">
        <f ca="1">IFERROR(__xludf.DUMMYFUNCTION("""COMPUTED_VALUE"""),43235.7055555555)</f>
        <v>43235.705555555498</v>
      </c>
      <c r="R2022" s="111">
        <f ca="1">IFERROR(__xludf.DUMMYFUNCTION("""COMPUTED_VALUE"""),33.97)</f>
        <v>33.97</v>
      </c>
      <c r="S2022" s="112">
        <f ca="1">IFERROR(__xludf.DUMMYFUNCTION("""COMPUTED_VALUE"""),43245.7055555555)</f>
        <v>43245.705555555498</v>
      </c>
      <c r="T2022" s="111">
        <f ca="1">IFERROR(__xludf.DUMMYFUNCTION("""COMPUTED_VALUE"""),25.62)</f>
        <v>25.62</v>
      </c>
    </row>
    <row r="2023" spans="1:20" x14ac:dyDescent="0.3">
      <c r="A2023" s="112">
        <f ca="1">IFERROR(__xludf.DUMMYFUNCTION("""COMPUTED_VALUE"""),43244.7055555555)</f>
        <v>43244.705555555498</v>
      </c>
      <c r="B2023" s="111">
        <f ca="1">IFERROR(__xludf.DUMMYFUNCTION("""COMPUTED_VALUE"""),15.08)</f>
        <v>15.08</v>
      </c>
      <c r="C2023" s="112">
        <f ca="1">IFERROR(__xludf.DUMMYFUNCTION("""COMPUTED_VALUE"""),43255.7055555555)</f>
        <v>43255.705555555498</v>
      </c>
      <c r="D2023" s="111">
        <f ca="1">IFERROR(__xludf.DUMMYFUNCTION("""COMPUTED_VALUE"""),29.85)</f>
        <v>29.85</v>
      </c>
      <c r="E2023" s="112">
        <f ca="1">IFERROR(__xludf.DUMMYFUNCTION("""COMPUTED_VALUE"""),43256.7055555555)</f>
        <v>43256.705555555498</v>
      </c>
      <c r="F2023" s="111">
        <f ca="1">IFERROR(__xludf.DUMMYFUNCTION("""COMPUTED_VALUE"""),9.67)</f>
        <v>9.67</v>
      </c>
      <c r="G2023" s="112">
        <f ca="1">IFERROR(__xludf.DUMMYFUNCTION("""COMPUTED_VALUE"""),43250.7055555555)</f>
        <v>43250.705555555498</v>
      </c>
      <c r="H2023" s="111">
        <f ca="1">IFERROR(__xludf.DUMMYFUNCTION("""COMPUTED_VALUE"""),18.98)</f>
        <v>18.98</v>
      </c>
      <c r="K2023" s="112">
        <f ca="1">IFERROR(__xludf.DUMMYFUNCTION("""COMPUTED_VALUE"""),43704.7055555555)</f>
        <v>43704.705555555498</v>
      </c>
      <c r="L2023" s="111">
        <f ca="1">IFERROR(__xludf.DUMMYFUNCTION("""COMPUTED_VALUE"""),8.56)</f>
        <v>8.56</v>
      </c>
      <c r="M2023" s="112">
        <f ca="1">IFERROR(__xludf.DUMMYFUNCTION("""COMPUTED_VALUE"""),43161.7055555555)</f>
        <v>43161.705555555498</v>
      </c>
      <c r="N2023" s="111">
        <f ca="1">IFERROR(__xludf.DUMMYFUNCTION("""COMPUTED_VALUE"""),24.56)</f>
        <v>24.56</v>
      </c>
      <c r="O2023" s="112">
        <f ca="1">IFERROR(__xludf.DUMMYFUNCTION("""COMPUTED_VALUE"""),43237.7055555555)</f>
        <v>43237.705555555498</v>
      </c>
      <c r="P2023" s="111">
        <f ca="1">IFERROR(__xludf.DUMMYFUNCTION("""COMPUTED_VALUE"""),55.38)</f>
        <v>55.38</v>
      </c>
      <c r="Q2023" s="112">
        <f ca="1">IFERROR(__xludf.DUMMYFUNCTION("""COMPUTED_VALUE"""),43236.7055555555)</f>
        <v>43236.705555555498</v>
      </c>
      <c r="R2023" s="111">
        <f ca="1">IFERROR(__xludf.DUMMYFUNCTION("""COMPUTED_VALUE"""),34.47)</f>
        <v>34.47</v>
      </c>
      <c r="S2023" s="112">
        <f ca="1">IFERROR(__xludf.DUMMYFUNCTION("""COMPUTED_VALUE"""),43248.7055555555)</f>
        <v>43248.705555555498</v>
      </c>
      <c r="T2023" s="111">
        <f ca="1">IFERROR(__xludf.DUMMYFUNCTION("""COMPUTED_VALUE"""),24.79)</f>
        <v>24.79</v>
      </c>
    </row>
    <row r="2024" spans="1:20" x14ac:dyDescent="0.3">
      <c r="A2024" s="112">
        <f ca="1">IFERROR(__xludf.DUMMYFUNCTION("""COMPUTED_VALUE"""),43245.7055555555)</f>
        <v>43245.705555555498</v>
      </c>
      <c r="B2024" s="111">
        <f ca="1">IFERROR(__xludf.DUMMYFUNCTION("""COMPUTED_VALUE"""),14.89)</f>
        <v>14.89</v>
      </c>
      <c r="C2024" s="112">
        <f ca="1">IFERROR(__xludf.DUMMYFUNCTION("""COMPUTED_VALUE"""),43256.7055555555)</f>
        <v>43256.705555555498</v>
      </c>
      <c r="D2024" s="111">
        <f ca="1">IFERROR(__xludf.DUMMYFUNCTION("""COMPUTED_VALUE"""),28.92)</f>
        <v>28.92</v>
      </c>
      <c r="E2024" s="112">
        <f ca="1">IFERROR(__xludf.DUMMYFUNCTION("""COMPUTED_VALUE"""),43257.7055555555)</f>
        <v>43257.705555555498</v>
      </c>
      <c r="F2024" s="111">
        <f ca="1">IFERROR(__xludf.DUMMYFUNCTION("""COMPUTED_VALUE"""),9.53)</f>
        <v>9.5299999999999994</v>
      </c>
      <c r="G2024" s="112">
        <f ca="1">IFERROR(__xludf.DUMMYFUNCTION("""COMPUTED_VALUE"""),43252.7055555555)</f>
        <v>43252.705555555498</v>
      </c>
      <c r="H2024" s="111">
        <f ca="1">IFERROR(__xludf.DUMMYFUNCTION("""COMPUTED_VALUE"""),16.16)</f>
        <v>16.16</v>
      </c>
      <c r="K2024" s="112">
        <f ca="1">IFERROR(__xludf.DUMMYFUNCTION("""COMPUTED_VALUE"""),43705.7055555555)</f>
        <v>43705.705555555498</v>
      </c>
      <c r="L2024" s="111">
        <f ca="1">IFERROR(__xludf.DUMMYFUNCTION("""COMPUTED_VALUE"""),8.73)</f>
        <v>8.73</v>
      </c>
      <c r="M2024" s="112">
        <f ca="1">IFERROR(__xludf.DUMMYFUNCTION("""COMPUTED_VALUE"""),43164.7055555555)</f>
        <v>43164.705555555498</v>
      </c>
      <c r="N2024" s="111">
        <f ca="1">IFERROR(__xludf.DUMMYFUNCTION("""COMPUTED_VALUE"""),24.72)</f>
        <v>24.72</v>
      </c>
      <c r="O2024" s="112">
        <f ca="1">IFERROR(__xludf.DUMMYFUNCTION("""COMPUTED_VALUE"""),43238.7055555555)</f>
        <v>43238.705555555498</v>
      </c>
      <c r="P2024" s="111">
        <f ca="1">IFERROR(__xludf.DUMMYFUNCTION("""COMPUTED_VALUE"""),54.77)</f>
        <v>54.77</v>
      </c>
      <c r="Q2024" s="112">
        <f ca="1">IFERROR(__xludf.DUMMYFUNCTION("""COMPUTED_VALUE"""),43237.7055555555)</f>
        <v>43237.705555555498</v>
      </c>
      <c r="R2024" s="111">
        <f ca="1">IFERROR(__xludf.DUMMYFUNCTION("""COMPUTED_VALUE"""),32.87)</f>
        <v>32.869999999999997</v>
      </c>
      <c r="S2024" s="112">
        <f ca="1">IFERROR(__xludf.DUMMYFUNCTION("""COMPUTED_VALUE"""),43249.7055555555)</f>
        <v>43249.705555555498</v>
      </c>
      <c r="T2024" s="111">
        <f ca="1">IFERROR(__xludf.DUMMYFUNCTION("""COMPUTED_VALUE"""),24.21)</f>
        <v>24.21</v>
      </c>
    </row>
    <row r="2025" spans="1:20" x14ac:dyDescent="0.3">
      <c r="A2025" s="112">
        <f ca="1">IFERROR(__xludf.DUMMYFUNCTION("""COMPUTED_VALUE"""),43248.7055555555)</f>
        <v>43248.705555555498</v>
      </c>
      <c r="B2025" s="111">
        <f ca="1">IFERROR(__xludf.DUMMYFUNCTION("""COMPUTED_VALUE"""),13.85)</f>
        <v>13.85</v>
      </c>
      <c r="C2025" s="112">
        <f ca="1">IFERROR(__xludf.DUMMYFUNCTION("""COMPUTED_VALUE"""),43257.7055555555)</f>
        <v>43257.705555555498</v>
      </c>
      <c r="D2025" s="111">
        <f ca="1">IFERROR(__xludf.DUMMYFUNCTION("""COMPUTED_VALUE"""),28.19)</f>
        <v>28.19</v>
      </c>
      <c r="E2025" s="112">
        <f ca="1">IFERROR(__xludf.DUMMYFUNCTION("""COMPUTED_VALUE"""),43258.7055555555)</f>
        <v>43258.705555555498</v>
      </c>
      <c r="F2025" s="111">
        <f ca="1">IFERROR(__xludf.DUMMYFUNCTION("""COMPUTED_VALUE"""),8.95)</f>
        <v>8.9499999999999993</v>
      </c>
      <c r="G2025" s="112">
        <f ca="1">IFERROR(__xludf.DUMMYFUNCTION("""COMPUTED_VALUE"""),43255.7055555555)</f>
        <v>43255.705555555498</v>
      </c>
      <c r="H2025" s="111">
        <f ca="1">IFERROR(__xludf.DUMMYFUNCTION("""COMPUTED_VALUE"""),17.53)</f>
        <v>17.53</v>
      </c>
      <c r="K2025" s="112">
        <f ca="1">IFERROR(__xludf.DUMMYFUNCTION("""COMPUTED_VALUE"""),43706.7055555555)</f>
        <v>43706.705555555498</v>
      </c>
      <c r="L2025" s="111">
        <f ca="1">IFERROR(__xludf.DUMMYFUNCTION("""COMPUTED_VALUE"""),9.32)</f>
        <v>9.32</v>
      </c>
      <c r="M2025" s="112">
        <f ca="1">IFERROR(__xludf.DUMMYFUNCTION("""COMPUTED_VALUE"""),43165.7055555555)</f>
        <v>43165.705555555498</v>
      </c>
      <c r="N2025" s="111">
        <f ca="1">IFERROR(__xludf.DUMMYFUNCTION("""COMPUTED_VALUE"""),24.76)</f>
        <v>24.76</v>
      </c>
      <c r="O2025" s="112">
        <f ca="1">IFERROR(__xludf.DUMMYFUNCTION("""COMPUTED_VALUE"""),43241.7055555555)</f>
        <v>43241.705555555498</v>
      </c>
      <c r="P2025" s="111">
        <f ca="1">IFERROR(__xludf.DUMMYFUNCTION("""COMPUTED_VALUE"""),53)</f>
        <v>53</v>
      </c>
      <c r="Q2025" s="112">
        <f ca="1">IFERROR(__xludf.DUMMYFUNCTION("""COMPUTED_VALUE"""),43238.7055555555)</f>
        <v>43238.705555555498</v>
      </c>
      <c r="R2025" s="111">
        <f ca="1">IFERROR(__xludf.DUMMYFUNCTION("""COMPUTED_VALUE"""),32.69)</f>
        <v>32.69</v>
      </c>
      <c r="S2025" s="112">
        <f ca="1">IFERROR(__xludf.DUMMYFUNCTION("""COMPUTED_VALUE"""),43250.7055555555)</f>
        <v>43250.705555555498</v>
      </c>
      <c r="T2025" s="111">
        <f ca="1">IFERROR(__xludf.DUMMYFUNCTION("""COMPUTED_VALUE"""),24.52)</f>
        <v>24.52</v>
      </c>
    </row>
    <row r="2026" spans="1:20" x14ac:dyDescent="0.3">
      <c r="A2026" s="112">
        <f ca="1">IFERROR(__xludf.DUMMYFUNCTION("""COMPUTED_VALUE"""),43249.7055555555)</f>
        <v>43249.705555555498</v>
      </c>
      <c r="B2026" s="111">
        <f ca="1">IFERROR(__xludf.DUMMYFUNCTION("""COMPUTED_VALUE"""),14.14)</f>
        <v>14.14</v>
      </c>
      <c r="C2026" s="112">
        <f ca="1">IFERROR(__xludf.DUMMYFUNCTION("""COMPUTED_VALUE"""),43258.7055555555)</f>
        <v>43258.705555555498</v>
      </c>
      <c r="D2026" s="111">
        <f ca="1">IFERROR(__xludf.DUMMYFUNCTION("""COMPUTED_VALUE"""),27.37)</f>
        <v>27.37</v>
      </c>
      <c r="E2026" s="112">
        <f ca="1">IFERROR(__xludf.DUMMYFUNCTION("""COMPUTED_VALUE"""),43259.7055555555)</f>
        <v>43259.705555555498</v>
      </c>
      <c r="F2026" s="111">
        <f ca="1">IFERROR(__xludf.DUMMYFUNCTION("""COMPUTED_VALUE"""),8.97)</f>
        <v>8.9700000000000006</v>
      </c>
      <c r="G2026" s="112">
        <f ca="1">IFERROR(__xludf.DUMMYFUNCTION("""COMPUTED_VALUE"""),43256.7055555555)</f>
        <v>43256.705555555498</v>
      </c>
      <c r="H2026" s="111">
        <f ca="1">IFERROR(__xludf.DUMMYFUNCTION("""COMPUTED_VALUE"""),16.59)</f>
        <v>16.59</v>
      </c>
      <c r="K2026" s="112">
        <f ca="1">IFERROR(__xludf.DUMMYFUNCTION("""COMPUTED_VALUE"""),43707.7055555555)</f>
        <v>43707.705555555498</v>
      </c>
      <c r="L2026" s="111">
        <f ca="1">IFERROR(__xludf.DUMMYFUNCTION("""COMPUTED_VALUE"""),9.08)</f>
        <v>9.08</v>
      </c>
      <c r="M2026" s="112">
        <f ca="1">IFERROR(__xludf.DUMMYFUNCTION("""COMPUTED_VALUE"""),43166.7055555555)</f>
        <v>43166.705555555498</v>
      </c>
      <c r="N2026" s="111">
        <f ca="1">IFERROR(__xludf.DUMMYFUNCTION("""COMPUTED_VALUE"""),24.32)</f>
        <v>24.32</v>
      </c>
      <c r="O2026" s="112">
        <f ca="1">IFERROR(__xludf.DUMMYFUNCTION("""COMPUTED_VALUE"""),43242.7055555555)</f>
        <v>43242.705555555498</v>
      </c>
      <c r="P2026" s="111">
        <f ca="1">IFERROR(__xludf.DUMMYFUNCTION("""COMPUTED_VALUE"""),52.34)</f>
        <v>52.34</v>
      </c>
      <c r="Q2026" s="112">
        <f ca="1">IFERROR(__xludf.DUMMYFUNCTION("""COMPUTED_VALUE"""),43241.7055555555)</f>
        <v>43241.705555555498</v>
      </c>
      <c r="R2026" s="111">
        <f ca="1">IFERROR(__xludf.DUMMYFUNCTION("""COMPUTED_VALUE"""),31.91)</f>
        <v>31.91</v>
      </c>
      <c r="S2026" s="112">
        <f ca="1">IFERROR(__xludf.DUMMYFUNCTION("""COMPUTED_VALUE"""),43252.7055555555)</f>
        <v>43252.705555555498</v>
      </c>
      <c r="T2026" s="111">
        <f ca="1">IFERROR(__xludf.DUMMYFUNCTION("""COMPUTED_VALUE"""),24.87)</f>
        <v>24.87</v>
      </c>
    </row>
    <row r="2027" spans="1:20" x14ac:dyDescent="0.3">
      <c r="A2027" s="112">
        <f ca="1">IFERROR(__xludf.DUMMYFUNCTION("""COMPUTED_VALUE"""),43250.7055555555)</f>
        <v>43250.705555555498</v>
      </c>
      <c r="B2027" s="111">
        <f ca="1">IFERROR(__xludf.DUMMYFUNCTION("""COMPUTED_VALUE"""),14.47)</f>
        <v>14.47</v>
      </c>
      <c r="C2027" s="112">
        <f ca="1">IFERROR(__xludf.DUMMYFUNCTION("""COMPUTED_VALUE"""),43259.7055555555)</f>
        <v>43259.705555555498</v>
      </c>
      <c r="D2027" s="111">
        <f ca="1">IFERROR(__xludf.DUMMYFUNCTION("""COMPUTED_VALUE"""),27.43)</f>
        <v>27.43</v>
      </c>
      <c r="E2027" s="112">
        <f ca="1">IFERROR(__xludf.DUMMYFUNCTION("""COMPUTED_VALUE"""),43262.7055555555)</f>
        <v>43262.705555555498</v>
      </c>
      <c r="F2027" s="111">
        <f ca="1">IFERROR(__xludf.DUMMYFUNCTION("""COMPUTED_VALUE"""),8.76)</f>
        <v>8.76</v>
      </c>
      <c r="G2027" s="112">
        <f ca="1">IFERROR(__xludf.DUMMYFUNCTION("""COMPUTED_VALUE"""),43257.7055555555)</f>
        <v>43257.705555555498</v>
      </c>
      <c r="H2027" s="111">
        <f ca="1">IFERROR(__xludf.DUMMYFUNCTION("""COMPUTED_VALUE"""),16.33)</f>
        <v>16.329999999999998</v>
      </c>
      <c r="K2027" s="112">
        <f ca="1">IFERROR(__xludf.DUMMYFUNCTION("""COMPUTED_VALUE"""),43710.7055555555)</f>
        <v>43710.705555555498</v>
      </c>
      <c r="L2027" s="111">
        <f ca="1">IFERROR(__xludf.DUMMYFUNCTION("""COMPUTED_VALUE"""),9.16)</f>
        <v>9.16</v>
      </c>
      <c r="M2027" s="112">
        <f ca="1">IFERROR(__xludf.DUMMYFUNCTION("""COMPUTED_VALUE"""),43167.7055555555)</f>
        <v>43167.705555555498</v>
      </c>
      <c r="N2027" s="111">
        <f ca="1">IFERROR(__xludf.DUMMYFUNCTION("""COMPUTED_VALUE"""),24)</f>
        <v>24</v>
      </c>
      <c r="O2027" s="112">
        <f ca="1">IFERROR(__xludf.DUMMYFUNCTION("""COMPUTED_VALUE"""),43243.7055555555)</f>
        <v>43243.705555555498</v>
      </c>
      <c r="P2027" s="111">
        <f ca="1">IFERROR(__xludf.DUMMYFUNCTION("""COMPUTED_VALUE"""),51.94)</f>
        <v>51.94</v>
      </c>
      <c r="Q2027" s="112">
        <f ca="1">IFERROR(__xludf.DUMMYFUNCTION("""COMPUTED_VALUE"""),43242.7055555555)</f>
        <v>43242.705555555498</v>
      </c>
      <c r="R2027" s="111">
        <f ca="1">IFERROR(__xludf.DUMMYFUNCTION("""COMPUTED_VALUE"""),32.4)</f>
        <v>32.4</v>
      </c>
      <c r="S2027" s="112">
        <f ca="1">IFERROR(__xludf.DUMMYFUNCTION("""COMPUTED_VALUE"""),43255.7055555555)</f>
        <v>43255.705555555498</v>
      </c>
      <c r="T2027" s="111">
        <f ca="1">IFERROR(__xludf.DUMMYFUNCTION("""COMPUTED_VALUE"""),24.93)</f>
        <v>24.93</v>
      </c>
    </row>
    <row r="2028" spans="1:20" x14ac:dyDescent="0.3">
      <c r="A2028" s="112">
        <f ca="1">IFERROR(__xludf.DUMMYFUNCTION("""COMPUTED_VALUE"""),43252.7055555555)</f>
        <v>43252.705555555498</v>
      </c>
      <c r="B2028" s="111">
        <f ca="1">IFERROR(__xludf.DUMMYFUNCTION("""COMPUTED_VALUE"""),14.98)</f>
        <v>14.98</v>
      </c>
      <c r="C2028" s="112">
        <f ca="1">IFERROR(__xludf.DUMMYFUNCTION("""COMPUTED_VALUE"""),43262.7055555555)</f>
        <v>43262.705555555498</v>
      </c>
      <c r="D2028" s="111">
        <f ca="1">IFERROR(__xludf.DUMMYFUNCTION("""COMPUTED_VALUE"""),26.64)</f>
        <v>26.64</v>
      </c>
      <c r="E2028" s="112">
        <f ca="1">IFERROR(__xludf.DUMMYFUNCTION("""COMPUTED_VALUE"""),43263.7055555555)</f>
        <v>43263.705555555498</v>
      </c>
      <c r="F2028" s="111">
        <f ca="1">IFERROR(__xludf.DUMMYFUNCTION("""COMPUTED_VALUE"""),8.75)</f>
        <v>8.75</v>
      </c>
      <c r="G2028" s="112">
        <f ca="1">IFERROR(__xludf.DUMMYFUNCTION("""COMPUTED_VALUE"""),43258.7055555555)</f>
        <v>43258.705555555498</v>
      </c>
      <c r="H2028" s="111">
        <f ca="1">IFERROR(__xludf.DUMMYFUNCTION("""COMPUTED_VALUE"""),15.76)</f>
        <v>15.76</v>
      </c>
      <c r="K2028" s="112">
        <f ca="1">IFERROR(__xludf.DUMMYFUNCTION("""COMPUTED_VALUE"""),43711.7055555555)</f>
        <v>43711.705555555498</v>
      </c>
      <c r="L2028" s="111">
        <f ca="1">IFERROR(__xludf.DUMMYFUNCTION("""COMPUTED_VALUE"""),8.97)</f>
        <v>8.9700000000000006</v>
      </c>
      <c r="M2028" s="112">
        <f ca="1">IFERROR(__xludf.DUMMYFUNCTION("""COMPUTED_VALUE"""),43168.7055555555)</f>
        <v>43168.705555555498</v>
      </c>
      <c r="N2028" s="111">
        <f ca="1">IFERROR(__xludf.DUMMYFUNCTION("""COMPUTED_VALUE"""),24.52)</f>
        <v>24.52</v>
      </c>
      <c r="O2028" s="112">
        <f ca="1">IFERROR(__xludf.DUMMYFUNCTION("""COMPUTED_VALUE"""),43244.7055555555)</f>
        <v>43244.705555555498</v>
      </c>
      <c r="P2028" s="111">
        <f ca="1">IFERROR(__xludf.DUMMYFUNCTION("""COMPUTED_VALUE"""),52.46)</f>
        <v>52.46</v>
      </c>
      <c r="Q2028" s="112">
        <f ca="1">IFERROR(__xludf.DUMMYFUNCTION("""COMPUTED_VALUE"""),43243.7055555555)</f>
        <v>43243.705555555498</v>
      </c>
      <c r="R2028" s="111">
        <f ca="1">IFERROR(__xludf.DUMMYFUNCTION("""COMPUTED_VALUE"""),31.7)</f>
        <v>31.7</v>
      </c>
      <c r="S2028" s="112">
        <f ca="1">IFERROR(__xludf.DUMMYFUNCTION("""COMPUTED_VALUE"""),43256.7055555555)</f>
        <v>43256.705555555498</v>
      </c>
      <c r="T2028" s="111">
        <f ca="1">IFERROR(__xludf.DUMMYFUNCTION("""COMPUTED_VALUE"""),24.07)</f>
        <v>24.07</v>
      </c>
    </row>
    <row r="2029" spans="1:20" x14ac:dyDescent="0.3">
      <c r="A2029" s="112">
        <f ca="1">IFERROR(__xludf.DUMMYFUNCTION("""COMPUTED_VALUE"""),43255.7055555555)</f>
        <v>43255.705555555498</v>
      </c>
      <c r="B2029" s="111">
        <f ca="1">IFERROR(__xludf.DUMMYFUNCTION("""COMPUTED_VALUE"""),16.08)</f>
        <v>16.079999999999998</v>
      </c>
      <c r="C2029" s="112">
        <f ca="1">IFERROR(__xludf.DUMMYFUNCTION("""COMPUTED_VALUE"""),43263.7055555555)</f>
        <v>43263.705555555498</v>
      </c>
      <c r="D2029" s="111">
        <f ca="1">IFERROR(__xludf.DUMMYFUNCTION("""COMPUTED_VALUE"""),26.59)</f>
        <v>26.59</v>
      </c>
      <c r="E2029" s="112">
        <f ca="1">IFERROR(__xludf.DUMMYFUNCTION("""COMPUTED_VALUE"""),43264.7055555555)</f>
        <v>43264.705555555498</v>
      </c>
      <c r="F2029" s="111">
        <f ca="1">IFERROR(__xludf.DUMMYFUNCTION("""COMPUTED_VALUE"""),8.69)</f>
        <v>8.69</v>
      </c>
      <c r="G2029" s="112">
        <f ca="1">IFERROR(__xludf.DUMMYFUNCTION("""COMPUTED_VALUE"""),43259.7055555555)</f>
        <v>43259.705555555498</v>
      </c>
      <c r="H2029" s="111">
        <f ca="1">IFERROR(__xludf.DUMMYFUNCTION("""COMPUTED_VALUE"""),15.25)</f>
        <v>15.25</v>
      </c>
      <c r="K2029" s="112">
        <f ca="1">IFERROR(__xludf.DUMMYFUNCTION("""COMPUTED_VALUE"""),43712.7055555555)</f>
        <v>43712.705555555498</v>
      </c>
      <c r="L2029" s="111">
        <f ca="1">IFERROR(__xludf.DUMMYFUNCTION("""COMPUTED_VALUE"""),9.3)</f>
        <v>9.3000000000000007</v>
      </c>
      <c r="M2029" s="112">
        <f ca="1">IFERROR(__xludf.DUMMYFUNCTION("""COMPUTED_VALUE"""),43171.7055555555)</f>
        <v>43171.705555555498</v>
      </c>
      <c r="N2029" s="111">
        <f ca="1">IFERROR(__xludf.DUMMYFUNCTION("""COMPUTED_VALUE"""),24.71)</f>
        <v>24.71</v>
      </c>
      <c r="O2029" s="112">
        <f ca="1">IFERROR(__xludf.DUMMYFUNCTION("""COMPUTED_VALUE"""),43245.7055555555)</f>
        <v>43245.705555555498</v>
      </c>
      <c r="P2029" s="111">
        <f ca="1">IFERROR(__xludf.DUMMYFUNCTION("""COMPUTED_VALUE"""),51.48)</f>
        <v>51.48</v>
      </c>
      <c r="Q2029" s="112">
        <f ca="1">IFERROR(__xludf.DUMMYFUNCTION("""COMPUTED_VALUE"""),43244.7055555555)</f>
        <v>43244.705555555498</v>
      </c>
      <c r="R2029" s="111">
        <f ca="1">IFERROR(__xludf.DUMMYFUNCTION("""COMPUTED_VALUE"""),30.73)</f>
        <v>30.73</v>
      </c>
      <c r="S2029" s="112">
        <f ca="1">IFERROR(__xludf.DUMMYFUNCTION("""COMPUTED_VALUE"""),43257.7055555555)</f>
        <v>43257.705555555498</v>
      </c>
      <c r="T2029" s="111">
        <f ca="1">IFERROR(__xludf.DUMMYFUNCTION("""COMPUTED_VALUE"""),23.96)</f>
        <v>23.96</v>
      </c>
    </row>
    <row r="2030" spans="1:20" x14ac:dyDescent="0.3">
      <c r="A2030" s="112">
        <f ca="1">IFERROR(__xludf.DUMMYFUNCTION("""COMPUTED_VALUE"""),43256.7055555555)</f>
        <v>43256.705555555498</v>
      </c>
      <c r="B2030" s="111">
        <f ca="1">IFERROR(__xludf.DUMMYFUNCTION("""COMPUTED_VALUE"""),14.82)</f>
        <v>14.82</v>
      </c>
      <c r="C2030" s="112">
        <f ca="1">IFERROR(__xludf.DUMMYFUNCTION("""COMPUTED_VALUE"""),43264.7055555555)</f>
        <v>43264.705555555498</v>
      </c>
      <c r="D2030" s="111">
        <f ca="1">IFERROR(__xludf.DUMMYFUNCTION("""COMPUTED_VALUE"""),26.33)</f>
        <v>26.33</v>
      </c>
      <c r="E2030" s="112">
        <f ca="1">IFERROR(__xludf.DUMMYFUNCTION("""COMPUTED_VALUE"""),43265.7055555555)</f>
        <v>43265.705555555498</v>
      </c>
      <c r="F2030" s="111">
        <f ca="1">IFERROR(__xludf.DUMMYFUNCTION("""COMPUTED_VALUE"""),8.4)</f>
        <v>8.4</v>
      </c>
      <c r="G2030" s="112">
        <f ca="1">IFERROR(__xludf.DUMMYFUNCTION("""COMPUTED_VALUE"""),43262.7055555555)</f>
        <v>43262.705555555498</v>
      </c>
      <c r="H2030" s="111">
        <f ca="1">IFERROR(__xludf.DUMMYFUNCTION("""COMPUTED_VALUE"""),15.41)</f>
        <v>15.41</v>
      </c>
      <c r="K2030" s="112">
        <f ca="1">IFERROR(__xludf.DUMMYFUNCTION("""COMPUTED_VALUE"""),43713.7055555555)</f>
        <v>43713.705555555498</v>
      </c>
      <c r="L2030" s="111">
        <f ca="1">IFERROR(__xludf.DUMMYFUNCTION("""COMPUTED_VALUE"""),9.18)</f>
        <v>9.18</v>
      </c>
      <c r="M2030" s="112">
        <f ca="1">IFERROR(__xludf.DUMMYFUNCTION("""COMPUTED_VALUE"""),43172.7055555555)</f>
        <v>43172.705555555498</v>
      </c>
      <c r="N2030" s="111">
        <f ca="1">IFERROR(__xludf.DUMMYFUNCTION("""COMPUTED_VALUE"""),24.36)</f>
        <v>24.36</v>
      </c>
      <c r="O2030" s="112">
        <f ca="1">IFERROR(__xludf.DUMMYFUNCTION("""COMPUTED_VALUE"""),43248.7055555555)</f>
        <v>43248.705555555498</v>
      </c>
      <c r="P2030" s="111">
        <f ca="1">IFERROR(__xludf.DUMMYFUNCTION("""COMPUTED_VALUE"""),51.07)</f>
        <v>51.07</v>
      </c>
      <c r="Q2030" s="112">
        <f ca="1">IFERROR(__xludf.DUMMYFUNCTION("""COMPUTED_VALUE"""),43245.7055555555)</f>
        <v>43245.705555555498</v>
      </c>
      <c r="R2030" s="111">
        <f ca="1">IFERROR(__xludf.DUMMYFUNCTION("""COMPUTED_VALUE"""),30.09)</f>
        <v>30.09</v>
      </c>
      <c r="S2030" s="112">
        <f ca="1">IFERROR(__xludf.DUMMYFUNCTION("""COMPUTED_VALUE"""),43258.7055555555)</f>
        <v>43258.705555555498</v>
      </c>
      <c r="T2030" s="111">
        <f ca="1">IFERROR(__xludf.DUMMYFUNCTION("""COMPUTED_VALUE"""),23.85)</f>
        <v>23.85</v>
      </c>
    </row>
    <row r="2031" spans="1:20" x14ac:dyDescent="0.3">
      <c r="A2031" s="112">
        <f ca="1">IFERROR(__xludf.DUMMYFUNCTION("""COMPUTED_VALUE"""),43257.7055555555)</f>
        <v>43257.705555555498</v>
      </c>
      <c r="B2031" s="111">
        <f ca="1">IFERROR(__xludf.DUMMYFUNCTION("""COMPUTED_VALUE"""),14.16)</f>
        <v>14.16</v>
      </c>
      <c r="C2031" s="112">
        <f ca="1">IFERROR(__xludf.DUMMYFUNCTION("""COMPUTED_VALUE"""),43265.7055555555)</f>
        <v>43265.705555555498</v>
      </c>
      <c r="D2031" s="111">
        <f ca="1">IFERROR(__xludf.DUMMYFUNCTION("""COMPUTED_VALUE"""),25.39)</f>
        <v>25.39</v>
      </c>
      <c r="E2031" s="112">
        <f ca="1">IFERROR(__xludf.DUMMYFUNCTION("""COMPUTED_VALUE"""),43266.7055555555)</f>
        <v>43266.705555555498</v>
      </c>
      <c r="F2031" s="111">
        <f ca="1">IFERROR(__xludf.DUMMYFUNCTION("""COMPUTED_VALUE"""),8.49)</f>
        <v>8.49</v>
      </c>
      <c r="G2031" s="112">
        <f ca="1">IFERROR(__xludf.DUMMYFUNCTION("""COMPUTED_VALUE"""),43263.7055555555)</f>
        <v>43263.705555555498</v>
      </c>
      <c r="H2031" s="111">
        <f ca="1">IFERROR(__xludf.DUMMYFUNCTION("""COMPUTED_VALUE"""),15.46)</f>
        <v>15.46</v>
      </c>
      <c r="K2031" s="112">
        <f ca="1">IFERROR(__xludf.DUMMYFUNCTION("""COMPUTED_VALUE"""),43714.7055555555)</f>
        <v>43714.705555555498</v>
      </c>
      <c r="L2031" s="111">
        <f ca="1">IFERROR(__xludf.DUMMYFUNCTION("""COMPUTED_VALUE"""),9)</f>
        <v>9</v>
      </c>
      <c r="M2031" s="112">
        <f ca="1">IFERROR(__xludf.DUMMYFUNCTION("""COMPUTED_VALUE"""),43173.7055555555)</f>
        <v>43173.705555555498</v>
      </c>
      <c r="N2031" s="111">
        <f ca="1">IFERROR(__xludf.DUMMYFUNCTION("""COMPUTED_VALUE"""),24.22)</f>
        <v>24.22</v>
      </c>
      <c r="O2031" s="112">
        <f ca="1">IFERROR(__xludf.DUMMYFUNCTION("""COMPUTED_VALUE"""),43249.7055555555)</f>
        <v>43249.705555555498</v>
      </c>
      <c r="P2031" s="111">
        <f ca="1">IFERROR(__xludf.DUMMYFUNCTION("""COMPUTED_VALUE"""),50.16)</f>
        <v>50.16</v>
      </c>
      <c r="Q2031" s="112">
        <f ca="1">IFERROR(__xludf.DUMMYFUNCTION("""COMPUTED_VALUE"""),43248.7055555555)</f>
        <v>43248.705555555498</v>
      </c>
      <c r="R2031" s="111">
        <f ca="1">IFERROR(__xludf.DUMMYFUNCTION("""COMPUTED_VALUE"""),27.88)</f>
        <v>27.88</v>
      </c>
      <c r="S2031" s="112">
        <f ca="1">IFERROR(__xludf.DUMMYFUNCTION("""COMPUTED_VALUE"""),43259.7055555555)</f>
        <v>43259.705555555498</v>
      </c>
      <c r="T2031" s="111">
        <f ca="1">IFERROR(__xludf.DUMMYFUNCTION("""COMPUTED_VALUE"""),24.17)</f>
        <v>24.17</v>
      </c>
    </row>
    <row r="2032" spans="1:20" x14ac:dyDescent="0.3">
      <c r="A2032" s="112">
        <f ca="1">IFERROR(__xludf.DUMMYFUNCTION("""COMPUTED_VALUE"""),43258.7055555555)</f>
        <v>43258.705555555498</v>
      </c>
      <c r="B2032" s="111">
        <f ca="1">IFERROR(__xludf.DUMMYFUNCTION("""COMPUTED_VALUE"""),13.26)</f>
        <v>13.26</v>
      </c>
      <c r="C2032" s="112">
        <f ca="1">IFERROR(__xludf.DUMMYFUNCTION("""COMPUTED_VALUE"""),43266.7055555555)</f>
        <v>43266.705555555498</v>
      </c>
      <c r="D2032" s="111">
        <f ca="1">IFERROR(__xludf.DUMMYFUNCTION("""COMPUTED_VALUE"""),25.64)</f>
        <v>25.64</v>
      </c>
      <c r="E2032" s="112">
        <f ca="1">IFERROR(__xludf.DUMMYFUNCTION("""COMPUTED_VALUE"""),43269.7055555555)</f>
        <v>43269.705555555498</v>
      </c>
      <c r="F2032" s="111">
        <f ca="1">IFERROR(__xludf.DUMMYFUNCTION("""COMPUTED_VALUE"""),8.2)</f>
        <v>8.1999999999999993</v>
      </c>
      <c r="G2032" s="112">
        <f ca="1">IFERROR(__xludf.DUMMYFUNCTION("""COMPUTED_VALUE"""),43264.7055555555)</f>
        <v>43264.705555555498</v>
      </c>
      <c r="H2032" s="111">
        <f ca="1">IFERROR(__xludf.DUMMYFUNCTION("""COMPUTED_VALUE"""),15.17)</f>
        <v>15.17</v>
      </c>
      <c r="K2032" s="112">
        <f ca="1">IFERROR(__xludf.DUMMYFUNCTION("""COMPUTED_VALUE"""),43717.7055555555)</f>
        <v>43717.705555555498</v>
      </c>
      <c r="L2032" s="111">
        <f ca="1">IFERROR(__xludf.DUMMYFUNCTION("""COMPUTED_VALUE"""),8.55)</f>
        <v>8.5500000000000007</v>
      </c>
      <c r="M2032" s="112">
        <f ca="1">IFERROR(__xludf.DUMMYFUNCTION("""COMPUTED_VALUE"""),43174.7055555555)</f>
        <v>43174.705555555498</v>
      </c>
      <c r="N2032" s="111">
        <f ca="1">IFERROR(__xludf.DUMMYFUNCTION("""COMPUTED_VALUE"""),23.87)</f>
        <v>23.87</v>
      </c>
      <c r="O2032" s="112">
        <f ca="1">IFERROR(__xludf.DUMMYFUNCTION("""COMPUTED_VALUE"""),43250.7055555555)</f>
        <v>43250.705555555498</v>
      </c>
      <c r="P2032" s="111">
        <f ca="1">IFERROR(__xludf.DUMMYFUNCTION("""COMPUTED_VALUE"""),50.63)</f>
        <v>50.63</v>
      </c>
      <c r="Q2032" s="112">
        <f ca="1">IFERROR(__xludf.DUMMYFUNCTION("""COMPUTED_VALUE"""),43249.7055555555)</f>
        <v>43249.705555555498</v>
      </c>
      <c r="R2032" s="111">
        <f ca="1">IFERROR(__xludf.DUMMYFUNCTION("""COMPUTED_VALUE"""),28.51)</f>
        <v>28.51</v>
      </c>
      <c r="S2032" s="112">
        <f ca="1">IFERROR(__xludf.DUMMYFUNCTION("""COMPUTED_VALUE"""),43262.7055555555)</f>
        <v>43262.705555555498</v>
      </c>
      <c r="T2032" s="111">
        <f ca="1">IFERROR(__xludf.DUMMYFUNCTION("""COMPUTED_VALUE"""),23.98)</f>
        <v>23.98</v>
      </c>
    </row>
    <row r="2033" spans="1:20" x14ac:dyDescent="0.3">
      <c r="A2033" s="112">
        <f ca="1">IFERROR(__xludf.DUMMYFUNCTION("""COMPUTED_VALUE"""),43259.7055555555)</f>
        <v>43259.705555555498</v>
      </c>
      <c r="B2033" s="111">
        <f ca="1">IFERROR(__xludf.DUMMYFUNCTION("""COMPUTED_VALUE"""),12.76)</f>
        <v>12.76</v>
      </c>
      <c r="C2033" s="112">
        <f ca="1">IFERROR(__xludf.DUMMYFUNCTION("""COMPUTED_VALUE"""),43269.7055555555)</f>
        <v>43269.705555555498</v>
      </c>
      <c r="D2033" s="111">
        <f ca="1">IFERROR(__xludf.DUMMYFUNCTION("""COMPUTED_VALUE"""),25.12)</f>
        <v>25.12</v>
      </c>
      <c r="E2033" s="112">
        <f ca="1">IFERROR(__xludf.DUMMYFUNCTION("""COMPUTED_VALUE"""),43270.7055555555)</f>
        <v>43270.705555555498</v>
      </c>
      <c r="F2033" s="111">
        <f ca="1">IFERROR(__xludf.DUMMYFUNCTION("""COMPUTED_VALUE"""),8.56)</f>
        <v>8.56</v>
      </c>
      <c r="G2033" s="112">
        <f ca="1">IFERROR(__xludf.DUMMYFUNCTION("""COMPUTED_VALUE"""),43265.7055555555)</f>
        <v>43265.705555555498</v>
      </c>
      <c r="H2033" s="111">
        <f ca="1">IFERROR(__xludf.DUMMYFUNCTION("""COMPUTED_VALUE"""),15.1)</f>
        <v>15.1</v>
      </c>
      <c r="K2033" s="112">
        <f ca="1">IFERROR(__xludf.DUMMYFUNCTION("""COMPUTED_VALUE"""),43718.7055555555)</f>
        <v>43718.705555555498</v>
      </c>
      <c r="L2033" s="111">
        <f ca="1">IFERROR(__xludf.DUMMYFUNCTION("""COMPUTED_VALUE"""),8.13)</f>
        <v>8.1300000000000008</v>
      </c>
      <c r="M2033" s="112">
        <f ca="1">IFERROR(__xludf.DUMMYFUNCTION("""COMPUTED_VALUE"""),43175.7055555555)</f>
        <v>43175.705555555498</v>
      </c>
      <c r="N2033" s="111">
        <f ca="1">IFERROR(__xludf.DUMMYFUNCTION("""COMPUTED_VALUE"""),23.94)</f>
        <v>23.94</v>
      </c>
      <c r="O2033" s="112">
        <f ca="1">IFERROR(__xludf.DUMMYFUNCTION("""COMPUTED_VALUE"""),43252.7055555555)</f>
        <v>43252.705555555498</v>
      </c>
      <c r="P2033" s="111">
        <f ca="1">IFERROR(__xludf.DUMMYFUNCTION("""COMPUTED_VALUE"""),52.76)</f>
        <v>52.76</v>
      </c>
      <c r="Q2033" s="112">
        <f ca="1">IFERROR(__xludf.DUMMYFUNCTION("""COMPUTED_VALUE"""),43250.7055555555)</f>
        <v>43250.705555555498</v>
      </c>
      <c r="R2033" s="111">
        <f ca="1">IFERROR(__xludf.DUMMYFUNCTION("""COMPUTED_VALUE"""),30.37)</f>
        <v>30.37</v>
      </c>
      <c r="S2033" s="112">
        <f ca="1">IFERROR(__xludf.DUMMYFUNCTION("""COMPUTED_VALUE"""),43263.7055555555)</f>
        <v>43263.705555555498</v>
      </c>
      <c r="T2033" s="111">
        <f ca="1">IFERROR(__xludf.DUMMYFUNCTION("""COMPUTED_VALUE"""),24.42)</f>
        <v>24.42</v>
      </c>
    </row>
    <row r="2034" spans="1:20" x14ac:dyDescent="0.3">
      <c r="A2034" s="112">
        <f ca="1">IFERROR(__xludf.DUMMYFUNCTION("""COMPUTED_VALUE"""),43262.7055555555)</f>
        <v>43262.705555555498</v>
      </c>
      <c r="B2034" s="111">
        <f ca="1">IFERROR(__xludf.DUMMYFUNCTION("""COMPUTED_VALUE"""),13.33)</f>
        <v>13.33</v>
      </c>
      <c r="C2034" s="112">
        <f ca="1">IFERROR(__xludf.DUMMYFUNCTION("""COMPUTED_VALUE"""),43270.7055555555)</f>
        <v>43270.705555555498</v>
      </c>
      <c r="D2034" s="111">
        <f ca="1">IFERROR(__xludf.DUMMYFUNCTION("""COMPUTED_VALUE"""),26.25)</f>
        <v>26.25</v>
      </c>
      <c r="E2034" s="112">
        <f ca="1">IFERROR(__xludf.DUMMYFUNCTION("""COMPUTED_VALUE"""),43271.7055555555)</f>
        <v>43271.705555555498</v>
      </c>
      <c r="F2034" s="111">
        <f ca="1">IFERROR(__xludf.DUMMYFUNCTION("""COMPUTED_VALUE"""),8.74)</f>
        <v>8.74</v>
      </c>
      <c r="G2034" s="112">
        <f ca="1">IFERROR(__xludf.DUMMYFUNCTION("""COMPUTED_VALUE"""),43266.7055555555)</f>
        <v>43266.705555555498</v>
      </c>
      <c r="H2034" s="111">
        <f ca="1">IFERROR(__xludf.DUMMYFUNCTION("""COMPUTED_VALUE"""),14.97)</f>
        <v>14.97</v>
      </c>
      <c r="K2034" s="112">
        <f ca="1">IFERROR(__xludf.DUMMYFUNCTION("""COMPUTED_VALUE"""),43719.7055555555)</f>
        <v>43719.705555555498</v>
      </c>
      <c r="L2034" s="111">
        <f ca="1">IFERROR(__xludf.DUMMYFUNCTION("""COMPUTED_VALUE"""),8.65)</f>
        <v>8.65</v>
      </c>
      <c r="M2034" s="112">
        <f ca="1">IFERROR(__xludf.DUMMYFUNCTION("""COMPUTED_VALUE"""),43178.7055555555)</f>
        <v>43178.705555555498</v>
      </c>
      <c r="N2034" s="111">
        <f ca="1">IFERROR(__xludf.DUMMYFUNCTION("""COMPUTED_VALUE"""),23.69)</f>
        <v>23.69</v>
      </c>
      <c r="O2034" s="112">
        <f ca="1">IFERROR(__xludf.DUMMYFUNCTION("""COMPUTED_VALUE"""),43255.7055555555)</f>
        <v>43255.705555555498</v>
      </c>
      <c r="P2034" s="111">
        <f ca="1">IFERROR(__xludf.DUMMYFUNCTION("""COMPUTED_VALUE"""),52.52)</f>
        <v>52.52</v>
      </c>
      <c r="Q2034" s="112">
        <f ca="1">IFERROR(__xludf.DUMMYFUNCTION("""COMPUTED_VALUE"""),43252.7055555555)</f>
        <v>43252.705555555498</v>
      </c>
      <c r="R2034" s="111">
        <f ca="1">IFERROR(__xludf.DUMMYFUNCTION("""COMPUTED_VALUE"""),30.66)</f>
        <v>30.66</v>
      </c>
      <c r="S2034" s="112">
        <f ca="1">IFERROR(__xludf.DUMMYFUNCTION("""COMPUTED_VALUE"""),43264.7055555555)</f>
        <v>43264.705555555498</v>
      </c>
      <c r="T2034" s="111">
        <f ca="1">IFERROR(__xludf.DUMMYFUNCTION("""COMPUTED_VALUE"""),23.77)</f>
        <v>23.77</v>
      </c>
    </row>
    <row r="2035" spans="1:20" x14ac:dyDescent="0.3">
      <c r="A2035" s="112">
        <f ca="1">IFERROR(__xludf.DUMMYFUNCTION("""COMPUTED_VALUE"""),43263.7055555555)</f>
        <v>43263.705555555498</v>
      </c>
      <c r="B2035" s="111">
        <f ca="1">IFERROR(__xludf.DUMMYFUNCTION("""COMPUTED_VALUE"""),13.65)</f>
        <v>13.65</v>
      </c>
      <c r="C2035" s="112">
        <f ca="1">IFERROR(__xludf.DUMMYFUNCTION("""COMPUTED_VALUE"""),43271.7055555555)</f>
        <v>43271.705555555498</v>
      </c>
      <c r="D2035" s="111">
        <f ca="1">IFERROR(__xludf.DUMMYFUNCTION("""COMPUTED_VALUE"""),26.74)</f>
        <v>26.74</v>
      </c>
      <c r="E2035" s="112">
        <f ca="1">IFERROR(__xludf.DUMMYFUNCTION("""COMPUTED_VALUE"""),43272.7055555555)</f>
        <v>43272.705555555498</v>
      </c>
      <c r="F2035" s="111">
        <f ca="1">IFERROR(__xludf.DUMMYFUNCTION("""COMPUTED_VALUE"""),8.49)</f>
        <v>8.49</v>
      </c>
      <c r="G2035" s="112">
        <f ca="1">IFERROR(__xludf.DUMMYFUNCTION("""COMPUTED_VALUE"""),43269.7055555555)</f>
        <v>43269.705555555498</v>
      </c>
      <c r="H2035" s="111">
        <f ca="1">IFERROR(__xludf.DUMMYFUNCTION("""COMPUTED_VALUE"""),14.5)</f>
        <v>14.5</v>
      </c>
      <c r="K2035" s="112">
        <f ca="1">IFERROR(__xludf.DUMMYFUNCTION("""COMPUTED_VALUE"""),43720.7055555555)</f>
        <v>43720.705555555498</v>
      </c>
      <c r="L2035" s="111">
        <f ca="1">IFERROR(__xludf.DUMMYFUNCTION("""COMPUTED_VALUE"""),8.75)</f>
        <v>8.75</v>
      </c>
      <c r="M2035" s="112">
        <f ca="1">IFERROR(__xludf.DUMMYFUNCTION("""COMPUTED_VALUE"""),43179.7055555555)</f>
        <v>43179.705555555498</v>
      </c>
      <c r="N2035" s="111">
        <f ca="1">IFERROR(__xludf.DUMMYFUNCTION("""COMPUTED_VALUE"""),23.67)</f>
        <v>23.67</v>
      </c>
      <c r="O2035" s="112">
        <f ca="1">IFERROR(__xludf.DUMMYFUNCTION("""COMPUTED_VALUE"""),43256.7055555555)</f>
        <v>43256.705555555498</v>
      </c>
      <c r="P2035" s="111">
        <f ca="1">IFERROR(__xludf.DUMMYFUNCTION("""COMPUTED_VALUE"""),53.73)</f>
        <v>53.73</v>
      </c>
      <c r="Q2035" s="112">
        <f ca="1">IFERROR(__xludf.DUMMYFUNCTION("""COMPUTED_VALUE"""),43255.7055555555)</f>
        <v>43255.705555555498</v>
      </c>
      <c r="R2035" s="111">
        <f ca="1">IFERROR(__xludf.DUMMYFUNCTION("""COMPUTED_VALUE"""),31.1)</f>
        <v>31.1</v>
      </c>
      <c r="S2035" s="112">
        <f ca="1">IFERROR(__xludf.DUMMYFUNCTION("""COMPUTED_VALUE"""),43265.7055555555)</f>
        <v>43265.705555555498</v>
      </c>
      <c r="T2035" s="111">
        <f ca="1">IFERROR(__xludf.DUMMYFUNCTION("""COMPUTED_VALUE"""),23.39)</f>
        <v>23.39</v>
      </c>
    </row>
    <row r="2036" spans="1:20" x14ac:dyDescent="0.3">
      <c r="A2036" s="112">
        <f ca="1">IFERROR(__xludf.DUMMYFUNCTION("""COMPUTED_VALUE"""),43264.7055555555)</f>
        <v>43264.705555555498</v>
      </c>
      <c r="B2036" s="111">
        <f ca="1">IFERROR(__xludf.DUMMYFUNCTION("""COMPUTED_VALUE"""),14.1)</f>
        <v>14.1</v>
      </c>
      <c r="C2036" s="112">
        <f ca="1">IFERROR(__xludf.DUMMYFUNCTION("""COMPUTED_VALUE"""),43272.7055555555)</f>
        <v>43272.705555555498</v>
      </c>
      <c r="D2036" s="111">
        <f ca="1">IFERROR(__xludf.DUMMYFUNCTION("""COMPUTED_VALUE"""),26.03)</f>
        <v>26.03</v>
      </c>
      <c r="E2036" s="112">
        <f ca="1">IFERROR(__xludf.DUMMYFUNCTION("""COMPUTED_VALUE"""),43273.7055555555)</f>
        <v>43273.705555555498</v>
      </c>
      <c r="F2036" s="111">
        <f ca="1">IFERROR(__xludf.DUMMYFUNCTION("""COMPUTED_VALUE"""),8.55)</f>
        <v>8.5500000000000007</v>
      </c>
      <c r="G2036" s="112">
        <f ca="1">IFERROR(__xludf.DUMMYFUNCTION("""COMPUTED_VALUE"""),43270.7055555555)</f>
        <v>43270.705555555498</v>
      </c>
      <c r="H2036" s="111">
        <f ca="1">IFERROR(__xludf.DUMMYFUNCTION("""COMPUTED_VALUE"""),15.42)</f>
        <v>15.42</v>
      </c>
      <c r="K2036" s="112">
        <f ca="1">IFERROR(__xludf.DUMMYFUNCTION("""COMPUTED_VALUE"""),43721.7055555555)</f>
        <v>43721.705555555498</v>
      </c>
      <c r="L2036" s="111">
        <f ca="1">IFERROR(__xludf.DUMMYFUNCTION("""COMPUTED_VALUE"""),8.53)</f>
        <v>8.5299999999999994</v>
      </c>
      <c r="M2036" s="112">
        <f ca="1">IFERROR(__xludf.DUMMYFUNCTION("""COMPUTED_VALUE"""),43180.7055555555)</f>
        <v>43180.705555555498</v>
      </c>
      <c r="N2036" s="111">
        <f ca="1">IFERROR(__xludf.DUMMYFUNCTION("""COMPUTED_VALUE"""),23.79)</f>
        <v>23.79</v>
      </c>
      <c r="O2036" s="112">
        <f ca="1">IFERROR(__xludf.DUMMYFUNCTION("""COMPUTED_VALUE"""),43257.7055555555)</f>
        <v>43257.705555555498</v>
      </c>
      <c r="P2036" s="111">
        <f ca="1">IFERROR(__xludf.DUMMYFUNCTION("""COMPUTED_VALUE"""),56.07)</f>
        <v>56.07</v>
      </c>
      <c r="Q2036" s="112">
        <f ca="1">IFERROR(__xludf.DUMMYFUNCTION("""COMPUTED_VALUE"""),43256.7055555555)</f>
        <v>43256.705555555498</v>
      </c>
      <c r="R2036" s="111">
        <f ca="1">IFERROR(__xludf.DUMMYFUNCTION("""COMPUTED_VALUE"""),29.12)</f>
        <v>29.12</v>
      </c>
      <c r="S2036" s="112">
        <f ca="1">IFERROR(__xludf.DUMMYFUNCTION("""COMPUTED_VALUE"""),43266.7055555555)</f>
        <v>43266.705555555498</v>
      </c>
      <c r="T2036" s="111">
        <f ca="1">IFERROR(__xludf.DUMMYFUNCTION("""COMPUTED_VALUE"""),23.19)</f>
        <v>23.19</v>
      </c>
    </row>
    <row r="2037" spans="1:20" x14ac:dyDescent="0.3">
      <c r="A2037" s="112">
        <f ca="1">IFERROR(__xludf.DUMMYFUNCTION("""COMPUTED_VALUE"""),43265.7055555555)</f>
        <v>43265.705555555498</v>
      </c>
      <c r="B2037" s="111">
        <f ca="1">IFERROR(__xludf.DUMMYFUNCTION("""COMPUTED_VALUE"""),14.03)</f>
        <v>14.03</v>
      </c>
      <c r="C2037" s="112">
        <f ca="1">IFERROR(__xludf.DUMMYFUNCTION("""COMPUTED_VALUE"""),43273.7055555555)</f>
        <v>43273.705555555498</v>
      </c>
      <c r="D2037" s="111">
        <f ca="1">IFERROR(__xludf.DUMMYFUNCTION("""COMPUTED_VALUE"""),26.23)</f>
        <v>26.23</v>
      </c>
      <c r="E2037" s="112">
        <f ca="1">IFERROR(__xludf.DUMMYFUNCTION("""COMPUTED_VALUE"""),43276.7055555555)</f>
        <v>43276.705555555498</v>
      </c>
      <c r="F2037" s="111">
        <f ca="1">IFERROR(__xludf.DUMMYFUNCTION("""COMPUTED_VALUE"""),8.51)</f>
        <v>8.51</v>
      </c>
      <c r="G2037" s="112">
        <f ca="1">IFERROR(__xludf.DUMMYFUNCTION("""COMPUTED_VALUE"""),43271.7055555555)</f>
        <v>43271.705555555498</v>
      </c>
      <c r="H2037" s="111">
        <f ca="1">IFERROR(__xludf.DUMMYFUNCTION("""COMPUTED_VALUE"""),16.21)</f>
        <v>16.21</v>
      </c>
      <c r="K2037" s="112">
        <f ca="1">IFERROR(__xludf.DUMMYFUNCTION("""COMPUTED_VALUE"""),43724.7055555555)</f>
        <v>43724.705555555498</v>
      </c>
      <c r="L2037" s="111">
        <f ca="1">IFERROR(__xludf.DUMMYFUNCTION("""COMPUTED_VALUE"""),8.72)</f>
        <v>8.7200000000000006</v>
      </c>
      <c r="M2037" s="112">
        <f ca="1">IFERROR(__xludf.DUMMYFUNCTION("""COMPUTED_VALUE"""),43181.7055555555)</f>
        <v>43181.705555555498</v>
      </c>
      <c r="N2037" s="111">
        <f ca="1">IFERROR(__xludf.DUMMYFUNCTION("""COMPUTED_VALUE"""),23.93)</f>
        <v>23.93</v>
      </c>
      <c r="O2037" s="112">
        <f ca="1">IFERROR(__xludf.DUMMYFUNCTION("""COMPUTED_VALUE"""),43258.7055555555)</f>
        <v>43258.705555555498</v>
      </c>
      <c r="P2037" s="111">
        <f ca="1">IFERROR(__xludf.DUMMYFUNCTION("""COMPUTED_VALUE"""),54.37)</f>
        <v>54.37</v>
      </c>
      <c r="Q2037" s="112">
        <f ca="1">IFERROR(__xludf.DUMMYFUNCTION("""COMPUTED_VALUE"""),43257.7055555555)</f>
        <v>43257.705555555498</v>
      </c>
      <c r="R2037" s="111">
        <f ca="1">IFERROR(__xludf.DUMMYFUNCTION("""COMPUTED_VALUE"""),27.68)</f>
        <v>27.68</v>
      </c>
      <c r="S2037" s="112">
        <f ca="1">IFERROR(__xludf.DUMMYFUNCTION("""COMPUTED_VALUE"""),43269.7055555555)</f>
        <v>43269.705555555498</v>
      </c>
      <c r="T2037" s="111">
        <f ca="1">IFERROR(__xludf.DUMMYFUNCTION("""COMPUTED_VALUE"""),23.05)</f>
        <v>23.05</v>
      </c>
    </row>
    <row r="2038" spans="1:20" x14ac:dyDescent="0.3">
      <c r="A2038" s="112">
        <f ca="1">IFERROR(__xludf.DUMMYFUNCTION("""COMPUTED_VALUE"""),43266.7055555555)</f>
        <v>43266.705555555498</v>
      </c>
      <c r="B2038" s="111">
        <f ca="1">IFERROR(__xludf.DUMMYFUNCTION("""COMPUTED_VALUE"""),12.86)</f>
        <v>12.86</v>
      </c>
      <c r="C2038" s="112">
        <f ca="1">IFERROR(__xludf.DUMMYFUNCTION("""COMPUTED_VALUE"""),43276.7055555555)</f>
        <v>43276.705555555498</v>
      </c>
      <c r="D2038" s="111">
        <f ca="1">IFERROR(__xludf.DUMMYFUNCTION("""COMPUTED_VALUE"""),26.28)</f>
        <v>26.28</v>
      </c>
      <c r="E2038" s="112">
        <f ca="1">IFERROR(__xludf.DUMMYFUNCTION("""COMPUTED_VALUE"""),43277.7055555555)</f>
        <v>43277.705555555498</v>
      </c>
      <c r="F2038" s="111">
        <f ca="1">IFERROR(__xludf.DUMMYFUNCTION("""COMPUTED_VALUE"""),8.66)</f>
        <v>8.66</v>
      </c>
      <c r="G2038" s="112">
        <f ca="1">IFERROR(__xludf.DUMMYFUNCTION("""COMPUTED_VALUE"""),43272.7055555555)</f>
        <v>43272.705555555498</v>
      </c>
      <c r="H2038" s="111">
        <f ca="1">IFERROR(__xludf.DUMMYFUNCTION("""COMPUTED_VALUE"""),15.1)</f>
        <v>15.1</v>
      </c>
      <c r="K2038" s="112">
        <f ca="1">IFERROR(__xludf.DUMMYFUNCTION("""COMPUTED_VALUE"""),43725.7055555555)</f>
        <v>43725.705555555498</v>
      </c>
      <c r="L2038" s="111">
        <f ca="1">IFERROR(__xludf.DUMMYFUNCTION("""COMPUTED_VALUE"""),8.72)</f>
        <v>8.7200000000000006</v>
      </c>
      <c r="M2038" s="112">
        <f ca="1">IFERROR(__xludf.DUMMYFUNCTION("""COMPUTED_VALUE"""),43182.7055555555)</f>
        <v>43182.705555555498</v>
      </c>
      <c r="N2038" s="111">
        <f ca="1">IFERROR(__xludf.DUMMYFUNCTION("""COMPUTED_VALUE"""),24.09)</f>
        <v>24.09</v>
      </c>
      <c r="O2038" s="112">
        <f ca="1">IFERROR(__xludf.DUMMYFUNCTION("""COMPUTED_VALUE"""),43259.7055555555)</f>
        <v>43259.705555555498</v>
      </c>
      <c r="P2038" s="111">
        <f ca="1">IFERROR(__xludf.DUMMYFUNCTION("""COMPUTED_VALUE"""),50.89)</f>
        <v>50.89</v>
      </c>
      <c r="Q2038" s="112">
        <f ca="1">IFERROR(__xludf.DUMMYFUNCTION("""COMPUTED_VALUE"""),43258.7055555555)</f>
        <v>43258.705555555498</v>
      </c>
      <c r="R2038" s="111">
        <f ca="1">IFERROR(__xludf.DUMMYFUNCTION("""COMPUTED_VALUE"""),26.57)</f>
        <v>26.57</v>
      </c>
      <c r="S2038" s="112">
        <f ca="1">IFERROR(__xludf.DUMMYFUNCTION("""COMPUTED_VALUE"""),43270.7055555555)</f>
        <v>43270.705555555498</v>
      </c>
      <c r="T2038" s="111">
        <f ca="1">IFERROR(__xludf.DUMMYFUNCTION("""COMPUTED_VALUE"""),23.56)</f>
        <v>23.56</v>
      </c>
    </row>
    <row r="2039" spans="1:20" x14ac:dyDescent="0.3">
      <c r="A2039" s="112">
        <f ca="1">IFERROR(__xludf.DUMMYFUNCTION("""COMPUTED_VALUE"""),43269.7055555555)</f>
        <v>43269.705555555498</v>
      </c>
      <c r="B2039" s="111">
        <f ca="1">IFERROR(__xludf.DUMMYFUNCTION("""COMPUTED_VALUE"""),12.85)</f>
        <v>12.85</v>
      </c>
      <c r="C2039" s="112">
        <f ca="1">IFERROR(__xludf.DUMMYFUNCTION("""COMPUTED_VALUE"""),43277.7055555555)</f>
        <v>43277.705555555498</v>
      </c>
      <c r="D2039" s="111">
        <f ca="1">IFERROR(__xludf.DUMMYFUNCTION("""COMPUTED_VALUE"""),26.19)</f>
        <v>26.19</v>
      </c>
      <c r="E2039" s="112">
        <f ca="1">IFERROR(__xludf.DUMMYFUNCTION("""COMPUTED_VALUE"""),43278.7055555555)</f>
        <v>43278.705555555498</v>
      </c>
      <c r="F2039" s="111">
        <f ca="1">IFERROR(__xludf.DUMMYFUNCTION("""COMPUTED_VALUE"""),8.4)</f>
        <v>8.4</v>
      </c>
      <c r="G2039" s="112">
        <f ca="1">IFERROR(__xludf.DUMMYFUNCTION("""COMPUTED_VALUE"""),43273.7055555555)</f>
        <v>43273.705555555498</v>
      </c>
      <c r="H2039" s="111">
        <f ca="1">IFERROR(__xludf.DUMMYFUNCTION("""COMPUTED_VALUE"""),15.11)</f>
        <v>15.11</v>
      </c>
      <c r="K2039" s="112">
        <f ca="1">IFERROR(__xludf.DUMMYFUNCTION("""COMPUTED_VALUE"""),43726.7055555555)</f>
        <v>43726.705555555498</v>
      </c>
      <c r="L2039" s="111">
        <f ca="1">IFERROR(__xludf.DUMMYFUNCTION("""COMPUTED_VALUE"""),8.77)</f>
        <v>8.77</v>
      </c>
      <c r="M2039" s="112">
        <f ca="1">IFERROR(__xludf.DUMMYFUNCTION("""COMPUTED_VALUE"""),43185.7055555555)</f>
        <v>43185.705555555498</v>
      </c>
      <c r="N2039" s="111">
        <f ca="1">IFERROR(__xludf.DUMMYFUNCTION("""COMPUTED_VALUE"""),24.23)</f>
        <v>24.23</v>
      </c>
      <c r="O2039" s="112">
        <f ca="1">IFERROR(__xludf.DUMMYFUNCTION("""COMPUTED_VALUE"""),43262.7055555555)</f>
        <v>43262.705555555498</v>
      </c>
      <c r="P2039" s="111">
        <f ca="1">IFERROR(__xludf.DUMMYFUNCTION("""COMPUTED_VALUE"""),50.85)</f>
        <v>50.85</v>
      </c>
      <c r="Q2039" s="112">
        <f ca="1">IFERROR(__xludf.DUMMYFUNCTION("""COMPUTED_VALUE"""),43259.7055555555)</f>
        <v>43259.705555555498</v>
      </c>
      <c r="R2039" s="111">
        <f ca="1">IFERROR(__xludf.DUMMYFUNCTION("""COMPUTED_VALUE"""),26.95)</f>
        <v>26.95</v>
      </c>
      <c r="S2039" s="112">
        <f ca="1">IFERROR(__xludf.DUMMYFUNCTION("""COMPUTED_VALUE"""),43271.7055555555)</f>
        <v>43271.705555555498</v>
      </c>
      <c r="T2039" s="111">
        <f ca="1">IFERROR(__xludf.DUMMYFUNCTION("""COMPUTED_VALUE"""),24.21)</f>
        <v>24.21</v>
      </c>
    </row>
    <row r="2040" spans="1:20" x14ac:dyDescent="0.3">
      <c r="A2040" s="112">
        <f ca="1">IFERROR(__xludf.DUMMYFUNCTION("""COMPUTED_VALUE"""),43270.7055555555)</f>
        <v>43270.705555555498</v>
      </c>
      <c r="B2040" s="111">
        <f ca="1">IFERROR(__xludf.DUMMYFUNCTION("""COMPUTED_VALUE"""),13.25)</f>
        <v>13.25</v>
      </c>
      <c r="C2040" s="112">
        <f ca="1">IFERROR(__xludf.DUMMYFUNCTION("""COMPUTED_VALUE"""),43278.7055555555)</f>
        <v>43278.705555555498</v>
      </c>
      <c r="D2040" s="111">
        <f ca="1">IFERROR(__xludf.DUMMYFUNCTION("""COMPUTED_VALUE"""),25.72)</f>
        <v>25.72</v>
      </c>
      <c r="E2040" s="112">
        <f ca="1">IFERROR(__xludf.DUMMYFUNCTION("""COMPUTED_VALUE"""),43279.7055555555)</f>
        <v>43279.705555555498</v>
      </c>
      <c r="F2040" s="111">
        <f ca="1">IFERROR(__xludf.DUMMYFUNCTION("""COMPUTED_VALUE"""),8.61)</f>
        <v>8.61</v>
      </c>
      <c r="G2040" s="112">
        <f ca="1">IFERROR(__xludf.DUMMYFUNCTION("""COMPUTED_VALUE"""),43276.7055555555)</f>
        <v>43276.705555555498</v>
      </c>
      <c r="H2040" s="111">
        <f ca="1">IFERROR(__xludf.DUMMYFUNCTION("""COMPUTED_VALUE"""),15.7)</f>
        <v>15.7</v>
      </c>
      <c r="K2040" s="112">
        <f ca="1">IFERROR(__xludf.DUMMYFUNCTION("""COMPUTED_VALUE"""),43727.7055555555)</f>
        <v>43727.705555555498</v>
      </c>
      <c r="L2040" s="111">
        <f ca="1">IFERROR(__xludf.DUMMYFUNCTION("""COMPUTED_VALUE"""),8.96)</f>
        <v>8.9600000000000009</v>
      </c>
      <c r="M2040" s="112">
        <f ca="1">IFERROR(__xludf.DUMMYFUNCTION("""COMPUTED_VALUE"""),43186.7055555555)</f>
        <v>43186.705555555498</v>
      </c>
      <c r="N2040" s="111">
        <f ca="1">IFERROR(__xludf.DUMMYFUNCTION("""COMPUTED_VALUE"""),23.94)</f>
        <v>23.94</v>
      </c>
      <c r="O2040" s="112">
        <f ca="1">IFERROR(__xludf.DUMMYFUNCTION("""COMPUTED_VALUE"""),43263.7055555555)</f>
        <v>43263.705555555498</v>
      </c>
      <c r="P2040" s="111">
        <f ca="1">IFERROR(__xludf.DUMMYFUNCTION("""COMPUTED_VALUE"""),51.7)</f>
        <v>51.7</v>
      </c>
      <c r="Q2040" s="112">
        <f ca="1">IFERROR(__xludf.DUMMYFUNCTION("""COMPUTED_VALUE"""),43262.7055555555)</f>
        <v>43262.705555555498</v>
      </c>
      <c r="R2040" s="111">
        <f ca="1">IFERROR(__xludf.DUMMYFUNCTION("""COMPUTED_VALUE"""),26.06)</f>
        <v>26.06</v>
      </c>
      <c r="S2040" s="112">
        <f ca="1">IFERROR(__xludf.DUMMYFUNCTION("""COMPUTED_VALUE"""),43272.7055555555)</f>
        <v>43272.705555555498</v>
      </c>
      <c r="T2040" s="111">
        <f ca="1">IFERROR(__xludf.DUMMYFUNCTION("""COMPUTED_VALUE"""),23.61)</f>
        <v>23.61</v>
      </c>
    </row>
    <row r="2041" spans="1:20" x14ac:dyDescent="0.3">
      <c r="A2041" s="112">
        <f ca="1">IFERROR(__xludf.DUMMYFUNCTION("""COMPUTED_VALUE"""),43271.7055555555)</f>
        <v>43271.705555555498</v>
      </c>
      <c r="B2041" s="111">
        <f ca="1">IFERROR(__xludf.DUMMYFUNCTION("""COMPUTED_VALUE"""),13.35)</f>
        <v>13.35</v>
      </c>
      <c r="C2041" s="112">
        <f ca="1">IFERROR(__xludf.DUMMYFUNCTION("""COMPUTED_VALUE"""),43279.7055555555)</f>
        <v>43279.705555555498</v>
      </c>
      <c r="D2041" s="111">
        <f ca="1">IFERROR(__xludf.DUMMYFUNCTION("""COMPUTED_VALUE"""),26.43)</f>
        <v>26.43</v>
      </c>
      <c r="E2041" s="112">
        <f ca="1">IFERROR(__xludf.DUMMYFUNCTION("""COMPUTED_VALUE"""),43280.7055555555)</f>
        <v>43280.705555555498</v>
      </c>
      <c r="F2041" s="111">
        <f ca="1">IFERROR(__xludf.DUMMYFUNCTION("""COMPUTED_VALUE"""),8.74)</f>
        <v>8.74</v>
      </c>
      <c r="G2041" s="112">
        <f ca="1">IFERROR(__xludf.DUMMYFUNCTION("""COMPUTED_VALUE"""),43277.7055555555)</f>
        <v>43277.705555555498</v>
      </c>
      <c r="H2041" s="111">
        <f ca="1">IFERROR(__xludf.DUMMYFUNCTION("""COMPUTED_VALUE"""),16.04)</f>
        <v>16.04</v>
      </c>
      <c r="K2041" s="112">
        <f ca="1">IFERROR(__xludf.DUMMYFUNCTION("""COMPUTED_VALUE"""),43728.7055555555)</f>
        <v>43728.705555555498</v>
      </c>
      <c r="L2041" s="111">
        <f ca="1">IFERROR(__xludf.DUMMYFUNCTION("""COMPUTED_VALUE"""),9.14)</f>
        <v>9.14</v>
      </c>
      <c r="M2041" s="112">
        <f ca="1">IFERROR(__xludf.DUMMYFUNCTION("""COMPUTED_VALUE"""),43187.7055555555)</f>
        <v>43187.705555555498</v>
      </c>
      <c r="N2041" s="111">
        <f ca="1">IFERROR(__xludf.DUMMYFUNCTION("""COMPUTED_VALUE"""),24.09)</f>
        <v>24.09</v>
      </c>
      <c r="O2041" s="112">
        <f ca="1">IFERROR(__xludf.DUMMYFUNCTION("""COMPUTED_VALUE"""),43264.7055555555)</f>
        <v>43264.705555555498</v>
      </c>
      <c r="P2041" s="111">
        <f ca="1">IFERROR(__xludf.DUMMYFUNCTION("""COMPUTED_VALUE"""),51.55)</f>
        <v>51.55</v>
      </c>
      <c r="Q2041" s="112">
        <f ca="1">IFERROR(__xludf.DUMMYFUNCTION("""COMPUTED_VALUE"""),43263.7055555555)</f>
        <v>43263.705555555498</v>
      </c>
      <c r="R2041" s="111">
        <f ca="1">IFERROR(__xludf.DUMMYFUNCTION("""COMPUTED_VALUE"""),26.99)</f>
        <v>26.99</v>
      </c>
      <c r="S2041" s="112">
        <f ca="1">IFERROR(__xludf.DUMMYFUNCTION("""COMPUTED_VALUE"""),43273.7055555555)</f>
        <v>43273.705555555498</v>
      </c>
      <c r="T2041" s="111">
        <f ca="1">IFERROR(__xludf.DUMMYFUNCTION("""COMPUTED_VALUE"""),23.45)</f>
        <v>23.45</v>
      </c>
    </row>
    <row r="2042" spans="1:20" x14ac:dyDescent="0.3">
      <c r="A2042" s="112">
        <f ca="1">IFERROR(__xludf.DUMMYFUNCTION("""COMPUTED_VALUE"""),43272.7055555555)</f>
        <v>43272.705555555498</v>
      </c>
      <c r="B2042" s="111">
        <f ca="1">IFERROR(__xludf.DUMMYFUNCTION("""COMPUTED_VALUE"""),12.24)</f>
        <v>12.24</v>
      </c>
      <c r="C2042" s="112">
        <f ca="1">IFERROR(__xludf.DUMMYFUNCTION("""COMPUTED_VALUE"""),43280.7055555555)</f>
        <v>43280.705555555498</v>
      </c>
      <c r="D2042" s="111">
        <f ca="1">IFERROR(__xludf.DUMMYFUNCTION("""COMPUTED_VALUE"""),26.89)</f>
        <v>26.89</v>
      </c>
      <c r="E2042" s="112">
        <f ca="1">IFERROR(__xludf.DUMMYFUNCTION("""COMPUTED_VALUE"""),43283.7055555555)</f>
        <v>43283.705555555498</v>
      </c>
      <c r="F2042" s="111">
        <f ca="1">IFERROR(__xludf.DUMMYFUNCTION("""COMPUTED_VALUE"""),8.84)</f>
        <v>8.84</v>
      </c>
      <c r="G2042" s="112">
        <f ca="1">IFERROR(__xludf.DUMMYFUNCTION("""COMPUTED_VALUE"""),43278.7055555555)</f>
        <v>43278.705555555498</v>
      </c>
      <c r="H2042" s="111">
        <f ca="1">IFERROR(__xludf.DUMMYFUNCTION("""COMPUTED_VALUE"""),16.55)</f>
        <v>16.55</v>
      </c>
      <c r="K2042" s="112">
        <f ca="1">IFERROR(__xludf.DUMMYFUNCTION("""COMPUTED_VALUE"""),43731.7055555555)</f>
        <v>43731.705555555498</v>
      </c>
      <c r="L2042" s="111">
        <f ca="1">IFERROR(__xludf.DUMMYFUNCTION("""COMPUTED_VALUE"""),9)</f>
        <v>9</v>
      </c>
      <c r="M2042" s="112">
        <f ca="1">IFERROR(__xludf.DUMMYFUNCTION("""COMPUTED_VALUE"""),43188.7055555555)</f>
        <v>43188.705555555498</v>
      </c>
      <c r="N2042" s="111">
        <f ca="1">IFERROR(__xludf.DUMMYFUNCTION("""COMPUTED_VALUE"""),24.73)</f>
        <v>24.73</v>
      </c>
      <c r="O2042" s="112">
        <f ca="1">IFERROR(__xludf.DUMMYFUNCTION("""COMPUTED_VALUE"""),43265.7055555555)</f>
        <v>43265.705555555498</v>
      </c>
      <c r="P2042" s="111">
        <f ca="1">IFERROR(__xludf.DUMMYFUNCTION("""COMPUTED_VALUE"""),51.71)</f>
        <v>51.71</v>
      </c>
      <c r="Q2042" s="112">
        <f ca="1">IFERROR(__xludf.DUMMYFUNCTION("""COMPUTED_VALUE"""),43264.7055555555)</f>
        <v>43264.705555555498</v>
      </c>
      <c r="R2042" s="111">
        <f ca="1">IFERROR(__xludf.DUMMYFUNCTION("""COMPUTED_VALUE"""),26.5)</f>
        <v>26.5</v>
      </c>
      <c r="S2042" s="112">
        <f ca="1">IFERROR(__xludf.DUMMYFUNCTION("""COMPUTED_VALUE"""),43276.7055555555)</f>
        <v>43276.705555555498</v>
      </c>
      <c r="T2042" s="111">
        <f ca="1">IFERROR(__xludf.DUMMYFUNCTION("""COMPUTED_VALUE"""),23.55)</f>
        <v>23.55</v>
      </c>
    </row>
    <row r="2043" spans="1:20" x14ac:dyDescent="0.3">
      <c r="A2043" s="112">
        <f ca="1">IFERROR(__xludf.DUMMYFUNCTION("""COMPUTED_VALUE"""),43273.7055555555)</f>
        <v>43273.705555555498</v>
      </c>
      <c r="B2043" s="111">
        <f ca="1">IFERROR(__xludf.DUMMYFUNCTION("""COMPUTED_VALUE"""),12.73)</f>
        <v>12.73</v>
      </c>
      <c r="C2043" s="112">
        <f ca="1">IFERROR(__xludf.DUMMYFUNCTION("""COMPUTED_VALUE"""),43283.7055555555)</f>
        <v>43283.705555555498</v>
      </c>
      <c r="D2043" s="111">
        <f ca="1">IFERROR(__xludf.DUMMYFUNCTION("""COMPUTED_VALUE"""),26.9)</f>
        <v>26.9</v>
      </c>
      <c r="E2043" s="112">
        <f ca="1">IFERROR(__xludf.DUMMYFUNCTION("""COMPUTED_VALUE"""),43284.7055555555)</f>
        <v>43284.705555555498</v>
      </c>
      <c r="F2043" s="111">
        <f ca="1">IFERROR(__xludf.DUMMYFUNCTION("""COMPUTED_VALUE"""),9.13)</f>
        <v>9.1300000000000008</v>
      </c>
      <c r="G2043" s="112">
        <f ca="1">IFERROR(__xludf.DUMMYFUNCTION("""COMPUTED_VALUE"""),43279.7055555555)</f>
        <v>43279.705555555498</v>
      </c>
      <c r="H2043" s="111">
        <f ca="1">IFERROR(__xludf.DUMMYFUNCTION("""COMPUTED_VALUE"""),16.6)</f>
        <v>16.600000000000001</v>
      </c>
      <c r="K2043" s="112">
        <f ca="1">IFERROR(__xludf.DUMMYFUNCTION("""COMPUTED_VALUE"""),43732.7055555555)</f>
        <v>43732.705555555498</v>
      </c>
      <c r="L2043" s="111">
        <f ca="1">IFERROR(__xludf.DUMMYFUNCTION("""COMPUTED_VALUE"""),9.2)</f>
        <v>9.1999999999999993</v>
      </c>
      <c r="M2043" s="112">
        <f ca="1">IFERROR(__xludf.DUMMYFUNCTION("""COMPUTED_VALUE"""),43192.7055555555)</f>
        <v>43192.705555555498</v>
      </c>
      <c r="N2043" s="111">
        <f ca="1">IFERROR(__xludf.DUMMYFUNCTION("""COMPUTED_VALUE"""),24.5)</f>
        <v>24.5</v>
      </c>
      <c r="O2043" s="112">
        <f ca="1">IFERROR(__xludf.DUMMYFUNCTION("""COMPUTED_VALUE"""),43266.7055555555)</f>
        <v>43266.705555555498</v>
      </c>
      <c r="P2043" s="111">
        <f ca="1">IFERROR(__xludf.DUMMYFUNCTION("""COMPUTED_VALUE"""),49.13)</f>
        <v>49.13</v>
      </c>
      <c r="Q2043" s="112">
        <f ca="1">IFERROR(__xludf.DUMMYFUNCTION("""COMPUTED_VALUE"""),43265.7055555555)</f>
        <v>43265.705555555498</v>
      </c>
      <c r="R2043" s="111">
        <f ca="1">IFERROR(__xludf.DUMMYFUNCTION("""COMPUTED_VALUE"""),25.3)</f>
        <v>25.3</v>
      </c>
      <c r="S2043" s="112">
        <f ca="1">IFERROR(__xludf.DUMMYFUNCTION("""COMPUTED_VALUE"""),43277.7055555555)</f>
        <v>43277.705555555498</v>
      </c>
      <c r="T2043" s="111">
        <f ca="1">IFERROR(__xludf.DUMMYFUNCTION("""COMPUTED_VALUE"""),24.13)</f>
        <v>24.13</v>
      </c>
    </row>
    <row r="2044" spans="1:20" x14ac:dyDescent="0.3">
      <c r="A2044" s="112">
        <f ca="1">IFERROR(__xludf.DUMMYFUNCTION("""COMPUTED_VALUE"""),43276.7055555555)</f>
        <v>43276.705555555498</v>
      </c>
      <c r="B2044" s="111">
        <f ca="1">IFERROR(__xludf.DUMMYFUNCTION("""COMPUTED_VALUE"""),12.7)</f>
        <v>12.7</v>
      </c>
      <c r="C2044" s="112">
        <f ca="1">IFERROR(__xludf.DUMMYFUNCTION("""COMPUTED_VALUE"""),43284.7055555555)</f>
        <v>43284.705555555498</v>
      </c>
      <c r="D2044" s="111">
        <f ca="1">IFERROR(__xludf.DUMMYFUNCTION("""COMPUTED_VALUE"""),27.53)</f>
        <v>27.53</v>
      </c>
      <c r="E2044" s="112">
        <f ca="1">IFERROR(__xludf.DUMMYFUNCTION("""COMPUTED_VALUE"""),43285.7055555555)</f>
        <v>43285.705555555498</v>
      </c>
      <c r="F2044" s="111">
        <f ca="1">IFERROR(__xludf.DUMMYFUNCTION("""COMPUTED_VALUE"""),9.22)</f>
        <v>9.2200000000000006</v>
      </c>
      <c r="G2044" s="112">
        <f ca="1">IFERROR(__xludf.DUMMYFUNCTION("""COMPUTED_VALUE"""),43280.7055555555)</f>
        <v>43280.705555555498</v>
      </c>
      <c r="H2044" s="111">
        <f ca="1">IFERROR(__xludf.DUMMYFUNCTION("""COMPUTED_VALUE"""),17.19)</f>
        <v>17.190000000000001</v>
      </c>
      <c r="K2044" s="112">
        <f ca="1">IFERROR(__xludf.DUMMYFUNCTION("""COMPUTED_VALUE"""),43733.7055555555)</f>
        <v>43733.705555555498</v>
      </c>
      <c r="L2044" s="111">
        <f ca="1">IFERROR(__xludf.DUMMYFUNCTION("""COMPUTED_VALUE"""),9.18)</f>
        <v>9.18</v>
      </c>
      <c r="M2044" s="112">
        <f ca="1">IFERROR(__xludf.DUMMYFUNCTION("""COMPUTED_VALUE"""),43193.7055555555)</f>
        <v>43193.705555555498</v>
      </c>
      <c r="N2044" s="111">
        <f ca="1">IFERROR(__xludf.DUMMYFUNCTION("""COMPUTED_VALUE"""),24.77)</f>
        <v>24.77</v>
      </c>
      <c r="O2044" s="112">
        <f ca="1">IFERROR(__xludf.DUMMYFUNCTION("""COMPUTED_VALUE"""),43269.7055555555)</f>
        <v>43269.705555555498</v>
      </c>
      <c r="P2044" s="111">
        <f ca="1">IFERROR(__xludf.DUMMYFUNCTION("""COMPUTED_VALUE"""),49.21)</f>
        <v>49.21</v>
      </c>
      <c r="Q2044" s="112">
        <f ca="1">IFERROR(__xludf.DUMMYFUNCTION("""COMPUTED_VALUE"""),43266.7055555555)</f>
        <v>43266.705555555498</v>
      </c>
      <c r="R2044" s="111">
        <f ca="1">IFERROR(__xludf.DUMMYFUNCTION("""COMPUTED_VALUE"""),25)</f>
        <v>25</v>
      </c>
      <c r="S2044" s="112">
        <f ca="1">IFERROR(__xludf.DUMMYFUNCTION("""COMPUTED_VALUE"""),43278.7055555555)</f>
        <v>43278.705555555498</v>
      </c>
      <c r="T2044" s="111">
        <f ca="1">IFERROR(__xludf.DUMMYFUNCTION("""COMPUTED_VALUE"""),22.91)</f>
        <v>22.91</v>
      </c>
    </row>
    <row r="2045" spans="1:20" x14ac:dyDescent="0.3">
      <c r="A2045" s="112">
        <f ca="1">IFERROR(__xludf.DUMMYFUNCTION("""COMPUTED_VALUE"""),43277.7055555555)</f>
        <v>43277.705555555498</v>
      </c>
      <c r="B2045" s="111">
        <f ca="1">IFERROR(__xludf.DUMMYFUNCTION("""COMPUTED_VALUE"""),12.36)</f>
        <v>12.36</v>
      </c>
      <c r="C2045" s="112">
        <f ca="1">IFERROR(__xludf.DUMMYFUNCTION("""COMPUTED_VALUE"""),43285.7055555555)</f>
        <v>43285.705555555498</v>
      </c>
      <c r="D2045" s="111">
        <f ca="1">IFERROR(__xludf.DUMMYFUNCTION("""COMPUTED_VALUE"""),27.98)</f>
        <v>27.98</v>
      </c>
      <c r="E2045" s="112">
        <f ca="1">IFERROR(__xludf.DUMMYFUNCTION("""COMPUTED_VALUE"""),43286.7055555555)</f>
        <v>43286.705555555498</v>
      </c>
      <c r="F2045" s="111">
        <f ca="1">IFERROR(__xludf.DUMMYFUNCTION("""COMPUTED_VALUE"""),9.24)</f>
        <v>9.24</v>
      </c>
      <c r="G2045" s="112">
        <f ca="1">IFERROR(__xludf.DUMMYFUNCTION("""COMPUTED_VALUE"""),43283.7055555555)</f>
        <v>43283.705555555498</v>
      </c>
      <c r="H2045" s="111">
        <f ca="1">IFERROR(__xludf.DUMMYFUNCTION("""COMPUTED_VALUE"""),17.47)</f>
        <v>17.47</v>
      </c>
      <c r="K2045" s="112">
        <f ca="1">IFERROR(__xludf.DUMMYFUNCTION("""COMPUTED_VALUE"""),43734.7055555555)</f>
        <v>43734.705555555498</v>
      </c>
      <c r="L2045" s="111">
        <f ca="1">IFERROR(__xludf.DUMMYFUNCTION("""COMPUTED_VALUE"""),9.15)</f>
        <v>9.15</v>
      </c>
      <c r="M2045" s="112">
        <f ca="1">IFERROR(__xludf.DUMMYFUNCTION("""COMPUTED_VALUE"""),43194.7055555555)</f>
        <v>43194.705555555498</v>
      </c>
      <c r="N2045" s="111">
        <f ca="1">IFERROR(__xludf.DUMMYFUNCTION("""COMPUTED_VALUE"""),24.55)</f>
        <v>24.55</v>
      </c>
      <c r="O2045" s="112">
        <f ca="1">IFERROR(__xludf.DUMMYFUNCTION("""COMPUTED_VALUE"""),43270.7055555555)</f>
        <v>43270.705555555498</v>
      </c>
      <c r="P2045" s="111">
        <f ca="1">IFERROR(__xludf.DUMMYFUNCTION("""COMPUTED_VALUE"""),48.3)</f>
        <v>48.3</v>
      </c>
      <c r="Q2045" s="112">
        <f ca="1">IFERROR(__xludf.DUMMYFUNCTION("""COMPUTED_VALUE"""),43269.7055555555)</f>
        <v>43269.705555555498</v>
      </c>
      <c r="R2045" s="111">
        <f ca="1">IFERROR(__xludf.DUMMYFUNCTION("""COMPUTED_VALUE"""),24.52)</f>
        <v>24.52</v>
      </c>
      <c r="S2045" s="112">
        <f ca="1">IFERROR(__xludf.DUMMYFUNCTION("""COMPUTED_VALUE"""),43279.7055555555)</f>
        <v>43279.705555555498</v>
      </c>
      <c r="T2045" s="111">
        <f ca="1">IFERROR(__xludf.DUMMYFUNCTION("""COMPUTED_VALUE"""),23.55)</f>
        <v>23.55</v>
      </c>
    </row>
    <row r="2046" spans="1:20" x14ac:dyDescent="0.3">
      <c r="A2046" s="112">
        <f ca="1">IFERROR(__xludf.DUMMYFUNCTION("""COMPUTED_VALUE"""),43278.7055555555)</f>
        <v>43278.705555555498</v>
      </c>
      <c r="B2046" s="111">
        <f ca="1">IFERROR(__xludf.DUMMYFUNCTION("""COMPUTED_VALUE"""),11.86)</f>
        <v>11.86</v>
      </c>
      <c r="C2046" s="112">
        <f ca="1">IFERROR(__xludf.DUMMYFUNCTION("""COMPUTED_VALUE"""),43286.7055555555)</f>
        <v>43286.705555555498</v>
      </c>
      <c r="D2046" s="111">
        <f ca="1">IFERROR(__xludf.DUMMYFUNCTION("""COMPUTED_VALUE"""),27.8)</f>
        <v>27.8</v>
      </c>
      <c r="E2046" s="112">
        <f ca="1">IFERROR(__xludf.DUMMYFUNCTION("""COMPUTED_VALUE"""),43287.7055555555)</f>
        <v>43287.705555555498</v>
      </c>
      <c r="F2046" s="111">
        <f ca="1">IFERROR(__xludf.DUMMYFUNCTION("""COMPUTED_VALUE"""),9.26)</f>
        <v>9.26</v>
      </c>
      <c r="G2046" s="112">
        <f ca="1">IFERROR(__xludf.DUMMYFUNCTION("""COMPUTED_VALUE"""),43284.7055555555)</f>
        <v>43284.705555555498</v>
      </c>
      <c r="H2046" s="111">
        <f ca="1">IFERROR(__xludf.DUMMYFUNCTION("""COMPUTED_VALUE"""),17.5)</f>
        <v>17.5</v>
      </c>
      <c r="K2046" s="112">
        <f ca="1">IFERROR(__xludf.DUMMYFUNCTION("""COMPUTED_VALUE"""),43735.7055555555)</f>
        <v>43735.705555555498</v>
      </c>
      <c r="L2046" s="111">
        <f ca="1">IFERROR(__xludf.DUMMYFUNCTION("""COMPUTED_VALUE"""),9.2)</f>
        <v>9.1999999999999993</v>
      </c>
      <c r="M2046" s="112">
        <f ca="1">IFERROR(__xludf.DUMMYFUNCTION("""COMPUTED_VALUE"""),43195.7055555555)</f>
        <v>43195.705555555498</v>
      </c>
      <c r="N2046" s="111">
        <f ca="1">IFERROR(__xludf.DUMMYFUNCTION("""COMPUTED_VALUE"""),24.63)</f>
        <v>24.63</v>
      </c>
      <c r="O2046" s="112">
        <f ca="1">IFERROR(__xludf.DUMMYFUNCTION("""COMPUTED_VALUE"""),43271.7055555555)</f>
        <v>43271.705555555498</v>
      </c>
      <c r="P2046" s="111">
        <f ca="1">IFERROR(__xludf.DUMMYFUNCTION("""COMPUTED_VALUE"""),48.81)</f>
        <v>48.81</v>
      </c>
      <c r="Q2046" s="112">
        <f ca="1">IFERROR(__xludf.DUMMYFUNCTION("""COMPUTED_VALUE"""),43270.7055555555)</f>
        <v>43270.705555555498</v>
      </c>
      <c r="R2046" s="111">
        <f ca="1">IFERROR(__xludf.DUMMYFUNCTION("""COMPUTED_VALUE"""),26.24)</f>
        <v>26.24</v>
      </c>
      <c r="S2046" s="112">
        <f ca="1">IFERROR(__xludf.DUMMYFUNCTION("""COMPUTED_VALUE"""),43280.7055555555)</f>
        <v>43280.705555555498</v>
      </c>
      <c r="T2046" s="111">
        <f ca="1">IFERROR(__xludf.DUMMYFUNCTION("""COMPUTED_VALUE"""),24.27)</f>
        <v>24.27</v>
      </c>
    </row>
    <row r="2047" spans="1:20" x14ac:dyDescent="0.3">
      <c r="A2047" s="112">
        <f ca="1">IFERROR(__xludf.DUMMYFUNCTION("""COMPUTED_VALUE"""),43279.7055555555)</f>
        <v>43279.705555555498</v>
      </c>
      <c r="B2047" s="111">
        <f ca="1">IFERROR(__xludf.DUMMYFUNCTION("""COMPUTED_VALUE"""),12.19)</f>
        <v>12.19</v>
      </c>
      <c r="C2047" s="112">
        <f ca="1">IFERROR(__xludf.DUMMYFUNCTION("""COMPUTED_VALUE"""),43287.7055555555)</f>
        <v>43287.705555555498</v>
      </c>
      <c r="D2047" s="111">
        <f ca="1">IFERROR(__xludf.DUMMYFUNCTION("""COMPUTED_VALUE"""),28.05)</f>
        <v>28.05</v>
      </c>
      <c r="E2047" s="112">
        <f ca="1">IFERROR(__xludf.DUMMYFUNCTION("""COMPUTED_VALUE"""),43291.7055555555)</f>
        <v>43291.705555555498</v>
      </c>
      <c r="F2047" s="111">
        <f ca="1">IFERROR(__xludf.DUMMYFUNCTION("""COMPUTED_VALUE"""),9.28)</f>
        <v>9.2799999999999994</v>
      </c>
      <c r="G2047" s="112">
        <f ca="1">IFERROR(__xludf.DUMMYFUNCTION("""COMPUTED_VALUE"""),43285.7055555555)</f>
        <v>43285.705555555498</v>
      </c>
      <c r="H2047" s="111">
        <f ca="1">IFERROR(__xludf.DUMMYFUNCTION("""COMPUTED_VALUE"""),17.61)</f>
        <v>17.61</v>
      </c>
      <c r="K2047" s="112">
        <f ca="1">IFERROR(__xludf.DUMMYFUNCTION("""COMPUTED_VALUE"""),43738.7055555555)</f>
        <v>43738.705555555498</v>
      </c>
      <c r="L2047" s="111">
        <f ca="1">IFERROR(__xludf.DUMMYFUNCTION("""COMPUTED_VALUE"""),9.26)</f>
        <v>9.26</v>
      </c>
      <c r="M2047" s="112">
        <f ca="1">IFERROR(__xludf.DUMMYFUNCTION("""COMPUTED_VALUE"""),43196.7055555555)</f>
        <v>43196.705555555498</v>
      </c>
      <c r="N2047" s="111">
        <f ca="1">IFERROR(__xludf.DUMMYFUNCTION("""COMPUTED_VALUE"""),24.55)</f>
        <v>24.55</v>
      </c>
      <c r="O2047" s="112">
        <f ca="1">IFERROR(__xludf.DUMMYFUNCTION("""COMPUTED_VALUE"""),43272.7055555555)</f>
        <v>43272.705555555498</v>
      </c>
      <c r="P2047" s="111">
        <f ca="1">IFERROR(__xludf.DUMMYFUNCTION("""COMPUTED_VALUE"""),47.21)</f>
        <v>47.21</v>
      </c>
      <c r="Q2047" s="112">
        <f ca="1">IFERROR(__xludf.DUMMYFUNCTION("""COMPUTED_VALUE"""),43271.7055555555)</f>
        <v>43271.705555555498</v>
      </c>
      <c r="R2047" s="111">
        <f ca="1">IFERROR(__xludf.DUMMYFUNCTION("""COMPUTED_VALUE"""),27)</f>
        <v>27</v>
      </c>
      <c r="S2047" s="112">
        <f ca="1">IFERROR(__xludf.DUMMYFUNCTION("""COMPUTED_VALUE"""),43283.7055555555)</f>
        <v>43283.705555555498</v>
      </c>
      <c r="T2047" s="111">
        <f ca="1">IFERROR(__xludf.DUMMYFUNCTION("""COMPUTED_VALUE"""),23.97)</f>
        <v>23.97</v>
      </c>
    </row>
    <row r="2048" spans="1:20" x14ac:dyDescent="0.3">
      <c r="A2048" s="112">
        <f ca="1">IFERROR(__xludf.DUMMYFUNCTION("""COMPUTED_VALUE"""),43280.7055555555)</f>
        <v>43280.705555555498</v>
      </c>
      <c r="B2048" s="111">
        <f ca="1">IFERROR(__xludf.DUMMYFUNCTION("""COMPUTED_VALUE"""),12.06)</f>
        <v>12.06</v>
      </c>
      <c r="C2048" s="112">
        <f ca="1">IFERROR(__xludf.DUMMYFUNCTION("""COMPUTED_VALUE"""),43291.7055555555)</f>
        <v>43291.705555555498</v>
      </c>
      <c r="D2048" s="111">
        <f ca="1">IFERROR(__xludf.DUMMYFUNCTION("""COMPUTED_VALUE"""),28.13)</f>
        <v>28.13</v>
      </c>
      <c r="E2048" s="112">
        <f ca="1">IFERROR(__xludf.DUMMYFUNCTION("""COMPUTED_VALUE"""),43292.7055555555)</f>
        <v>43292.705555555498</v>
      </c>
      <c r="F2048" s="111">
        <f ca="1">IFERROR(__xludf.DUMMYFUNCTION("""COMPUTED_VALUE"""),9.3)</f>
        <v>9.3000000000000007</v>
      </c>
      <c r="G2048" s="112">
        <f ca="1">IFERROR(__xludf.DUMMYFUNCTION("""COMPUTED_VALUE"""),43286.7055555555)</f>
        <v>43286.705555555498</v>
      </c>
      <c r="H2048" s="111">
        <f ca="1">IFERROR(__xludf.DUMMYFUNCTION("""COMPUTED_VALUE"""),17.86)</f>
        <v>17.86</v>
      </c>
      <c r="K2048" s="112">
        <f ca="1">IFERROR(__xludf.DUMMYFUNCTION("""COMPUTED_VALUE"""),43739.7055555555)</f>
        <v>43739.705555555498</v>
      </c>
      <c r="L2048" s="111">
        <f ca="1">IFERROR(__xludf.DUMMYFUNCTION("""COMPUTED_VALUE"""),9.37)</f>
        <v>9.3699999999999992</v>
      </c>
      <c r="M2048" s="112">
        <f ca="1">IFERROR(__xludf.DUMMYFUNCTION("""COMPUTED_VALUE"""),43199.7055555555)</f>
        <v>43199.705555555498</v>
      </c>
      <c r="N2048" s="111">
        <f ca="1">IFERROR(__xludf.DUMMYFUNCTION("""COMPUTED_VALUE"""),23.62)</f>
        <v>23.62</v>
      </c>
      <c r="O2048" s="112">
        <f ca="1">IFERROR(__xludf.DUMMYFUNCTION("""COMPUTED_VALUE"""),43273.7055555555)</f>
        <v>43273.705555555498</v>
      </c>
      <c r="P2048" s="111">
        <f ca="1">IFERROR(__xludf.DUMMYFUNCTION("""COMPUTED_VALUE"""),48.01)</f>
        <v>48.01</v>
      </c>
      <c r="Q2048" s="112">
        <f ca="1">IFERROR(__xludf.DUMMYFUNCTION("""COMPUTED_VALUE"""),43272.7055555555)</f>
        <v>43272.705555555498</v>
      </c>
      <c r="R2048" s="111">
        <f ca="1">IFERROR(__xludf.DUMMYFUNCTION("""COMPUTED_VALUE"""),26.01)</f>
        <v>26.01</v>
      </c>
      <c r="S2048" s="112">
        <f ca="1">IFERROR(__xludf.DUMMYFUNCTION("""COMPUTED_VALUE"""),43284.7055555555)</f>
        <v>43284.705555555498</v>
      </c>
      <c r="T2048" s="111">
        <f ca="1">IFERROR(__xludf.DUMMYFUNCTION("""COMPUTED_VALUE"""),24.79)</f>
        <v>24.79</v>
      </c>
    </row>
    <row r="2049" spans="1:20" x14ac:dyDescent="0.3">
      <c r="A2049" s="112">
        <f ca="1">IFERROR(__xludf.DUMMYFUNCTION("""COMPUTED_VALUE"""),43283.7055555555)</f>
        <v>43283.705555555498</v>
      </c>
      <c r="B2049" s="111">
        <f ca="1">IFERROR(__xludf.DUMMYFUNCTION("""COMPUTED_VALUE"""),12.92)</f>
        <v>12.92</v>
      </c>
      <c r="C2049" s="112">
        <f ca="1">IFERROR(__xludf.DUMMYFUNCTION("""COMPUTED_VALUE"""),43292.7055555555)</f>
        <v>43292.705555555498</v>
      </c>
      <c r="D2049" s="111">
        <f ca="1">IFERROR(__xludf.DUMMYFUNCTION("""COMPUTED_VALUE"""),28.24)</f>
        <v>28.24</v>
      </c>
      <c r="E2049" s="112">
        <f ca="1">IFERROR(__xludf.DUMMYFUNCTION("""COMPUTED_VALUE"""),43293.7055555555)</f>
        <v>43293.705555555498</v>
      </c>
      <c r="F2049" s="111">
        <f ca="1">IFERROR(__xludf.DUMMYFUNCTION("""COMPUTED_VALUE"""),9.44)</f>
        <v>9.44</v>
      </c>
      <c r="G2049" s="112">
        <f ca="1">IFERROR(__xludf.DUMMYFUNCTION("""COMPUTED_VALUE"""),43287.7055555555)</f>
        <v>43287.705555555498</v>
      </c>
      <c r="H2049" s="111">
        <f ca="1">IFERROR(__xludf.DUMMYFUNCTION("""COMPUTED_VALUE"""),17.94)</f>
        <v>17.940000000000001</v>
      </c>
      <c r="K2049" s="112">
        <f ca="1">IFERROR(__xludf.DUMMYFUNCTION("""COMPUTED_VALUE"""),43740.7055555555)</f>
        <v>43740.705555555498</v>
      </c>
      <c r="L2049" s="111">
        <f ca="1">IFERROR(__xludf.DUMMYFUNCTION("""COMPUTED_VALUE"""),9.13)</f>
        <v>9.1300000000000008</v>
      </c>
      <c r="M2049" s="112">
        <f ca="1">IFERROR(__xludf.DUMMYFUNCTION("""COMPUTED_VALUE"""),43200.7055555555)</f>
        <v>43200.705555555498</v>
      </c>
      <c r="N2049" s="111">
        <f ca="1">IFERROR(__xludf.DUMMYFUNCTION("""COMPUTED_VALUE"""),23.82)</f>
        <v>23.82</v>
      </c>
      <c r="O2049" s="112">
        <f ca="1">IFERROR(__xludf.DUMMYFUNCTION("""COMPUTED_VALUE"""),43276.7055555555)</f>
        <v>43276.705555555498</v>
      </c>
      <c r="P2049" s="111">
        <f ca="1">IFERROR(__xludf.DUMMYFUNCTION("""COMPUTED_VALUE"""),47.16)</f>
        <v>47.16</v>
      </c>
      <c r="Q2049" s="112">
        <f ca="1">IFERROR(__xludf.DUMMYFUNCTION("""COMPUTED_VALUE"""),43273.7055555555)</f>
        <v>43273.705555555498</v>
      </c>
      <c r="R2049" s="111">
        <f ca="1">IFERROR(__xludf.DUMMYFUNCTION("""COMPUTED_VALUE"""),26.1)</f>
        <v>26.1</v>
      </c>
      <c r="S2049" s="112">
        <f ca="1">IFERROR(__xludf.DUMMYFUNCTION("""COMPUTED_VALUE"""),43285.7055555555)</f>
        <v>43285.705555555498</v>
      </c>
      <c r="T2049" s="111">
        <f ca="1">IFERROR(__xludf.DUMMYFUNCTION("""COMPUTED_VALUE"""),24.67)</f>
        <v>24.67</v>
      </c>
    </row>
    <row r="2050" spans="1:20" x14ac:dyDescent="0.3">
      <c r="A2050" s="112">
        <f ca="1">IFERROR(__xludf.DUMMYFUNCTION("""COMPUTED_VALUE"""),43284.7055555555)</f>
        <v>43284.705555555498</v>
      </c>
      <c r="B2050" s="111">
        <f ca="1">IFERROR(__xludf.DUMMYFUNCTION("""COMPUTED_VALUE"""),13.25)</f>
        <v>13.25</v>
      </c>
      <c r="C2050" s="112">
        <f ca="1">IFERROR(__xludf.DUMMYFUNCTION("""COMPUTED_VALUE"""),43293.7055555555)</f>
        <v>43293.705555555498</v>
      </c>
      <c r="D2050" s="111">
        <f ca="1">IFERROR(__xludf.DUMMYFUNCTION("""COMPUTED_VALUE"""),28.77)</f>
        <v>28.77</v>
      </c>
      <c r="E2050" s="112">
        <f ca="1">IFERROR(__xludf.DUMMYFUNCTION("""COMPUTED_VALUE"""),43294.7055555555)</f>
        <v>43294.705555555498</v>
      </c>
      <c r="F2050" s="111">
        <f ca="1">IFERROR(__xludf.DUMMYFUNCTION("""COMPUTED_VALUE"""),9.65)</f>
        <v>9.65</v>
      </c>
      <c r="G2050" s="112">
        <f ca="1">IFERROR(__xludf.DUMMYFUNCTION("""COMPUTED_VALUE"""),43291.7055555555)</f>
        <v>43291.705555555498</v>
      </c>
      <c r="H2050" s="111">
        <f ca="1">IFERROR(__xludf.DUMMYFUNCTION("""COMPUTED_VALUE"""),17.75)</f>
        <v>17.75</v>
      </c>
      <c r="K2050" s="112">
        <f ca="1">IFERROR(__xludf.DUMMYFUNCTION("""COMPUTED_VALUE"""),43741.7055555555)</f>
        <v>43741.705555555498</v>
      </c>
      <c r="L2050" s="111">
        <f ca="1">IFERROR(__xludf.DUMMYFUNCTION("""COMPUTED_VALUE"""),9.33)</f>
        <v>9.33</v>
      </c>
      <c r="M2050" s="112">
        <f ca="1">IFERROR(__xludf.DUMMYFUNCTION("""COMPUTED_VALUE"""),43201.7055555555)</f>
        <v>43201.705555555498</v>
      </c>
      <c r="N2050" s="111">
        <f ca="1">IFERROR(__xludf.DUMMYFUNCTION("""COMPUTED_VALUE"""),24.38)</f>
        <v>24.38</v>
      </c>
      <c r="O2050" s="112">
        <f ca="1">IFERROR(__xludf.DUMMYFUNCTION("""COMPUTED_VALUE"""),43277.7055555555)</f>
        <v>43277.705555555498</v>
      </c>
      <c r="P2050" s="111">
        <f ca="1">IFERROR(__xludf.DUMMYFUNCTION("""COMPUTED_VALUE"""),48.34)</f>
        <v>48.34</v>
      </c>
      <c r="Q2050" s="112">
        <f ca="1">IFERROR(__xludf.DUMMYFUNCTION("""COMPUTED_VALUE"""),43276.7055555555)</f>
        <v>43276.705555555498</v>
      </c>
      <c r="R2050" s="111">
        <f ca="1">IFERROR(__xludf.DUMMYFUNCTION("""COMPUTED_VALUE"""),26.86)</f>
        <v>26.86</v>
      </c>
      <c r="S2050" s="112">
        <f ca="1">IFERROR(__xludf.DUMMYFUNCTION("""COMPUTED_VALUE"""),43286.7055555555)</f>
        <v>43286.705555555498</v>
      </c>
      <c r="T2050" s="111">
        <f ca="1">IFERROR(__xludf.DUMMYFUNCTION("""COMPUTED_VALUE"""),24.71)</f>
        <v>24.71</v>
      </c>
    </row>
    <row r="2051" spans="1:20" x14ac:dyDescent="0.3">
      <c r="A2051" s="112">
        <f ca="1">IFERROR(__xludf.DUMMYFUNCTION("""COMPUTED_VALUE"""),43285.7055555555)</f>
        <v>43285.705555555498</v>
      </c>
      <c r="B2051" s="111">
        <f ca="1">IFERROR(__xludf.DUMMYFUNCTION("""COMPUTED_VALUE"""),15.64)</f>
        <v>15.64</v>
      </c>
      <c r="C2051" s="112">
        <f ca="1">IFERROR(__xludf.DUMMYFUNCTION("""COMPUTED_VALUE"""),43294.7055555555)</f>
        <v>43294.705555555498</v>
      </c>
      <c r="D2051" s="111">
        <f ca="1">IFERROR(__xludf.DUMMYFUNCTION("""COMPUTED_VALUE"""),29.51)</f>
        <v>29.51</v>
      </c>
      <c r="E2051" s="112">
        <f ca="1">IFERROR(__xludf.DUMMYFUNCTION("""COMPUTED_VALUE"""),43297.7055555555)</f>
        <v>43297.705555555498</v>
      </c>
      <c r="F2051" s="111">
        <f ca="1">IFERROR(__xludf.DUMMYFUNCTION("""COMPUTED_VALUE"""),9.7)</f>
        <v>9.6999999999999993</v>
      </c>
      <c r="G2051" s="112">
        <f ca="1">IFERROR(__xludf.DUMMYFUNCTION("""COMPUTED_VALUE"""),43292.7055555555)</f>
        <v>43292.705555555498</v>
      </c>
      <c r="H2051" s="111">
        <f ca="1">IFERROR(__xludf.DUMMYFUNCTION("""COMPUTED_VALUE"""),17.41)</f>
        <v>17.41</v>
      </c>
      <c r="K2051" s="112">
        <f ca="1">IFERROR(__xludf.DUMMYFUNCTION("""COMPUTED_VALUE"""),43742.7055555555)</f>
        <v>43742.705555555498</v>
      </c>
      <c r="L2051" s="111">
        <f ca="1">IFERROR(__xludf.DUMMYFUNCTION("""COMPUTED_VALUE"""),9.7)</f>
        <v>9.6999999999999993</v>
      </c>
      <c r="M2051" s="112">
        <f ca="1">IFERROR(__xludf.DUMMYFUNCTION("""COMPUTED_VALUE"""),43202.7055555555)</f>
        <v>43202.705555555498</v>
      </c>
      <c r="N2051" s="111">
        <f ca="1">IFERROR(__xludf.DUMMYFUNCTION("""COMPUTED_VALUE"""),23.94)</f>
        <v>23.94</v>
      </c>
      <c r="O2051" s="112">
        <f ca="1">IFERROR(__xludf.DUMMYFUNCTION("""COMPUTED_VALUE"""),43278.7055555555)</f>
        <v>43278.705555555498</v>
      </c>
      <c r="P2051" s="111">
        <f ca="1">IFERROR(__xludf.DUMMYFUNCTION("""COMPUTED_VALUE"""),48.15)</f>
        <v>48.15</v>
      </c>
      <c r="Q2051" s="112">
        <f ca="1">IFERROR(__xludf.DUMMYFUNCTION("""COMPUTED_VALUE"""),43277.7055555555)</f>
        <v>43277.705555555498</v>
      </c>
      <c r="R2051" s="111">
        <f ca="1">IFERROR(__xludf.DUMMYFUNCTION("""COMPUTED_VALUE"""),27.18)</f>
        <v>27.18</v>
      </c>
      <c r="S2051" s="112">
        <f ca="1">IFERROR(__xludf.DUMMYFUNCTION("""COMPUTED_VALUE"""),43287.7055555555)</f>
        <v>43287.705555555498</v>
      </c>
      <c r="T2051" s="111">
        <f ca="1">IFERROR(__xludf.DUMMYFUNCTION("""COMPUTED_VALUE"""),24.71)</f>
        <v>24.71</v>
      </c>
    </row>
    <row r="2052" spans="1:20" x14ac:dyDescent="0.3">
      <c r="A2052" s="112">
        <f ca="1">IFERROR(__xludf.DUMMYFUNCTION("""COMPUTED_VALUE"""),43286.7055555555)</f>
        <v>43286.705555555498</v>
      </c>
      <c r="B2052" s="111">
        <f ca="1">IFERROR(__xludf.DUMMYFUNCTION("""COMPUTED_VALUE"""),14.29)</f>
        <v>14.29</v>
      </c>
      <c r="C2052" s="112">
        <f ca="1">IFERROR(__xludf.DUMMYFUNCTION("""COMPUTED_VALUE"""),43297.7055555555)</f>
        <v>43297.705555555498</v>
      </c>
      <c r="D2052" s="111">
        <f ca="1">IFERROR(__xludf.DUMMYFUNCTION("""COMPUTED_VALUE"""),29.4)</f>
        <v>29.4</v>
      </c>
      <c r="E2052" s="112">
        <f ca="1">IFERROR(__xludf.DUMMYFUNCTION("""COMPUTED_VALUE"""),43298.7055555555)</f>
        <v>43298.705555555498</v>
      </c>
      <c r="F2052" s="111">
        <f ca="1">IFERROR(__xludf.DUMMYFUNCTION("""COMPUTED_VALUE"""),9.9)</f>
        <v>9.9</v>
      </c>
      <c r="G2052" s="112">
        <f ca="1">IFERROR(__xludf.DUMMYFUNCTION("""COMPUTED_VALUE"""),43293.7055555555)</f>
        <v>43293.705555555498</v>
      </c>
      <c r="H2052" s="111">
        <f ca="1">IFERROR(__xludf.DUMMYFUNCTION("""COMPUTED_VALUE"""),17.95)</f>
        <v>17.95</v>
      </c>
      <c r="K2052" s="112">
        <f ca="1">IFERROR(__xludf.DUMMYFUNCTION("""COMPUTED_VALUE"""),43745.7055555555)</f>
        <v>43745.705555555498</v>
      </c>
      <c r="L2052" s="111">
        <f ca="1">IFERROR(__xludf.DUMMYFUNCTION("""COMPUTED_VALUE"""),9.6)</f>
        <v>9.6</v>
      </c>
      <c r="M2052" s="112">
        <f ca="1">IFERROR(__xludf.DUMMYFUNCTION("""COMPUTED_VALUE"""),43203.7055555555)</f>
        <v>43203.705555555498</v>
      </c>
      <c r="N2052" s="111">
        <f ca="1">IFERROR(__xludf.DUMMYFUNCTION("""COMPUTED_VALUE"""),23.42)</f>
        <v>23.42</v>
      </c>
      <c r="O2052" s="112">
        <f ca="1">IFERROR(__xludf.DUMMYFUNCTION("""COMPUTED_VALUE"""),43279.7055555555)</f>
        <v>43279.705555555498</v>
      </c>
      <c r="P2052" s="111">
        <f ca="1">IFERROR(__xludf.DUMMYFUNCTION("""COMPUTED_VALUE"""),49.07)</f>
        <v>49.07</v>
      </c>
      <c r="Q2052" s="112">
        <f ca="1">IFERROR(__xludf.DUMMYFUNCTION("""COMPUTED_VALUE"""),43278.7055555555)</f>
        <v>43278.705555555498</v>
      </c>
      <c r="R2052" s="111">
        <f ca="1">IFERROR(__xludf.DUMMYFUNCTION("""COMPUTED_VALUE"""),26.62)</f>
        <v>26.62</v>
      </c>
      <c r="S2052" s="112">
        <f ca="1">IFERROR(__xludf.DUMMYFUNCTION("""COMPUTED_VALUE"""),43291.7055555555)</f>
        <v>43291.705555555498</v>
      </c>
      <c r="T2052" s="111">
        <f ca="1">IFERROR(__xludf.DUMMYFUNCTION("""COMPUTED_VALUE"""),25.21)</f>
        <v>25.21</v>
      </c>
    </row>
    <row r="2053" spans="1:20" x14ac:dyDescent="0.3">
      <c r="A2053" s="112">
        <f ca="1">IFERROR(__xludf.DUMMYFUNCTION("""COMPUTED_VALUE"""),43287.7055555555)</f>
        <v>43287.705555555498</v>
      </c>
      <c r="B2053" s="111">
        <f ca="1">IFERROR(__xludf.DUMMYFUNCTION("""COMPUTED_VALUE"""),14.37)</f>
        <v>14.37</v>
      </c>
      <c r="C2053" s="112">
        <f ca="1">IFERROR(__xludf.DUMMYFUNCTION("""COMPUTED_VALUE"""),43298.7055555555)</f>
        <v>43298.705555555498</v>
      </c>
      <c r="D2053" s="111">
        <f ca="1">IFERROR(__xludf.DUMMYFUNCTION("""COMPUTED_VALUE"""),29.95)</f>
        <v>29.95</v>
      </c>
      <c r="E2053" s="112">
        <f ca="1">IFERROR(__xludf.DUMMYFUNCTION("""COMPUTED_VALUE"""),43299.7055555555)</f>
        <v>43299.705555555498</v>
      </c>
      <c r="F2053" s="111">
        <f ca="1">IFERROR(__xludf.DUMMYFUNCTION("""COMPUTED_VALUE"""),9.89)</f>
        <v>9.89</v>
      </c>
      <c r="G2053" s="112">
        <f ca="1">IFERROR(__xludf.DUMMYFUNCTION("""COMPUTED_VALUE"""),43294.7055555555)</f>
        <v>43294.705555555498</v>
      </c>
      <c r="H2053" s="111">
        <f ca="1">IFERROR(__xludf.DUMMYFUNCTION("""COMPUTED_VALUE"""),18.11)</f>
        <v>18.11</v>
      </c>
      <c r="K2053" s="112">
        <f ca="1">IFERROR(__xludf.DUMMYFUNCTION("""COMPUTED_VALUE"""),43746.7055555555)</f>
        <v>43746.705555555498</v>
      </c>
      <c r="L2053" s="111">
        <f ca="1">IFERROR(__xludf.DUMMYFUNCTION("""COMPUTED_VALUE"""),9.5)</f>
        <v>9.5</v>
      </c>
      <c r="M2053" s="112">
        <f ca="1">IFERROR(__xludf.DUMMYFUNCTION("""COMPUTED_VALUE"""),43206.7055555555)</f>
        <v>43206.705555555498</v>
      </c>
      <c r="N2053" s="111">
        <f ca="1">IFERROR(__xludf.DUMMYFUNCTION("""COMPUTED_VALUE"""),22.91)</f>
        <v>22.91</v>
      </c>
      <c r="O2053" s="112">
        <f ca="1">IFERROR(__xludf.DUMMYFUNCTION("""COMPUTED_VALUE"""),43280.7055555555)</f>
        <v>43280.705555555498</v>
      </c>
      <c r="P2053" s="111">
        <f ca="1">IFERROR(__xludf.DUMMYFUNCTION("""COMPUTED_VALUE"""),49.59)</f>
        <v>49.59</v>
      </c>
      <c r="Q2053" s="112">
        <f ca="1">IFERROR(__xludf.DUMMYFUNCTION("""COMPUTED_VALUE"""),43279.7055555555)</f>
        <v>43279.705555555498</v>
      </c>
      <c r="R2053" s="111">
        <f ca="1">IFERROR(__xludf.DUMMYFUNCTION("""COMPUTED_VALUE"""),28.15)</f>
        <v>28.15</v>
      </c>
      <c r="S2053" s="112">
        <f ca="1">IFERROR(__xludf.DUMMYFUNCTION("""COMPUTED_VALUE"""),43292.7055555555)</f>
        <v>43292.705555555498</v>
      </c>
      <c r="T2053" s="111">
        <f ca="1">IFERROR(__xludf.DUMMYFUNCTION("""COMPUTED_VALUE"""),24.71)</f>
        <v>24.71</v>
      </c>
    </row>
    <row r="2054" spans="1:20" x14ac:dyDescent="0.3">
      <c r="A2054" s="112">
        <f ca="1">IFERROR(__xludf.DUMMYFUNCTION("""COMPUTED_VALUE"""),43291.7055555555)</f>
        <v>43291.705555555498</v>
      </c>
      <c r="B2054" s="111">
        <f ca="1">IFERROR(__xludf.DUMMYFUNCTION("""COMPUTED_VALUE"""),13.97)</f>
        <v>13.97</v>
      </c>
      <c r="C2054" s="112">
        <f ca="1">IFERROR(__xludf.DUMMYFUNCTION("""COMPUTED_VALUE"""),43299.7055555555)</f>
        <v>43299.705555555498</v>
      </c>
      <c r="D2054" s="111">
        <f ca="1">IFERROR(__xludf.DUMMYFUNCTION("""COMPUTED_VALUE"""),29.57)</f>
        <v>29.57</v>
      </c>
      <c r="E2054" s="112">
        <f ca="1">IFERROR(__xludf.DUMMYFUNCTION("""COMPUTED_VALUE"""),43300.7055555555)</f>
        <v>43300.705555555498</v>
      </c>
      <c r="F2054" s="111">
        <f ca="1">IFERROR(__xludf.DUMMYFUNCTION("""COMPUTED_VALUE"""),10.03)</f>
        <v>10.029999999999999</v>
      </c>
      <c r="G2054" s="112">
        <f ca="1">IFERROR(__xludf.DUMMYFUNCTION("""COMPUTED_VALUE"""),43297.7055555555)</f>
        <v>43297.705555555498</v>
      </c>
      <c r="H2054" s="111">
        <f ca="1">IFERROR(__xludf.DUMMYFUNCTION("""COMPUTED_VALUE"""),17.88)</f>
        <v>17.88</v>
      </c>
      <c r="K2054" s="112">
        <f ca="1">IFERROR(__xludf.DUMMYFUNCTION("""COMPUTED_VALUE"""),43747.7055555555)</f>
        <v>43747.705555555498</v>
      </c>
      <c r="L2054" s="111">
        <f ca="1">IFERROR(__xludf.DUMMYFUNCTION("""COMPUTED_VALUE"""),9.92)</f>
        <v>9.92</v>
      </c>
      <c r="M2054" s="112">
        <f ca="1">IFERROR(__xludf.DUMMYFUNCTION("""COMPUTED_VALUE"""),43207.7055555555)</f>
        <v>43207.705555555498</v>
      </c>
      <c r="N2054" s="111">
        <f ca="1">IFERROR(__xludf.DUMMYFUNCTION("""COMPUTED_VALUE"""),23.2)</f>
        <v>23.2</v>
      </c>
      <c r="O2054" s="112">
        <f ca="1">IFERROR(__xludf.DUMMYFUNCTION("""COMPUTED_VALUE"""),43283.7055555555)</f>
        <v>43283.705555555498</v>
      </c>
      <c r="P2054" s="111">
        <f ca="1">IFERROR(__xludf.DUMMYFUNCTION("""COMPUTED_VALUE"""),48.76)</f>
        <v>48.76</v>
      </c>
      <c r="Q2054" s="112">
        <f ca="1">IFERROR(__xludf.DUMMYFUNCTION("""COMPUTED_VALUE"""),43280.7055555555)</f>
        <v>43280.705555555498</v>
      </c>
      <c r="R2054" s="111">
        <f ca="1">IFERROR(__xludf.DUMMYFUNCTION("""COMPUTED_VALUE"""),28.65)</f>
        <v>28.65</v>
      </c>
      <c r="S2054" s="112">
        <f ca="1">IFERROR(__xludf.DUMMYFUNCTION("""COMPUTED_VALUE"""),43293.7055555555)</f>
        <v>43293.705555555498</v>
      </c>
      <c r="T2054" s="111">
        <f ca="1">IFERROR(__xludf.DUMMYFUNCTION("""COMPUTED_VALUE"""),24.77)</f>
        <v>24.77</v>
      </c>
    </row>
    <row r="2055" spans="1:20" x14ac:dyDescent="0.3">
      <c r="A2055" s="112">
        <f ca="1">IFERROR(__xludf.DUMMYFUNCTION("""COMPUTED_VALUE"""),43292.7055555555)</f>
        <v>43292.705555555498</v>
      </c>
      <c r="B2055" s="111">
        <f ca="1">IFERROR(__xludf.DUMMYFUNCTION("""COMPUTED_VALUE"""),14.28)</f>
        <v>14.28</v>
      </c>
      <c r="C2055" s="112">
        <f ca="1">IFERROR(__xludf.DUMMYFUNCTION("""COMPUTED_VALUE"""),43300.7055555555)</f>
        <v>43300.705555555498</v>
      </c>
      <c r="D2055" s="111">
        <f ca="1">IFERROR(__xludf.DUMMYFUNCTION("""COMPUTED_VALUE"""),30)</f>
        <v>30</v>
      </c>
      <c r="E2055" s="112">
        <f ca="1">IFERROR(__xludf.DUMMYFUNCTION("""COMPUTED_VALUE"""),43301.7055555555)</f>
        <v>43301.705555555498</v>
      </c>
      <c r="F2055" s="111">
        <f ca="1">IFERROR(__xludf.DUMMYFUNCTION("""COMPUTED_VALUE"""),10.35)</f>
        <v>10.35</v>
      </c>
      <c r="G2055" s="112">
        <f ca="1">IFERROR(__xludf.DUMMYFUNCTION("""COMPUTED_VALUE"""),43298.7055555555)</f>
        <v>43298.705555555498</v>
      </c>
      <c r="H2055" s="111">
        <f ca="1">IFERROR(__xludf.DUMMYFUNCTION("""COMPUTED_VALUE"""),18.29)</f>
        <v>18.29</v>
      </c>
      <c r="K2055" s="112">
        <f ca="1">IFERROR(__xludf.DUMMYFUNCTION("""COMPUTED_VALUE"""),43748.7055555555)</f>
        <v>43748.705555555498</v>
      </c>
      <c r="L2055" s="111">
        <f ca="1">IFERROR(__xludf.DUMMYFUNCTION("""COMPUTED_VALUE"""),9.74)</f>
        <v>9.74</v>
      </c>
      <c r="M2055" s="112">
        <f ca="1">IFERROR(__xludf.DUMMYFUNCTION("""COMPUTED_VALUE"""),43208.7055555555)</f>
        <v>43208.705555555498</v>
      </c>
      <c r="N2055" s="111">
        <f ca="1">IFERROR(__xludf.DUMMYFUNCTION("""COMPUTED_VALUE"""),23.97)</f>
        <v>23.97</v>
      </c>
      <c r="O2055" s="112">
        <f ca="1">IFERROR(__xludf.DUMMYFUNCTION("""COMPUTED_VALUE"""),43284.7055555555)</f>
        <v>43284.705555555498</v>
      </c>
      <c r="P2055" s="111">
        <f ca="1">IFERROR(__xludf.DUMMYFUNCTION("""COMPUTED_VALUE"""),47.96)</f>
        <v>47.96</v>
      </c>
      <c r="Q2055" s="112">
        <f ca="1">IFERROR(__xludf.DUMMYFUNCTION("""COMPUTED_VALUE"""),43283.7055555555)</f>
        <v>43283.705555555498</v>
      </c>
      <c r="R2055" s="111">
        <f ca="1">IFERROR(__xludf.DUMMYFUNCTION("""COMPUTED_VALUE"""),29.39)</f>
        <v>29.39</v>
      </c>
      <c r="S2055" s="112">
        <f ca="1">IFERROR(__xludf.DUMMYFUNCTION("""COMPUTED_VALUE"""),43294.7055555555)</f>
        <v>43294.705555555498</v>
      </c>
      <c r="T2055" s="111">
        <f ca="1">IFERROR(__xludf.DUMMYFUNCTION("""COMPUTED_VALUE"""),25.35)</f>
        <v>25.35</v>
      </c>
    </row>
    <row r="2056" spans="1:20" x14ac:dyDescent="0.3">
      <c r="A2056" s="112">
        <f ca="1">IFERROR(__xludf.DUMMYFUNCTION("""COMPUTED_VALUE"""),43293.7055555555)</f>
        <v>43293.705555555498</v>
      </c>
      <c r="B2056" s="111">
        <f ca="1">IFERROR(__xludf.DUMMYFUNCTION("""COMPUTED_VALUE"""),14.44)</f>
        <v>14.44</v>
      </c>
      <c r="C2056" s="112">
        <f ca="1">IFERROR(__xludf.DUMMYFUNCTION("""COMPUTED_VALUE"""),43301.7055555555)</f>
        <v>43301.705555555498</v>
      </c>
      <c r="D2056" s="111">
        <f ca="1">IFERROR(__xludf.DUMMYFUNCTION("""COMPUTED_VALUE"""),30.85)</f>
        <v>30.85</v>
      </c>
      <c r="E2056" s="112">
        <f ca="1">IFERROR(__xludf.DUMMYFUNCTION("""COMPUTED_VALUE"""),43304.7055555555)</f>
        <v>43304.705555555498</v>
      </c>
      <c r="F2056" s="111">
        <f ca="1">IFERROR(__xludf.DUMMYFUNCTION("""COMPUTED_VALUE"""),10.1)</f>
        <v>10.1</v>
      </c>
      <c r="G2056" s="112">
        <f ca="1">IFERROR(__xludf.DUMMYFUNCTION("""COMPUTED_VALUE"""),43299.7055555555)</f>
        <v>43299.705555555498</v>
      </c>
      <c r="H2056" s="111">
        <f ca="1">IFERROR(__xludf.DUMMYFUNCTION("""COMPUTED_VALUE"""),18.05)</f>
        <v>18.05</v>
      </c>
      <c r="K2056" s="112">
        <f ca="1">IFERROR(__xludf.DUMMYFUNCTION("""COMPUTED_VALUE"""),43749.7055555555)</f>
        <v>43749.705555555498</v>
      </c>
      <c r="L2056" s="111">
        <f ca="1">IFERROR(__xludf.DUMMYFUNCTION("""COMPUTED_VALUE"""),10.13)</f>
        <v>10.130000000000001</v>
      </c>
      <c r="M2056" s="112">
        <f ca="1">IFERROR(__xludf.DUMMYFUNCTION("""COMPUTED_VALUE"""),43209.7055555555)</f>
        <v>43209.705555555498</v>
      </c>
      <c r="N2056" s="111">
        <f ca="1">IFERROR(__xludf.DUMMYFUNCTION("""COMPUTED_VALUE"""),23.93)</f>
        <v>23.93</v>
      </c>
      <c r="O2056" s="112">
        <f ca="1">IFERROR(__xludf.DUMMYFUNCTION("""COMPUTED_VALUE"""),43285.7055555555)</f>
        <v>43285.705555555498</v>
      </c>
      <c r="P2056" s="111">
        <f ca="1">IFERROR(__xludf.DUMMYFUNCTION("""COMPUTED_VALUE"""),48.03)</f>
        <v>48.03</v>
      </c>
      <c r="Q2056" s="112">
        <f ca="1">IFERROR(__xludf.DUMMYFUNCTION("""COMPUTED_VALUE"""),43284.7055555555)</f>
        <v>43284.705555555498</v>
      </c>
      <c r="R2056" s="111">
        <f ca="1">IFERROR(__xludf.DUMMYFUNCTION("""COMPUTED_VALUE"""),29.65)</f>
        <v>29.65</v>
      </c>
      <c r="S2056" s="112">
        <f ca="1">IFERROR(__xludf.DUMMYFUNCTION("""COMPUTED_VALUE"""),43297.7055555555)</f>
        <v>43297.705555555498</v>
      </c>
      <c r="T2056" s="111">
        <f ca="1">IFERROR(__xludf.DUMMYFUNCTION("""COMPUTED_VALUE"""),24.87)</f>
        <v>24.87</v>
      </c>
    </row>
    <row r="2057" spans="1:20" x14ac:dyDescent="0.3">
      <c r="A2057" s="112">
        <f ca="1">IFERROR(__xludf.DUMMYFUNCTION("""COMPUTED_VALUE"""),43294.7055555555)</f>
        <v>43294.705555555498</v>
      </c>
      <c r="B2057" s="111">
        <f ca="1">IFERROR(__xludf.DUMMYFUNCTION("""COMPUTED_VALUE"""),14.48)</f>
        <v>14.48</v>
      </c>
      <c r="C2057" s="112">
        <f ca="1">IFERROR(__xludf.DUMMYFUNCTION("""COMPUTED_VALUE"""),43304.7055555555)</f>
        <v>43304.705555555498</v>
      </c>
      <c r="D2057" s="111">
        <f ca="1">IFERROR(__xludf.DUMMYFUNCTION("""COMPUTED_VALUE"""),30.26)</f>
        <v>30.26</v>
      </c>
      <c r="E2057" s="112">
        <f ca="1">IFERROR(__xludf.DUMMYFUNCTION("""COMPUTED_VALUE"""),43305.7055555555)</f>
        <v>43305.705555555498</v>
      </c>
      <c r="F2057" s="111">
        <f ca="1">IFERROR(__xludf.DUMMYFUNCTION("""COMPUTED_VALUE"""),10.11)</f>
        <v>10.11</v>
      </c>
      <c r="G2057" s="112">
        <f ca="1">IFERROR(__xludf.DUMMYFUNCTION("""COMPUTED_VALUE"""),43300.7055555555)</f>
        <v>43300.705555555498</v>
      </c>
      <c r="H2057" s="111">
        <f ca="1">IFERROR(__xludf.DUMMYFUNCTION("""COMPUTED_VALUE"""),18.4)</f>
        <v>18.399999999999999</v>
      </c>
      <c r="K2057" s="112">
        <f ca="1">IFERROR(__xludf.DUMMYFUNCTION("""COMPUTED_VALUE"""),43752.7055555555)</f>
        <v>43752.705555555498</v>
      </c>
      <c r="L2057" s="111">
        <f ca="1">IFERROR(__xludf.DUMMYFUNCTION("""COMPUTED_VALUE"""),10.55)</f>
        <v>10.55</v>
      </c>
      <c r="M2057" s="112">
        <f ca="1">IFERROR(__xludf.DUMMYFUNCTION("""COMPUTED_VALUE"""),43210.7055555555)</f>
        <v>43210.705555555498</v>
      </c>
      <c r="N2057" s="111">
        <f ca="1">IFERROR(__xludf.DUMMYFUNCTION("""COMPUTED_VALUE"""),23.6)</f>
        <v>23.6</v>
      </c>
      <c r="O2057" s="112">
        <f ca="1">IFERROR(__xludf.DUMMYFUNCTION("""COMPUTED_VALUE"""),43286.7055555555)</f>
        <v>43286.705555555498</v>
      </c>
      <c r="P2057" s="111">
        <f ca="1">IFERROR(__xludf.DUMMYFUNCTION("""COMPUTED_VALUE"""),49.7)</f>
        <v>49.7</v>
      </c>
      <c r="Q2057" s="112">
        <f ca="1">IFERROR(__xludf.DUMMYFUNCTION("""COMPUTED_VALUE"""),43285.7055555555)</f>
        <v>43285.705555555498</v>
      </c>
      <c r="R2057" s="111">
        <f ca="1">IFERROR(__xludf.DUMMYFUNCTION("""COMPUTED_VALUE"""),30.5)</f>
        <v>30.5</v>
      </c>
      <c r="S2057" s="112">
        <f ca="1">IFERROR(__xludf.DUMMYFUNCTION("""COMPUTED_VALUE"""),43298.7055555555)</f>
        <v>43298.705555555498</v>
      </c>
      <c r="T2057" s="111">
        <f ca="1">IFERROR(__xludf.DUMMYFUNCTION("""COMPUTED_VALUE"""),25.31)</f>
        <v>25.31</v>
      </c>
    </row>
    <row r="2058" spans="1:20" x14ac:dyDescent="0.3">
      <c r="A2058" s="112">
        <f ca="1">IFERROR(__xludf.DUMMYFUNCTION("""COMPUTED_VALUE"""),43297.7055555555)</f>
        <v>43297.705555555498</v>
      </c>
      <c r="B2058" s="111">
        <f ca="1">IFERROR(__xludf.DUMMYFUNCTION("""COMPUTED_VALUE"""),14.7)</f>
        <v>14.7</v>
      </c>
      <c r="C2058" s="112">
        <f ca="1">IFERROR(__xludf.DUMMYFUNCTION("""COMPUTED_VALUE"""),43305.7055555555)</f>
        <v>43305.705555555498</v>
      </c>
      <c r="D2058" s="111">
        <f ca="1">IFERROR(__xludf.DUMMYFUNCTION("""COMPUTED_VALUE"""),30.24)</f>
        <v>30.24</v>
      </c>
      <c r="E2058" s="112">
        <f ca="1">IFERROR(__xludf.DUMMYFUNCTION("""COMPUTED_VALUE"""),43306.7055555555)</f>
        <v>43306.705555555498</v>
      </c>
      <c r="F2058" s="111">
        <f ca="1">IFERROR(__xludf.DUMMYFUNCTION("""COMPUTED_VALUE"""),10.44)</f>
        <v>10.44</v>
      </c>
      <c r="G2058" s="112">
        <f ca="1">IFERROR(__xludf.DUMMYFUNCTION("""COMPUTED_VALUE"""),43301.7055555555)</f>
        <v>43301.705555555498</v>
      </c>
      <c r="H2058" s="111">
        <f ca="1">IFERROR(__xludf.DUMMYFUNCTION("""COMPUTED_VALUE"""),19.29)</f>
        <v>19.29</v>
      </c>
      <c r="K2058" s="112">
        <f ca="1">IFERROR(__xludf.DUMMYFUNCTION("""COMPUTED_VALUE"""),43753.7055555555)</f>
        <v>43753.705555555498</v>
      </c>
      <c r="L2058" s="111">
        <f ca="1">IFERROR(__xludf.DUMMYFUNCTION("""COMPUTED_VALUE"""),10.45)</f>
        <v>10.45</v>
      </c>
      <c r="M2058" s="112">
        <f ca="1">IFERROR(__xludf.DUMMYFUNCTION("""COMPUTED_VALUE"""),43213.7055555555)</f>
        <v>43213.705555555498</v>
      </c>
      <c r="N2058" s="111">
        <f ca="1">IFERROR(__xludf.DUMMYFUNCTION("""COMPUTED_VALUE"""),23.59)</f>
        <v>23.59</v>
      </c>
      <c r="O2058" s="112">
        <f ca="1">IFERROR(__xludf.DUMMYFUNCTION("""COMPUTED_VALUE"""),43287.7055555555)</f>
        <v>43287.705555555498</v>
      </c>
      <c r="P2058" s="111">
        <f ca="1">IFERROR(__xludf.DUMMYFUNCTION("""COMPUTED_VALUE"""),50.34)</f>
        <v>50.34</v>
      </c>
      <c r="Q2058" s="112">
        <f ca="1">IFERROR(__xludf.DUMMYFUNCTION("""COMPUTED_VALUE"""),43286.7055555555)</f>
        <v>43286.705555555498</v>
      </c>
      <c r="R2058" s="111">
        <f ca="1">IFERROR(__xludf.DUMMYFUNCTION("""COMPUTED_VALUE"""),29.79)</f>
        <v>29.79</v>
      </c>
      <c r="S2058" s="112">
        <f ca="1">IFERROR(__xludf.DUMMYFUNCTION("""COMPUTED_VALUE"""),43299.7055555555)</f>
        <v>43299.705555555498</v>
      </c>
      <c r="T2058" s="111">
        <f ca="1">IFERROR(__xludf.DUMMYFUNCTION("""COMPUTED_VALUE"""),24.91)</f>
        <v>24.91</v>
      </c>
    </row>
    <row r="2059" spans="1:20" x14ac:dyDescent="0.3">
      <c r="A2059" s="112">
        <f ca="1">IFERROR(__xludf.DUMMYFUNCTION("""COMPUTED_VALUE"""),43298.7055555555)</f>
        <v>43298.705555555498</v>
      </c>
      <c r="B2059" s="111">
        <f ca="1">IFERROR(__xludf.DUMMYFUNCTION("""COMPUTED_VALUE"""),15.03)</f>
        <v>15.03</v>
      </c>
      <c r="C2059" s="112">
        <f ca="1">IFERROR(__xludf.DUMMYFUNCTION("""COMPUTED_VALUE"""),43306.7055555555)</f>
        <v>43306.705555555498</v>
      </c>
      <c r="D2059" s="111">
        <f ca="1">IFERROR(__xludf.DUMMYFUNCTION("""COMPUTED_VALUE"""),31.19)</f>
        <v>31.19</v>
      </c>
      <c r="E2059" s="112">
        <f ca="1">IFERROR(__xludf.DUMMYFUNCTION("""COMPUTED_VALUE"""),43307.7055555555)</f>
        <v>43307.705555555498</v>
      </c>
      <c r="F2059" s="111">
        <f ca="1">IFERROR(__xludf.DUMMYFUNCTION("""COMPUTED_VALUE"""),10.26)</f>
        <v>10.26</v>
      </c>
      <c r="G2059" s="112">
        <f ca="1">IFERROR(__xludf.DUMMYFUNCTION("""COMPUTED_VALUE"""),43304.7055555555)</f>
        <v>43304.705555555498</v>
      </c>
      <c r="H2059" s="111">
        <f ca="1">IFERROR(__xludf.DUMMYFUNCTION("""COMPUTED_VALUE"""),19.26)</f>
        <v>19.260000000000002</v>
      </c>
      <c r="K2059" s="112">
        <f ca="1">IFERROR(__xludf.DUMMYFUNCTION("""COMPUTED_VALUE"""),43754.7055555555)</f>
        <v>43754.705555555498</v>
      </c>
      <c r="L2059" s="111">
        <f ca="1">IFERROR(__xludf.DUMMYFUNCTION("""COMPUTED_VALUE"""),10.69)</f>
        <v>10.69</v>
      </c>
      <c r="M2059" s="112">
        <f ca="1">IFERROR(__xludf.DUMMYFUNCTION("""COMPUTED_VALUE"""),43214.7055555555)</f>
        <v>43214.705555555498</v>
      </c>
      <c r="N2059" s="111">
        <f ca="1">IFERROR(__xludf.DUMMYFUNCTION("""COMPUTED_VALUE"""),23.63)</f>
        <v>23.63</v>
      </c>
      <c r="O2059" s="112">
        <f ca="1">IFERROR(__xludf.DUMMYFUNCTION("""COMPUTED_VALUE"""),43291.7055555555)</f>
        <v>43291.705555555498</v>
      </c>
      <c r="P2059" s="111">
        <f ca="1">IFERROR(__xludf.DUMMYFUNCTION("""COMPUTED_VALUE"""),49.53)</f>
        <v>49.53</v>
      </c>
      <c r="Q2059" s="112">
        <f ca="1">IFERROR(__xludf.DUMMYFUNCTION("""COMPUTED_VALUE"""),43287.7055555555)</f>
        <v>43287.705555555498</v>
      </c>
      <c r="R2059" s="111">
        <f ca="1">IFERROR(__xludf.DUMMYFUNCTION("""COMPUTED_VALUE"""),29.46)</f>
        <v>29.46</v>
      </c>
      <c r="S2059" s="112">
        <f ca="1">IFERROR(__xludf.DUMMYFUNCTION("""COMPUTED_VALUE"""),43300.7055555555)</f>
        <v>43300.705555555498</v>
      </c>
      <c r="T2059" s="111">
        <f ca="1">IFERROR(__xludf.DUMMYFUNCTION("""COMPUTED_VALUE"""),25.79)</f>
        <v>25.79</v>
      </c>
    </row>
    <row r="2060" spans="1:20" x14ac:dyDescent="0.3">
      <c r="A2060" s="112">
        <f ca="1">IFERROR(__xludf.DUMMYFUNCTION("""COMPUTED_VALUE"""),43299.7055555555)</f>
        <v>43299.705555555498</v>
      </c>
      <c r="B2060" s="111">
        <f ca="1">IFERROR(__xludf.DUMMYFUNCTION("""COMPUTED_VALUE"""),15.84)</f>
        <v>15.84</v>
      </c>
      <c r="C2060" s="112">
        <f ca="1">IFERROR(__xludf.DUMMYFUNCTION("""COMPUTED_VALUE"""),43307.7055555555)</f>
        <v>43307.705555555498</v>
      </c>
      <c r="D2060" s="111">
        <f ca="1">IFERROR(__xludf.DUMMYFUNCTION("""COMPUTED_VALUE"""),30.7)</f>
        <v>30.7</v>
      </c>
      <c r="E2060" s="112">
        <f ca="1">IFERROR(__xludf.DUMMYFUNCTION("""COMPUTED_VALUE"""),43308.7055555555)</f>
        <v>43308.705555555498</v>
      </c>
      <c r="F2060" s="111">
        <f ca="1">IFERROR(__xludf.DUMMYFUNCTION("""COMPUTED_VALUE"""),10.23)</f>
        <v>10.23</v>
      </c>
      <c r="G2060" s="112">
        <f ca="1">IFERROR(__xludf.DUMMYFUNCTION("""COMPUTED_VALUE"""),43305.7055555555)</f>
        <v>43305.705555555498</v>
      </c>
      <c r="H2060" s="111">
        <f ca="1">IFERROR(__xludf.DUMMYFUNCTION("""COMPUTED_VALUE"""),19.66)</f>
        <v>19.66</v>
      </c>
      <c r="K2060" s="112">
        <f ca="1">IFERROR(__xludf.DUMMYFUNCTION("""COMPUTED_VALUE"""),43755.7055555555)</f>
        <v>43755.705555555498</v>
      </c>
      <c r="L2060" s="111">
        <f ca="1">IFERROR(__xludf.DUMMYFUNCTION("""COMPUTED_VALUE"""),10.8)</f>
        <v>10.8</v>
      </c>
      <c r="M2060" s="112">
        <f ca="1">IFERROR(__xludf.DUMMYFUNCTION("""COMPUTED_VALUE"""),43215.7055555555)</f>
        <v>43215.705555555498</v>
      </c>
      <c r="N2060" s="111">
        <f ca="1">IFERROR(__xludf.DUMMYFUNCTION("""COMPUTED_VALUE"""),23.92)</f>
        <v>23.92</v>
      </c>
      <c r="O2060" s="112">
        <f ca="1">IFERROR(__xludf.DUMMYFUNCTION("""COMPUTED_VALUE"""),43292.7055555555)</f>
        <v>43292.705555555498</v>
      </c>
      <c r="P2060" s="111">
        <f ca="1">IFERROR(__xludf.DUMMYFUNCTION("""COMPUTED_VALUE"""),48.86)</f>
        <v>48.86</v>
      </c>
      <c r="Q2060" s="112">
        <f ca="1">IFERROR(__xludf.DUMMYFUNCTION("""COMPUTED_VALUE"""),43291.7055555555)</f>
        <v>43291.705555555498</v>
      </c>
      <c r="R2060" s="111">
        <f ca="1">IFERROR(__xludf.DUMMYFUNCTION("""COMPUTED_VALUE"""),29.21)</f>
        <v>29.21</v>
      </c>
      <c r="S2060" s="112">
        <f ca="1">IFERROR(__xludf.DUMMYFUNCTION("""COMPUTED_VALUE"""),43301.7055555555)</f>
        <v>43301.705555555498</v>
      </c>
      <c r="T2060" s="111">
        <f ca="1">IFERROR(__xludf.DUMMYFUNCTION("""COMPUTED_VALUE"""),26.26)</f>
        <v>26.26</v>
      </c>
    </row>
    <row r="2061" spans="1:20" x14ac:dyDescent="0.3">
      <c r="A2061" s="112">
        <f ca="1">IFERROR(__xludf.DUMMYFUNCTION("""COMPUTED_VALUE"""),43300.7055555555)</f>
        <v>43300.705555555498</v>
      </c>
      <c r="B2061" s="111">
        <f ca="1">IFERROR(__xludf.DUMMYFUNCTION("""COMPUTED_VALUE"""),16.17)</f>
        <v>16.170000000000002</v>
      </c>
      <c r="C2061" s="112">
        <f ca="1">IFERROR(__xludf.DUMMYFUNCTION("""COMPUTED_VALUE"""),43308.7055555555)</f>
        <v>43308.705555555498</v>
      </c>
      <c r="D2061" s="111">
        <f ca="1">IFERROR(__xludf.DUMMYFUNCTION("""COMPUTED_VALUE"""),30.87)</f>
        <v>30.87</v>
      </c>
      <c r="E2061" s="112">
        <f ca="1">IFERROR(__xludf.DUMMYFUNCTION("""COMPUTED_VALUE"""),43311.7055555555)</f>
        <v>43311.705555555498</v>
      </c>
      <c r="F2061" s="111">
        <f ca="1">IFERROR(__xludf.DUMMYFUNCTION("""COMPUTED_VALUE"""),10.33)</f>
        <v>10.33</v>
      </c>
      <c r="G2061" s="112">
        <f ca="1">IFERROR(__xludf.DUMMYFUNCTION("""COMPUTED_VALUE"""),43306.7055555555)</f>
        <v>43306.705555555498</v>
      </c>
      <c r="H2061" s="111">
        <f ca="1">IFERROR(__xludf.DUMMYFUNCTION("""COMPUTED_VALUE"""),19.96)</f>
        <v>19.96</v>
      </c>
      <c r="K2061" s="112">
        <f ca="1">IFERROR(__xludf.DUMMYFUNCTION("""COMPUTED_VALUE"""),43756.7055555555)</f>
        <v>43756.705555555498</v>
      </c>
      <c r="L2061" s="111">
        <f ca="1">IFERROR(__xludf.DUMMYFUNCTION("""COMPUTED_VALUE"""),10.75)</f>
        <v>10.75</v>
      </c>
      <c r="M2061" s="112">
        <f ca="1">IFERROR(__xludf.DUMMYFUNCTION("""COMPUTED_VALUE"""),43216.7055555555)</f>
        <v>43216.705555555498</v>
      </c>
      <c r="N2061" s="111">
        <f ca="1">IFERROR(__xludf.DUMMYFUNCTION("""COMPUTED_VALUE"""),23.92)</f>
        <v>23.92</v>
      </c>
      <c r="O2061" s="112">
        <f ca="1">IFERROR(__xludf.DUMMYFUNCTION("""COMPUTED_VALUE"""),43293.7055555555)</f>
        <v>43293.705555555498</v>
      </c>
      <c r="P2061" s="111">
        <f ca="1">IFERROR(__xludf.DUMMYFUNCTION("""COMPUTED_VALUE"""),50.45)</f>
        <v>50.45</v>
      </c>
      <c r="Q2061" s="112">
        <f ca="1">IFERROR(__xludf.DUMMYFUNCTION("""COMPUTED_VALUE"""),43292.7055555555)</f>
        <v>43292.705555555498</v>
      </c>
      <c r="R2061" s="111">
        <f ca="1">IFERROR(__xludf.DUMMYFUNCTION("""COMPUTED_VALUE"""),29.79)</f>
        <v>29.79</v>
      </c>
      <c r="S2061" s="112">
        <f ca="1">IFERROR(__xludf.DUMMYFUNCTION("""COMPUTED_VALUE"""),43304.7055555555)</f>
        <v>43304.705555555498</v>
      </c>
      <c r="T2061" s="111">
        <f ca="1">IFERROR(__xludf.DUMMYFUNCTION("""COMPUTED_VALUE"""),25.36)</f>
        <v>25.36</v>
      </c>
    </row>
    <row r="2062" spans="1:20" x14ac:dyDescent="0.3">
      <c r="A2062" s="112">
        <f ca="1">IFERROR(__xludf.DUMMYFUNCTION("""COMPUTED_VALUE"""),43301.7055555555)</f>
        <v>43301.705555555498</v>
      </c>
      <c r="B2062" s="111">
        <f ca="1">IFERROR(__xludf.DUMMYFUNCTION("""COMPUTED_VALUE"""),17.08)</f>
        <v>17.079999999999998</v>
      </c>
      <c r="C2062" s="112">
        <f ca="1">IFERROR(__xludf.DUMMYFUNCTION("""COMPUTED_VALUE"""),43311.7055555555)</f>
        <v>43311.705555555498</v>
      </c>
      <c r="D2062" s="111">
        <f ca="1">IFERROR(__xludf.DUMMYFUNCTION("""COMPUTED_VALUE"""),31.31)</f>
        <v>31.31</v>
      </c>
      <c r="E2062" s="112">
        <f ca="1">IFERROR(__xludf.DUMMYFUNCTION("""COMPUTED_VALUE"""),43312.7055555555)</f>
        <v>43312.705555555498</v>
      </c>
      <c r="F2062" s="111">
        <f ca="1">IFERROR(__xludf.DUMMYFUNCTION("""COMPUTED_VALUE"""),9.92)</f>
        <v>9.92</v>
      </c>
      <c r="G2062" s="112">
        <f ca="1">IFERROR(__xludf.DUMMYFUNCTION("""COMPUTED_VALUE"""),43307.7055555555)</f>
        <v>43307.705555555498</v>
      </c>
      <c r="H2062" s="111">
        <f ca="1">IFERROR(__xludf.DUMMYFUNCTION("""COMPUTED_VALUE"""),19.41)</f>
        <v>19.41</v>
      </c>
      <c r="K2062" s="112">
        <f ca="1">IFERROR(__xludf.DUMMYFUNCTION("""COMPUTED_VALUE"""),43759.7055555555)</f>
        <v>43759.705555555498</v>
      </c>
      <c r="L2062" s="111">
        <f ca="1">IFERROR(__xludf.DUMMYFUNCTION("""COMPUTED_VALUE"""),10.78)</f>
        <v>10.78</v>
      </c>
      <c r="M2062" s="112">
        <f ca="1">IFERROR(__xludf.DUMMYFUNCTION("""COMPUTED_VALUE"""),43217.7055555555)</f>
        <v>43217.705555555498</v>
      </c>
      <c r="N2062" s="111">
        <f ca="1">IFERROR(__xludf.DUMMYFUNCTION("""COMPUTED_VALUE"""),24.18)</f>
        <v>24.18</v>
      </c>
      <c r="O2062" s="112">
        <f ca="1">IFERROR(__xludf.DUMMYFUNCTION("""COMPUTED_VALUE"""),43294.7055555555)</f>
        <v>43294.705555555498</v>
      </c>
      <c r="P2062" s="111">
        <f ca="1">IFERROR(__xludf.DUMMYFUNCTION("""COMPUTED_VALUE"""),50.31)</f>
        <v>50.31</v>
      </c>
      <c r="Q2062" s="112">
        <f ca="1">IFERROR(__xludf.DUMMYFUNCTION("""COMPUTED_VALUE"""),43293.7055555555)</f>
        <v>43293.705555555498</v>
      </c>
      <c r="R2062" s="111">
        <f ca="1">IFERROR(__xludf.DUMMYFUNCTION("""COMPUTED_VALUE"""),30.36)</f>
        <v>30.36</v>
      </c>
      <c r="S2062" s="112">
        <f ca="1">IFERROR(__xludf.DUMMYFUNCTION("""COMPUTED_VALUE"""),43305.7055555555)</f>
        <v>43305.705555555498</v>
      </c>
      <c r="T2062" s="111">
        <f ca="1">IFERROR(__xludf.DUMMYFUNCTION("""COMPUTED_VALUE"""),26.18)</f>
        <v>26.18</v>
      </c>
    </row>
    <row r="2063" spans="1:20" x14ac:dyDescent="0.3">
      <c r="A2063" s="112">
        <f ca="1">IFERROR(__xludf.DUMMYFUNCTION("""COMPUTED_VALUE"""),43304.7055555555)</f>
        <v>43304.705555555498</v>
      </c>
      <c r="B2063" s="111">
        <f ca="1">IFERROR(__xludf.DUMMYFUNCTION("""COMPUTED_VALUE"""),16.71)</f>
        <v>16.71</v>
      </c>
      <c r="C2063" s="112">
        <f ca="1">IFERROR(__xludf.DUMMYFUNCTION("""COMPUTED_VALUE"""),43312.7055555555)</f>
        <v>43312.705555555498</v>
      </c>
      <c r="D2063" s="111">
        <f ca="1">IFERROR(__xludf.DUMMYFUNCTION("""COMPUTED_VALUE"""),30)</f>
        <v>30</v>
      </c>
      <c r="E2063" s="112">
        <f ca="1">IFERROR(__xludf.DUMMYFUNCTION("""COMPUTED_VALUE"""),43313.7055555555)</f>
        <v>43313.705555555498</v>
      </c>
      <c r="F2063" s="111">
        <f ca="1">IFERROR(__xludf.DUMMYFUNCTION("""COMPUTED_VALUE"""),10.14)</f>
        <v>10.14</v>
      </c>
      <c r="G2063" s="112">
        <f ca="1">IFERROR(__xludf.DUMMYFUNCTION("""COMPUTED_VALUE"""),43308.7055555555)</f>
        <v>43308.705555555498</v>
      </c>
      <c r="H2063" s="111">
        <f ca="1">IFERROR(__xludf.DUMMYFUNCTION("""COMPUTED_VALUE"""),19.77)</f>
        <v>19.77</v>
      </c>
      <c r="K2063" s="112">
        <f ca="1">IFERROR(__xludf.DUMMYFUNCTION("""COMPUTED_VALUE"""),43760.7055555555)</f>
        <v>43760.705555555498</v>
      </c>
      <c r="L2063" s="111">
        <f ca="1">IFERROR(__xludf.DUMMYFUNCTION("""COMPUTED_VALUE"""),10.93)</f>
        <v>10.93</v>
      </c>
      <c r="M2063" s="112">
        <f ca="1">IFERROR(__xludf.DUMMYFUNCTION("""COMPUTED_VALUE"""),43220.7055555555)</f>
        <v>43220.705555555498</v>
      </c>
      <c r="N2063" s="111">
        <f ca="1">IFERROR(__xludf.DUMMYFUNCTION("""COMPUTED_VALUE"""),23.81)</f>
        <v>23.81</v>
      </c>
      <c r="O2063" s="112">
        <f ca="1">IFERROR(__xludf.DUMMYFUNCTION("""COMPUTED_VALUE"""),43297.7055555555)</f>
        <v>43297.705555555498</v>
      </c>
      <c r="P2063" s="111">
        <f ca="1">IFERROR(__xludf.DUMMYFUNCTION("""COMPUTED_VALUE"""),50)</f>
        <v>50</v>
      </c>
      <c r="Q2063" s="112">
        <f ca="1">IFERROR(__xludf.DUMMYFUNCTION("""COMPUTED_VALUE"""),43294.7055555555)</f>
        <v>43294.705555555498</v>
      </c>
      <c r="R2063" s="111">
        <f ca="1">IFERROR(__xludf.DUMMYFUNCTION("""COMPUTED_VALUE"""),31.13)</f>
        <v>31.13</v>
      </c>
      <c r="S2063" s="112">
        <f ca="1">IFERROR(__xludf.DUMMYFUNCTION("""COMPUTED_VALUE"""),43306.7055555555)</f>
        <v>43306.705555555498</v>
      </c>
      <c r="T2063" s="111">
        <f ca="1">IFERROR(__xludf.DUMMYFUNCTION("""COMPUTED_VALUE"""),26.24)</f>
        <v>26.24</v>
      </c>
    </row>
    <row r="2064" spans="1:20" x14ac:dyDescent="0.3">
      <c r="A2064" s="112">
        <f ca="1">IFERROR(__xludf.DUMMYFUNCTION("""COMPUTED_VALUE"""),43305.7055555555)</f>
        <v>43305.705555555498</v>
      </c>
      <c r="B2064" s="111">
        <f ca="1">IFERROR(__xludf.DUMMYFUNCTION("""COMPUTED_VALUE"""),16.96)</f>
        <v>16.96</v>
      </c>
      <c r="C2064" s="112">
        <f ca="1">IFERROR(__xludf.DUMMYFUNCTION("""COMPUTED_VALUE"""),43313.7055555555)</f>
        <v>43313.705555555498</v>
      </c>
      <c r="D2064" s="111">
        <f ca="1">IFERROR(__xludf.DUMMYFUNCTION("""COMPUTED_VALUE"""),30.37)</f>
        <v>30.37</v>
      </c>
      <c r="E2064" s="112">
        <f ca="1">IFERROR(__xludf.DUMMYFUNCTION("""COMPUTED_VALUE"""),43314.7055555555)</f>
        <v>43314.705555555498</v>
      </c>
      <c r="F2064" s="111">
        <f ca="1">IFERROR(__xludf.DUMMYFUNCTION("""COMPUTED_VALUE"""),10.2)</f>
        <v>10.199999999999999</v>
      </c>
      <c r="G2064" s="112">
        <f ca="1">IFERROR(__xludf.DUMMYFUNCTION("""COMPUTED_VALUE"""),43311.7055555555)</f>
        <v>43311.705555555498</v>
      </c>
      <c r="H2064" s="111">
        <f ca="1">IFERROR(__xludf.DUMMYFUNCTION("""COMPUTED_VALUE"""),19.89)</f>
        <v>19.89</v>
      </c>
      <c r="K2064" s="112">
        <f ca="1">IFERROR(__xludf.DUMMYFUNCTION("""COMPUTED_VALUE"""),43761.7055555555)</f>
        <v>43761.705555555498</v>
      </c>
      <c r="L2064" s="111">
        <f ca="1">IFERROR(__xludf.DUMMYFUNCTION("""COMPUTED_VALUE"""),10.88)</f>
        <v>10.88</v>
      </c>
      <c r="M2064" s="112">
        <f ca="1">IFERROR(__xludf.DUMMYFUNCTION("""COMPUTED_VALUE"""),43222.7055555555)</f>
        <v>43222.705555555498</v>
      </c>
      <c r="N2064" s="111">
        <f ca="1">IFERROR(__xludf.DUMMYFUNCTION("""COMPUTED_VALUE"""),23.2)</f>
        <v>23.2</v>
      </c>
      <c r="O2064" s="112">
        <f ca="1">IFERROR(__xludf.DUMMYFUNCTION("""COMPUTED_VALUE"""),43298.7055555555)</f>
        <v>43298.705555555498</v>
      </c>
      <c r="P2064" s="111">
        <f ca="1">IFERROR(__xludf.DUMMYFUNCTION("""COMPUTED_VALUE"""),50.7)</f>
        <v>50.7</v>
      </c>
      <c r="Q2064" s="112">
        <f ca="1">IFERROR(__xludf.DUMMYFUNCTION("""COMPUTED_VALUE"""),43297.7055555555)</f>
        <v>43297.705555555498</v>
      </c>
      <c r="R2064" s="111">
        <f ca="1">IFERROR(__xludf.DUMMYFUNCTION("""COMPUTED_VALUE"""),30.79)</f>
        <v>30.79</v>
      </c>
      <c r="S2064" s="112">
        <f ca="1">IFERROR(__xludf.DUMMYFUNCTION("""COMPUTED_VALUE"""),43307.7055555555)</f>
        <v>43307.705555555498</v>
      </c>
      <c r="T2064" s="111">
        <f ca="1">IFERROR(__xludf.DUMMYFUNCTION("""COMPUTED_VALUE"""),26.11)</f>
        <v>26.11</v>
      </c>
    </row>
    <row r="2065" spans="1:20" x14ac:dyDescent="0.3">
      <c r="A2065" s="112">
        <f ca="1">IFERROR(__xludf.DUMMYFUNCTION("""COMPUTED_VALUE"""),43306.7055555555)</f>
        <v>43306.705555555498</v>
      </c>
      <c r="B2065" s="111">
        <f ca="1">IFERROR(__xludf.DUMMYFUNCTION("""COMPUTED_VALUE"""),17.72)</f>
        <v>17.72</v>
      </c>
      <c r="C2065" s="112">
        <f ca="1">IFERROR(__xludf.DUMMYFUNCTION("""COMPUTED_VALUE"""),43314.7055555555)</f>
        <v>43314.705555555498</v>
      </c>
      <c r="D2065" s="111">
        <f ca="1">IFERROR(__xludf.DUMMYFUNCTION("""COMPUTED_VALUE"""),30.47)</f>
        <v>30.47</v>
      </c>
      <c r="E2065" s="112">
        <f ca="1">IFERROR(__xludf.DUMMYFUNCTION("""COMPUTED_VALUE"""),43315.7055555555)</f>
        <v>43315.705555555498</v>
      </c>
      <c r="F2065" s="111">
        <f ca="1">IFERROR(__xludf.DUMMYFUNCTION("""COMPUTED_VALUE"""),10.5)</f>
        <v>10.5</v>
      </c>
      <c r="G2065" s="112">
        <f ca="1">IFERROR(__xludf.DUMMYFUNCTION("""COMPUTED_VALUE"""),43312.7055555555)</f>
        <v>43312.705555555498</v>
      </c>
      <c r="H2065" s="111">
        <f ca="1">IFERROR(__xludf.DUMMYFUNCTION("""COMPUTED_VALUE"""),19.72)</f>
        <v>19.72</v>
      </c>
      <c r="K2065" s="112">
        <f ca="1">IFERROR(__xludf.DUMMYFUNCTION("""COMPUTED_VALUE"""),43762.7055555555)</f>
        <v>43762.705555555498</v>
      </c>
      <c r="L2065" s="111">
        <f ca="1">IFERROR(__xludf.DUMMYFUNCTION("""COMPUTED_VALUE"""),10.82)</f>
        <v>10.82</v>
      </c>
      <c r="M2065" s="112">
        <f ca="1">IFERROR(__xludf.DUMMYFUNCTION("""COMPUTED_VALUE"""),43223.7055555555)</f>
        <v>43223.705555555498</v>
      </c>
      <c r="N2065" s="111">
        <f ca="1">IFERROR(__xludf.DUMMYFUNCTION("""COMPUTED_VALUE"""),22.71)</f>
        <v>22.71</v>
      </c>
      <c r="O2065" s="112">
        <f ca="1">IFERROR(__xludf.DUMMYFUNCTION("""COMPUTED_VALUE"""),43299.7055555555)</f>
        <v>43299.705555555498</v>
      </c>
      <c r="P2065" s="111">
        <f ca="1">IFERROR(__xludf.DUMMYFUNCTION("""COMPUTED_VALUE"""),51.45)</f>
        <v>51.45</v>
      </c>
      <c r="Q2065" s="112">
        <f ca="1">IFERROR(__xludf.DUMMYFUNCTION("""COMPUTED_VALUE"""),43298.7055555555)</f>
        <v>43298.705555555498</v>
      </c>
      <c r="R2065" s="111">
        <f ca="1">IFERROR(__xludf.DUMMYFUNCTION("""COMPUTED_VALUE"""),31.82)</f>
        <v>31.82</v>
      </c>
      <c r="S2065" s="112">
        <f ca="1">IFERROR(__xludf.DUMMYFUNCTION("""COMPUTED_VALUE"""),43308.7055555555)</f>
        <v>43308.705555555498</v>
      </c>
      <c r="T2065" s="111">
        <f ca="1">IFERROR(__xludf.DUMMYFUNCTION("""COMPUTED_VALUE"""),25.25)</f>
        <v>25.25</v>
      </c>
    </row>
    <row r="2066" spans="1:20" x14ac:dyDescent="0.3">
      <c r="A2066" s="112">
        <f ca="1">IFERROR(__xludf.DUMMYFUNCTION("""COMPUTED_VALUE"""),43307.7055555555)</f>
        <v>43307.705555555498</v>
      </c>
      <c r="B2066" s="111">
        <f ca="1">IFERROR(__xludf.DUMMYFUNCTION("""COMPUTED_VALUE"""),16.66)</f>
        <v>16.66</v>
      </c>
      <c r="C2066" s="112">
        <f ca="1">IFERROR(__xludf.DUMMYFUNCTION("""COMPUTED_VALUE"""),43315.7055555555)</f>
        <v>43315.705555555498</v>
      </c>
      <c r="D2066" s="111">
        <f ca="1">IFERROR(__xludf.DUMMYFUNCTION("""COMPUTED_VALUE"""),31.2)</f>
        <v>31.2</v>
      </c>
      <c r="E2066" s="112">
        <f ca="1">IFERROR(__xludf.DUMMYFUNCTION("""COMPUTED_VALUE"""),43318.7055555555)</f>
        <v>43318.705555555498</v>
      </c>
      <c r="F2066" s="111">
        <f ca="1">IFERROR(__xludf.DUMMYFUNCTION("""COMPUTED_VALUE"""),10.35)</f>
        <v>10.35</v>
      </c>
      <c r="G2066" s="112">
        <f ca="1">IFERROR(__xludf.DUMMYFUNCTION("""COMPUTED_VALUE"""),43313.7055555555)</f>
        <v>43313.705555555498</v>
      </c>
      <c r="H2066" s="111">
        <f ca="1">IFERROR(__xludf.DUMMYFUNCTION("""COMPUTED_VALUE"""),20.01)</f>
        <v>20.010000000000002</v>
      </c>
      <c r="K2066" s="112">
        <f ca="1">IFERROR(__xludf.DUMMYFUNCTION("""COMPUTED_VALUE"""),43763.7055555555)</f>
        <v>43763.705555555498</v>
      </c>
      <c r="L2066" s="111">
        <f ca="1">IFERROR(__xludf.DUMMYFUNCTION("""COMPUTED_VALUE"""),10.5)</f>
        <v>10.5</v>
      </c>
      <c r="M2066" s="112">
        <f ca="1">IFERROR(__xludf.DUMMYFUNCTION("""COMPUTED_VALUE"""),43224.7055555555)</f>
        <v>43224.705555555498</v>
      </c>
      <c r="N2066" s="111">
        <f ca="1">IFERROR(__xludf.DUMMYFUNCTION("""COMPUTED_VALUE"""),22.73)</f>
        <v>22.73</v>
      </c>
      <c r="O2066" s="112">
        <f ca="1">IFERROR(__xludf.DUMMYFUNCTION("""COMPUTED_VALUE"""),43300.7055555555)</f>
        <v>43300.705555555498</v>
      </c>
      <c r="P2066" s="111">
        <f ca="1">IFERROR(__xludf.DUMMYFUNCTION("""COMPUTED_VALUE"""),49.43)</f>
        <v>49.43</v>
      </c>
      <c r="Q2066" s="112">
        <f ca="1">IFERROR(__xludf.DUMMYFUNCTION("""COMPUTED_VALUE"""),43299.7055555555)</f>
        <v>43299.705555555498</v>
      </c>
      <c r="R2066" s="111">
        <f ca="1">IFERROR(__xludf.DUMMYFUNCTION("""COMPUTED_VALUE"""),31.62)</f>
        <v>31.62</v>
      </c>
      <c r="S2066" s="112">
        <f ca="1">IFERROR(__xludf.DUMMYFUNCTION("""COMPUTED_VALUE"""),43311.7055555555)</f>
        <v>43311.705555555498</v>
      </c>
      <c r="T2066" s="111">
        <f ca="1">IFERROR(__xludf.DUMMYFUNCTION("""COMPUTED_VALUE"""),25.79)</f>
        <v>25.79</v>
      </c>
    </row>
    <row r="2067" spans="1:20" x14ac:dyDescent="0.3">
      <c r="A2067" s="112">
        <f ca="1">IFERROR(__xludf.DUMMYFUNCTION("""COMPUTED_VALUE"""),43308.7055555555)</f>
        <v>43308.705555555498</v>
      </c>
      <c r="B2067" s="111">
        <f ca="1">IFERROR(__xludf.DUMMYFUNCTION("""COMPUTED_VALUE"""),16.6)</f>
        <v>16.600000000000001</v>
      </c>
      <c r="C2067" s="112">
        <f ca="1">IFERROR(__xludf.DUMMYFUNCTION("""COMPUTED_VALUE"""),43318.7055555555)</f>
        <v>43318.705555555498</v>
      </c>
      <c r="D2067" s="111">
        <f ca="1">IFERROR(__xludf.DUMMYFUNCTION("""COMPUTED_VALUE"""),30.97)</f>
        <v>30.97</v>
      </c>
      <c r="E2067" s="112">
        <f ca="1">IFERROR(__xludf.DUMMYFUNCTION("""COMPUTED_VALUE"""),43319.7055555555)</f>
        <v>43319.705555555498</v>
      </c>
      <c r="F2067" s="111">
        <f ca="1">IFERROR(__xludf.DUMMYFUNCTION("""COMPUTED_VALUE"""),10.33)</f>
        <v>10.33</v>
      </c>
      <c r="G2067" s="112">
        <f ca="1">IFERROR(__xludf.DUMMYFUNCTION("""COMPUTED_VALUE"""),43314.7055555555)</f>
        <v>43314.705555555498</v>
      </c>
      <c r="H2067" s="111">
        <f ca="1">IFERROR(__xludf.DUMMYFUNCTION("""COMPUTED_VALUE"""),20.41)</f>
        <v>20.41</v>
      </c>
      <c r="K2067" s="112">
        <f ca="1">IFERROR(__xludf.DUMMYFUNCTION("""COMPUTED_VALUE"""),43766.7055555555)</f>
        <v>43766.705555555498</v>
      </c>
      <c r="L2067" s="111">
        <f ca="1">IFERROR(__xludf.DUMMYFUNCTION("""COMPUTED_VALUE"""),10.67)</f>
        <v>10.67</v>
      </c>
      <c r="M2067" s="112">
        <f ca="1">IFERROR(__xludf.DUMMYFUNCTION("""COMPUTED_VALUE"""),43227.7055555555)</f>
        <v>43227.705555555498</v>
      </c>
      <c r="N2067" s="111">
        <f ca="1">IFERROR(__xludf.DUMMYFUNCTION("""COMPUTED_VALUE"""),22.52)</f>
        <v>22.52</v>
      </c>
      <c r="O2067" s="112">
        <f ca="1">IFERROR(__xludf.DUMMYFUNCTION("""COMPUTED_VALUE"""),43301.7055555555)</f>
        <v>43301.705555555498</v>
      </c>
      <c r="P2067" s="111">
        <f ca="1">IFERROR(__xludf.DUMMYFUNCTION("""COMPUTED_VALUE"""),48.72)</f>
        <v>48.72</v>
      </c>
      <c r="Q2067" s="112">
        <f ca="1">IFERROR(__xludf.DUMMYFUNCTION("""COMPUTED_VALUE"""),43300.7055555555)</f>
        <v>43300.705555555498</v>
      </c>
      <c r="R2067" s="111">
        <f ca="1">IFERROR(__xludf.DUMMYFUNCTION("""COMPUTED_VALUE"""),31.34)</f>
        <v>31.34</v>
      </c>
      <c r="S2067" s="112">
        <f ca="1">IFERROR(__xludf.DUMMYFUNCTION("""COMPUTED_VALUE"""),43312.7055555555)</f>
        <v>43312.705555555498</v>
      </c>
      <c r="T2067" s="111">
        <f ca="1">IFERROR(__xludf.DUMMYFUNCTION("""COMPUTED_VALUE"""),25.52)</f>
        <v>25.52</v>
      </c>
    </row>
    <row r="2068" spans="1:20" x14ac:dyDescent="0.3">
      <c r="A2068" s="112">
        <f ca="1">IFERROR(__xludf.DUMMYFUNCTION("""COMPUTED_VALUE"""),43311.7055555555)</f>
        <v>43311.705555555498</v>
      </c>
      <c r="B2068" s="111">
        <f ca="1">IFERROR(__xludf.DUMMYFUNCTION("""COMPUTED_VALUE"""),16.51)</f>
        <v>16.510000000000002</v>
      </c>
      <c r="C2068" s="112">
        <f ca="1">IFERROR(__xludf.DUMMYFUNCTION("""COMPUTED_VALUE"""),43319.7055555555)</f>
        <v>43319.705555555498</v>
      </c>
      <c r="D2068" s="111">
        <f ca="1">IFERROR(__xludf.DUMMYFUNCTION("""COMPUTED_VALUE"""),30.79)</f>
        <v>30.79</v>
      </c>
      <c r="E2068" s="112">
        <f ca="1">IFERROR(__xludf.DUMMYFUNCTION("""COMPUTED_VALUE"""),43320.7055555555)</f>
        <v>43320.705555555498</v>
      </c>
      <c r="F2068" s="111">
        <f ca="1">IFERROR(__xludf.DUMMYFUNCTION("""COMPUTED_VALUE"""),10.11)</f>
        <v>10.11</v>
      </c>
      <c r="G2068" s="112">
        <f ca="1">IFERROR(__xludf.DUMMYFUNCTION("""COMPUTED_VALUE"""),43315.7055555555)</f>
        <v>43315.705555555498</v>
      </c>
      <c r="H2068" s="111">
        <f ca="1">IFERROR(__xludf.DUMMYFUNCTION("""COMPUTED_VALUE"""),21.11)</f>
        <v>21.11</v>
      </c>
      <c r="K2068" s="112">
        <f ca="1">IFERROR(__xludf.DUMMYFUNCTION("""COMPUTED_VALUE"""),43767.7055555555)</f>
        <v>43767.705555555498</v>
      </c>
      <c r="L2068" s="111">
        <f ca="1">IFERROR(__xludf.DUMMYFUNCTION("""COMPUTED_VALUE"""),10.29)</f>
        <v>10.29</v>
      </c>
      <c r="M2068" s="112">
        <f ca="1">IFERROR(__xludf.DUMMYFUNCTION("""COMPUTED_VALUE"""),43228.7055555555)</f>
        <v>43228.705555555498</v>
      </c>
      <c r="N2068" s="111">
        <f ca="1">IFERROR(__xludf.DUMMYFUNCTION("""COMPUTED_VALUE"""),22.4)</f>
        <v>22.4</v>
      </c>
      <c r="O2068" s="112">
        <f ca="1">IFERROR(__xludf.DUMMYFUNCTION("""COMPUTED_VALUE"""),43304.7055555555)</f>
        <v>43304.705555555498</v>
      </c>
      <c r="P2068" s="111">
        <f ca="1">IFERROR(__xludf.DUMMYFUNCTION("""COMPUTED_VALUE"""),49.6)</f>
        <v>49.6</v>
      </c>
      <c r="Q2068" s="112">
        <f ca="1">IFERROR(__xludf.DUMMYFUNCTION("""COMPUTED_VALUE"""),43301.7055555555)</f>
        <v>43301.705555555498</v>
      </c>
      <c r="R2068" s="111">
        <f ca="1">IFERROR(__xludf.DUMMYFUNCTION("""COMPUTED_VALUE"""),33)</f>
        <v>33</v>
      </c>
      <c r="S2068" s="112">
        <f ca="1">IFERROR(__xludf.DUMMYFUNCTION("""COMPUTED_VALUE"""),43313.7055555555)</f>
        <v>43313.705555555498</v>
      </c>
      <c r="T2068" s="111">
        <f ca="1">IFERROR(__xludf.DUMMYFUNCTION("""COMPUTED_VALUE"""),25.55)</f>
        <v>25.55</v>
      </c>
    </row>
    <row r="2069" spans="1:20" x14ac:dyDescent="0.3">
      <c r="A2069" s="112">
        <f ca="1">IFERROR(__xludf.DUMMYFUNCTION("""COMPUTED_VALUE"""),43312.7055555555)</f>
        <v>43312.705555555498</v>
      </c>
      <c r="B2069" s="111">
        <f ca="1">IFERROR(__xludf.DUMMYFUNCTION("""COMPUTED_VALUE"""),17.08)</f>
        <v>17.079999999999998</v>
      </c>
      <c r="C2069" s="112">
        <f ca="1">IFERROR(__xludf.DUMMYFUNCTION("""COMPUTED_VALUE"""),43320.7055555555)</f>
        <v>43320.705555555498</v>
      </c>
      <c r="D2069" s="111">
        <f ca="1">IFERROR(__xludf.DUMMYFUNCTION("""COMPUTED_VALUE"""),30.07)</f>
        <v>30.07</v>
      </c>
      <c r="E2069" s="112">
        <f ca="1">IFERROR(__xludf.DUMMYFUNCTION("""COMPUTED_VALUE"""),43321.7055555555)</f>
        <v>43321.705555555498</v>
      </c>
      <c r="F2069" s="111">
        <f ca="1">IFERROR(__xludf.DUMMYFUNCTION("""COMPUTED_VALUE"""),9.91)</f>
        <v>9.91</v>
      </c>
      <c r="G2069" s="112">
        <f ca="1">IFERROR(__xludf.DUMMYFUNCTION("""COMPUTED_VALUE"""),43318.7055555555)</f>
        <v>43318.705555555498</v>
      </c>
      <c r="H2069" s="111">
        <f ca="1">IFERROR(__xludf.DUMMYFUNCTION("""COMPUTED_VALUE"""),21.04)</f>
        <v>21.04</v>
      </c>
      <c r="K2069" s="112">
        <f ca="1">IFERROR(__xludf.DUMMYFUNCTION("""COMPUTED_VALUE"""),43768.7055555555)</f>
        <v>43768.705555555498</v>
      </c>
      <c r="L2069" s="111">
        <f ca="1">IFERROR(__xludf.DUMMYFUNCTION("""COMPUTED_VALUE"""),11.01)</f>
        <v>11.01</v>
      </c>
      <c r="M2069" s="112">
        <f ca="1">IFERROR(__xludf.DUMMYFUNCTION("""COMPUTED_VALUE"""),43229.7055555555)</f>
        <v>43229.705555555498</v>
      </c>
      <c r="N2069" s="111">
        <f ca="1">IFERROR(__xludf.DUMMYFUNCTION("""COMPUTED_VALUE"""),22.58)</f>
        <v>22.58</v>
      </c>
      <c r="O2069" s="112">
        <f ca="1">IFERROR(__xludf.DUMMYFUNCTION("""COMPUTED_VALUE"""),43305.7055555555)</f>
        <v>43305.705555555498</v>
      </c>
      <c r="P2069" s="111">
        <f ca="1">IFERROR(__xludf.DUMMYFUNCTION("""COMPUTED_VALUE"""),51.31)</f>
        <v>51.31</v>
      </c>
      <c r="Q2069" s="112">
        <f ca="1">IFERROR(__xludf.DUMMYFUNCTION("""COMPUTED_VALUE"""),43304.7055555555)</f>
        <v>43304.705555555498</v>
      </c>
      <c r="R2069" s="111">
        <f ca="1">IFERROR(__xludf.DUMMYFUNCTION("""COMPUTED_VALUE"""),32.78)</f>
        <v>32.78</v>
      </c>
      <c r="S2069" s="112">
        <f ca="1">IFERROR(__xludf.DUMMYFUNCTION("""COMPUTED_VALUE"""),43314.7055555555)</f>
        <v>43314.705555555498</v>
      </c>
      <c r="T2069" s="111">
        <f ca="1">IFERROR(__xludf.DUMMYFUNCTION("""COMPUTED_VALUE"""),25.16)</f>
        <v>25.16</v>
      </c>
    </row>
    <row r="2070" spans="1:20" x14ac:dyDescent="0.3">
      <c r="A2070" s="112">
        <f ca="1">IFERROR(__xludf.DUMMYFUNCTION("""COMPUTED_VALUE"""),43313.7055555555)</f>
        <v>43313.705555555498</v>
      </c>
      <c r="B2070" s="111">
        <f ca="1">IFERROR(__xludf.DUMMYFUNCTION("""COMPUTED_VALUE"""),17.26)</f>
        <v>17.260000000000002</v>
      </c>
      <c r="C2070" s="112">
        <f ca="1">IFERROR(__xludf.DUMMYFUNCTION("""COMPUTED_VALUE"""),43321.7055555555)</f>
        <v>43321.705555555498</v>
      </c>
      <c r="D2070" s="111">
        <f ca="1">IFERROR(__xludf.DUMMYFUNCTION("""COMPUTED_VALUE"""),29.91)</f>
        <v>29.91</v>
      </c>
      <c r="E2070" s="112">
        <f ca="1">IFERROR(__xludf.DUMMYFUNCTION("""COMPUTED_VALUE"""),43322.7055555555)</f>
        <v>43322.705555555498</v>
      </c>
      <c r="F2070" s="111">
        <f ca="1">IFERROR(__xludf.DUMMYFUNCTION("""COMPUTED_VALUE"""),9.53)</f>
        <v>9.5299999999999994</v>
      </c>
      <c r="G2070" s="112">
        <f ca="1">IFERROR(__xludf.DUMMYFUNCTION("""COMPUTED_VALUE"""),43319.7055555555)</f>
        <v>43319.705555555498</v>
      </c>
      <c r="H2070" s="111">
        <f ca="1">IFERROR(__xludf.DUMMYFUNCTION("""COMPUTED_VALUE"""),20.71)</f>
        <v>20.71</v>
      </c>
      <c r="K2070" s="112">
        <f ca="1">IFERROR(__xludf.DUMMYFUNCTION("""COMPUTED_VALUE"""),43769.7055555555)</f>
        <v>43769.705555555498</v>
      </c>
      <c r="L2070" s="111">
        <f ca="1">IFERROR(__xludf.DUMMYFUNCTION("""COMPUTED_VALUE"""),11.16)</f>
        <v>11.16</v>
      </c>
      <c r="M2070" s="112">
        <f ca="1">IFERROR(__xludf.DUMMYFUNCTION("""COMPUTED_VALUE"""),43230.7055555555)</f>
        <v>43230.705555555498</v>
      </c>
      <c r="N2070" s="111">
        <f ca="1">IFERROR(__xludf.DUMMYFUNCTION("""COMPUTED_VALUE"""),23.04)</f>
        <v>23.04</v>
      </c>
      <c r="O2070" s="112">
        <f ca="1">IFERROR(__xludf.DUMMYFUNCTION("""COMPUTED_VALUE"""),43306.7055555555)</f>
        <v>43306.705555555498</v>
      </c>
      <c r="P2070" s="111">
        <f ca="1">IFERROR(__xludf.DUMMYFUNCTION("""COMPUTED_VALUE"""),51.75)</f>
        <v>51.75</v>
      </c>
      <c r="Q2070" s="112">
        <f ca="1">IFERROR(__xludf.DUMMYFUNCTION("""COMPUTED_VALUE"""),43305.7055555555)</f>
        <v>43305.705555555498</v>
      </c>
      <c r="R2070" s="111">
        <f ca="1">IFERROR(__xludf.DUMMYFUNCTION("""COMPUTED_VALUE"""),33.04)</f>
        <v>33.04</v>
      </c>
      <c r="S2070" s="112">
        <f ca="1">IFERROR(__xludf.DUMMYFUNCTION("""COMPUTED_VALUE"""),43315.7055555555)</f>
        <v>43315.705555555498</v>
      </c>
      <c r="T2070" s="111">
        <f ca="1">IFERROR(__xludf.DUMMYFUNCTION("""COMPUTED_VALUE"""),25.84)</f>
        <v>25.84</v>
      </c>
    </row>
    <row r="2071" spans="1:20" x14ac:dyDescent="0.3">
      <c r="A2071" s="112">
        <f ca="1">IFERROR(__xludf.DUMMYFUNCTION("""COMPUTED_VALUE"""),43314.7055555555)</f>
        <v>43314.705555555498</v>
      </c>
      <c r="B2071" s="111">
        <f ca="1">IFERROR(__xludf.DUMMYFUNCTION("""COMPUTED_VALUE"""),17.06)</f>
        <v>17.059999999999999</v>
      </c>
      <c r="C2071" s="112">
        <f ca="1">IFERROR(__xludf.DUMMYFUNCTION("""COMPUTED_VALUE"""),43322.7055555555)</f>
        <v>43322.705555555498</v>
      </c>
      <c r="D2071" s="111">
        <f ca="1">IFERROR(__xludf.DUMMYFUNCTION("""COMPUTED_VALUE"""),28.82)</f>
        <v>28.82</v>
      </c>
      <c r="E2071" s="112">
        <f ca="1">IFERROR(__xludf.DUMMYFUNCTION("""COMPUTED_VALUE"""),43325.7055555555)</f>
        <v>43325.705555555498</v>
      </c>
      <c r="F2071" s="111">
        <f ca="1">IFERROR(__xludf.DUMMYFUNCTION("""COMPUTED_VALUE"""),9.49)</f>
        <v>9.49</v>
      </c>
      <c r="G2071" s="112">
        <f ca="1">IFERROR(__xludf.DUMMYFUNCTION("""COMPUTED_VALUE"""),43320.7055555555)</f>
        <v>43320.705555555498</v>
      </c>
      <c r="H2071" s="111">
        <f ca="1">IFERROR(__xludf.DUMMYFUNCTION("""COMPUTED_VALUE"""),20.14)</f>
        <v>20.14</v>
      </c>
      <c r="K2071" s="112">
        <f ca="1">IFERROR(__xludf.DUMMYFUNCTION("""COMPUTED_VALUE"""),43770.7055555555)</f>
        <v>43770.705555555498</v>
      </c>
      <c r="L2071" s="111">
        <f ca="1">IFERROR(__xludf.DUMMYFUNCTION("""COMPUTED_VALUE"""),11.8)</f>
        <v>11.8</v>
      </c>
      <c r="M2071" s="112">
        <f ca="1">IFERROR(__xludf.DUMMYFUNCTION("""COMPUTED_VALUE"""),43231.7055555555)</f>
        <v>43231.705555555498</v>
      </c>
      <c r="N2071" s="111">
        <f ca="1">IFERROR(__xludf.DUMMYFUNCTION("""COMPUTED_VALUE"""),22.62)</f>
        <v>22.62</v>
      </c>
      <c r="O2071" s="112">
        <f ca="1">IFERROR(__xludf.DUMMYFUNCTION("""COMPUTED_VALUE"""),43307.7055555555)</f>
        <v>43307.705555555498</v>
      </c>
      <c r="P2071" s="111">
        <f ca="1">IFERROR(__xludf.DUMMYFUNCTION("""COMPUTED_VALUE"""),52.78)</f>
        <v>52.78</v>
      </c>
      <c r="Q2071" s="112">
        <f ca="1">IFERROR(__xludf.DUMMYFUNCTION("""COMPUTED_VALUE"""),43306.7055555555)</f>
        <v>43306.705555555498</v>
      </c>
      <c r="R2071" s="111">
        <f ca="1">IFERROR(__xludf.DUMMYFUNCTION("""COMPUTED_VALUE"""),33.57)</f>
        <v>33.57</v>
      </c>
      <c r="S2071" s="112">
        <f ca="1">IFERROR(__xludf.DUMMYFUNCTION("""COMPUTED_VALUE"""),43318.7055555555)</f>
        <v>43318.705555555498</v>
      </c>
      <c r="T2071" s="111">
        <f ca="1">IFERROR(__xludf.DUMMYFUNCTION("""COMPUTED_VALUE"""),25.76)</f>
        <v>25.76</v>
      </c>
    </row>
    <row r="2072" spans="1:20" x14ac:dyDescent="0.3">
      <c r="A2072" s="112">
        <f ca="1">IFERROR(__xludf.DUMMYFUNCTION("""COMPUTED_VALUE"""),43315.7055555555)</f>
        <v>43315.705555555498</v>
      </c>
      <c r="B2072" s="111">
        <f ca="1">IFERROR(__xludf.DUMMYFUNCTION("""COMPUTED_VALUE"""),17.65)</f>
        <v>17.649999999999999</v>
      </c>
      <c r="C2072" s="112">
        <f ca="1">IFERROR(__xludf.DUMMYFUNCTION("""COMPUTED_VALUE"""),43325.7055555555)</f>
        <v>43325.705555555498</v>
      </c>
      <c r="D2072" s="111">
        <f ca="1">IFERROR(__xludf.DUMMYFUNCTION("""COMPUTED_VALUE"""),29.05)</f>
        <v>29.05</v>
      </c>
      <c r="E2072" s="112">
        <f ca="1">IFERROR(__xludf.DUMMYFUNCTION("""COMPUTED_VALUE"""),43326.7055555555)</f>
        <v>43326.705555555498</v>
      </c>
      <c r="F2072" s="111">
        <f ca="1">IFERROR(__xludf.DUMMYFUNCTION("""COMPUTED_VALUE"""),9.71)</f>
        <v>9.7100000000000009</v>
      </c>
      <c r="G2072" s="112">
        <f ca="1">IFERROR(__xludf.DUMMYFUNCTION("""COMPUTED_VALUE"""),43321.7055555555)</f>
        <v>43321.705555555498</v>
      </c>
      <c r="H2072" s="111">
        <f ca="1">IFERROR(__xludf.DUMMYFUNCTION("""COMPUTED_VALUE"""),20.34)</f>
        <v>20.34</v>
      </c>
      <c r="K2072" s="112">
        <f ca="1">IFERROR(__xludf.DUMMYFUNCTION("""COMPUTED_VALUE"""),43773.7055555555)</f>
        <v>43773.705555555498</v>
      </c>
      <c r="L2072" s="111">
        <f ca="1">IFERROR(__xludf.DUMMYFUNCTION("""COMPUTED_VALUE"""),11.25)</f>
        <v>11.25</v>
      </c>
      <c r="M2072" s="112">
        <f ca="1">IFERROR(__xludf.DUMMYFUNCTION("""COMPUTED_VALUE"""),43234.7055555555)</f>
        <v>43234.705555555498</v>
      </c>
      <c r="N2072" s="111">
        <f ca="1">IFERROR(__xludf.DUMMYFUNCTION("""COMPUTED_VALUE"""),22.3)</f>
        <v>22.3</v>
      </c>
      <c r="O2072" s="112">
        <f ca="1">IFERROR(__xludf.DUMMYFUNCTION("""COMPUTED_VALUE"""),43308.7055555555)</f>
        <v>43308.705555555498</v>
      </c>
      <c r="P2072" s="111">
        <f ca="1">IFERROR(__xludf.DUMMYFUNCTION("""COMPUTED_VALUE"""),53.45)</f>
        <v>53.45</v>
      </c>
      <c r="Q2072" s="112">
        <f ca="1">IFERROR(__xludf.DUMMYFUNCTION("""COMPUTED_VALUE"""),43307.7055555555)</f>
        <v>43307.705555555498</v>
      </c>
      <c r="R2072" s="111">
        <f ca="1">IFERROR(__xludf.DUMMYFUNCTION("""COMPUTED_VALUE"""),32.48)</f>
        <v>32.479999999999997</v>
      </c>
      <c r="S2072" s="112">
        <f ca="1">IFERROR(__xludf.DUMMYFUNCTION("""COMPUTED_VALUE"""),43319.7055555555)</f>
        <v>43319.705555555498</v>
      </c>
      <c r="T2072" s="111">
        <f ca="1">IFERROR(__xludf.DUMMYFUNCTION("""COMPUTED_VALUE"""),25.74)</f>
        <v>25.74</v>
      </c>
    </row>
    <row r="2073" spans="1:20" x14ac:dyDescent="0.3">
      <c r="A2073" s="112">
        <f ca="1">IFERROR(__xludf.DUMMYFUNCTION("""COMPUTED_VALUE"""),43318.7055555555)</f>
        <v>43318.705555555498</v>
      </c>
      <c r="B2073" s="111">
        <f ca="1">IFERROR(__xludf.DUMMYFUNCTION("""COMPUTED_VALUE"""),16.91)</f>
        <v>16.91</v>
      </c>
      <c r="C2073" s="112">
        <f ca="1">IFERROR(__xludf.DUMMYFUNCTION("""COMPUTED_VALUE"""),43326.7055555555)</f>
        <v>43326.705555555498</v>
      </c>
      <c r="D2073" s="111">
        <f ca="1">IFERROR(__xludf.DUMMYFUNCTION("""COMPUTED_VALUE"""),29.65)</f>
        <v>29.65</v>
      </c>
      <c r="E2073" s="112">
        <f ca="1">IFERROR(__xludf.DUMMYFUNCTION("""COMPUTED_VALUE"""),43327.7055555555)</f>
        <v>43327.705555555498</v>
      </c>
      <c r="F2073" s="111">
        <f ca="1">IFERROR(__xludf.DUMMYFUNCTION("""COMPUTED_VALUE"""),9.7)</f>
        <v>9.6999999999999993</v>
      </c>
      <c r="G2073" s="112">
        <f ca="1">IFERROR(__xludf.DUMMYFUNCTION("""COMPUTED_VALUE"""),43322.7055555555)</f>
        <v>43322.705555555498</v>
      </c>
      <c r="H2073" s="111">
        <f ca="1">IFERROR(__xludf.DUMMYFUNCTION("""COMPUTED_VALUE"""),19.59)</f>
        <v>19.59</v>
      </c>
      <c r="K2073" s="112">
        <f ca="1">IFERROR(__xludf.DUMMYFUNCTION("""COMPUTED_VALUE"""),43774.7055555555)</f>
        <v>43774.705555555498</v>
      </c>
      <c r="L2073" s="111">
        <f ca="1">IFERROR(__xludf.DUMMYFUNCTION("""COMPUTED_VALUE"""),11.01)</f>
        <v>11.01</v>
      </c>
      <c r="M2073" s="112">
        <f ca="1">IFERROR(__xludf.DUMMYFUNCTION("""COMPUTED_VALUE"""),43235.7055555555)</f>
        <v>43235.705555555498</v>
      </c>
      <c r="N2073" s="111">
        <f ca="1">IFERROR(__xludf.DUMMYFUNCTION("""COMPUTED_VALUE"""),22.17)</f>
        <v>22.17</v>
      </c>
      <c r="O2073" s="112">
        <f ca="1">IFERROR(__xludf.DUMMYFUNCTION("""COMPUTED_VALUE"""),43311.7055555555)</f>
        <v>43311.705555555498</v>
      </c>
      <c r="P2073" s="111">
        <f ca="1">IFERROR(__xludf.DUMMYFUNCTION("""COMPUTED_VALUE"""),54.33)</f>
        <v>54.33</v>
      </c>
      <c r="Q2073" s="112">
        <f ca="1">IFERROR(__xludf.DUMMYFUNCTION("""COMPUTED_VALUE"""),43308.7055555555)</f>
        <v>43308.705555555498</v>
      </c>
      <c r="R2073" s="111">
        <f ca="1">IFERROR(__xludf.DUMMYFUNCTION("""COMPUTED_VALUE"""),32.88)</f>
        <v>32.880000000000003</v>
      </c>
      <c r="S2073" s="112">
        <f ca="1">IFERROR(__xludf.DUMMYFUNCTION("""COMPUTED_VALUE"""),43320.7055555555)</f>
        <v>43320.705555555498</v>
      </c>
      <c r="T2073" s="111">
        <f ca="1">IFERROR(__xludf.DUMMYFUNCTION("""COMPUTED_VALUE"""),25.66)</f>
        <v>25.66</v>
      </c>
    </row>
    <row r="2074" spans="1:20" x14ac:dyDescent="0.3">
      <c r="A2074" s="112">
        <f ca="1">IFERROR(__xludf.DUMMYFUNCTION("""COMPUTED_VALUE"""),43319.7055555555)</f>
        <v>43319.705555555498</v>
      </c>
      <c r="B2074" s="111">
        <f ca="1">IFERROR(__xludf.DUMMYFUNCTION("""COMPUTED_VALUE"""),16.14)</f>
        <v>16.14</v>
      </c>
      <c r="C2074" s="112">
        <f ca="1">IFERROR(__xludf.DUMMYFUNCTION("""COMPUTED_VALUE"""),43327.7055555555)</f>
        <v>43327.705555555498</v>
      </c>
      <c r="D2074" s="111">
        <f ca="1">IFERROR(__xludf.DUMMYFUNCTION("""COMPUTED_VALUE"""),29.45)</f>
        <v>29.45</v>
      </c>
      <c r="E2074" s="112">
        <f ca="1">IFERROR(__xludf.DUMMYFUNCTION("""COMPUTED_VALUE"""),43328.7055555555)</f>
        <v>43328.705555555498</v>
      </c>
      <c r="F2074" s="111">
        <f ca="1">IFERROR(__xludf.DUMMYFUNCTION("""COMPUTED_VALUE"""),9.6)</f>
        <v>9.6</v>
      </c>
      <c r="G2074" s="112">
        <f ca="1">IFERROR(__xludf.DUMMYFUNCTION("""COMPUTED_VALUE"""),43325.7055555555)</f>
        <v>43325.705555555498</v>
      </c>
      <c r="H2074" s="111">
        <f ca="1">IFERROR(__xludf.DUMMYFUNCTION("""COMPUTED_VALUE"""),20.04)</f>
        <v>20.04</v>
      </c>
      <c r="K2074" s="112">
        <f ca="1">IFERROR(__xludf.DUMMYFUNCTION("""COMPUTED_VALUE"""),43775.7055555555)</f>
        <v>43775.705555555498</v>
      </c>
      <c r="L2074" s="111">
        <f ca="1">IFERROR(__xludf.DUMMYFUNCTION("""COMPUTED_VALUE"""),11.3)</f>
        <v>11.3</v>
      </c>
      <c r="M2074" s="112">
        <f ca="1">IFERROR(__xludf.DUMMYFUNCTION("""COMPUTED_VALUE"""),43236.7055555555)</f>
        <v>43236.705555555498</v>
      </c>
      <c r="N2074" s="111">
        <f ca="1">IFERROR(__xludf.DUMMYFUNCTION("""COMPUTED_VALUE"""),22.53)</f>
        <v>22.53</v>
      </c>
      <c r="O2074" s="112">
        <f ca="1">IFERROR(__xludf.DUMMYFUNCTION("""COMPUTED_VALUE"""),43312.7055555555)</f>
        <v>43312.705555555498</v>
      </c>
      <c r="P2074" s="111">
        <f ca="1">IFERROR(__xludf.DUMMYFUNCTION("""COMPUTED_VALUE"""),54.84)</f>
        <v>54.84</v>
      </c>
      <c r="Q2074" s="112">
        <f ca="1">IFERROR(__xludf.DUMMYFUNCTION("""COMPUTED_VALUE"""),43311.7055555555)</f>
        <v>43311.705555555498</v>
      </c>
      <c r="R2074" s="111">
        <f ca="1">IFERROR(__xludf.DUMMYFUNCTION("""COMPUTED_VALUE"""),32.89)</f>
        <v>32.89</v>
      </c>
      <c r="S2074" s="112">
        <f ca="1">IFERROR(__xludf.DUMMYFUNCTION("""COMPUTED_VALUE"""),43321.7055555555)</f>
        <v>43321.705555555498</v>
      </c>
      <c r="T2074" s="111">
        <f ca="1">IFERROR(__xludf.DUMMYFUNCTION("""COMPUTED_VALUE"""),25.31)</f>
        <v>25.31</v>
      </c>
    </row>
    <row r="2075" spans="1:20" x14ac:dyDescent="0.3">
      <c r="A2075" s="112">
        <f ca="1">IFERROR(__xludf.DUMMYFUNCTION("""COMPUTED_VALUE"""),43320.7055555555)</f>
        <v>43320.705555555498</v>
      </c>
      <c r="B2075" s="111">
        <f ca="1">IFERROR(__xludf.DUMMYFUNCTION("""COMPUTED_VALUE"""),16.04)</f>
        <v>16.04</v>
      </c>
      <c r="C2075" s="112">
        <f ca="1">IFERROR(__xludf.DUMMYFUNCTION("""COMPUTED_VALUE"""),43328.7055555555)</f>
        <v>43328.705555555498</v>
      </c>
      <c r="D2075" s="111">
        <f ca="1">IFERROR(__xludf.DUMMYFUNCTION("""COMPUTED_VALUE"""),29.41)</f>
        <v>29.41</v>
      </c>
      <c r="E2075" s="112">
        <f ca="1">IFERROR(__xludf.DUMMYFUNCTION("""COMPUTED_VALUE"""),43329.7055555555)</f>
        <v>43329.705555555498</v>
      </c>
      <c r="F2075" s="111">
        <f ca="1">IFERROR(__xludf.DUMMYFUNCTION("""COMPUTED_VALUE"""),9.48)</f>
        <v>9.48</v>
      </c>
      <c r="G2075" s="112">
        <f ca="1">IFERROR(__xludf.DUMMYFUNCTION("""COMPUTED_VALUE"""),43326.7055555555)</f>
        <v>43326.705555555498</v>
      </c>
      <c r="H2075" s="111">
        <f ca="1">IFERROR(__xludf.DUMMYFUNCTION("""COMPUTED_VALUE"""),19.98)</f>
        <v>19.98</v>
      </c>
      <c r="K2075" s="112">
        <f ca="1">IFERROR(__xludf.DUMMYFUNCTION("""COMPUTED_VALUE"""),43776.7055555555)</f>
        <v>43776.705555555498</v>
      </c>
      <c r="L2075" s="111">
        <f ca="1">IFERROR(__xludf.DUMMYFUNCTION("""COMPUTED_VALUE"""),11.05)</f>
        <v>11.05</v>
      </c>
      <c r="M2075" s="112">
        <f ca="1">IFERROR(__xludf.DUMMYFUNCTION("""COMPUTED_VALUE"""),43237.7055555555)</f>
        <v>43237.705555555498</v>
      </c>
      <c r="N2075" s="111">
        <f ca="1">IFERROR(__xludf.DUMMYFUNCTION("""COMPUTED_VALUE"""),21.59)</f>
        <v>21.59</v>
      </c>
      <c r="O2075" s="112">
        <f ca="1">IFERROR(__xludf.DUMMYFUNCTION("""COMPUTED_VALUE"""),43313.7055555555)</f>
        <v>43313.705555555498</v>
      </c>
      <c r="P2075" s="111">
        <f ca="1">IFERROR(__xludf.DUMMYFUNCTION("""COMPUTED_VALUE"""),53.06)</f>
        <v>53.06</v>
      </c>
      <c r="Q2075" s="112">
        <f ca="1">IFERROR(__xludf.DUMMYFUNCTION("""COMPUTED_VALUE"""),43312.7055555555)</f>
        <v>43312.705555555498</v>
      </c>
      <c r="R2075" s="111">
        <f ca="1">IFERROR(__xludf.DUMMYFUNCTION("""COMPUTED_VALUE"""),32.5)</f>
        <v>32.5</v>
      </c>
      <c r="S2075" s="112">
        <f ca="1">IFERROR(__xludf.DUMMYFUNCTION("""COMPUTED_VALUE"""),43322.7055555555)</f>
        <v>43322.705555555498</v>
      </c>
      <c r="T2075" s="111">
        <f ca="1">IFERROR(__xludf.DUMMYFUNCTION("""COMPUTED_VALUE"""),24.43)</f>
        <v>24.43</v>
      </c>
    </row>
    <row r="2076" spans="1:20" x14ac:dyDescent="0.3">
      <c r="A2076" s="112">
        <f ca="1">IFERROR(__xludf.DUMMYFUNCTION("""COMPUTED_VALUE"""),43321.7055555555)</f>
        <v>43321.705555555498</v>
      </c>
      <c r="B2076" s="111">
        <f ca="1">IFERROR(__xludf.DUMMYFUNCTION("""COMPUTED_VALUE"""),15.82)</f>
        <v>15.82</v>
      </c>
      <c r="C2076" s="112">
        <f ca="1">IFERROR(__xludf.DUMMYFUNCTION("""COMPUTED_VALUE"""),43329.7055555555)</f>
        <v>43329.705555555498</v>
      </c>
      <c r="D2076" s="111">
        <f ca="1">IFERROR(__xludf.DUMMYFUNCTION("""COMPUTED_VALUE"""),28.65)</f>
        <v>28.65</v>
      </c>
      <c r="E2076" s="112">
        <f ca="1">IFERROR(__xludf.DUMMYFUNCTION("""COMPUTED_VALUE"""),43332.7055555555)</f>
        <v>43332.705555555498</v>
      </c>
      <c r="F2076" s="111">
        <f ca="1">IFERROR(__xludf.DUMMYFUNCTION("""COMPUTED_VALUE"""),9.26)</f>
        <v>9.26</v>
      </c>
      <c r="G2076" s="112">
        <f ca="1">IFERROR(__xludf.DUMMYFUNCTION("""COMPUTED_VALUE"""),43327.7055555555)</f>
        <v>43327.705555555498</v>
      </c>
      <c r="H2076" s="111">
        <f ca="1">IFERROR(__xludf.DUMMYFUNCTION("""COMPUTED_VALUE"""),19.05)</f>
        <v>19.05</v>
      </c>
      <c r="K2076" s="112">
        <f ca="1">IFERROR(__xludf.DUMMYFUNCTION("""COMPUTED_VALUE"""),43777.7055555555)</f>
        <v>43777.705555555498</v>
      </c>
      <c r="L2076" s="111">
        <f ca="1">IFERROR(__xludf.DUMMYFUNCTION("""COMPUTED_VALUE"""),10.96)</f>
        <v>10.96</v>
      </c>
      <c r="M2076" s="112">
        <f ca="1">IFERROR(__xludf.DUMMYFUNCTION("""COMPUTED_VALUE"""),43238.7055555555)</f>
        <v>43238.705555555498</v>
      </c>
      <c r="N2076" s="111">
        <f ca="1">IFERROR(__xludf.DUMMYFUNCTION("""COMPUTED_VALUE"""),21.69)</f>
        <v>21.69</v>
      </c>
      <c r="O2076" s="112">
        <f ca="1">IFERROR(__xludf.DUMMYFUNCTION("""COMPUTED_VALUE"""),43314.7055555555)</f>
        <v>43314.705555555498</v>
      </c>
      <c r="P2076" s="111">
        <f ca="1">IFERROR(__xludf.DUMMYFUNCTION("""COMPUTED_VALUE"""),52.84)</f>
        <v>52.84</v>
      </c>
      <c r="Q2076" s="112">
        <f ca="1">IFERROR(__xludf.DUMMYFUNCTION("""COMPUTED_VALUE"""),43313.7055555555)</f>
        <v>43313.705555555498</v>
      </c>
      <c r="R2076" s="111">
        <f ca="1">IFERROR(__xludf.DUMMYFUNCTION("""COMPUTED_VALUE"""),32.97)</f>
        <v>32.97</v>
      </c>
      <c r="S2076" s="112">
        <f ca="1">IFERROR(__xludf.DUMMYFUNCTION("""COMPUTED_VALUE"""),43325.7055555555)</f>
        <v>43325.705555555498</v>
      </c>
      <c r="T2076" s="111">
        <f ca="1">IFERROR(__xludf.DUMMYFUNCTION("""COMPUTED_VALUE"""),24.95)</f>
        <v>24.95</v>
      </c>
    </row>
    <row r="2077" spans="1:20" x14ac:dyDescent="0.3">
      <c r="A2077" s="112">
        <f ca="1">IFERROR(__xludf.DUMMYFUNCTION("""COMPUTED_VALUE"""),43322.7055555555)</f>
        <v>43322.705555555498</v>
      </c>
      <c r="B2077" s="111">
        <f ca="1">IFERROR(__xludf.DUMMYFUNCTION("""COMPUTED_VALUE"""),15.05)</f>
        <v>15.05</v>
      </c>
      <c r="C2077" s="112">
        <f ca="1">IFERROR(__xludf.DUMMYFUNCTION("""COMPUTED_VALUE"""),43332.7055555555)</f>
        <v>43332.705555555498</v>
      </c>
      <c r="D2077" s="111">
        <f ca="1">IFERROR(__xludf.DUMMYFUNCTION("""COMPUTED_VALUE"""),28.35)</f>
        <v>28.35</v>
      </c>
      <c r="E2077" s="112">
        <f ca="1">IFERROR(__xludf.DUMMYFUNCTION("""COMPUTED_VALUE"""),43333.7055555555)</f>
        <v>43333.705555555498</v>
      </c>
      <c r="F2077" s="111">
        <f ca="1">IFERROR(__xludf.DUMMYFUNCTION("""COMPUTED_VALUE"""),9.05)</f>
        <v>9.0500000000000007</v>
      </c>
      <c r="G2077" s="112">
        <f ca="1">IFERROR(__xludf.DUMMYFUNCTION("""COMPUTED_VALUE"""),43328.7055555555)</f>
        <v>43328.705555555498</v>
      </c>
      <c r="H2077" s="111">
        <f ca="1">IFERROR(__xludf.DUMMYFUNCTION("""COMPUTED_VALUE"""),18.95)</f>
        <v>18.95</v>
      </c>
      <c r="K2077" s="112">
        <f ca="1">IFERROR(__xludf.DUMMYFUNCTION("""COMPUTED_VALUE"""),43780.7055555555)</f>
        <v>43780.705555555498</v>
      </c>
      <c r="L2077" s="111">
        <f ca="1">IFERROR(__xludf.DUMMYFUNCTION("""COMPUTED_VALUE"""),11.26)</f>
        <v>11.26</v>
      </c>
      <c r="M2077" s="112">
        <f ca="1">IFERROR(__xludf.DUMMYFUNCTION("""COMPUTED_VALUE"""),43241.7055555555)</f>
        <v>43241.705555555498</v>
      </c>
      <c r="N2077" s="111">
        <f ca="1">IFERROR(__xludf.DUMMYFUNCTION("""COMPUTED_VALUE"""),21.38)</f>
        <v>21.38</v>
      </c>
      <c r="O2077" s="112">
        <f ca="1">IFERROR(__xludf.DUMMYFUNCTION("""COMPUTED_VALUE"""),43315.7055555555)</f>
        <v>43315.705555555498</v>
      </c>
      <c r="P2077" s="111">
        <f ca="1">IFERROR(__xludf.DUMMYFUNCTION("""COMPUTED_VALUE"""),52.55)</f>
        <v>52.55</v>
      </c>
      <c r="Q2077" s="112">
        <f ca="1">IFERROR(__xludf.DUMMYFUNCTION("""COMPUTED_VALUE"""),43314.7055555555)</f>
        <v>43314.705555555498</v>
      </c>
      <c r="R2077" s="111">
        <f ca="1">IFERROR(__xludf.DUMMYFUNCTION("""COMPUTED_VALUE"""),33.23)</f>
        <v>33.229999999999997</v>
      </c>
      <c r="S2077" s="112">
        <f ca="1">IFERROR(__xludf.DUMMYFUNCTION("""COMPUTED_VALUE"""),43326.7055555555)</f>
        <v>43326.705555555498</v>
      </c>
      <c r="T2077" s="111">
        <f ca="1">IFERROR(__xludf.DUMMYFUNCTION("""COMPUTED_VALUE"""),25.05)</f>
        <v>25.05</v>
      </c>
    </row>
    <row r="2078" spans="1:20" x14ac:dyDescent="0.3">
      <c r="A2078" s="112">
        <f ca="1">IFERROR(__xludf.DUMMYFUNCTION("""COMPUTED_VALUE"""),43325.7055555555)</f>
        <v>43325.705555555498</v>
      </c>
      <c r="B2078" s="111">
        <f ca="1">IFERROR(__xludf.DUMMYFUNCTION("""COMPUTED_VALUE"""),14.95)</f>
        <v>14.95</v>
      </c>
      <c r="C2078" s="112">
        <f ca="1">IFERROR(__xludf.DUMMYFUNCTION("""COMPUTED_VALUE"""),43333.7055555555)</f>
        <v>43333.705555555498</v>
      </c>
      <c r="D2078" s="111">
        <f ca="1">IFERROR(__xludf.DUMMYFUNCTION("""COMPUTED_VALUE"""),27.99)</f>
        <v>27.99</v>
      </c>
      <c r="E2078" s="112">
        <f ca="1">IFERROR(__xludf.DUMMYFUNCTION("""COMPUTED_VALUE"""),43334.7055555555)</f>
        <v>43334.705555555498</v>
      </c>
      <c r="F2078" s="111">
        <f ca="1">IFERROR(__xludf.DUMMYFUNCTION("""COMPUTED_VALUE"""),9.25)</f>
        <v>9.25</v>
      </c>
      <c r="G2078" s="112">
        <f ca="1">IFERROR(__xludf.DUMMYFUNCTION("""COMPUTED_VALUE"""),43329.7055555555)</f>
        <v>43329.705555555498</v>
      </c>
      <c r="H2078" s="111">
        <f ca="1">IFERROR(__xludf.DUMMYFUNCTION("""COMPUTED_VALUE"""),18.46)</f>
        <v>18.46</v>
      </c>
      <c r="K2078" s="112">
        <f ca="1">IFERROR(__xludf.DUMMYFUNCTION("""COMPUTED_VALUE"""),43781.7055555555)</f>
        <v>43781.705555555498</v>
      </c>
      <c r="L2078" s="111">
        <f ca="1">IFERROR(__xludf.DUMMYFUNCTION("""COMPUTED_VALUE"""),10.85)</f>
        <v>10.85</v>
      </c>
      <c r="M2078" s="112">
        <f ca="1">IFERROR(__xludf.DUMMYFUNCTION("""COMPUTED_VALUE"""),43242.7055555555)</f>
        <v>43242.705555555498</v>
      </c>
      <c r="N2078" s="111">
        <f ca="1">IFERROR(__xludf.DUMMYFUNCTION("""COMPUTED_VALUE"""),21.99)</f>
        <v>21.99</v>
      </c>
      <c r="O2078" s="112">
        <f ca="1">IFERROR(__xludf.DUMMYFUNCTION("""COMPUTED_VALUE"""),43318.7055555555)</f>
        <v>43318.705555555498</v>
      </c>
      <c r="P2078" s="111">
        <f ca="1">IFERROR(__xludf.DUMMYFUNCTION("""COMPUTED_VALUE"""),52.4)</f>
        <v>52.4</v>
      </c>
      <c r="Q2078" s="112">
        <f ca="1">IFERROR(__xludf.DUMMYFUNCTION("""COMPUTED_VALUE"""),43315.7055555555)</f>
        <v>43315.705555555498</v>
      </c>
      <c r="R2078" s="111">
        <f ca="1">IFERROR(__xludf.DUMMYFUNCTION("""COMPUTED_VALUE"""),34.23)</f>
        <v>34.229999999999997</v>
      </c>
      <c r="S2078" s="112">
        <f ca="1">IFERROR(__xludf.DUMMYFUNCTION("""COMPUTED_VALUE"""),43327.7055555555)</f>
        <v>43327.705555555498</v>
      </c>
      <c r="T2078" s="111">
        <f ca="1">IFERROR(__xludf.DUMMYFUNCTION("""COMPUTED_VALUE"""),24.78)</f>
        <v>24.78</v>
      </c>
    </row>
    <row r="2079" spans="1:20" x14ac:dyDescent="0.3">
      <c r="A2079" s="112">
        <f ca="1">IFERROR(__xludf.DUMMYFUNCTION("""COMPUTED_VALUE"""),43326.7055555555)</f>
        <v>43326.705555555498</v>
      </c>
      <c r="B2079" s="111">
        <f ca="1">IFERROR(__xludf.DUMMYFUNCTION("""COMPUTED_VALUE"""),14.91)</f>
        <v>14.91</v>
      </c>
      <c r="C2079" s="112">
        <f ca="1">IFERROR(__xludf.DUMMYFUNCTION("""COMPUTED_VALUE"""),43334.7055555555)</f>
        <v>43334.705555555498</v>
      </c>
      <c r="D2079" s="111">
        <f ca="1">IFERROR(__xludf.DUMMYFUNCTION("""COMPUTED_VALUE"""),28.65)</f>
        <v>28.65</v>
      </c>
      <c r="E2079" s="112">
        <f ca="1">IFERROR(__xludf.DUMMYFUNCTION("""COMPUTED_VALUE"""),43335.7055555555)</f>
        <v>43335.705555555498</v>
      </c>
      <c r="F2079" s="111">
        <f ca="1">IFERROR(__xludf.DUMMYFUNCTION("""COMPUTED_VALUE"""),9)</f>
        <v>9</v>
      </c>
      <c r="G2079" s="112">
        <f ca="1">IFERROR(__xludf.DUMMYFUNCTION("""COMPUTED_VALUE"""),43332.7055555555)</f>
        <v>43332.705555555498</v>
      </c>
      <c r="H2079" s="111">
        <f ca="1">IFERROR(__xludf.DUMMYFUNCTION("""COMPUTED_VALUE"""),18.36)</f>
        <v>18.36</v>
      </c>
      <c r="K2079" s="112">
        <f ca="1">IFERROR(__xludf.DUMMYFUNCTION("""COMPUTED_VALUE"""),43782.7055555555)</f>
        <v>43782.705555555498</v>
      </c>
      <c r="L2079" s="111">
        <f ca="1">IFERROR(__xludf.DUMMYFUNCTION("""COMPUTED_VALUE"""),10.63)</f>
        <v>10.63</v>
      </c>
      <c r="M2079" s="112">
        <f ca="1">IFERROR(__xludf.DUMMYFUNCTION("""COMPUTED_VALUE"""),43243.7055555555)</f>
        <v>43243.705555555498</v>
      </c>
      <c r="N2079" s="111">
        <f ca="1">IFERROR(__xludf.DUMMYFUNCTION("""COMPUTED_VALUE"""),21.41)</f>
        <v>21.41</v>
      </c>
      <c r="O2079" s="112">
        <f ca="1">IFERROR(__xludf.DUMMYFUNCTION("""COMPUTED_VALUE"""),43319.7055555555)</f>
        <v>43319.705555555498</v>
      </c>
      <c r="P2079" s="111">
        <f ca="1">IFERROR(__xludf.DUMMYFUNCTION("""COMPUTED_VALUE"""),52.75)</f>
        <v>52.75</v>
      </c>
      <c r="Q2079" s="112">
        <f ca="1">IFERROR(__xludf.DUMMYFUNCTION("""COMPUTED_VALUE"""),43318.7055555555)</f>
        <v>43318.705555555498</v>
      </c>
      <c r="R2079" s="111">
        <f ca="1">IFERROR(__xludf.DUMMYFUNCTION("""COMPUTED_VALUE"""),34.3)</f>
        <v>34.299999999999997</v>
      </c>
      <c r="S2079" s="112">
        <f ca="1">IFERROR(__xludf.DUMMYFUNCTION("""COMPUTED_VALUE"""),43328.7055555555)</f>
        <v>43328.705555555498</v>
      </c>
      <c r="T2079" s="111">
        <f ca="1">IFERROR(__xludf.DUMMYFUNCTION("""COMPUTED_VALUE"""),24.66)</f>
        <v>24.66</v>
      </c>
    </row>
    <row r="2080" spans="1:20" x14ac:dyDescent="0.3">
      <c r="A2080" s="112">
        <f ca="1">IFERROR(__xludf.DUMMYFUNCTION("""COMPUTED_VALUE"""),43327.7055555555)</f>
        <v>43327.705555555498</v>
      </c>
      <c r="B2080" s="111">
        <f ca="1">IFERROR(__xludf.DUMMYFUNCTION("""COMPUTED_VALUE"""),15.11)</f>
        <v>15.11</v>
      </c>
      <c r="C2080" s="112">
        <f ca="1">IFERROR(__xludf.DUMMYFUNCTION("""COMPUTED_VALUE"""),43335.7055555555)</f>
        <v>43335.705555555498</v>
      </c>
      <c r="D2080" s="111">
        <f ca="1">IFERROR(__xludf.DUMMYFUNCTION("""COMPUTED_VALUE"""),27.54)</f>
        <v>27.54</v>
      </c>
      <c r="E2080" s="112">
        <f ca="1">IFERROR(__xludf.DUMMYFUNCTION("""COMPUTED_VALUE"""),43336.7055555555)</f>
        <v>43336.705555555498</v>
      </c>
      <c r="F2080" s="111">
        <f ca="1">IFERROR(__xludf.DUMMYFUNCTION("""COMPUTED_VALUE"""),9.04)</f>
        <v>9.0399999999999991</v>
      </c>
      <c r="G2080" s="112">
        <f ca="1">IFERROR(__xludf.DUMMYFUNCTION("""COMPUTED_VALUE"""),43333.7055555555)</f>
        <v>43333.705555555498</v>
      </c>
      <c r="H2080" s="111">
        <f ca="1">IFERROR(__xludf.DUMMYFUNCTION("""COMPUTED_VALUE"""),17.72)</f>
        <v>17.72</v>
      </c>
      <c r="K2080" s="112">
        <f ca="1">IFERROR(__xludf.DUMMYFUNCTION("""COMPUTED_VALUE"""),43783.7055555555)</f>
        <v>43783.705555555498</v>
      </c>
      <c r="L2080" s="111">
        <f ca="1">IFERROR(__xludf.DUMMYFUNCTION("""COMPUTED_VALUE"""),11.07)</f>
        <v>11.07</v>
      </c>
      <c r="M2080" s="112">
        <f ca="1">IFERROR(__xludf.DUMMYFUNCTION("""COMPUTED_VALUE"""),43244.7055555555)</f>
        <v>43244.705555555498</v>
      </c>
      <c r="N2080" s="111">
        <f ca="1">IFERROR(__xludf.DUMMYFUNCTION("""COMPUTED_VALUE"""),21.45)</f>
        <v>21.45</v>
      </c>
      <c r="O2080" s="112">
        <f ca="1">IFERROR(__xludf.DUMMYFUNCTION("""COMPUTED_VALUE"""),43320.7055555555)</f>
        <v>43320.705555555498</v>
      </c>
      <c r="P2080" s="111">
        <f ca="1">IFERROR(__xludf.DUMMYFUNCTION("""COMPUTED_VALUE"""),52.4)</f>
        <v>52.4</v>
      </c>
      <c r="Q2080" s="112">
        <f ca="1">IFERROR(__xludf.DUMMYFUNCTION("""COMPUTED_VALUE"""),43319.7055555555)</f>
        <v>43319.705555555498</v>
      </c>
      <c r="R2080" s="111">
        <f ca="1">IFERROR(__xludf.DUMMYFUNCTION("""COMPUTED_VALUE"""),33.57)</f>
        <v>33.57</v>
      </c>
      <c r="S2080" s="112">
        <f ca="1">IFERROR(__xludf.DUMMYFUNCTION("""COMPUTED_VALUE"""),43329.7055555555)</f>
        <v>43329.705555555498</v>
      </c>
      <c r="T2080" s="111">
        <f ca="1">IFERROR(__xludf.DUMMYFUNCTION("""COMPUTED_VALUE"""),23.98)</f>
        <v>23.98</v>
      </c>
    </row>
    <row r="2081" spans="1:20" x14ac:dyDescent="0.3">
      <c r="A2081" s="112">
        <f ca="1">IFERROR(__xludf.DUMMYFUNCTION("""COMPUTED_VALUE"""),43328.7055555555)</f>
        <v>43328.705555555498</v>
      </c>
      <c r="B2081" s="111">
        <f ca="1">IFERROR(__xludf.DUMMYFUNCTION("""COMPUTED_VALUE"""),16.28)</f>
        <v>16.28</v>
      </c>
      <c r="C2081" s="112">
        <f ca="1">IFERROR(__xludf.DUMMYFUNCTION("""COMPUTED_VALUE"""),43336.7055555555)</f>
        <v>43336.705555555498</v>
      </c>
      <c r="D2081" s="111">
        <f ca="1">IFERROR(__xludf.DUMMYFUNCTION("""COMPUTED_VALUE"""),27.75)</f>
        <v>27.75</v>
      </c>
      <c r="E2081" s="112">
        <f ca="1">IFERROR(__xludf.DUMMYFUNCTION("""COMPUTED_VALUE"""),43339.7055555555)</f>
        <v>43339.705555555498</v>
      </c>
      <c r="F2081" s="111">
        <f ca="1">IFERROR(__xludf.DUMMYFUNCTION("""COMPUTED_VALUE"""),9.3)</f>
        <v>9.3000000000000007</v>
      </c>
      <c r="G2081" s="112">
        <f ca="1">IFERROR(__xludf.DUMMYFUNCTION("""COMPUTED_VALUE"""),43334.7055555555)</f>
        <v>43334.705555555498</v>
      </c>
      <c r="H2081" s="111">
        <f ca="1">IFERROR(__xludf.DUMMYFUNCTION("""COMPUTED_VALUE"""),18.35)</f>
        <v>18.350000000000001</v>
      </c>
      <c r="K2081" s="112">
        <f ca="1">IFERROR(__xludf.DUMMYFUNCTION("""COMPUTED_VALUE"""),43787.7055555555)</f>
        <v>43787.705555555498</v>
      </c>
      <c r="L2081" s="111">
        <f ca="1">IFERROR(__xludf.DUMMYFUNCTION("""COMPUTED_VALUE"""),11.25)</f>
        <v>11.25</v>
      </c>
      <c r="M2081" s="112">
        <f ca="1">IFERROR(__xludf.DUMMYFUNCTION("""COMPUTED_VALUE"""),43245.7055555555)</f>
        <v>43245.705555555498</v>
      </c>
      <c r="N2081" s="111">
        <f ca="1">IFERROR(__xludf.DUMMYFUNCTION("""COMPUTED_VALUE"""),21.02)</f>
        <v>21.02</v>
      </c>
      <c r="O2081" s="112">
        <f ca="1">IFERROR(__xludf.DUMMYFUNCTION("""COMPUTED_VALUE"""),43321.7055555555)</f>
        <v>43321.705555555498</v>
      </c>
      <c r="P2081" s="111">
        <f ca="1">IFERROR(__xludf.DUMMYFUNCTION("""COMPUTED_VALUE"""),51.84)</f>
        <v>51.84</v>
      </c>
      <c r="Q2081" s="112">
        <f ca="1">IFERROR(__xludf.DUMMYFUNCTION("""COMPUTED_VALUE"""),43320.7055555555)</f>
        <v>43320.705555555498</v>
      </c>
      <c r="R2081" s="111">
        <f ca="1">IFERROR(__xludf.DUMMYFUNCTION("""COMPUTED_VALUE"""),32.63)</f>
        <v>32.630000000000003</v>
      </c>
      <c r="S2081" s="112">
        <f ca="1">IFERROR(__xludf.DUMMYFUNCTION("""COMPUTED_VALUE"""),43332.7055555555)</f>
        <v>43332.705555555498</v>
      </c>
      <c r="T2081" s="111">
        <f ca="1">IFERROR(__xludf.DUMMYFUNCTION("""COMPUTED_VALUE"""),24.5)</f>
        <v>24.5</v>
      </c>
    </row>
    <row r="2082" spans="1:20" x14ac:dyDescent="0.3">
      <c r="A2082" s="112">
        <f ca="1">IFERROR(__xludf.DUMMYFUNCTION("""COMPUTED_VALUE"""),43329.7055555555)</f>
        <v>43329.705555555498</v>
      </c>
      <c r="B2082" s="111">
        <f ca="1">IFERROR(__xludf.DUMMYFUNCTION("""COMPUTED_VALUE"""),16)</f>
        <v>16</v>
      </c>
      <c r="C2082" s="112">
        <f ca="1">IFERROR(__xludf.DUMMYFUNCTION("""COMPUTED_VALUE"""),43339.7055555555)</f>
        <v>43339.705555555498</v>
      </c>
      <c r="D2082" s="111">
        <f ca="1">IFERROR(__xludf.DUMMYFUNCTION("""COMPUTED_VALUE"""),28.67)</f>
        <v>28.67</v>
      </c>
      <c r="E2082" s="112">
        <f ca="1">IFERROR(__xludf.DUMMYFUNCTION("""COMPUTED_VALUE"""),43340.7055555555)</f>
        <v>43340.705555555498</v>
      </c>
      <c r="F2082" s="111">
        <f ca="1">IFERROR(__xludf.DUMMYFUNCTION("""COMPUTED_VALUE"""),9.14)</f>
        <v>9.14</v>
      </c>
      <c r="G2082" s="112">
        <f ca="1">IFERROR(__xludf.DUMMYFUNCTION("""COMPUTED_VALUE"""),43335.7055555555)</f>
        <v>43335.705555555498</v>
      </c>
      <c r="H2082" s="111">
        <f ca="1">IFERROR(__xludf.DUMMYFUNCTION("""COMPUTED_VALUE"""),17.95)</f>
        <v>17.95</v>
      </c>
      <c r="K2082" s="112">
        <f ca="1">IFERROR(__xludf.DUMMYFUNCTION("""COMPUTED_VALUE"""),43788.7055555555)</f>
        <v>43788.705555555498</v>
      </c>
      <c r="L2082" s="111">
        <f ca="1">IFERROR(__xludf.DUMMYFUNCTION("""COMPUTED_VALUE"""),11.13)</f>
        <v>11.13</v>
      </c>
      <c r="M2082" s="112">
        <f ca="1">IFERROR(__xludf.DUMMYFUNCTION("""COMPUTED_VALUE"""),43248.7055555555)</f>
        <v>43248.705555555498</v>
      </c>
      <c r="N2082" s="111">
        <f ca="1">IFERROR(__xludf.DUMMYFUNCTION("""COMPUTED_VALUE"""),20.13)</f>
        <v>20.13</v>
      </c>
      <c r="O2082" s="112">
        <f ca="1">IFERROR(__xludf.DUMMYFUNCTION("""COMPUTED_VALUE"""),43322.7055555555)</f>
        <v>43322.705555555498</v>
      </c>
      <c r="P2082" s="111">
        <f ca="1">IFERROR(__xludf.DUMMYFUNCTION("""COMPUTED_VALUE"""),51.71)</f>
        <v>51.71</v>
      </c>
      <c r="Q2082" s="112">
        <f ca="1">IFERROR(__xludf.DUMMYFUNCTION("""COMPUTED_VALUE"""),43321.7055555555)</f>
        <v>43321.705555555498</v>
      </c>
      <c r="R2082" s="111">
        <f ca="1">IFERROR(__xludf.DUMMYFUNCTION("""COMPUTED_VALUE"""),33.6)</f>
        <v>33.6</v>
      </c>
      <c r="S2082" s="112">
        <f ca="1">IFERROR(__xludf.DUMMYFUNCTION("""COMPUTED_VALUE"""),43333.7055555555)</f>
        <v>43333.705555555498</v>
      </c>
      <c r="T2082" s="111">
        <f ca="1">IFERROR(__xludf.DUMMYFUNCTION("""COMPUTED_VALUE"""),23.83)</f>
        <v>23.83</v>
      </c>
    </row>
    <row r="2083" spans="1:20" x14ac:dyDescent="0.3">
      <c r="A2083" s="112">
        <f ca="1">IFERROR(__xludf.DUMMYFUNCTION("""COMPUTED_VALUE"""),43332.7055555555)</f>
        <v>43332.705555555498</v>
      </c>
      <c r="B2083" s="111">
        <f ca="1">IFERROR(__xludf.DUMMYFUNCTION("""COMPUTED_VALUE"""),15.64)</f>
        <v>15.64</v>
      </c>
      <c r="C2083" s="112">
        <f ca="1">IFERROR(__xludf.DUMMYFUNCTION("""COMPUTED_VALUE"""),43340.7055555555)</f>
        <v>43340.705555555498</v>
      </c>
      <c r="D2083" s="111">
        <f ca="1">IFERROR(__xludf.DUMMYFUNCTION("""COMPUTED_VALUE"""),28.47)</f>
        <v>28.47</v>
      </c>
      <c r="E2083" s="112">
        <f ca="1">IFERROR(__xludf.DUMMYFUNCTION("""COMPUTED_VALUE"""),43341.7055555555)</f>
        <v>43341.705555555498</v>
      </c>
      <c r="F2083" s="111">
        <f ca="1">IFERROR(__xludf.DUMMYFUNCTION("""COMPUTED_VALUE"""),9.4)</f>
        <v>9.4</v>
      </c>
      <c r="G2083" s="112">
        <f ca="1">IFERROR(__xludf.DUMMYFUNCTION("""COMPUTED_VALUE"""),43336.7055555555)</f>
        <v>43336.705555555498</v>
      </c>
      <c r="H2083" s="111">
        <f ca="1">IFERROR(__xludf.DUMMYFUNCTION("""COMPUTED_VALUE"""),18.3)</f>
        <v>18.3</v>
      </c>
      <c r="K2083" s="112">
        <f ca="1">IFERROR(__xludf.DUMMYFUNCTION("""COMPUTED_VALUE"""),43790.7055555555)</f>
        <v>43790.705555555498</v>
      </c>
      <c r="L2083" s="111">
        <f ca="1">IFERROR(__xludf.DUMMYFUNCTION("""COMPUTED_VALUE"""),11.25)</f>
        <v>11.25</v>
      </c>
      <c r="M2083" s="112">
        <f ca="1">IFERROR(__xludf.DUMMYFUNCTION("""COMPUTED_VALUE"""),43249.7055555555)</f>
        <v>43249.705555555498</v>
      </c>
      <c r="N2083" s="111">
        <f ca="1">IFERROR(__xludf.DUMMYFUNCTION("""COMPUTED_VALUE"""),20.21)</f>
        <v>20.21</v>
      </c>
      <c r="O2083" s="112">
        <f ca="1">IFERROR(__xludf.DUMMYFUNCTION("""COMPUTED_VALUE"""),43325.7055555555)</f>
        <v>43325.705555555498</v>
      </c>
      <c r="P2083" s="111">
        <f ca="1">IFERROR(__xludf.DUMMYFUNCTION("""COMPUTED_VALUE"""),52.28)</f>
        <v>52.28</v>
      </c>
      <c r="Q2083" s="112">
        <f ca="1">IFERROR(__xludf.DUMMYFUNCTION("""COMPUTED_VALUE"""),43322.7055555555)</f>
        <v>43322.705555555498</v>
      </c>
      <c r="R2083" s="111">
        <f ca="1">IFERROR(__xludf.DUMMYFUNCTION("""COMPUTED_VALUE"""),31.75)</f>
        <v>31.75</v>
      </c>
      <c r="S2083" s="112">
        <f ca="1">IFERROR(__xludf.DUMMYFUNCTION("""COMPUTED_VALUE"""),43334.7055555555)</f>
        <v>43334.705555555498</v>
      </c>
      <c r="T2083" s="111">
        <f ca="1">IFERROR(__xludf.DUMMYFUNCTION("""COMPUTED_VALUE"""),24.31)</f>
        <v>24.31</v>
      </c>
    </row>
    <row r="2084" spans="1:20" x14ac:dyDescent="0.3">
      <c r="A2084" s="112">
        <f ca="1">IFERROR(__xludf.DUMMYFUNCTION("""COMPUTED_VALUE"""),43333.7055555555)</f>
        <v>43333.705555555498</v>
      </c>
      <c r="B2084" s="111">
        <f ca="1">IFERROR(__xludf.DUMMYFUNCTION("""COMPUTED_VALUE"""),14.62)</f>
        <v>14.62</v>
      </c>
      <c r="C2084" s="112">
        <f ca="1">IFERROR(__xludf.DUMMYFUNCTION("""COMPUTED_VALUE"""),43341.7055555555)</f>
        <v>43341.705555555498</v>
      </c>
      <c r="D2084" s="111">
        <f ca="1">IFERROR(__xludf.DUMMYFUNCTION("""COMPUTED_VALUE"""),28.94)</f>
        <v>28.94</v>
      </c>
      <c r="E2084" s="112">
        <f ca="1">IFERROR(__xludf.DUMMYFUNCTION("""COMPUTED_VALUE"""),43342.7055555555)</f>
        <v>43342.705555555498</v>
      </c>
      <c r="F2084" s="111">
        <f ca="1">IFERROR(__xludf.DUMMYFUNCTION("""COMPUTED_VALUE"""),8.98)</f>
        <v>8.98</v>
      </c>
      <c r="G2084" s="112">
        <f ca="1">IFERROR(__xludf.DUMMYFUNCTION("""COMPUTED_VALUE"""),43339.7055555555)</f>
        <v>43339.705555555498</v>
      </c>
      <c r="H2084" s="111">
        <f ca="1">IFERROR(__xludf.DUMMYFUNCTION("""COMPUTED_VALUE"""),18.71)</f>
        <v>18.71</v>
      </c>
      <c r="K2084" s="112">
        <f ca="1">IFERROR(__xludf.DUMMYFUNCTION("""COMPUTED_VALUE"""),43791.7055555555)</f>
        <v>43791.705555555498</v>
      </c>
      <c r="L2084" s="111">
        <f ca="1">IFERROR(__xludf.DUMMYFUNCTION("""COMPUTED_VALUE"""),11.38)</f>
        <v>11.38</v>
      </c>
      <c r="M2084" s="112">
        <f ca="1">IFERROR(__xludf.DUMMYFUNCTION("""COMPUTED_VALUE"""),43250.7055555555)</f>
        <v>43250.705555555498</v>
      </c>
      <c r="N2084" s="111">
        <f ca="1">IFERROR(__xludf.DUMMYFUNCTION("""COMPUTED_VALUE"""),20.09)</f>
        <v>20.09</v>
      </c>
      <c r="O2084" s="112">
        <f ca="1">IFERROR(__xludf.DUMMYFUNCTION("""COMPUTED_VALUE"""),43326.7055555555)</f>
        <v>43326.705555555498</v>
      </c>
      <c r="P2084" s="111">
        <f ca="1">IFERROR(__xludf.DUMMYFUNCTION("""COMPUTED_VALUE"""),52.76)</f>
        <v>52.76</v>
      </c>
      <c r="Q2084" s="112">
        <f ca="1">IFERROR(__xludf.DUMMYFUNCTION("""COMPUTED_VALUE"""),43325.7055555555)</f>
        <v>43325.705555555498</v>
      </c>
      <c r="R2084" s="111">
        <f ca="1">IFERROR(__xludf.DUMMYFUNCTION("""COMPUTED_VALUE"""),31.9)</f>
        <v>31.9</v>
      </c>
      <c r="S2084" s="112">
        <f ca="1">IFERROR(__xludf.DUMMYFUNCTION("""COMPUTED_VALUE"""),43335.7055555555)</f>
        <v>43335.705555555498</v>
      </c>
      <c r="T2084" s="111">
        <f ca="1">IFERROR(__xludf.DUMMYFUNCTION("""COMPUTED_VALUE"""),23.76)</f>
        <v>23.76</v>
      </c>
    </row>
    <row r="2085" spans="1:20" x14ac:dyDescent="0.3">
      <c r="A2085" s="112">
        <f ca="1">IFERROR(__xludf.DUMMYFUNCTION("""COMPUTED_VALUE"""),43334.7055555555)</f>
        <v>43334.705555555498</v>
      </c>
      <c r="B2085" s="111">
        <f ca="1">IFERROR(__xludf.DUMMYFUNCTION("""COMPUTED_VALUE"""),15.29)</f>
        <v>15.29</v>
      </c>
      <c r="C2085" s="112">
        <f ca="1">IFERROR(__xludf.DUMMYFUNCTION("""COMPUTED_VALUE"""),43342.7055555555)</f>
        <v>43342.705555555498</v>
      </c>
      <c r="D2085" s="111">
        <f ca="1">IFERROR(__xludf.DUMMYFUNCTION("""COMPUTED_VALUE"""),27.8)</f>
        <v>27.8</v>
      </c>
      <c r="E2085" s="112">
        <f ca="1">IFERROR(__xludf.DUMMYFUNCTION("""COMPUTED_VALUE"""),43343.7055555555)</f>
        <v>43343.705555555498</v>
      </c>
      <c r="F2085" s="111">
        <f ca="1">IFERROR(__xludf.DUMMYFUNCTION("""COMPUTED_VALUE"""),9.13)</f>
        <v>9.1300000000000008</v>
      </c>
      <c r="G2085" s="112">
        <f ca="1">IFERROR(__xludf.DUMMYFUNCTION("""COMPUTED_VALUE"""),43340.7055555555)</f>
        <v>43340.705555555498</v>
      </c>
      <c r="H2085" s="111">
        <f ca="1">IFERROR(__xludf.DUMMYFUNCTION("""COMPUTED_VALUE"""),18.35)</f>
        <v>18.350000000000001</v>
      </c>
      <c r="K2085" s="112">
        <f ca="1">IFERROR(__xludf.DUMMYFUNCTION("""COMPUTED_VALUE"""),43794.7055555555)</f>
        <v>43794.705555555498</v>
      </c>
      <c r="L2085" s="111">
        <f ca="1">IFERROR(__xludf.DUMMYFUNCTION("""COMPUTED_VALUE"""),11.08)</f>
        <v>11.08</v>
      </c>
      <c r="M2085" s="112">
        <f ca="1">IFERROR(__xludf.DUMMYFUNCTION("""COMPUTED_VALUE"""),43252.7055555555)</f>
        <v>43252.705555555498</v>
      </c>
      <c r="N2085" s="111">
        <f ca="1">IFERROR(__xludf.DUMMYFUNCTION("""COMPUTED_VALUE"""),20.58)</f>
        <v>20.58</v>
      </c>
      <c r="O2085" s="112">
        <f ca="1">IFERROR(__xludf.DUMMYFUNCTION("""COMPUTED_VALUE"""),43327.7055555555)</f>
        <v>43327.705555555498</v>
      </c>
      <c r="P2085" s="111">
        <f ca="1">IFERROR(__xludf.DUMMYFUNCTION("""COMPUTED_VALUE"""),50.41)</f>
        <v>50.41</v>
      </c>
      <c r="Q2085" s="112">
        <f ca="1">IFERROR(__xludf.DUMMYFUNCTION("""COMPUTED_VALUE"""),43326.7055555555)</f>
        <v>43326.705555555498</v>
      </c>
      <c r="R2085" s="111">
        <f ca="1">IFERROR(__xludf.DUMMYFUNCTION("""COMPUTED_VALUE"""),33)</f>
        <v>33</v>
      </c>
      <c r="S2085" s="112">
        <f ca="1">IFERROR(__xludf.DUMMYFUNCTION("""COMPUTED_VALUE"""),43336.7055555555)</f>
        <v>43336.705555555498</v>
      </c>
      <c r="T2085" s="111">
        <f ca="1">IFERROR(__xludf.DUMMYFUNCTION("""COMPUTED_VALUE"""),23.75)</f>
        <v>23.75</v>
      </c>
    </row>
    <row r="2086" spans="1:20" x14ac:dyDescent="0.3">
      <c r="A2086" s="112">
        <f ca="1">IFERROR(__xludf.DUMMYFUNCTION("""COMPUTED_VALUE"""),43335.7055555555)</f>
        <v>43335.705555555498</v>
      </c>
      <c r="B2086" s="111">
        <f ca="1">IFERROR(__xludf.DUMMYFUNCTION("""COMPUTED_VALUE"""),14.79)</f>
        <v>14.79</v>
      </c>
      <c r="C2086" s="112">
        <f ca="1">IFERROR(__xludf.DUMMYFUNCTION("""COMPUTED_VALUE"""),43343.7055555555)</f>
        <v>43343.705555555498</v>
      </c>
      <c r="D2086" s="111">
        <f ca="1">IFERROR(__xludf.DUMMYFUNCTION("""COMPUTED_VALUE"""),28.18)</f>
        <v>28.18</v>
      </c>
      <c r="E2086" s="112">
        <f ca="1">IFERROR(__xludf.DUMMYFUNCTION("""COMPUTED_VALUE"""),43346.7055555555)</f>
        <v>43346.705555555498</v>
      </c>
      <c r="F2086" s="111">
        <f ca="1">IFERROR(__xludf.DUMMYFUNCTION("""COMPUTED_VALUE"""),9.02)</f>
        <v>9.02</v>
      </c>
      <c r="G2086" s="112">
        <f ca="1">IFERROR(__xludf.DUMMYFUNCTION("""COMPUTED_VALUE"""),43341.7055555555)</f>
        <v>43341.705555555498</v>
      </c>
      <c r="H2086" s="111">
        <f ca="1">IFERROR(__xludf.DUMMYFUNCTION("""COMPUTED_VALUE"""),19.3)</f>
        <v>19.3</v>
      </c>
      <c r="K2086" s="112">
        <f ca="1">IFERROR(__xludf.DUMMYFUNCTION("""COMPUTED_VALUE"""),43795.7055555555)</f>
        <v>43795.705555555498</v>
      </c>
      <c r="L2086" s="111">
        <f ca="1">IFERROR(__xludf.DUMMYFUNCTION("""COMPUTED_VALUE"""),10.76)</f>
        <v>10.76</v>
      </c>
      <c r="M2086" s="112">
        <f ca="1">IFERROR(__xludf.DUMMYFUNCTION("""COMPUTED_VALUE"""),43255.7055555555)</f>
        <v>43255.705555555498</v>
      </c>
      <c r="N2086" s="111">
        <f ca="1">IFERROR(__xludf.DUMMYFUNCTION("""COMPUTED_VALUE"""),20.78)</f>
        <v>20.78</v>
      </c>
      <c r="O2086" s="112">
        <f ca="1">IFERROR(__xludf.DUMMYFUNCTION("""COMPUTED_VALUE"""),43328.7055555555)</f>
        <v>43328.705555555498</v>
      </c>
      <c r="P2086" s="111">
        <f ca="1">IFERROR(__xludf.DUMMYFUNCTION("""COMPUTED_VALUE"""),49.72)</f>
        <v>49.72</v>
      </c>
      <c r="Q2086" s="112">
        <f ca="1">IFERROR(__xludf.DUMMYFUNCTION("""COMPUTED_VALUE"""),43327.7055555555)</f>
        <v>43327.705555555498</v>
      </c>
      <c r="R2086" s="111">
        <f ca="1">IFERROR(__xludf.DUMMYFUNCTION("""COMPUTED_VALUE"""),32.3)</f>
        <v>32.299999999999997</v>
      </c>
      <c r="S2086" s="112">
        <f ca="1">IFERROR(__xludf.DUMMYFUNCTION("""COMPUTED_VALUE"""),43339.7055555555)</f>
        <v>43339.705555555498</v>
      </c>
      <c r="T2086" s="111">
        <f ca="1">IFERROR(__xludf.DUMMYFUNCTION("""COMPUTED_VALUE"""),24.5)</f>
        <v>24.5</v>
      </c>
    </row>
    <row r="2087" spans="1:20" x14ac:dyDescent="0.3">
      <c r="A2087" s="112">
        <f ca="1">IFERROR(__xludf.DUMMYFUNCTION("""COMPUTED_VALUE"""),43336.7055555555)</f>
        <v>43336.705555555498</v>
      </c>
      <c r="B2087" s="111">
        <f ca="1">IFERROR(__xludf.DUMMYFUNCTION("""COMPUTED_VALUE"""),14.49)</f>
        <v>14.49</v>
      </c>
      <c r="C2087" s="112">
        <f ca="1">IFERROR(__xludf.DUMMYFUNCTION("""COMPUTED_VALUE"""),43346.7055555555)</f>
        <v>43346.705555555498</v>
      </c>
      <c r="D2087" s="111">
        <f ca="1">IFERROR(__xludf.DUMMYFUNCTION("""COMPUTED_VALUE"""),27.78)</f>
        <v>27.78</v>
      </c>
      <c r="E2087" s="112">
        <f ca="1">IFERROR(__xludf.DUMMYFUNCTION("""COMPUTED_VALUE"""),43347.7055555555)</f>
        <v>43347.705555555498</v>
      </c>
      <c r="F2087" s="111">
        <f ca="1">IFERROR(__xludf.DUMMYFUNCTION("""COMPUTED_VALUE"""),8.91)</f>
        <v>8.91</v>
      </c>
      <c r="G2087" s="112">
        <f ca="1">IFERROR(__xludf.DUMMYFUNCTION("""COMPUTED_VALUE"""),43342.7055555555)</f>
        <v>43342.705555555498</v>
      </c>
      <c r="H2087" s="111">
        <f ca="1">IFERROR(__xludf.DUMMYFUNCTION("""COMPUTED_VALUE"""),18.8)</f>
        <v>18.8</v>
      </c>
      <c r="K2087" s="112">
        <f ca="1">IFERROR(__xludf.DUMMYFUNCTION("""COMPUTED_VALUE"""),43796.7055555555)</f>
        <v>43796.705555555498</v>
      </c>
      <c r="L2087" s="111">
        <f ca="1">IFERROR(__xludf.DUMMYFUNCTION("""COMPUTED_VALUE"""),11.4)</f>
        <v>11.4</v>
      </c>
      <c r="M2087" s="112">
        <f ca="1">IFERROR(__xludf.DUMMYFUNCTION("""COMPUTED_VALUE"""),43256.7055555555)</f>
        <v>43256.705555555498</v>
      </c>
      <c r="N2087" s="111">
        <f ca="1">IFERROR(__xludf.DUMMYFUNCTION("""COMPUTED_VALUE"""),19.78)</f>
        <v>19.78</v>
      </c>
      <c r="O2087" s="112">
        <f ca="1">IFERROR(__xludf.DUMMYFUNCTION("""COMPUTED_VALUE"""),43329.7055555555)</f>
        <v>43329.705555555498</v>
      </c>
      <c r="P2087" s="111">
        <f ca="1">IFERROR(__xludf.DUMMYFUNCTION("""COMPUTED_VALUE"""),50.8)</f>
        <v>50.8</v>
      </c>
      <c r="Q2087" s="112">
        <f ca="1">IFERROR(__xludf.DUMMYFUNCTION("""COMPUTED_VALUE"""),43328.7055555555)</f>
        <v>43328.705555555498</v>
      </c>
      <c r="R2087" s="111">
        <f ca="1">IFERROR(__xludf.DUMMYFUNCTION("""COMPUTED_VALUE"""),32.4)</f>
        <v>32.4</v>
      </c>
      <c r="S2087" s="112">
        <f ca="1">IFERROR(__xludf.DUMMYFUNCTION("""COMPUTED_VALUE"""),43340.7055555555)</f>
        <v>43340.705555555498</v>
      </c>
      <c r="T2087" s="111">
        <f ca="1">IFERROR(__xludf.DUMMYFUNCTION("""COMPUTED_VALUE"""),24.1)</f>
        <v>24.1</v>
      </c>
    </row>
    <row r="2088" spans="1:20" x14ac:dyDescent="0.3">
      <c r="A2088" s="112">
        <f ca="1">IFERROR(__xludf.DUMMYFUNCTION("""COMPUTED_VALUE"""),43339.7055555555)</f>
        <v>43339.705555555498</v>
      </c>
      <c r="B2088" s="111">
        <f ca="1">IFERROR(__xludf.DUMMYFUNCTION("""COMPUTED_VALUE"""),15.44)</f>
        <v>15.44</v>
      </c>
      <c r="C2088" s="112">
        <f ca="1">IFERROR(__xludf.DUMMYFUNCTION("""COMPUTED_VALUE"""),43347.7055555555)</f>
        <v>43347.705555555498</v>
      </c>
      <c r="D2088" s="111">
        <f ca="1">IFERROR(__xludf.DUMMYFUNCTION("""COMPUTED_VALUE"""),27.54)</f>
        <v>27.54</v>
      </c>
      <c r="E2088" s="112">
        <f ca="1">IFERROR(__xludf.DUMMYFUNCTION("""COMPUTED_VALUE"""),43348.7055555555)</f>
        <v>43348.705555555498</v>
      </c>
      <c r="F2088" s="111">
        <f ca="1">IFERROR(__xludf.DUMMYFUNCTION("""COMPUTED_VALUE"""),8.91)</f>
        <v>8.91</v>
      </c>
      <c r="G2088" s="112">
        <f ca="1">IFERROR(__xludf.DUMMYFUNCTION("""COMPUTED_VALUE"""),43343.7055555555)</f>
        <v>43343.705555555498</v>
      </c>
      <c r="H2088" s="111">
        <f ca="1">IFERROR(__xludf.DUMMYFUNCTION("""COMPUTED_VALUE"""),19.26)</f>
        <v>19.260000000000002</v>
      </c>
      <c r="K2088" s="112">
        <f ca="1">IFERROR(__xludf.DUMMYFUNCTION("""COMPUTED_VALUE"""),43797.7055555555)</f>
        <v>43797.705555555498</v>
      </c>
      <c r="L2088" s="111">
        <f ca="1">IFERROR(__xludf.DUMMYFUNCTION("""COMPUTED_VALUE"""),11.4)</f>
        <v>11.4</v>
      </c>
      <c r="M2088" s="112">
        <f ca="1">IFERROR(__xludf.DUMMYFUNCTION("""COMPUTED_VALUE"""),43257.7055555555)</f>
        <v>43257.705555555498</v>
      </c>
      <c r="N2088" s="111">
        <f ca="1">IFERROR(__xludf.DUMMYFUNCTION("""COMPUTED_VALUE"""),19.45)</f>
        <v>19.45</v>
      </c>
      <c r="O2088" s="112">
        <f ca="1">IFERROR(__xludf.DUMMYFUNCTION("""COMPUTED_VALUE"""),43332.7055555555)</f>
        <v>43332.705555555498</v>
      </c>
      <c r="P2088" s="111">
        <f ca="1">IFERROR(__xludf.DUMMYFUNCTION("""COMPUTED_VALUE"""),51.44)</f>
        <v>51.44</v>
      </c>
      <c r="Q2088" s="112">
        <f ca="1">IFERROR(__xludf.DUMMYFUNCTION("""COMPUTED_VALUE"""),43329.7055555555)</f>
        <v>43329.705555555498</v>
      </c>
      <c r="R2088" s="111">
        <f ca="1">IFERROR(__xludf.DUMMYFUNCTION("""COMPUTED_VALUE"""),31.26)</f>
        <v>31.26</v>
      </c>
      <c r="S2088" s="112">
        <f ca="1">IFERROR(__xludf.DUMMYFUNCTION("""COMPUTED_VALUE"""),43341.7055555555)</f>
        <v>43341.705555555498</v>
      </c>
      <c r="T2088" s="111">
        <f ca="1">IFERROR(__xludf.DUMMYFUNCTION("""COMPUTED_VALUE"""),24.34)</f>
        <v>24.34</v>
      </c>
    </row>
    <row r="2089" spans="1:20" x14ac:dyDescent="0.3">
      <c r="A2089" s="112">
        <f ca="1">IFERROR(__xludf.DUMMYFUNCTION("""COMPUTED_VALUE"""),43340.7055555555)</f>
        <v>43340.705555555498</v>
      </c>
      <c r="B2089" s="111">
        <f ca="1">IFERROR(__xludf.DUMMYFUNCTION("""COMPUTED_VALUE"""),15.4)</f>
        <v>15.4</v>
      </c>
      <c r="C2089" s="112">
        <f ca="1">IFERROR(__xludf.DUMMYFUNCTION("""COMPUTED_VALUE"""),43348.7055555555)</f>
        <v>43348.705555555498</v>
      </c>
      <c r="D2089" s="111">
        <f ca="1">IFERROR(__xludf.DUMMYFUNCTION("""COMPUTED_VALUE"""),27.7)</f>
        <v>27.7</v>
      </c>
      <c r="E2089" s="112">
        <f ca="1">IFERROR(__xludf.DUMMYFUNCTION("""COMPUTED_VALUE"""),43349.7055555555)</f>
        <v>43349.705555555498</v>
      </c>
      <c r="F2089" s="111">
        <f ca="1">IFERROR(__xludf.DUMMYFUNCTION("""COMPUTED_VALUE"""),9.24)</f>
        <v>9.24</v>
      </c>
      <c r="G2089" s="112">
        <f ca="1">IFERROR(__xludf.DUMMYFUNCTION("""COMPUTED_VALUE"""),43346.7055555555)</f>
        <v>43346.705555555498</v>
      </c>
      <c r="H2089" s="111">
        <f ca="1">IFERROR(__xludf.DUMMYFUNCTION("""COMPUTED_VALUE"""),19)</f>
        <v>19</v>
      </c>
      <c r="K2089" s="112">
        <f ca="1">IFERROR(__xludf.DUMMYFUNCTION("""COMPUTED_VALUE"""),43798.7055555555)</f>
        <v>43798.705555555498</v>
      </c>
      <c r="L2089" s="111">
        <f ca="1">IFERROR(__xludf.DUMMYFUNCTION("""COMPUTED_VALUE"""),11.26)</f>
        <v>11.26</v>
      </c>
      <c r="M2089" s="112">
        <f ca="1">IFERROR(__xludf.DUMMYFUNCTION("""COMPUTED_VALUE"""),43258.7055555555)</f>
        <v>43258.705555555498</v>
      </c>
      <c r="N2089" s="111">
        <f ca="1">IFERROR(__xludf.DUMMYFUNCTION("""COMPUTED_VALUE"""),19.1)</f>
        <v>19.100000000000001</v>
      </c>
      <c r="O2089" s="112">
        <f ca="1">IFERROR(__xludf.DUMMYFUNCTION("""COMPUTED_VALUE"""),43333.7055555555)</f>
        <v>43333.705555555498</v>
      </c>
      <c r="P2089" s="111">
        <f ca="1">IFERROR(__xludf.DUMMYFUNCTION("""COMPUTED_VALUE"""),51.73)</f>
        <v>51.73</v>
      </c>
      <c r="Q2089" s="112">
        <f ca="1">IFERROR(__xludf.DUMMYFUNCTION("""COMPUTED_VALUE"""),43332.7055555555)</f>
        <v>43332.705555555498</v>
      </c>
      <c r="R2089" s="111">
        <f ca="1">IFERROR(__xludf.DUMMYFUNCTION("""COMPUTED_VALUE"""),30.43)</f>
        <v>30.43</v>
      </c>
      <c r="S2089" s="112">
        <f ca="1">IFERROR(__xludf.DUMMYFUNCTION("""COMPUTED_VALUE"""),43342.7055555555)</f>
        <v>43342.705555555498</v>
      </c>
      <c r="T2089" s="111">
        <f ca="1">IFERROR(__xludf.DUMMYFUNCTION("""COMPUTED_VALUE"""),23.34)</f>
        <v>23.34</v>
      </c>
    </row>
    <row r="2090" spans="1:20" x14ac:dyDescent="0.3">
      <c r="A2090" s="112">
        <f ca="1">IFERROR(__xludf.DUMMYFUNCTION("""COMPUTED_VALUE"""),43341.7055555555)</f>
        <v>43341.705555555498</v>
      </c>
      <c r="B2090" s="111">
        <f ca="1">IFERROR(__xludf.DUMMYFUNCTION("""COMPUTED_VALUE"""),16.76)</f>
        <v>16.760000000000002</v>
      </c>
      <c r="C2090" s="112">
        <f ca="1">IFERROR(__xludf.DUMMYFUNCTION("""COMPUTED_VALUE"""),43349.7055555555)</f>
        <v>43349.705555555498</v>
      </c>
      <c r="D2090" s="111">
        <f ca="1">IFERROR(__xludf.DUMMYFUNCTION("""COMPUTED_VALUE"""),28.4)</f>
        <v>28.4</v>
      </c>
      <c r="E2090" s="112">
        <f ca="1">IFERROR(__xludf.DUMMYFUNCTION("""COMPUTED_VALUE"""),43353.7055555555)</f>
        <v>43353.705555555498</v>
      </c>
      <c r="F2090" s="111">
        <f ca="1">IFERROR(__xludf.DUMMYFUNCTION("""COMPUTED_VALUE"""),9.23)</f>
        <v>9.23</v>
      </c>
      <c r="G2090" s="112">
        <f ca="1">IFERROR(__xludf.DUMMYFUNCTION("""COMPUTED_VALUE"""),43347.7055555555)</f>
        <v>43347.705555555498</v>
      </c>
      <c r="H2090" s="111">
        <f ca="1">IFERROR(__xludf.DUMMYFUNCTION("""COMPUTED_VALUE"""),18.65)</f>
        <v>18.649999999999999</v>
      </c>
      <c r="K2090" s="112">
        <f ca="1">IFERROR(__xludf.DUMMYFUNCTION("""COMPUTED_VALUE"""),43801.7055555555)</f>
        <v>43801.705555555498</v>
      </c>
      <c r="L2090" s="111">
        <f ca="1">IFERROR(__xludf.DUMMYFUNCTION("""COMPUTED_VALUE"""),11.23)</f>
        <v>11.23</v>
      </c>
      <c r="M2090" s="112">
        <f ca="1">IFERROR(__xludf.DUMMYFUNCTION("""COMPUTED_VALUE"""),43259.7055555555)</f>
        <v>43259.705555555498</v>
      </c>
      <c r="N2090" s="111">
        <f ca="1">IFERROR(__xludf.DUMMYFUNCTION("""COMPUTED_VALUE"""),18.94)</f>
        <v>18.940000000000001</v>
      </c>
      <c r="O2090" s="112">
        <f ca="1">IFERROR(__xludf.DUMMYFUNCTION("""COMPUTED_VALUE"""),43334.7055555555)</f>
        <v>43334.705555555498</v>
      </c>
      <c r="P2090" s="111">
        <f ca="1">IFERROR(__xludf.DUMMYFUNCTION("""COMPUTED_VALUE"""),53.3)</f>
        <v>53.3</v>
      </c>
      <c r="Q2090" s="112">
        <f ca="1">IFERROR(__xludf.DUMMYFUNCTION("""COMPUTED_VALUE"""),43333.7055555555)</f>
        <v>43333.705555555498</v>
      </c>
      <c r="R2090" s="111">
        <f ca="1">IFERROR(__xludf.DUMMYFUNCTION("""COMPUTED_VALUE"""),29.22)</f>
        <v>29.22</v>
      </c>
      <c r="S2090" s="112">
        <f ca="1">IFERROR(__xludf.DUMMYFUNCTION("""COMPUTED_VALUE"""),43343.7055555555)</f>
        <v>43343.705555555498</v>
      </c>
      <c r="T2090" s="111">
        <f ca="1">IFERROR(__xludf.DUMMYFUNCTION("""COMPUTED_VALUE"""),23.37)</f>
        <v>23.37</v>
      </c>
    </row>
    <row r="2091" spans="1:20" x14ac:dyDescent="0.3">
      <c r="A2091" s="112">
        <f ca="1">IFERROR(__xludf.DUMMYFUNCTION("""COMPUTED_VALUE"""),43342.7055555555)</f>
        <v>43342.705555555498</v>
      </c>
      <c r="B2091" s="111">
        <f ca="1">IFERROR(__xludf.DUMMYFUNCTION("""COMPUTED_VALUE"""),15.66)</f>
        <v>15.66</v>
      </c>
      <c r="C2091" s="112">
        <f ca="1">IFERROR(__xludf.DUMMYFUNCTION("""COMPUTED_VALUE"""),43353.7055555555)</f>
        <v>43353.705555555498</v>
      </c>
      <c r="D2091" s="111">
        <f ca="1">IFERROR(__xludf.DUMMYFUNCTION("""COMPUTED_VALUE"""),28.66)</f>
        <v>28.66</v>
      </c>
      <c r="E2091" s="112">
        <f ca="1">IFERROR(__xludf.DUMMYFUNCTION("""COMPUTED_VALUE"""),43354.7055555555)</f>
        <v>43354.705555555498</v>
      </c>
      <c r="F2091" s="111">
        <f ca="1">IFERROR(__xludf.DUMMYFUNCTION("""COMPUTED_VALUE"""),8.85)</f>
        <v>8.85</v>
      </c>
      <c r="G2091" s="112">
        <f ca="1">IFERROR(__xludf.DUMMYFUNCTION("""COMPUTED_VALUE"""),43348.7055555555)</f>
        <v>43348.705555555498</v>
      </c>
      <c r="H2091" s="111">
        <f ca="1">IFERROR(__xludf.DUMMYFUNCTION("""COMPUTED_VALUE"""),18.75)</f>
        <v>18.75</v>
      </c>
      <c r="K2091" s="112">
        <f ca="1">IFERROR(__xludf.DUMMYFUNCTION("""COMPUTED_VALUE"""),43802.7055555555)</f>
        <v>43802.705555555498</v>
      </c>
      <c r="L2091" s="111">
        <f ca="1">IFERROR(__xludf.DUMMYFUNCTION("""COMPUTED_VALUE"""),11.15)</f>
        <v>11.15</v>
      </c>
      <c r="M2091" s="112">
        <f ca="1">IFERROR(__xludf.DUMMYFUNCTION("""COMPUTED_VALUE"""),43262.7055555555)</f>
        <v>43262.705555555498</v>
      </c>
      <c r="N2091" s="111">
        <f ca="1">IFERROR(__xludf.DUMMYFUNCTION("""COMPUTED_VALUE"""),18.58)</f>
        <v>18.579999999999998</v>
      </c>
      <c r="O2091" s="112">
        <f ca="1">IFERROR(__xludf.DUMMYFUNCTION("""COMPUTED_VALUE"""),43335.7055555555)</f>
        <v>43335.705555555498</v>
      </c>
      <c r="P2091" s="111">
        <f ca="1">IFERROR(__xludf.DUMMYFUNCTION("""COMPUTED_VALUE"""),53.35)</f>
        <v>53.35</v>
      </c>
      <c r="Q2091" s="112">
        <f ca="1">IFERROR(__xludf.DUMMYFUNCTION("""COMPUTED_VALUE"""),43334.7055555555)</f>
        <v>43334.705555555498</v>
      </c>
      <c r="R2091" s="111">
        <f ca="1">IFERROR(__xludf.DUMMYFUNCTION("""COMPUTED_VALUE"""),30)</f>
        <v>30</v>
      </c>
      <c r="S2091" s="112">
        <f ca="1">IFERROR(__xludf.DUMMYFUNCTION("""COMPUTED_VALUE"""),43346.7055555555)</f>
        <v>43346.705555555498</v>
      </c>
      <c r="T2091" s="111">
        <f ca="1">IFERROR(__xludf.DUMMYFUNCTION("""COMPUTED_VALUE"""),23.14)</f>
        <v>23.14</v>
      </c>
    </row>
    <row r="2092" spans="1:20" x14ac:dyDescent="0.3">
      <c r="A2092" s="112">
        <f ca="1">IFERROR(__xludf.DUMMYFUNCTION("""COMPUTED_VALUE"""),43343.7055555555)</f>
        <v>43343.705555555498</v>
      </c>
      <c r="B2092" s="111">
        <f ca="1">IFERROR(__xludf.DUMMYFUNCTION("""COMPUTED_VALUE"""),15.64)</f>
        <v>15.64</v>
      </c>
      <c r="C2092" s="112">
        <f ca="1">IFERROR(__xludf.DUMMYFUNCTION("""COMPUTED_VALUE"""),43354.7055555555)</f>
        <v>43354.705555555498</v>
      </c>
      <c r="D2092" s="111">
        <f ca="1">IFERROR(__xludf.DUMMYFUNCTION("""COMPUTED_VALUE"""),27.67)</f>
        <v>27.67</v>
      </c>
      <c r="E2092" s="112">
        <f ca="1">IFERROR(__xludf.DUMMYFUNCTION("""COMPUTED_VALUE"""),43355.7055555555)</f>
        <v>43355.705555555498</v>
      </c>
      <c r="F2092" s="111">
        <f ca="1">IFERROR(__xludf.DUMMYFUNCTION("""COMPUTED_VALUE"""),8.9)</f>
        <v>8.9</v>
      </c>
      <c r="G2092" s="112">
        <f ca="1">IFERROR(__xludf.DUMMYFUNCTION("""COMPUTED_VALUE"""),43349.7055555555)</f>
        <v>43349.705555555498</v>
      </c>
      <c r="H2092" s="111">
        <f ca="1">IFERROR(__xludf.DUMMYFUNCTION("""COMPUTED_VALUE"""),18.99)</f>
        <v>18.989999999999998</v>
      </c>
      <c r="K2092" s="112">
        <f ca="1">IFERROR(__xludf.DUMMYFUNCTION("""COMPUTED_VALUE"""),43803.7055555555)</f>
        <v>43803.705555555498</v>
      </c>
      <c r="L2092" s="111">
        <f ca="1">IFERROR(__xludf.DUMMYFUNCTION("""COMPUTED_VALUE"""),11.02)</f>
        <v>11.02</v>
      </c>
      <c r="M2092" s="112">
        <f ca="1">IFERROR(__xludf.DUMMYFUNCTION("""COMPUTED_VALUE"""),43263.7055555555)</f>
        <v>43263.705555555498</v>
      </c>
      <c r="N2092" s="111">
        <f ca="1">IFERROR(__xludf.DUMMYFUNCTION("""COMPUTED_VALUE"""),18.53)</f>
        <v>18.53</v>
      </c>
      <c r="O2092" s="112">
        <f ca="1">IFERROR(__xludf.DUMMYFUNCTION("""COMPUTED_VALUE"""),43336.7055555555)</f>
        <v>43336.705555555498</v>
      </c>
      <c r="P2092" s="111">
        <f ca="1">IFERROR(__xludf.DUMMYFUNCTION("""COMPUTED_VALUE"""),54.15)</f>
        <v>54.15</v>
      </c>
      <c r="Q2092" s="112">
        <f ca="1">IFERROR(__xludf.DUMMYFUNCTION("""COMPUTED_VALUE"""),43335.7055555555)</f>
        <v>43335.705555555498</v>
      </c>
      <c r="R2092" s="111">
        <f ca="1">IFERROR(__xludf.DUMMYFUNCTION("""COMPUTED_VALUE"""),29.24)</f>
        <v>29.24</v>
      </c>
      <c r="S2092" s="112">
        <f ca="1">IFERROR(__xludf.DUMMYFUNCTION("""COMPUTED_VALUE"""),43347.7055555555)</f>
        <v>43347.705555555498</v>
      </c>
      <c r="T2092" s="111">
        <f ca="1">IFERROR(__xludf.DUMMYFUNCTION("""COMPUTED_VALUE"""),22.63)</f>
        <v>22.63</v>
      </c>
    </row>
    <row r="2093" spans="1:20" x14ac:dyDescent="0.3">
      <c r="A2093" s="112">
        <f ca="1">IFERROR(__xludf.DUMMYFUNCTION("""COMPUTED_VALUE"""),43346.7055555555)</f>
        <v>43346.705555555498</v>
      </c>
      <c r="B2093" s="111">
        <f ca="1">IFERROR(__xludf.DUMMYFUNCTION("""COMPUTED_VALUE"""),15.18)</f>
        <v>15.18</v>
      </c>
      <c r="C2093" s="112">
        <f ca="1">IFERROR(__xludf.DUMMYFUNCTION("""COMPUTED_VALUE"""),43355.7055555555)</f>
        <v>43355.705555555498</v>
      </c>
      <c r="D2093" s="111">
        <f ca="1">IFERROR(__xludf.DUMMYFUNCTION("""COMPUTED_VALUE"""),27.75)</f>
        <v>27.75</v>
      </c>
      <c r="E2093" s="112">
        <f ca="1">IFERROR(__xludf.DUMMYFUNCTION("""COMPUTED_VALUE"""),43356.7055555555)</f>
        <v>43356.705555555498</v>
      </c>
      <c r="F2093" s="111">
        <f ca="1">IFERROR(__xludf.DUMMYFUNCTION("""COMPUTED_VALUE"""),8.96)</f>
        <v>8.9600000000000009</v>
      </c>
      <c r="G2093" s="112">
        <f ca="1">IFERROR(__xludf.DUMMYFUNCTION("""COMPUTED_VALUE"""),43353.7055555555)</f>
        <v>43353.705555555498</v>
      </c>
      <c r="H2093" s="111">
        <f ca="1">IFERROR(__xludf.DUMMYFUNCTION("""COMPUTED_VALUE"""),19.26)</f>
        <v>19.260000000000002</v>
      </c>
      <c r="K2093" s="112">
        <f ca="1">IFERROR(__xludf.DUMMYFUNCTION("""COMPUTED_VALUE"""),43804.7055555555)</f>
        <v>43804.705555555498</v>
      </c>
      <c r="L2093" s="111">
        <f ca="1">IFERROR(__xludf.DUMMYFUNCTION("""COMPUTED_VALUE"""),11.23)</f>
        <v>11.23</v>
      </c>
      <c r="M2093" s="112">
        <f ca="1">IFERROR(__xludf.DUMMYFUNCTION("""COMPUTED_VALUE"""),43264.7055555555)</f>
        <v>43264.705555555498</v>
      </c>
      <c r="N2093" s="111">
        <f ca="1">IFERROR(__xludf.DUMMYFUNCTION("""COMPUTED_VALUE"""),18.15)</f>
        <v>18.149999999999999</v>
      </c>
      <c r="O2093" s="112">
        <f ca="1">IFERROR(__xludf.DUMMYFUNCTION("""COMPUTED_VALUE"""),43339.7055555555)</f>
        <v>43339.705555555498</v>
      </c>
      <c r="P2093" s="111">
        <f ca="1">IFERROR(__xludf.DUMMYFUNCTION("""COMPUTED_VALUE"""),55.67)</f>
        <v>55.67</v>
      </c>
      <c r="Q2093" s="112">
        <f ca="1">IFERROR(__xludf.DUMMYFUNCTION("""COMPUTED_VALUE"""),43336.7055555555)</f>
        <v>43336.705555555498</v>
      </c>
      <c r="R2093" s="111">
        <f ca="1">IFERROR(__xludf.DUMMYFUNCTION("""COMPUTED_VALUE"""),29.64)</f>
        <v>29.64</v>
      </c>
      <c r="S2093" s="112">
        <f ca="1">IFERROR(__xludf.DUMMYFUNCTION("""COMPUTED_VALUE"""),43348.7055555555)</f>
        <v>43348.705555555498</v>
      </c>
      <c r="T2093" s="111">
        <f ca="1">IFERROR(__xludf.DUMMYFUNCTION("""COMPUTED_VALUE"""),23.09)</f>
        <v>23.09</v>
      </c>
    </row>
    <row r="2094" spans="1:20" x14ac:dyDescent="0.3">
      <c r="A2094" s="112">
        <f ca="1">IFERROR(__xludf.DUMMYFUNCTION("""COMPUTED_VALUE"""),43347.7055555555)</f>
        <v>43347.705555555498</v>
      </c>
      <c r="B2094" s="111">
        <f ca="1">IFERROR(__xludf.DUMMYFUNCTION("""COMPUTED_VALUE"""),14.77)</f>
        <v>14.77</v>
      </c>
      <c r="C2094" s="112">
        <f ca="1">IFERROR(__xludf.DUMMYFUNCTION("""COMPUTED_VALUE"""),43356.7055555555)</f>
        <v>43356.705555555498</v>
      </c>
      <c r="D2094" s="111">
        <f ca="1">IFERROR(__xludf.DUMMYFUNCTION("""COMPUTED_VALUE"""),27.6)</f>
        <v>27.6</v>
      </c>
      <c r="E2094" s="112">
        <f ca="1">IFERROR(__xludf.DUMMYFUNCTION("""COMPUTED_VALUE"""),43357.7055555555)</f>
        <v>43357.705555555498</v>
      </c>
      <c r="F2094" s="111">
        <f ca="1">IFERROR(__xludf.DUMMYFUNCTION("""COMPUTED_VALUE"""),9.17)</f>
        <v>9.17</v>
      </c>
      <c r="G2094" s="112">
        <f ca="1">IFERROR(__xludf.DUMMYFUNCTION("""COMPUTED_VALUE"""),43354.7055555555)</f>
        <v>43354.705555555498</v>
      </c>
      <c r="H2094" s="111">
        <f ca="1">IFERROR(__xludf.DUMMYFUNCTION("""COMPUTED_VALUE"""),18.5)</f>
        <v>18.5</v>
      </c>
      <c r="K2094" s="112">
        <f ca="1">IFERROR(__xludf.DUMMYFUNCTION("""COMPUTED_VALUE"""),43805.7055555555)</f>
        <v>43805.705555555498</v>
      </c>
      <c r="L2094" s="111">
        <f ca="1">IFERROR(__xludf.DUMMYFUNCTION("""COMPUTED_VALUE"""),11.35)</f>
        <v>11.35</v>
      </c>
      <c r="M2094" s="112">
        <f ca="1">IFERROR(__xludf.DUMMYFUNCTION("""COMPUTED_VALUE"""),43265.7055555555)</f>
        <v>43265.705555555498</v>
      </c>
      <c r="N2094" s="111">
        <f ca="1">IFERROR(__xludf.DUMMYFUNCTION("""COMPUTED_VALUE"""),17.42)</f>
        <v>17.420000000000002</v>
      </c>
      <c r="O2094" s="112">
        <f ca="1">IFERROR(__xludf.DUMMYFUNCTION("""COMPUTED_VALUE"""),43340.7055555555)</f>
        <v>43340.705555555498</v>
      </c>
      <c r="P2094" s="111">
        <f ca="1">IFERROR(__xludf.DUMMYFUNCTION("""COMPUTED_VALUE"""),55.65)</f>
        <v>55.65</v>
      </c>
      <c r="Q2094" s="112">
        <f ca="1">IFERROR(__xludf.DUMMYFUNCTION("""COMPUTED_VALUE"""),43339.7055555555)</f>
        <v>43339.705555555498</v>
      </c>
      <c r="R2094" s="111">
        <f ca="1">IFERROR(__xludf.DUMMYFUNCTION("""COMPUTED_VALUE"""),30.55)</f>
        <v>30.55</v>
      </c>
      <c r="S2094" s="112">
        <f ca="1">IFERROR(__xludf.DUMMYFUNCTION("""COMPUTED_VALUE"""),43349.7055555555)</f>
        <v>43349.705555555498</v>
      </c>
      <c r="T2094" s="111">
        <f ca="1">IFERROR(__xludf.DUMMYFUNCTION("""COMPUTED_VALUE"""),23.82)</f>
        <v>23.82</v>
      </c>
    </row>
    <row r="2095" spans="1:20" x14ac:dyDescent="0.3">
      <c r="A2095" s="112">
        <f ca="1">IFERROR(__xludf.DUMMYFUNCTION("""COMPUTED_VALUE"""),43348.7055555555)</f>
        <v>43348.705555555498</v>
      </c>
      <c r="B2095" s="111">
        <f ca="1">IFERROR(__xludf.DUMMYFUNCTION("""COMPUTED_VALUE"""),15.15)</f>
        <v>15.15</v>
      </c>
      <c r="C2095" s="112">
        <f ca="1">IFERROR(__xludf.DUMMYFUNCTION("""COMPUTED_VALUE"""),43357.7055555555)</f>
        <v>43357.705555555498</v>
      </c>
      <c r="D2095" s="111">
        <f ca="1">IFERROR(__xludf.DUMMYFUNCTION("""COMPUTED_VALUE"""),28.09)</f>
        <v>28.09</v>
      </c>
      <c r="E2095" s="112">
        <f ca="1">IFERROR(__xludf.DUMMYFUNCTION("""COMPUTED_VALUE"""),43360.7055555555)</f>
        <v>43360.705555555498</v>
      </c>
      <c r="F2095" s="111">
        <f ca="1">IFERROR(__xludf.DUMMYFUNCTION("""COMPUTED_VALUE"""),9.31)</f>
        <v>9.31</v>
      </c>
      <c r="G2095" s="112">
        <f ca="1">IFERROR(__xludf.DUMMYFUNCTION("""COMPUTED_VALUE"""),43355.7055555555)</f>
        <v>43355.705555555498</v>
      </c>
      <c r="H2095" s="111">
        <f ca="1">IFERROR(__xludf.DUMMYFUNCTION("""COMPUTED_VALUE"""),18.95)</f>
        <v>18.95</v>
      </c>
      <c r="K2095" s="112">
        <f ca="1">IFERROR(__xludf.DUMMYFUNCTION("""COMPUTED_VALUE"""),43808.7055555555)</f>
        <v>43808.705555555498</v>
      </c>
      <c r="L2095" s="111">
        <f ca="1">IFERROR(__xludf.DUMMYFUNCTION("""COMPUTED_VALUE"""),11.47)</f>
        <v>11.47</v>
      </c>
      <c r="M2095" s="112">
        <f ca="1">IFERROR(__xludf.DUMMYFUNCTION("""COMPUTED_VALUE"""),43266.7055555555)</f>
        <v>43266.705555555498</v>
      </c>
      <c r="N2095" s="111">
        <f ca="1">IFERROR(__xludf.DUMMYFUNCTION("""COMPUTED_VALUE"""),17.73)</f>
        <v>17.73</v>
      </c>
      <c r="O2095" s="112">
        <f ca="1">IFERROR(__xludf.DUMMYFUNCTION("""COMPUTED_VALUE"""),43341.7055555555)</f>
        <v>43341.705555555498</v>
      </c>
      <c r="P2095" s="111">
        <f ca="1">IFERROR(__xludf.DUMMYFUNCTION("""COMPUTED_VALUE"""),55.22)</f>
        <v>55.22</v>
      </c>
      <c r="Q2095" s="112">
        <f ca="1">IFERROR(__xludf.DUMMYFUNCTION("""COMPUTED_VALUE"""),43340.7055555555)</f>
        <v>43340.705555555498</v>
      </c>
      <c r="R2095" s="111">
        <f ca="1">IFERROR(__xludf.DUMMYFUNCTION("""COMPUTED_VALUE"""),30.4)</f>
        <v>30.4</v>
      </c>
      <c r="S2095" s="112">
        <f ca="1">IFERROR(__xludf.DUMMYFUNCTION("""COMPUTED_VALUE"""),43353.7055555555)</f>
        <v>43353.705555555498</v>
      </c>
      <c r="T2095" s="111">
        <f ca="1">IFERROR(__xludf.DUMMYFUNCTION("""COMPUTED_VALUE"""),23.96)</f>
        <v>23.96</v>
      </c>
    </row>
    <row r="2096" spans="1:20" x14ac:dyDescent="0.3">
      <c r="A2096" s="112">
        <f ca="1">IFERROR(__xludf.DUMMYFUNCTION("""COMPUTED_VALUE"""),43349.7055555555)</f>
        <v>43349.705555555498</v>
      </c>
      <c r="B2096" s="111">
        <f ca="1">IFERROR(__xludf.DUMMYFUNCTION("""COMPUTED_VALUE"""),15.87)</f>
        <v>15.87</v>
      </c>
      <c r="C2096" s="112">
        <f ca="1">IFERROR(__xludf.DUMMYFUNCTION("""COMPUTED_VALUE"""),43360.7055555555)</f>
        <v>43360.705555555498</v>
      </c>
      <c r="D2096" s="111">
        <f ca="1">IFERROR(__xludf.DUMMYFUNCTION("""COMPUTED_VALUE"""),28.75)</f>
        <v>28.75</v>
      </c>
      <c r="E2096" s="112">
        <f ca="1">IFERROR(__xludf.DUMMYFUNCTION("""COMPUTED_VALUE"""),43361.7055555555)</f>
        <v>43361.705555555498</v>
      </c>
      <c r="F2096" s="111">
        <f ca="1">IFERROR(__xludf.DUMMYFUNCTION("""COMPUTED_VALUE"""),9.44)</f>
        <v>9.44</v>
      </c>
      <c r="G2096" s="112">
        <f ca="1">IFERROR(__xludf.DUMMYFUNCTION("""COMPUTED_VALUE"""),43356.7055555555)</f>
        <v>43356.705555555498</v>
      </c>
      <c r="H2096" s="111">
        <f ca="1">IFERROR(__xludf.DUMMYFUNCTION("""COMPUTED_VALUE"""),18.71)</f>
        <v>18.71</v>
      </c>
      <c r="K2096" s="112">
        <f ca="1">IFERROR(__xludf.DUMMYFUNCTION("""COMPUTED_VALUE"""),43809.7055555555)</f>
        <v>43809.705555555498</v>
      </c>
      <c r="L2096" s="111">
        <f ca="1">IFERROR(__xludf.DUMMYFUNCTION("""COMPUTED_VALUE"""),11.65)</f>
        <v>11.65</v>
      </c>
      <c r="M2096" s="112">
        <f ca="1">IFERROR(__xludf.DUMMYFUNCTION("""COMPUTED_VALUE"""),43269.7055555555)</f>
        <v>43269.705555555498</v>
      </c>
      <c r="N2096" s="111">
        <f ca="1">IFERROR(__xludf.DUMMYFUNCTION("""COMPUTED_VALUE"""),17.16)</f>
        <v>17.16</v>
      </c>
      <c r="O2096" s="112">
        <f ca="1">IFERROR(__xludf.DUMMYFUNCTION("""COMPUTED_VALUE"""),43342.7055555555)</f>
        <v>43342.705555555498</v>
      </c>
      <c r="P2096" s="111">
        <f ca="1">IFERROR(__xludf.DUMMYFUNCTION("""COMPUTED_VALUE"""),54.57)</f>
        <v>54.57</v>
      </c>
      <c r="Q2096" s="112">
        <f ca="1">IFERROR(__xludf.DUMMYFUNCTION("""COMPUTED_VALUE"""),43341.7055555555)</f>
        <v>43341.705555555498</v>
      </c>
      <c r="R2096" s="111">
        <f ca="1">IFERROR(__xludf.DUMMYFUNCTION("""COMPUTED_VALUE"""),31.02)</f>
        <v>31.02</v>
      </c>
      <c r="S2096" s="112">
        <f ca="1">IFERROR(__xludf.DUMMYFUNCTION("""COMPUTED_VALUE"""),43354.7055555555)</f>
        <v>43354.705555555498</v>
      </c>
      <c r="T2096" s="111">
        <f ca="1">IFERROR(__xludf.DUMMYFUNCTION("""COMPUTED_VALUE"""),23.55)</f>
        <v>23.55</v>
      </c>
    </row>
    <row r="2097" spans="1:20" x14ac:dyDescent="0.3">
      <c r="A2097" s="112">
        <f ca="1">IFERROR(__xludf.DUMMYFUNCTION("""COMPUTED_VALUE"""),43353.7055555555)</f>
        <v>43353.705555555498</v>
      </c>
      <c r="B2097" s="111">
        <f ca="1">IFERROR(__xludf.DUMMYFUNCTION("""COMPUTED_VALUE"""),15.71)</f>
        <v>15.71</v>
      </c>
      <c r="C2097" s="112">
        <f ca="1">IFERROR(__xludf.DUMMYFUNCTION("""COMPUTED_VALUE"""),43361.7055555555)</f>
        <v>43361.705555555498</v>
      </c>
      <c r="D2097" s="111">
        <f ca="1">IFERROR(__xludf.DUMMYFUNCTION("""COMPUTED_VALUE"""),28.73)</f>
        <v>28.73</v>
      </c>
      <c r="E2097" s="112">
        <f ca="1">IFERROR(__xludf.DUMMYFUNCTION("""COMPUTED_VALUE"""),43362.7055555555)</f>
        <v>43362.705555555498</v>
      </c>
      <c r="F2097" s="111">
        <f ca="1">IFERROR(__xludf.DUMMYFUNCTION("""COMPUTED_VALUE"""),9.43)</f>
        <v>9.43</v>
      </c>
      <c r="G2097" s="112">
        <f ca="1">IFERROR(__xludf.DUMMYFUNCTION("""COMPUTED_VALUE"""),43357.7055555555)</f>
        <v>43357.705555555498</v>
      </c>
      <c r="H2097" s="111">
        <f ca="1">IFERROR(__xludf.DUMMYFUNCTION("""COMPUTED_VALUE"""),18.79)</f>
        <v>18.79</v>
      </c>
      <c r="K2097" s="112">
        <f ca="1">IFERROR(__xludf.DUMMYFUNCTION("""COMPUTED_VALUE"""),43810.7055555555)</f>
        <v>43810.705555555498</v>
      </c>
      <c r="L2097" s="111">
        <f ca="1">IFERROR(__xludf.DUMMYFUNCTION("""COMPUTED_VALUE"""),11.9)</f>
        <v>11.9</v>
      </c>
      <c r="M2097" s="112">
        <f ca="1">IFERROR(__xludf.DUMMYFUNCTION("""COMPUTED_VALUE"""),43270.7055555555)</f>
        <v>43270.705555555498</v>
      </c>
      <c r="N2097" s="111">
        <f ca="1">IFERROR(__xludf.DUMMYFUNCTION("""COMPUTED_VALUE"""),18.04)</f>
        <v>18.04</v>
      </c>
      <c r="O2097" s="112">
        <f ca="1">IFERROR(__xludf.DUMMYFUNCTION("""COMPUTED_VALUE"""),43343.7055555555)</f>
        <v>43343.705555555498</v>
      </c>
      <c r="P2097" s="111">
        <f ca="1">IFERROR(__xludf.DUMMYFUNCTION("""COMPUTED_VALUE"""),53.62)</f>
        <v>53.62</v>
      </c>
      <c r="Q2097" s="112">
        <f ca="1">IFERROR(__xludf.DUMMYFUNCTION("""COMPUTED_VALUE"""),43342.7055555555)</f>
        <v>43342.705555555498</v>
      </c>
      <c r="R2097" s="111">
        <f ca="1">IFERROR(__xludf.DUMMYFUNCTION("""COMPUTED_VALUE"""),29.93)</f>
        <v>29.93</v>
      </c>
      <c r="S2097" s="112">
        <f ca="1">IFERROR(__xludf.DUMMYFUNCTION("""COMPUTED_VALUE"""),43355.7055555555)</f>
        <v>43355.705555555498</v>
      </c>
      <c r="T2097" s="111">
        <f ca="1">IFERROR(__xludf.DUMMYFUNCTION("""COMPUTED_VALUE"""),23.55)</f>
        <v>23.55</v>
      </c>
    </row>
    <row r="2098" spans="1:20" x14ac:dyDescent="0.3">
      <c r="A2098" s="112">
        <f ca="1">IFERROR(__xludf.DUMMYFUNCTION("""COMPUTED_VALUE"""),43354.7055555555)</f>
        <v>43354.705555555498</v>
      </c>
      <c r="B2098" s="111">
        <f ca="1">IFERROR(__xludf.DUMMYFUNCTION("""COMPUTED_VALUE"""),14.65)</f>
        <v>14.65</v>
      </c>
      <c r="C2098" s="112">
        <f ca="1">IFERROR(__xludf.DUMMYFUNCTION("""COMPUTED_VALUE"""),43362.7055555555)</f>
        <v>43362.705555555498</v>
      </c>
      <c r="D2098" s="111">
        <f ca="1">IFERROR(__xludf.DUMMYFUNCTION("""COMPUTED_VALUE"""),28.93)</f>
        <v>28.93</v>
      </c>
      <c r="E2098" s="112">
        <f ca="1">IFERROR(__xludf.DUMMYFUNCTION("""COMPUTED_VALUE"""),43363.7055555555)</f>
        <v>43363.705555555498</v>
      </c>
      <c r="F2098" s="111">
        <f ca="1">IFERROR(__xludf.DUMMYFUNCTION("""COMPUTED_VALUE"""),9.3)</f>
        <v>9.3000000000000007</v>
      </c>
      <c r="G2098" s="112">
        <f ca="1">IFERROR(__xludf.DUMMYFUNCTION("""COMPUTED_VALUE"""),43360.7055555555)</f>
        <v>43360.705555555498</v>
      </c>
      <c r="H2098" s="111">
        <f ca="1">IFERROR(__xludf.DUMMYFUNCTION("""COMPUTED_VALUE"""),19.4)</f>
        <v>19.399999999999999</v>
      </c>
      <c r="K2098" s="112">
        <f ca="1">IFERROR(__xludf.DUMMYFUNCTION("""COMPUTED_VALUE"""),43811.7055555555)</f>
        <v>43811.705555555498</v>
      </c>
      <c r="L2098" s="111">
        <f ca="1">IFERROR(__xludf.DUMMYFUNCTION("""COMPUTED_VALUE"""),11.96)</f>
        <v>11.96</v>
      </c>
      <c r="M2098" s="112">
        <f ca="1">IFERROR(__xludf.DUMMYFUNCTION("""COMPUTED_VALUE"""),43271.7055555555)</f>
        <v>43271.705555555498</v>
      </c>
      <c r="N2098" s="111">
        <f ca="1">IFERROR(__xludf.DUMMYFUNCTION("""COMPUTED_VALUE"""),18.43)</f>
        <v>18.43</v>
      </c>
      <c r="O2098" s="112">
        <f ca="1">IFERROR(__xludf.DUMMYFUNCTION("""COMPUTED_VALUE"""),43346.7055555555)</f>
        <v>43346.705555555498</v>
      </c>
      <c r="P2098" s="111">
        <f ca="1">IFERROR(__xludf.DUMMYFUNCTION("""COMPUTED_VALUE"""),54.05)</f>
        <v>54.05</v>
      </c>
      <c r="Q2098" s="112">
        <f ca="1">IFERROR(__xludf.DUMMYFUNCTION("""COMPUTED_VALUE"""),43343.7055555555)</f>
        <v>43343.705555555498</v>
      </c>
      <c r="R2098" s="111">
        <f ca="1">IFERROR(__xludf.DUMMYFUNCTION("""COMPUTED_VALUE"""),30.1)</f>
        <v>30.1</v>
      </c>
      <c r="S2098" s="112">
        <f ca="1">IFERROR(__xludf.DUMMYFUNCTION("""COMPUTED_VALUE"""),43356.7055555555)</f>
        <v>43356.705555555498</v>
      </c>
      <c r="T2098" s="111">
        <f ca="1">IFERROR(__xludf.DUMMYFUNCTION("""COMPUTED_VALUE"""),23.06)</f>
        <v>23.06</v>
      </c>
    </row>
    <row r="2099" spans="1:20" x14ac:dyDescent="0.3">
      <c r="A2099" s="112">
        <f ca="1">IFERROR(__xludf.DUMMYFUNCTION("""COMPUTED_VALUE"""),43355.7055555555)</f>
        <v>43355.705555555498</v>
      </c>
      <c r="B2099" s="111">
        <f ca="1">IFERROR(__xludf.DUMMYFUNCTION("""COMPUTED_VALUE"""),15.34)</f>
        <v>15.34</v>
      </c>
      <c r="C2099" s="112">
        <f ca="1">IFERROR(__xludf.DUMMYFUNCTION("""COMPUTED_VALUE"""),43363.7055555555)</f>
        <v>43363.705555555498</v>
      </c>
      <c r="D2099" s="111">
        <f ca="1">IFERROR(__xludf.DUMMYFUNCTION("""COMPUTED_VALUE"""),28.74)</f>
        <v>28.74</v>
      </c>
      <c r="E2099" s="112">
        <f ca="1">IFERROR(__xludf.DUMMYFUNCTION("""COMPUTED_VALUE"""),43364.7055555555)</f>
        <v>43364.705555555498</v>
      </c>
      <c r="F2099" s="111">
        <f ca="1">IFERROR(__xludf.DUMMYFUNCTION("""COMPUTED_VALUE"""),9.4)</f>
        <v>9.4</v>
      </c>
      <c r="G2099" s="112">
        <f ca="1">IFERROR(__xludf.DUMMYFUNCTION("""COMPUTED_VALUE"""),43361.7055555555)</f>
        <v>43361.705555555498</v>
      </c>
      <c r="H2099" s="111">
        <f ca="1">IFERROR(__xludf.DUMMYFUNCTION("""COMPUTED_VALUE"""),20.25)</f>
        <v>20.25</v>
      </c>
      <c r="K2099" s="112">
        <f ca="1">IFERROR(__xludf.DUMMYFUNCTION("""COMPUTED_VALUE"""),43812.7055555555)</f>
        <v>43812.705555555498</v>
      </c>
      <c r="L2099" s="111">
        <f ca="1">IFERROR(__xludf.DUMMYFUNCTION("""COMPUTED_VALUE"""),12.27)</f>
        <v>12.27</v>
      </c>
      <c r="M2099" s="112">
        <f ca="1">IFERROR(__xludf.DUMMYFUNCTION("""COMPUTED_VALUE"""),43272.7055555555)</f>
        <v>43272.705555555498</v>
      </c>
      <c r="N2099" s="111">
        <f ca="1">IFERROR(__xludf.DUMMYFUNCTION("""COMPUTED_VALUE"""),17.67)</f>
        <v>17.670000000000002</v>
      </c>
      <c r="O2099" s="112">
        <f ca="1">IFERROR(__xludf.DUMMYFUNCTION("""COMPUTED_VALUE"""),43347.7055555555)</f>
        <v>43347.705555555498</v>
      </c>
      <c r="P2099" s="111">
        <f ca="1">IFERROR(__xludf.DUMMYFUNCTION("""COMPUTED_VALUE"""),52)</f>
        <v>52</v>
      </c>
      <c r="Q2099" s="112">
        <f ca="1">IFERROR(__xludf.DUMMYFUNCTION("""COMPUTED_VALUE"""),43346.7055555555)</f>
        <v>43346.705555555498</v>
      </c>
      <c r="R2099" s="111">
        <f ca="1">IFERROR(__xludf.DUMMYFUNCTION("""COMPUTED_VALUE"""),29.39)</f>
        <v>29.39</v>
      </c>
      <c r="S2099" s="112">
        <f ca="1">IFERROR(__xludf.DUMMYFUNCTION("""COMPUTED_VALUE"""),43357.7055555555)</f>
        <v>43357.705555555498</v>
      </c>
      <c r="T2099" s="111">
        <f ca="1">IFERROR(__xludf.DUMMYFUNCTION("""COMPUTED_VALUE"""),23.87)</f>
        <v>23.87</v>
      </c>
    </row>
    <row r="2100" spans="1:20" x14ac:dyDescent="0.3">
      <c r="A2100" s="112">
        <f ca="1">IFERROR(__xludf.DUMMYFUNCTION("""COMPUTED_VALUE"""),43356.7055555555)</f>
        <v>43356.705555555498</v>
      </c>
      <c r="B2100" s="111">
        <f ca="1">IFERROR(__xludf.DUMMYFUNCTION("""COMPUTED_VALUE"""),15.07)</f>
        <v>15.07</v>
      </c>
      <c r="C2100" s="112">
        <f ca="1">IFERROR(__xludf.DUMMYFUNCTION("""COMPUTED_VALUE"""),43364.7055555555)</f>
        <v>43364.705555555498</v>
      </c>
      <c r="D2100" s="111">
        <f ca="1">IFERROR(__xludf.DUMMYFUNCTION("""COMPUTED_VALUE"""),29.23)</f>
        <v>29.23</v>
      </c>
      <c r="E2100" s="112">
        <f ca="1">IFERROR(__xludf.DUMMYFUNCTION("""COMPUTED_VALUE"""),43367.7055555555)</f>
        <v>43367.705555555498</v>
      </c>
      <c r="F2100" s="111">
        <f ca="1">IFERROR(__xludf.DUMMYFUNCTION("""COMPUTED_VALUE"""),9.13)</f>
        <v>9.1300000000000008</v>
      </c>
      <c r="G2100" s="112">
        <f ca="1">IFERROR(__xludf.DUMMYFUNCTION("""COMPUTED_VALUE"""),43362.7055555555)</f>
        <v>43362.705555555498</v>
      </c>
      <c r="H2100" s="111">
        <f ca="1">IFERROR(__xludf.DUMMYFUNCTION("""COMPUTED_VALUE"""),19.98)</f>
        <v>19.98</v>
      </c>
      <c r="K2100" s="112">
        <f ca="1">IFERROR(__xludf.DUMMYFUNCTION("""COMPUTED_VALUE"""),43815.7055555555)</f>
        <v>43815.705555555498</v>
      </c>
      <c r="L2100" s="111">
        <f ca="1">IFERROR(__xludf.DUMMYFUNCTION("""COMPUTED_VALUE"""),12.33)</f>
        <v>12.33</v>
      </c>
      <c r="M2100" s="112">
        <f ca="1">IFERROR(__xludf.DUMMYFUNCTION("""COMPUTED_VALUE"""),43273.7055555555)</f>
        <v>43273.705555555498</v>
      </c>
      <c r="N2100" s="111">
        <f ca="1">IFERROR(__xludf.DUMMYFUNCTION("""COMPUTED_VALUE"""),18)</f>
        <v>18</v>
      </c>
      <c r="O2100" s="112">
        <f ca="1">IFERROR(__xludf.DUMMYFUNCTION("""COMPUTED_VALUE"""),43348.7055555555)</f>
        <v>43348.705555555498</v>
      </c>
      <c r="P2100" s="111">
        <f ca="1">IFERROR(__xludf.DUMMYFUNCTION("""COMPUTED_VALUE"""),52.15)</f>
        <v>52.15</v>
      </c>
      <c r="Q2100" s="112">
        <f ca="1">IFERROR(__xludf.DUMMYFUNCTION("""COMPUTED_VALUE"""),43347.7055555555)</f>
        <v>43347.705555555498</v>
      </c>
      <c r="R2100" s="111">
        <f ca="1">IFERROR(__xludf.DUMMYFUNCTION("""COMPUTED_VALUE"""),28.64)</f>
        <v>28.64</v>
      </c>
      <c r="S2100" s="112">
        <f ca="1">IFERROR(__xludf.DUMMYFUNCTION("""COMPUTED_VALUE"""),43360.7055555555)</f>
        <v>43360.705555555498</v>
      </c>
      <c r="T2100" s="111">
        <f ca="1">IFERROR(__xludf.DUMMYFUNCTION("""COMPUTED_VALUE"""),24.89)</f>
        <v>24.89</v>
      </c>
    </row>
    <row r="2101" spans="1:20" x14ac:dyDescent="0.3">
      <c r="A2101" s="112">
        <f ca="1">IFERROR(__xludf.DUMMYFUNCTION("""COMPUTED_VALUE"""),43357.7055555555)</f>
        <v>43357.705555555498</v>
      </c>
      <c r="B2101" s="111">
        <f ca="1">IFERROR(__xludf.DUMMYFUNCTION("""COMPUTED_VALUE"""),14.55)</f>
        <v>14.55</v>
      </c>
      <c r="C2101" s="112">
        <f ca="1">IFERROR(__xludf.DUMMYFUNCTION("""COMPUTED_VALUE"""),43367.7055555555)</f>
        <v>43367.705555555498</v>
      </c>
      <c r="D2101" s="111">
        <f ca="1">IFERROR(__xludf.DUMMYFUNCTION("""COMPUTED_VALUE"""),28.5)</f>
        <v>28.5</v>
      </c>
      <c r="E2101" s="112">
        <f ca="1">IFERROR(__xludf.DUMMYFUNCTION("""COMPUTED_VALUE"""),43368.7055555555)</f>
        <v>43368.705555555498</v>
      </c>
      <c r="F2101" s="111">
        <f ca="1">IFERROR(__xludf.DUMMYFUNCTION("""COMPUTED_VALUE"""),9.21)</f>
        <v>9.2100000000000009</v>
      </c>
      <c r="G2101" s="112">
        <f ca="1">IFERROR(__xludf.DUMMYFUNCTION("""COMPUTED_VALUE"""),43363.7055555555)</f>
        <v>43363.705555555498</v>
      </c>
      <c r="H2101" s="111">
        <f ca="1">IFERROR(__xludf.DUMMYFUNCTION("""COMPUTED_VALUE"""),19.87)</f>
        <v>19.87</v>
      </c>
      <c r="K2101" s="112">
        <f ca="1">IFERROR(__xludf.DUMMYFUNCTION("""COMPUTED_VALUE"""),43816.7055555555)</f>
        <v>43816.705555555498</v>
      </c>
      <c r="L2101" s="111">
        <f ca="1">IFERROR(__xludf.DUMMYFUNCTION("""COMPUTED_VALUE"""),11.97)</f>
        <v>11.97</v>
      </c>
      <c r="M2101" s="112">
        <f ca="1">IFERROR(__xludf.DUMMYFUNCTION("""COMPUTED_VALUE"""),43276.7055555555)</f>
        <v>43276.705555555498</v>
      </c>
      <c r="N2101" s="111">
        <f ca="1">IFERROR(__xludf.DUMMYFUNCTION("""COMPUTED_VALUE"""),17.98)</f>
        <v>17.98</v>
      </c>
      <c r="O2101" s="112">
        <f ca="1">IFERROR(__xludf.DUMMYFUNCTION("""COMPUTED_VALUE"""),43349.7055555555)</f>
        <v>43349.705555555498</v>
      </c>
      <c r="P2101" s="111">
        <f ca="1">IFERROR(__xludf.DUMMYFUNCTION("""COMPUTED_VALUE"""),53.48)</f>
        <v>53.48</v>
      </c>
      <c r="Q2101" s="112">
        <f ca="1">IFERROR(__xludf.DUMMYFUNCTION("""COMPUTED_VALUE"""),43348.7055555555)</f>
        <v>43348.705555555498</v>
      </c>
      <c r="R2101" s="111">
        <f ca="1">IFERROR(__xludf.DUMMYFUNCTION("""COMPUTED_VALUE"""),28.69)</f>
        <v>28.69</v>
      </c>
      <c r="S2101" s="112">
        <f ca="1">IFERROR(__xludf.DUMMYFUNCTION("""COMPUTED_VALUE"""),43361.7055555555)</f>
        <v>43361.705555555498</v>
      </c>
      <c r="T2101" s="111">
        <f ca="1">IFERROR(__xludf.DUMMYFUNCTION("""COMPUTED_VALUE"""),25.54)</f>
        <v>25.54</v>
      </c>
    </row>
    <row r="2102" spans="1:20" x14ac:dyDescent="0.3">
      <c r="A2102" s="112">
        <f ca="1">IFERROR(__xludf.DUMMYFUNCTION("""COMPUTED_VALUE"""),43360.7055555555)</f>
        <v>43360.705555555498</v>
      </c>
      <c r="B2102" s="111">
        <f ca="1">IFERROR(__xludf.DUMMYFUNCTION("""COMPUTED_VALUE"""),15.14)</f>
        <v>15.14</v>
      </c>
      <c r="C2102" s="112">
        <f ca="1">IFERROR(__xludf.DUMMYFUNCTION("""COMPUTED_VALUE"""),43368.7055555555)</f>
        <v>43368.705555555498</v>
      </c>
      <c r="D2102" s="111">
        <f ca="1">IFERROR(__xludf.DUMMYFUNCTION("""COMPUTED_VALUE"""),28.57)</f>
        <v>28.57</v>
      </c>
      <c r="E2102" s="112">
        <f ca="1">IFERROR(__xludf.DUMMYFUNCTION("""COMPUTED_VALUE"""),43369.7055555555)</f>
        <v>43369.705555555498</v>
      </c>
      <c r="F2102" s="111">
        <f ca="1">IFERROR(__xludf.DUMMYFUNCTION("""COMPUTED_VALUE"""),9.3)</f>
        <v>9.3000000000000007</v>
      </c>
      <c r="G2102" s="112">
        <f ca="1">IFERROR(__xludf.DUMMYFUNCTION("""COMPUTED_VALUE"""),43364.7055555555)</f>
        <v>43364.705555555498</v>
      </c>
      <c r="H2102" s="111">
        <f ca="1">IFERROR(__xludf.DUMMYFUNCTION("""COMPUTED_VALUE"""),20.14)</f>
        <v>20.14</v>
      </c>
      <c r="K2102" s="112">
        <f ca="1">IFERROR(__xludf.DUMMYFUNCTION("""COMPUTED_VALUE"""),43817.7055555555)</f>
        <v>43817.705555555498</v>
      </c>
      <c r="L2102" s="111">
        <f ca="1">IFERROR(__xludf.DUMMYFUNCTION("""COMPUTED_VALUE"""),12.14)</f>
        <v>12.14</v>
      </c>
      <c r="M2102" s="112">
        <f ca="1">IFERROR(__xludf.DUMMYFUNCTION("""COMPUTED_VALUE"""),43277.7055555555)</f>
        <v>43277.705555555498</v>
      </c>
      <c r="N2102" s="111">
        <f ca="1">IFERROR(__xludf.DUMMYFUNCTION("""COMPUTED_VALUE"""),17.88)</f>
        <v>17.88</v>
      </c>
      <c r="O2102" s="112">
        <f ca="1">IFERROR(__xludf.DUMMYFUNCTION("""COMPUTED_VALUE"""),43353.7055555555)</f>
        <v>43353.705555555498</v>
      </c>
      <c r="P2102" s="111">
        <f ca="1">IFERROR(__xludf.DUMMYFUNCTION("""COMPUTED_VALUE"""),53.22)</f>
        <v>53.22</v>
      </c>
      <c r="Q2102" s="112">
        <f ca="1">IFERROR(__xludf.DUMMYFUNCTION("""COMPUTED_VALUE"""),43349.7055555555)</f>
        <v>43349.705555555498</v>
      </c>
      <c r="R2102" s="111">
        <f ca="1">IFERROR(__xludf.DUMMYFUNCTION("""COMPUTED_VALUE"""),29.33)</f>
        <v>29.33</v>
      </c>
      <c r="S2102" s="112">
        <f ca="1">IFERROR(__xludf.DUMMYFUNCTION("""COMPUTED_VALUE"""),43362.7055555555)</f>
        <v>43362.705555555498</v>
      </c>
      <c r="T2102" s="111">
        <f ca="1">IFERROR(__xludf.DUMMYFUNCTION("""COMPUTED_VALUE"""),24.63)</f>
        <v>24.63</v>
      </c>
    </row>
    <row r="2103" spans="1:20" x14ac:dyDescent="0.3">
      <c r="A2103" s="112">
        <f ca="1">IFERROR(__xludf.DUMMYFUNCTION("""COMPUTED_VALUE"""),43361.7055555555)</f>
        <v>43361.705555555498</v>
      </c>
      <c r="B2103" s="111">
        <f ca="1">IFERROR(__xludf.DUMMYFUNCTION("""COMPUTED_VALUE"""),15.79)</f>
        <v>15.79</v>
      </c>
      <c r="C2103" s="112">
        <f ca="1">IFERROR(__xludf.DUMMYFUNCTION("""COMPUTED_VALUE"""),43369.7055555555)</f>
        <v>43369.705555555498</v>
      </c>
      <c r="D2103" s="111">
        <f ca="1">IFERROR(__xludf.DUMMYFUNCTION("""COMPUTED_VALUE"""),28.88)</f>
        <v>28.88</v>
      </c>
      <c r="E2103" s="112">
        <f ca="1">IFERROR(__xludf.DUMMYFUNCTION("""COMPUTED_VALUE"""),43370.7055555555)</f>
        <v>43370.705555555498</v>
      </c>
      <c r="F2103" s="111">
        <f ca="1">IFERROR(__xludf.DUMMYFUNCTION("""COMPUTED_VALUE"""),9.57)</f>
        <v>9.57</v>
      </c>
      <c r="G2103" s="112">
        <f ca="1">IFERROR(__xludf.DUMMYFUNCTION("""COMPUTED_VALUE"""),43367.7055555555)</f>
        <v>43367.705555555498</v>
      </c>
      <c r="H2103" s="111">
        <f ca="1">IFERROR(__xludf.DUMMYFUNCTION("""COMPUTED_VALUE"""),20)</f>
        <v>20</v>
      </c>
      <c r="K2103" s="112">
        <f ca="1">IFERROR(__xludf.DUMMYFUNCTION("""COMPUTED_VALUE"""),43818.7055555555)</f>
        <v>43818.705555555498</v>
      </c>
      <c r="L2103" s="111">
        <f ca="1">IFERROR(__xludf.DUMMYFUNCTION("""COMPUTED_VALUE"""),12.16)</f>
        <v>12.16</v>
      </c>
      <c r="M2103" s="112">
        <f ca="1">IFERROR(__xludf.DUMMYFUNCTION("""COMPUTED_VALUE"""),43278.7055555555)</f>
        <v>43278.705555555498</v>
      </c>
      <c r="N2103" s="111">
        <f ca="1">IFERROR(__xludf.DUMMYFUNCTION("""COMPUTED_VALUE"""),17.59)</f>
        <v>17.59</v>
      </c>
      <c r="O2103" s="112">
        <f ca="1">IFERROR(__xludf.DUMMYFUNCTION("""COMPUTED_VALUE"""),43354.7055555555)</f>
        <v>43354.705555555498</v>
      </c>
      <c r="P2103" s="111">
        <f ca="1">IFERROR(__xludf.DUMMYFUNCTION("""COMPUTED_VALUE"""),52.59)</f>
        <v>52.59</v>
      </c>
      <c r="Q2103" s="112">
        <f ca="1">IFERROR(__xludf.DUMMYFUNCTION("""COMPUTED_VALUE"""),43353.7055555555)</f>
        <v>43353.705555555498</v>
      </c>
      <c r="R2103" s="111">
        <f ca="1">IFERROR(__xludf.DUMMYFUNCTION("""COMPUTED_VALUE"""),28.93)</f>
        <v>28.93</v>
      </c>
      <c r="S2103" s="112">
        <f ca="1">IFERROR(__xludf.DUMMYFUNCTION("""COMPUTED_VALUE"""),43363.7055555555)</f>
        <v>43363.705555555498</v>
      </c>
      <c r="T2103" s="111">
        <f ca="1">IFERROR(__xludf.DUMMYFUNCTION("""COMPUTED_VALUE"""),24.59)</f>
        <v>24.59</v>
      </c>
    </row>
    <row r="2104" spans="1:20" x14ac:dyDescent="0.3">
      <c r="A2104" s="112">
        <f ca="1">IFERROR(__xludf.DUMMYFUNCTION("""COMPUTED_VALUE"""),43362.7055555555)</f>
        <v>43362.705555555498</v>
      </c>
      <c r="B2104" s="111">
        <f ca="1">IFERROR(__xludf.DUMMYFUNCTION("""COMPUTED_VALUE"""),15.05)</f>
        <v>15.05</v>
      </c>
      <c r="C2104" s="112">
        <f ca="1">IFERROR(__xludf.DUMMYFUNCTION("""COMPUTED_VALUE"""),43370.7055555555)</f>
        <v>43370.705555555498</v>
      </c>
      <c r="D2104" s="111">
        <f ca="1">IFERROR(__xludf.DUMMYFUNCTION("""COMPUTED_VALUE"""),29.67)</f>
        <v>29.67</v>
      </c>
      <c r="E2104" s="112">
        <f ca="1">IFERROR(__xludf.DUMMYFUNCTION("""COMPUTED_VALUE"""),43371.7055555555)</f>
        <v>43371.705555555498</v>
      </c>
      <c r="F2104" s="111">
        <f ca="1">IFERROR(__xludf.DUMMYFUNCTION("""COMPUTED_VALUE"""),9.62)</f>
        <v>9.6199999999999992</v>
      </c>
      <c r="G2104" s="112">
        <f ca="1">IFERROR(__xludf.DUMMYFUNCTION("""COMPUTED_VALUE"""),43368.7055555555)</f>
        <v>43368.705555555498</v>
      </c>
      <c r="H2104" s="111">
        <f ca="1">IFERROR(__xludf.DUMMYFUNCTION("""COMPUTED_VALUE"""),20.08)</f>
        <v>20.079999999999998</v>
      </c>
      <c r="K2104" s="112">
        <f ca="1">IFERROR(__xludf.DUMMYFUNCTION("""COMPUTED_VALUE"""),43819.7055555555)</f>
        <v>43819.705555555498</v>
      </c>
      <c r="L2104" s="111">
        <f ca="1">IFERROR(__xludf.DUMMYFUNCTION("""COMPUTED_VALUE"""),12.15)</f>
        <v>12.15</v>
      </c>
      <c r="M2104" s="112">
        <f ca="1">IFERROR(__xludf.DUMMYFUNCTION("""COMPUTED_VALUE"""),43279.7055555555)</f>
        <v>43279.705555555498</v>
      </c>
      <c r="N2104" s="111">
        <f ca="1">IFERROR(__xludf.DUMMYFUNCTION("""COMPUTED_VALUE"""),18.19)</f>
        <v>18.190000000000001</v>
      </c>
      <c r="O2104" s="112">
        <f ca="1">IFERROR(__xludf.DUMMYFUNCTION("""COMPUTED_VALUE"""),43355.7055555555)</f>
        <v>43355.705555555498</v>
      </c>
      <c r="P2104" s="111">
        <f ca="1">IFERROR(__xludf.DUMMYFUNCTION("""COMPUTED_VALUE"""),53.45)</f>
        <v>53.45</v>
      </c>
      <c r="Q2104" s="112">
        <f ca="1">IFERROR(__xludf.DUMMYFUNCTION("""COMPUTED_VALUE"""),43354.7055555555)</f>
        <v>43354.705555555498</v>
      </c>
      <c r="R2104" s="111">
        <f ca="1">IFERROR(__xludf.DUMMYFUNCTION("""COMPUTED_VALUE"""),27.62)</f>
        <v>27.62</v>
      </c>
      <c r="S2104" s="112">
        <f ca="1">IFERROR(__xludf.DUMMYFUNCTION("""COMPUTED_VALUE"""),43364.7055555555)</f>
        <v>43364.705555555498</v>
      </c>
      <c r="T2104" s="111">
        <f ca="1">IFERROR(__xludf.DUMMYFUNCTION("""COMPUTED_VALUE"""),25.79)</f>
        <v>25.79</v>
      </c>
    </row>
    <row r="2105" spans="1:20" x14ac:dyDescent="0.3">
      <c r="A2105" s="112">
        <f ca="1">IFERROR(__xludf.DUMMYFUNCTION("""COMPUTED_VALUE"""),43363.7055555555)</f>
        <v>43363.705555555498</v>
      </c>
      <c r="B2105" s="111">
        <f ca="1">IFERROR(__xludf.DUMMYFUNCTION("""COMPUTED_VALUE"""),15.21)</f>
        <v>15.21</v>
      </c>
      <c r="C2105" s="112">
        <f ca="1">IFERROR(__xludf.DUMMYFUNCTION("""COMPUTED_VALUE"""),43371.7055555555)</f>
        <v>43371.705555555498</v>
      </c>
      <c r="D2105" s="111">
        <f ca="1">IFERROR(__xludf.DUMMYFUNCTION("""COMPUTED_VALUE"""),29.42)</f>
        <v>29.42</v>
      </c>
      <c r="E2105" s="112">
        <f ca="1">IFERROR(__xludf.DUMMYFUNCTION("""COMPUTED_VALUE"""),43374.7055555555)</f>
        <v>43374.705555555498</v>
      </c>
      <c r="F2105" s="111">
        <f ca="1">IFERROR(__xludf.DUMMYFUNCTION("""COMPUTED_VALUE"""),9.51)</f>
        <v>9.51</v>
      </c>
      <c r="G2105" s="112">
        <f ca="1">IFERROR(__xludf.DUMMYFUNCTION("""COMPUTED_VALUE"""),43369.7055555555)</f>
        <v>43369.705555555498</v>
      </c>
      <c r="H2105" s="111">
        <f ca="1">IFERROR(__xludf.DUMMYFUNCTION("""COMPUTED_VALUE"""),20.19)</f>
        <v>20.190000000000001</v>
      </c>
      <c r="K2105" s="112">
        <f ca="1">IFERROR(__xludf.DUMMYFUNCTION("""COMPUTED_VALUE"""),43822.7055555555)</f>
        <v>43822.705555555498</v>
      </c>
      <c r="L2105" s="111">
        <f ca="1">IFERROR(__xludf.DUMMYFUNCTION("""COMPUTED_VALUE"""),12.19)</f>
        <v>12.19</v>
      </c>
      <c r="M2105" s="112">
        <f ca="1">IFERROR(__xludf.DUMMYFUNCTION("""COMPUTED_VALUE"""),43280.7055555555)</f>
        <v>43280.705555555498</v>
      </c>
      <c r="N2105" s="111">
        <f ca="1">IFERROR(__xludf.DUMMYFUNCTION("""COMPUTED_VALUE"""),18.53)</f>
        <v>18.53</v>
      </c>
      <c r="O2105" s="112">
        <f ca="1">IFERROR(__xludf.DUMMYFUNCTION("""COMPUTED_VALUE"""),43356.7055555555)</f>
        <v>43356.705555555498</v>
      </c>
      <c r="P2105" s="111">
        <f ca="1">IFERROR(__xludf.DUMMYFUNCTION("""COMPUTED_VALUE"""),53.78)</f>
        <v>53.78</v>
      </c>
      <c r="Q2105" s="112">
        <f ca="1">IFERROR(__xludf.DUMMYFUNCTION("""COMPUTED_VALUE"""),43355.7055555555)</f>
        <v>43355.705555555498</v>
      </c>
      <c r="R2105" s="111">
        <f ca="1">IFERROR(__xludf.DUMMYFUNCTION("""COMPUTED_VALUE"""),27.66)</f>
        <v>27.66</v>
      </c>
      <c r="S2105" s="112">
        <f ca="1">IFERROR(__xludf.DUMMYFUNCTION("""COMPUTED_VALUE"""),43367.7055555555)</f>
        <v>43367.705555555498</v>
      </c>
      <c r="T2105" s="111">
        <f ca="1">IFERROR(__xludf.DUMMYFUNCTION("""COMPUTED_VALUE"""),25.54)</f>
        <v>25.54</v>
      </c>
    </row>
    <row r="2106" spans="1:20" x14ac:dyDescent="0.3">
      <c r="A2106" s="112">
        <f ca="1">IFERROR(__xludf.DUMMYFUNCTION("""COMPUTED_VALUE"""),43364.7055555555)</f>
        <v>43364.705555555498</v>
      </c>
      <c r="B2106" s="111">
        <f ca="1">IFERROR(__xludf.DUMMYFUNCTION("""COMPUTED_VALUE"""),15.67)</f>
        <v>15.67</v>
      </c>
      <c r="C2106" s="112">
        <f ca="1">IFERROR(__xludf.DUMMYFUNCTION("""COMPUTED_VALUE"""),43374.7055555555)</f>
        <v>43374.705555555498</v>
      </c>
      <c r="D2106" s="111">
        <f ca="1">IFERROR(__xludf.DUMMYFUNCTION("""COMPUTED_VALUE"""),29.08)</f>
        <v>29.08</v>
      </c>
      <c r="E2106" s="112">
        <f ca="1">IFERROR(__xludf.DUMMYFUNCTION("""COMPUTED_VALUE"""),43375.7055555555)</f>
        <v>43375.705555555498</v>
      </c>
      <c r="F2106" s="111">
        <f ca="1">IFERROR(__xludf.DUMMYFUNCTION("""COMPUTED_VALUE"""),9.9)</f>
        <v>9.9</v>
      </c>
      <c r="G2106" s="112">
        <f ca="1">IFERROR(__xludf.DUMMYFUNCTION("""COMPUTED_VALUE"""),43370.7055555555)</f>
        <v>43370.705555555498</v>
      </c>
      <c r="H2106" s="111">
        <f ca="1">IFERROR(__xludf.DUMMYFUNCTION("""COMPUTED_VALUE"""),21.46)</f>
        <v>21.46</v>
      </c>
      <c r="K2106" s="112">
        <f ca="1">IFERROR(__xludf.DUMMYFUNCTION("""COMPUTED_VALUE"""),43825.7055555555)</f>
        <v>43825.705555555498</v>
      </c>
      <c r="L2106" s="111">
        <f ca="1">IFERROR(__xludf.DUMMYFUNCTION("""COMPUTED_VALUE"""),12.28)</f>
        <v>12.28</v>
      </c>
      <c r="M2106" s="112">
        <f ca="1">IFERROR(__xludf.DUMMYFUNCTION("""COMPUTED_VALUE"""),43283.7055555555)</f>
        <v>43283.705555555498</v>
      </c>
      <c r="N2106" s="111">
        <f ca="1">IFERROR(__xludf.DUMMYFUNCTION("""COMPUTED_VALUE"""),18.29)</f>
        <v>18.29</v>
      </c>
      <c r="O2106" s="112">
        <f ca="1">IFERROR(__xludf.DUMMYFUNCTION("""COMPUTED_VALUE"""),43357.7055555555)</f>
        <v>43357.705555555498</v>
      </c>
      <c r="P2106" s="111">
        <f ca="1">IFERROR(__xludf.DUMMYFUNCTION("""COMPUTED_VALUE"""),55.2)</f>
        <v>55.2</v>
      </c>
      <c r="Q2106" s="112">
        <f ca="1">IFERROR(__xludf.DUMMYFUNCTION("""COMPUTED_VALUE"""),43356.7055555555)</f>
        <v>43356.705555555498</v>
      </c>
      <c r="R2106" s="111">
        <f ca="1">IFERROR(__xludf.DUMMYFUNCTION("""COMPUTED_VALUE"""),27.29)</f>
        <v>27.29</v>
      </c>
      <c r="S2106" s="112">
        <f ca="1">IFERROR(__xludf.DUMMYFUNCTION("""COMPUTED_VALUE"""),43368.7055555555)</f>
        <v>43368.705555555498</v>
      </c>
      <c r="T2106" s="111">
        <f ca="1">IFERROR(__xludf.DUMMYFUNCTION("""COMPUTED_VALUE"""),25.37)</f>
        <v>25.37</v>
      </c>
    </row>
    <row r="2107" spans="1:20" x14ac:dyDescent="0.3">
      <c r="A2107" s="112">
        <f ca="1">IFERROR(__xludf.DUMMYFUNCTION("""COMPUTED_VALUE"""),43367.7055555555)</f>
        <v>43367.705555555498</v>
      </c>
      <c r="B2107" s="111">
        <f ca="1">IFERROR(__xludf.DUMMYFUNCTION("""COMPUTED_VALUE"""),15.22)</f>
        <v>15.22</v>
      </c>
      <c r="C2107" s="112">
        <f ca="1">IFERROR(__xludf.DUMMYFUNCTION("""COMPUTED_VALUE"""),43375.7055555555)</f>
        <v>43375.705555555498</v>
      </c>
      <c r="D2107" s="111">
        <f ca="1">IFERROR(__xludf.DUMMYFUNCTION("""COMPUTED_VALUE"""),30.2)</f>
        <v>30.2</v>
      </c>
      <c r="E2107" s="112">
        <f ca="1">IFERROR(__xludf.DUMMYFUNCTION("""COMPUTED_VALUE"""),43376.7055555555)</f>
        <v>43376.705555555498</v>
      </c>
      <c r="F2107" s="111">
        <f ca="1">IFERROR(__xludf.DUMMYFUNCTION("""COMPUTED_VALUE"""),10.23)</f>
        <v>10.23</v>
      </c>
      <c r="G2107" s="112">
        <f ca="1">IFERROR(__xludf.DUMMYFUNCTION("""COMPUTED_VALUE"""),43371.7055555555)</f>
        <v>43371.705555555498</v>
      </c>
      <c r="H2107" s="111">
        <f ca="1">IFERROR(__xludf.DUMMYFUNCTION("""COMPUTED_VALUE"""),21.09)</f>
        <v>21.09</v>
      </c>
      <c r="K2107" s="112">
        <f ca="1">IFERROR(__xludf.DUMMYFUNCTION("""COMPUTED_VALUE"""),43826.7055555555)</f>
        <v>43826.705555555498</v>
      </c>
      <c r="L2107" s="111">
        <f ca="1">IFERROR(__xludf.DUMMYFUNCTION("""COMPUTED_VALUE"""),12.19)</f>
        <v>12.19</v>
      </c>
      <c r="M2107" s="112">
        <f ca="1">IFERROR(__xludf.DUMMYFUNCTION("""COMPUTED_VALUE"""),43284.7055555555)</f>
        <v>43284.705555555498</v>
      </c>
      <c r="N2107" s="111">
        <f ca="1">IFERROR(__xludf.DUMMYFUNCTION("""COMPUTED_VALUE"""),19.12)</f>
        <v>19.12</v>
      </c>
      <c r="O2107" s="112">
        <f ca="1">IFERROR(__xludf.DUMMYFUNCTION("""COMPUTED_VALUE"""),43360.7055555555)</f>
        <v>43360.705555555498</v>
      </c>
      <c r="P2107" s="111">
        <f ca="1">IFERROR(__xludf.DUMMYFUNCTION("""COMPUTED_VALUE"""),55.04)</f>
        <v>55.04</v>
      </c>
      <c r="Q2107" s="112">
        <f ca="1">IFERROR(__xludf.DUMMYFUNCTION("""COMPUTED_VALUE"""),43357.7055555555)</f>
        <v>43357.705555555498</v>
      </c>
      <c r="R2107" s="111">
        <f ca="1">IFERROR(__xludf.DUMMYFUNCTION("""COMPUTED_VALUE"""),27.51)</f>
        <v>27.51</v>
      </c>
      <c r="S2107" s="112">
        <f ca="1">IFERROR(__xludf.DUMMYFUNCTION("""COMPUTED_VALUE"""),43369.7055555555)</f>
        <v>43369.705555555498</v>
      </c>
      <c r="T2107" s="111">
        <f ca="1">IFERROR(__xludf.DUMMYFUNCTION("""COMPUTED_VALUE"""),25.18)</f>
        <v>25.18</v>
      </c>
    </row>
    <row r="2108" spans="1:20" x14ac:dyDescent="0.3">
      <c r="A2108" s="112">
        <f ca="1">IFERROR(__xludf.DUMMYFUNCTION("""COMPUTED_VALUE"""),43368.7055555555)</f>
        <v>43368.705555555498</v>
      </c>
      <c r="B2108" s="111">
        <f ca="1">IFERROR(__xludf.DUMMYFUNCTION("""COMPUTED_VALUE"""),15.06)</f>
        <v>15.06</v>
      </c>
      <c r="C2108" s="112">
        <f ca="1">IFERROR(__xludf.DUMMYFUNCTION("""COMPUTED_VALUE"""),43376.7055555555)</f>
        <v>43376.705555555498</v>
      </c>
      <c r="D2108" s="111">
        <f ca="1">IFERROR(__xludf.DUMMYFUNCTION("""COMPUTED_VALUE"""),31.57)</f>
        <v>31.57</v>
      </c>
      <c r="E2108" s="112">
        <f ca="1">IFERROR(__xludf.DUMMYFUNCTION("""COMPUTED_VALUE"""),43377.7055555555)</f>
        <v>43377.705555555498</v>
      </c>
      <c r="F2108" s="111">
        <f ca="1">IFERROR(__xludf.DUMMYFUNCTION("""COMPUTED_VALUE"""),10.15)</f>
        <v>10.15</v>
      </c>
      <c r="G2108" s="112">
        <f ca="1">IFERROR(__xludf.DUMMYFUNCTION("""COMPUTED_VALUE"""),43374.7055555555)</f>
        <v>43374.705555555498</v>
      </c>
      <c r="H2108" s="111">
        <f ca="1">IFERROR(__xludf.DUMMYFUNCTION("""COMPUTED_VALUE"""),21)</f>
        <v>21</v>
      </c>
      <c r="K2108" s="112">
        <f ca="1">IFERROR(__xludf.DUMMYFUNCTION("""COMPUTED_VALUE"""),43829.7055555555)</f>
        <v>43829.705555555498</v>
      </c>
      <c r="L2108" s="111">
        <f ca="1">IFERROR(__xludf.DUMMYFUNCTION("""COMPUTED_VALUE"""),11.93)</f>
        <v>11.93</v>
      </c>
      <c r="M2108" s="112">
        <f ca="1">IFERROR(__xludf.DUMMYFUNCTION("""COMPUTED_VALUE"""),43285.7055555555)</f>
        <v>43285.705555555498</v>
      </c>
      <c r="N2108" s="111">
        <f ca="1">IFERROR(__xludf.DUMMYFUNCTION("""COMPUTED_VALUE"""),19.39)</f>
        <v>19.39</v>
      </c>
      <c r="O2108" s="112">
        <f ca="1">IFERROR(__xludf.DUMMYFUNCTION("""COMPUTED_VALUE"""),43361.7055555555)</f>
        <v>43361.705555555498</v>
      </c>
      <c r="P2108" s="111">
        <f ca="1">IFERROR(__xludf.DUMMYFUNCTION("""COMPUTED_VALUE"""),57.34)</f>
        <v>57.34</v>
      </c>
      <c r="Q2108" s="112">
        <f ca="1">IFERROR(__xludf.DUMMYFUNCTION("""COMPUTED_VALUE"""),43360.7055555555)</f>
        <v>43360.705555555498</v>
      </c>
      <c r="R2108" s="111">
        <f ca="1">IFERROR(__xludf.DUMMYFUNCTION("""COMPUTED_VALUE"""),28.45)</f>
        <v>28.45</v>
      </c>
      <c r="S2108" s="112">
        <f ca="1">IFERROR(__xludf.DUMMYFUNCTION("""COMPUTED_VALUE"""),43370.7055555555)</f>
        <v>43370.705555555498</v>
      </c>
      <c r="T2108" s="111">
        <f ca="1">IFERROR(__xludf.DUMMYFUNCTION("""COMPUTED_VALUE"""),25.91)</f>
        <v>25.91</v>
      </c>
    </row>
    <row r="2109" spans="1:20" x14ac:dyDescent="0.3">
      <c r="A2109" s="112">
        <f ca="1">IFERROR(__xludf.DUMMYFUNCTION("""COMPUTED_VALUE"""),43369.7055555555)</f>
        <v>43369.705555555498</v>
      </c>
      <c r="B2109" s="111">
        <f ca="1">IFERROR(__xludf.DUMMYFUNCTION("""COMPUTED_VALUE"""),14.98)</f>
        <v>14.98</v>
      </c>
      <c r="C2109" s="112">
        <f ca="1">IFERROR(__xludf.DUMMYFUNCTION("""COMPUTED_VALUE"""),43377.7055555555)</f>
        <v>43377.705555555498</v>
      </c>
      <c r="D2109" s="111">
        <f ca="1">IFERROR(__xludf.DUMMYFUNCTION("""COMPUTED_VALUE"""),31.6)</f>
        <v>31.6</v>
      </c>
      <c r="E2109" s="112">
        <f ca="1">IFERROR(__xludf.DUMMYFUNCTION("""COMPUTED_VALUE"""),43378.7055555555)</f>
        <v>43378.705555555498</v>
      </c>
      <c r="F2109" s="111">
        <f ca="1">IFERROR(__xludf.DUMMYFUNCTION("""COMPUTED_VALUE"""),10.03)</f>
        <v>10.029999999999999</v>
      </c>
      <c r="G2109" s="112">
        <f ca="1">IFERROR(__xludf.DUMMYFUNCTION("""COMPUTED_VALUE"""),43375.7055555555)</f>
        <v>43375.705555555498</v>
      </c>
      <c r="H2109" s="111">
        <f ca="1">IFERROR(__xludf.DUMMYFUNCTION("""COMPUTED_VALUE"""),22.82)</f>
        <v>22.82</v>
      </c>
      <c r="K2109" s="112">
        <f ca="1">IFERROR(__xludf.DUMMYFUNCTION("""COMPUTED_VALUE"""),43832.7055555555)</f>
        <v>43832.705555555498</v>
      </c>
      <c r="L2109" s="111">
        <f ca="1">IFERROR(__xludf.DUMMYFUNCTION("""COMPUTED_VALUE"""),12.34)</f>
        <v>12.34</v>
      </c>
      <c r="M2109" s="112">
        <f ca="1">IFERROR(__xludf.DUMMYFUNCTION("""COMPUTED_VALUE"""),43286.7055555555)</f>
        <v>43286.705555555498</v>
      </c>
      <c r="N2109" s="111">
        <f ca="1">IFERROR(__xludf.DUMMYFUNCTION("""COMPUTED_VALUE"""),19.35)</f>
        <v>19.350000000000001</v>
      </c>
      <c r="O2109" s="112">
        <f ca="1">IFERROR(__xludf.DUMMYFUNCTION("""COMPUTED_VALUE"""),43362.7055555555)</f>
        <v>43362.705555555498</v>
      </c>
      <c r="P2109" s="111">
        <f ca="1">IFERROR(__xludf.DUMMYFUNCTION("""COMPUTED_VALUE"""),58.58)</f>
        <v>58.58</v>
      </c>
      <c r="Q2109" s="112">
        <f ca="1">IFERROR(__xludf.DUMMYFUNCTION("""COMPUTED_VALUE"""),43361.7055555555)</f>
        <v>43361.705555555498</v>
      </c>
      <c r="R2109" s="111">
        <f ca="1">IFERROR(__xludf.DUMMYFUNCTION("""COMPUTED_VALUE"""),29.72)</f>
        <v>29.72</v>
      </c>
      <c r="S2109" s="112">
        <f ca="1">IFERROR(__xludf.DUMMYFUNCTION("""COMPUTED_VALUE"""),43371.7055555555)</f>
        <v>43371.705555555498</v>
      </c>
      <c r="T2109" s="111">
        <f ca="1">IFERROR(__xludf.DUMMYFUNCTION("""COMPUTED_VALUE"""),25.62)</f>
        <v>25.62</v>
      </c>
    </row>
    <row r="2110" spans="1:20" x14ac:dyDescent="0.3">
      <c r="A2110" s="112">
        <f ca="1">IFERROR(__xludf.DUMMYFUNCTION("""COMPUTED_VALUE"""),43370.7055555555)</f>
        <v>43370.705555555498</v>
      </c>
      <c r="B2110" s="111">
        <f ca="1">IFERROR(__xludf.DUMMYFUNCTION("""COMPUTED_VALUE"""),15.59)</f>
        <v>15.59</v>
      </c>
      <c r="C2110" s="112">
        <f ca="1">IFERROR(__xludf.DUMMYFUNCTION("""COMPUTED_VALUE"""),43378.7055555555)</f>
        <v>43378.705555555498</v>
      </c>
      <c r="D2110" s="111">
        <f ca="1">IFERROR(__xludf.DUMMYFUNCTION("""COMPUTED_VALUE"""),31.49)</f>
        <v>31.49</v>
      </c>
      <c r="E2110" s="112">
        <f ca="1">IFERROR(__xludf.DUMMYFUNCTION("""COMPUTED_VALUE"""),43381.7055555555)</f>
        <v>43381.705555555498</v>
      </c>
      <c r="F2110" s="111">
        <f ca="1">IFERROR(__xludf.DUMMYFUNCTION("""COMPUTED_VALUE"""),10.64)</f>
        <v>10.64</v>
      </c>
      <c r="G2110" s="112">
        <f ca="1">IFERROR(__xludf.DUMMYFUNCTION("""COMPUTED_VALUE"""),43376.7055555555)</f>
        <v>43376.705555555498</v>
      </c>
      <c r="H2110" s="111">
        <f ca="1">IFERROR(__xludf.DUMMYFUNCTION("""COMPUTED_VALUE"""),23.79)</f>
        <v>23.79</v>
      </c>
      <c r="K2110" s="112">
        <f ca="1">IFERROR(__xludf.DUMMYFUNCTION("""COMPUTED_VALUE"""),43833.7430555555)</f>
        <v>43833.743055555497</v>
      </c>
      <c r="L2110" s="111">
        <f ca="1">IFERROR(__xludf.DUMMYFUNCTION("""COMPUTED_VALUE"""),12.23)</f>
        <v>12.23</v>
      </c>
      <c r="M2110" s="112">
        <f ca="1">IFERROR(__xludf.DUMMYFUNCTION("""COMPUTED_VALUE"""),43287.7055555555)</f>
        <v>43287.705555555498</v>
      </c>
      <c r="N2110" s="111">
        <f ca="1">IFERROR(__xludf.DUMMYFUNCTION("""COMPUTED_VALUE"""),19.4)</f>
        <v>19.399999999999999</v>
      </c>
      <c r="O2110" s="112">
        <f ca="1">IFERROR(__xludf.DUMMYFUNCTION("""COMPUTED_VALUE"""),43363.7055555555)</f>
        <v>43363.705555555498</v>
      </c>
      <c r="P2110" s="111">
        <f ca="1">IFERROR(__xludf.DUMMYFUNCTION("""COMPUTED_VALUE"""),59.32)</f>
        <v>59.32</v>
      </c>
      <c r="Q2110" s="112">
        <f ca="1">IFERROR(__xludf.DUMMYFUNCTION("""COMPUTED_VALUE"""),43362.7055555555)</f>
        <v>43362.705555555498</v>
      </c>
      <c r="R2110" s="111">
        <f ca="1">IFERROR(__xludf.DUMMYFUNCTION("""COMPUTED_VALUE"""),29.42)</f>
        <v>29.42</v>
      </c>
      <c r="S2110" s="112">
        <f ca="1">IFERROR(__xludf.DUMMYFUNCTION("""COMPUTED_VALUE"""),43374.7055555555)</f>
        <v>43374.705555555498</v>
      </c>
      <c r="T2110" s="111">
        <f ca="1">IFERROR(__xludf.DUMMYFUNCTION("""COMPUTED_VALUE"""),25.65)</f>
        <v>25.65</v>
      </c>
    </row>
    <row r="2111" spans="1:20" x14ac:dyDescent="0.3">
      <c r="A2111" s="112">
        <f ca="1">IFERROR(__xludf.DUMMYFUNCTION("""COMPUTED_VALUE"""),43371.7055555555)</f>
        <v>43371.705555555498</v>
      </c>
      <c r="B2111" s="111">
        <f ca="1">IFERROR(__xludf.DUMMYFUNCTION("""COMPUTED_VALUE"""),15.34)</f>
        <v>15.34</v>
      </c>
      <c r="C2111" s="112">
        <f ca="1">IFERROR(__xludf.DUMMYFUNCTION("""COMPUTED_VALUE"""),43381.7055555555)</f>
        <v>43381.705555555498</v>
      </c>
      <c r="D2111" s="111">
        <f ca="1">IFERROR(__xludf.DUMMYFUNCTION("""COMPUTED_VALUE"""),33.37)</f>
        <v>33.369999999999997</v>
      </c>
      <c r="E2111" s="112">
        <f ca="1">IFERROR(__xludf.DUMMYFUNCTION("""COMPUTED_VALUE"""),43382.7055555555)</f>
        <v>43382.705555555498</v>
      </c>
      <c r="F2111" s="111">
        <f ca="1">IFERROR(__xludf.DUMMYFUNCTION("""COMPUTED_VALUE"""),10.55)</f>
        <v>10.55</v>
      </c>
      <c r="G2111" s="112">
        <f ca="1">IFERROR(__xludf.DUMMYFUNCTION("""COMPUTED_VALUE"""),43377.7055555555)</f>
        <v>43377.705555555498</v>
      </c>
      <c r="H2111" s="111">
        <f ca="1">IFERROR(__xludf.DUMMYFUNCTION("""COMPUTED_VALUE"""),24.02)</f>
        <v>24.02</v>
      </c>
      <c r="K2111" s="112">
        <f ca="1">IFERROR(__xludf.DUMMYFUNCTION("""COMPUTED_VALUE"""),43836.7055555555)</f>
        <v>43836.705555555498</v>
      </c>
      <c r="L2111" s="111">
        <f ca="1">IFERROR(__xludf.DUMMYFUNCTION("""COMPUTED_VALUE"""),12.24)</f>
        <v>12.24</v>
      </c>
      <c r="M2111" s="112">
        <f ca="1">IFERROR(__xludf.DUMMYFUNCTION("""COMPUTED_VALUE"""),43291.7055555555)</f>
        <v>43291.705555555498</v>
      </c>
      <c r="N2111" s="111">
        <f ca="1">IFERROR(__xludf.DUMMYFUNCTION("""COMPUTED_VALUE"""),19.15)</f>
        <v>19.149999999999999</v>
      </c>
      <c r="O2111" s="112">
        <f ca="1">IFERROR(__xludf.DUMMYFUNCTION("""COMPUTED_VALUE"""),43364.7055555555)</f>
        <v>43364.705555555498</v>
      </c>
      <c r="P2111" s="111">
        <f ca="1">IFERROR(__xludf.DUMMYFUNCTION("""COMPUTED_VALUE"""),61.01)</f>
        <v>61.01</v>
      </c>
      <c r="Q2111" s="112">
        <f ca="1">IFERROR(__xludf.DUMMYFUNCTION("""COMPUTED_VALUE"""),43363.7055555555)</f>
        <v>43363.705555555498</v>
      </c>
      <c r="R2111" s="111">
        <f ca="1">IFERROR(__xludf.DUMMYFUNCTION("""COMPUTED_VALUE"""),29.5)</f>
        <v>29.5</v>
      </c>
      <c r="S2111" s="112">
        <f ca="1">IFERROR(__xludf.DUMMYFUNCTION("""COMPUTED_VALUE"""),43375.7055555555)</f>
        <v>43375.705555555498</v>
      </c>
      <c r="T2111" s="111">
        <f ca="1">IFERROR(__xludf.DUMMYFUNCTION("""COMPUTED_VALUE"""),27.31)</f>
        <v>27.31</v>
      </c>
    </row>
    <row r="2112" spans="1:20" x14ac:dyDescent="0.3">
      <c r="A2112" s="112">
        <f ca="1">IFERROR(__xludf.DUMMYFUNCTION("""COMPUTED_VALUE"""),43374.7055555555)</f>
        <v>43374.705555555498</v>
      </c>
      <c r="B2112" s="111">
        <f ca="1">IFERROR(__xludf.DUMMYFUNCTION("""COMPUTED_VALUE"""),14.69)</f>
        <v>14.69</v>
      </c>
      <c r="C2112" s="112">
        <f ca="1">IFERROR(__xludf.DUMMYFUNCTION("""COMPUTED_VALUE"""),43382.7055555555)</f>
        <v>43382.705555555498</v>
      </c>
      <c r="D2112" s="111">
        <f ca="1">IFERROR(__xludf.DUMMYFUNCTION("""COMPUTED_VALUE"""),33.19)</f>
        <v>33.19</v>
      </c>
      <c r="E2112" s="112">
        <f ca="1">IFERROR(__xludf.DUMMYFUNCTION("""COMPUTED_VALUE"""),43383.7055555555)</f>
        <v>43383.705555555498</v>
      </c>
      <c r="F2112" s="111">
        <f ca="1">IFERROR(__xludf.DUMMYFUNCTION("""COMPUTED_VALUE"""),10.3)</f>
        <v>10.3</v>
      </c>
      <c r="G2112" s="112">
        <f ca="1">IFERROR(__xludf.DUMMYFUNCTION("""COMPUTED_VALUE"""),43378.7055555555)</f>
        <v>43378.705555555498</v>
      </c>
      <c r="H2112" s="111">
        <f ca="1">IFERROR(__xludf.DUMMYFUNCTION("""COMPUTED_VALUE"""),23.96)</f>
        <v>23.96</v>
      </c>
      <c r="K2112" s="112">
        <f ca="1">IFERROR(__xludf.DUMMYFUNCTION("""COMPUTED_VALUE"""),43837.7055555555)</f>
        <v>43837.705555555498</v>
      </c>
      <c r="L2112" s="111">
        <f ca="1">IFERROR(__xludf.DUMMYFUNCTION("""COMPUTED_VALUE"""),12.2)</f>
        <v>12.2</v>
      </c>
      <c r="M2112" s="112">
        <f ca="1">IFERROR(__xludf.DUMMYFUNCTION("""COMPUTED_VALUE"""),43292.7055555555)</f>
        <v>43292.705555555498</v>
      </c>
      <c r="N2112" s="111">
        <f ca="1">IFERROR(__xludf.DUMMYFUNCTION("""COMPUTED_VALUE"""),19.07)</f>
        <v>19.07</v>
      </c>
      <c r="O2112" s="112">
        <f ca="1">IFERROR(__xludf.DUMMYFUNCTION("""COMPUTED_VALUE"""),43367.7055555555)</f>
        <v>43367.705555555498</v>
      </c>
      <c r="P2112" s="111">
        <f ca="1">IFERROR(__xludf.DUMMYFUNCTION("""COMPUTED_VALUE"""),60.2)</f>
        <v>60.2</v>
      </c>
      <c r="Q2112" s="112">
        <f ca="1">IFERROR(__xludf.DUMMYFUNCTION("""COMPUTED_VALUE"""),43364.7055555555)</f>
        <v>43364.705555555498</v>
      </c>
      <c r="R2112" s="111">
        <f ca="1">IFERROR(__xludf.DUMMYFUNCTION("""COMPUTED_VALUE"""),30.58)</f>
        <v>30.58</v>
      </c>
      <c r="S2112" s="112">
        <f ca="1">IFERROR(__xludf.DUMMYFUNCTION("""COMPUTED_VALUE"""),43376.7055555555)</f>
        <v>43376.705555555498</v>
      </c>
      <c r="T2112" s="111">
        <f ca="1">IFERROR(__xludf.DUMMYFUNCTION("""COMPUTED_VALUE"""),28.18)</f>
        <v>28.18</v>
      </c>
    </row>
    <row r="2113" spans="1:20" x14ac:dyDescent="0.3">
      <c r="A2113" s="112">
        <f ca="1">IFERROR(__xludf.DUMMYFUNCTION("""COMPUTED_VALUE"""),43375.7055555555)</f>
        <v>43375.705555555498</v>
      </c>
      <c r="B2113" s="111">
        <f ca="1">IFERROR(__xludf.DUMMYFUNCTION("""COMPUTED_VALUE"""),16.37)</f>
        <v>16.37</v>
      </c>
      <c r="C2113" s="112">
        <f ca="1">IFERROR(__xludf.DUMMYFUNCTION("""COMPUTED_VALUE"""),43383.7055555555)</f>
        <v>43383.705555555498</v>
      </c>
      <c r="D2113" s="111">
        <f ca="1">IFERROR(__xludf.DUMMYFUNCTION("""COMPUTED_VALUE"""),32.05)</f>
        <v>32.049999999999997</v>
      </c>
      <c r="E2113" s="112">
        <f ca="1">IFERROR(__xludf.DUMMYFUNCTION("""COMPUTED_VALUE"""),43384.7055555555)</f>
        <v>43384.705555555498</v>
      </c>
      <c r="F2113" s="111">
        <f ca="1">IFERROR(__xludf.DUMMYFUNCTION("""COMPUTED_VALUE"""),10.24)</f>
        <v>10.24</v>
      </c>
      <c r="G2113" s="112">
        <f ca="1">IFERROR(__xludf.DUMMYFUNCTION("""COMPUTED_VALUE"""),43381.7055555555)</f>
        <v>43381.705555555498</v>
      </c>
      <c r="H2113" s="111">
        <f ca="1">IFERROR(__xludf.DUMMYFUNCTION("""COMPUTED_VALUE"""),26.6)</f>
        <v>26.6</v>
      </c>
      <c r="K2113" s="112">
        <f ca="1">IFERROR(__xludf.DUMMYFUNCTION("""COMPUTED_VALUE"""),43838.7055555555)</f>
        <v>43838.705555555498</v>
      </c>
      <c r="L2113" s="111">
        <f ca="1">IFERROR(__xludf.DUMMYFUNCTION("""COMPUTED_VALUE"""),12.58)</f>
        <v>12.58</v>
      </c>
      <c r="M2113" s="112">
        <f ca="1">IFERROR(__xludf.DUMMYFUNCTION("""COMPUTED_VALUE"""),43293.7055555555)</f>
        <v>43293.705555555498</v>
      </c>
      <c r="N2113" s="111">
        <f ca="1">IFERROR(__xludf.DUMMYFUNCTION("""COMPUTED_VALUE"""),19.63)</f>
        <v>19.63</v>
      </c>
      <c r="O2113" s="112">
        <f ca="1">IFERROR(__xludf.DUMMYFUNCTION("""COMPUTED_VALUE"""),43368.7055555555)</f>
        <v>43368.705555555498</v>
      </c>
      <c r="P2113" s="111">
        <f ca="1">IFERROR(__xludf.DUMMYFUNCTION("""COMPUTED_VALUE"""),62.2)</f>
        <v>62.2</v>
      </c>
      <c r="Q2113" s="112">
        <f ca="1">IFERROR(__xludf.DUMMYFUNCTION("""COMPUTED_VALUE"""),43367.7055555555)</f>
        <v>43367.705555555498</v>
      </c>
      <c r="R2113" s="111">
        <f ca="1">IFERROR(__xludf.DUMMYFUNCTION("""COMPUTED_VALUE"""),29.73)</f>
        <v>29.73</v>
      </c>
      <c r="S2113" s="112">
        <f ca="1">IFERROR(__xludf.DUMMYFUNCTION("""COMPUTED_VALUE"""),43377.7055555555)</f>
        <v>43377.705555555498</v>
      </c>
      <c r="T2113" s="111">
        <f ca="1">IFERROR(__xludf.DUMMYFUNCTION("""COMPUTED_VALUE"""),28.3)</f>
        <v>28.3</v>
      </c>
    </row>
    <row r="2114" spans="1:20" x14ac:dyDescent="0.3">
      <c r="A2114" s="112">
        <f ca="1">IFERROR(__xludf.DUMMYFUNCTION("""COMPUTED_VALUE"""),43376.7055555555)</f>
        <v>43376.705555555498</v>
      </c>
      <c r="B2114" s="111">
        <f ca="1">IFERROR(__xludf.DUMMYFUNCTION("""COMPUTED_VALUE"""),17.43)</f>
        <v>17.43</v>
      </c>
      <c r="C2114" s="112">
        <f ca="1">IFERROR(__xludf.DUMMYFUNCTION("""COMPUTED_VALUE"""),43384.7055555555)</f>
        <v>43384.705555555498</v>
      </c>
      <c r="D2114" s="111">
        <f ca="1">IFERROR(__xludf.DUMMYFUNCTION("""COMPUTED_VALUE"""),31.67)</f>
        <v>31.67</v>
      </c>
      <c r="E2114" s="112">
        <f ca="1">IFERROR(__xludf.DUMMYFUNCTION("""COMPUTED_VALUE"""),43388.7055555555)</f>
        <v>43388.705555555498</v>
      </c>
      <c r="F2114" s="111">
        <f ca="1">IFERROR(__xludf.DUMMYFUNCTION("""COMPUTED_VALUE"""),10.3)</f>
        <v>10.3</v>
      </c>
      <c r="G2114" s="112">
        <f ca="1">IFERROR(__xludf.DUMMYFUNCTION("""COMPUTED_VALUE"""),43382.7055555555)</f>
        <v>43382.705555555498</v>
      </c>
      <c r="H2114" s="111">
        <f ca="1">IFERROR(__xludf.DUMMYFUNCTION("""COMPUTED_VALUE"""),26.82)</f>
        <v>26.82</v>
      </c>
      <c r="K2114" s="112">
        <f ca="1">IFERROR(__xludf.DUMMYFUNCTION("""COMPUTED_VALUE"""),43839.7055555555)</f>
        <v>43839.705555555498</v>
      </c>
      <c r="L2114" s="111">
        <f ca="1">IFERROR(__xludf.DUMMYFUNCTION("""COMPUTED_VALUE"""),13.02)</f>
        <v>13.02</v>
      </c>
      <c r="M2114" s="112">
        <f ca="1">IFERROR(__xludf.DUMMYFUNCTION("""COMPUTED_VALUE"""),43294.7055555555)</f>
        <v>43294.705555555498</v>
      </c>
      <c r="N2114" s="111">
        <f ca="1">IFERROR(__xludf.DUMMYFUNCTION("""COMPUTED_VALUE"""),20.02)</f>
        <v>20.02</v>
      </c>
      <c r="O2114" s="112">
        <f ca="1">IFERROR(__xludf.DUMMYFUNCTION("""COMPUTED_VALUE"""),43369.7055555555)</f>
        <v>43369.705555555498</v>
      </c>
      <c r="P2114" s="111">
        <f ca="1">IFERROR(__xludf.DUMMYFUNCTION("""COMPUTED_VALUE"""),60.01)</f>
        <v>60.01</v>
      </c>
      <c r="Q2114" s="112">
        <f ca="1">IFERROR(__xludf.DUMMYFUNCTION("""COMPUTED_VALUE"""),43368.7055555555)</f>
        <v>43368.705555555498</v>
      </c>
      <c r="R2114" s="111">
        <f ca="1">IFERROR(__xludf.DUMMYFUNCTION("""COMPUTED_VALUE"""),29.55)</f>
        <v>29.55</v>
      </c>
      <c r="S2114" s="112">
        <f ca="1">IFERROR(__xludf.DUMMYFUNCTION("""COMPUTED_VALUE"""),43378.7055555555)</f>
        <v>43378.705555555498</v>
      </c>
      <c r="T2114" s="111">
        <f ca="1">IFERROR(__xludf.DUMMYFUNCTION("""COMPUTED_VALUE"""),28.02)</f>
        <v>28.02</v>
      </c>
    </row>
    <row r="2115" spans="1:20" x14ac:dyDescent="0.3">
      <c r="A2115" s="112">
        <f ca="1">IFERROR(__xludf.DUMMYFUNCTION("""COMPUTED_VALUE"""),43377.7055555555)</f>
        <v>43377.705555555498</v>
      </c>
      <c r="B2115" s="111">
        <f ca="1">IFERROR(__xludf.DUMMYFUNCTION("""COMPUTED_VALUE"""),18.3)</f>
        <v>18.3</v>
      </c>
      <c r="C2115" s="112">
        <f ca="1">IFERROR(__xludf.DUMMYFUNCTION("""COMPUTED_VALUE"""),43388.7055555555)</f>
        <v>43388.705555555498</v>
      </c>
      <c r="D2115" s="111">
        <f ca="1">IFERROR(__xludf.DUMMYFUNCTION("""COMPUTED_VALUE"""),32.03)</f>
        <v>32.03</v>
      </c>
      <c r="E2115" s="112">
        <f ca="1">IFERROR(__xludf.DUMMYFUNCTION("""COMPUTED_VALUE"""),43389.7055555555)</f>
        <v>43389.705555555498</v>
      </c>
      <c r="F2115" s="111">
        <f ca="1">IFERROR(__xludf.DUMMYFUNCTION("""COMPUTED_VALUE"""),10.73)</f>
        <v>10.73</v>
      </c>
      <c r="G2115" s="112">
        <f ca="1">IFERROR(__xludf.DUMMYFUNCTION("""COMPUTED_VALUE"""),43383.7055555555)</f>
        <v>43383.705555555498</v>
      </c>
      <c r="H2115" s="111">
        <f ca="1">IFERROR(__xludf.DUMMYFUNCTION("""COMPUTED_VALUE"""),26.05)</f>
        <v>26.05</v>
      </c>
      <c r="K2115" s="112">
        <f ca="1">IFERROR(__xludf.DUMMYFUNCTION("""COMPUTED_VALUE"""),43840.7055555555)</f>
        <v>43840.705555555498</v>
      </c>
      <c r="L2115" s="111">
        <f ca="1">IFERROR(__xludf.DUMMYFUNCTION("""COMPUTED_VALUE"""),12.95)</f>
        <v>12.95</v>
      </c>
      <c r="M2115" s="112">
        <f ca="1">IFERROR(__xludf.DUMMYFUNCTION("""COMPUTED_VALUE"""),43297.7055555555)</f>
        <v>43297.705555555498</v>
      </c>
      <c r="N2115" s="111">
        <f ca="1">IFERROR(__xludf.DUMMYFUNCTION("""COMPUTED_VALUE"""),20.11)</f>
        <v>20.11</v>
      </c>
      <c r="O2115" s="112">
        <f ca="1">IFERROR(__xludf.DUMMYFUNCTION("""COMPUTED_VALUE"""),43370.7055555555)</f>
        <v>43370.705555555498</v>
      </c>
      <c r="P2115" s="111">
        <f ca="1">IFERROR(__xludf.DUMMYFUNCTION("""COMPUTED_VALUE"""),59.48)</f>
        <v>59.48</v>
      </c>
      <c r="Q2115" s="112">
        <f ca="1">IFERROR(__xludf.DUMMYFUNCTION("""COMPUTED_VALUE"""),43369.7055555555)</f>
        <v>43369.705555555498</v>
      </c>
      <c r="R2115" s="111">
        <f ca="1">IFERROR(__xludf.DUMMYFUNCTION("""COMPUTED_VALUE"""),29.45)</f>
        <v>29.45</v>
      </c>
      <c r="S2115" s="112">
        <f ca="1">IFERROR(__xludf.DUMMYFUNCTION("""COMPUTED_VALUE"""),43381.7055555555)</f>
        <v>43381.705555555498</v>
      </c>
      <c r="T2115" s="111">
        <f ca="1">IFERROR(__xludf.DUMMYFUNCTION("""COMPUTED_VALUE"""),29.75)</f>
        <v>29.75</v>
      </c>
    </row>
    <row r="2116" spans="1:20" x14ac:dyDescent="0.3">
      <c r="A2116" s="112">
        <f ca="1">IFERROR(__xludf.DUMMYFUNCTION("""COMPUTED_VALUE"""),43378.7055555555)</f>
        <v>43378.705555555498</v>
      </c>
      <c r="B2116" s="111">
        <f ca="1">IFERROR(__xludf.DUMMYFUNCTION("""COMPUTED_VALUE"""),18.54)</f>
        <v>18.54</v>
      </c>
      <c r="C2116" s="112">
        <f ca="1">IFERROR(__xludf.DUMMYFUNCTION("""COMPUTED_VALUE"""),43389.7055555555)</f>
        <v>43389.705555555498</v>
      </c>
      <c r="D2116" s="111">
        <f ca="1">IFERROR(__xludf.DUMMYFUNCTION("""COMPUTED_VALUE"""),33.31)</f>
        <v>33.31</v>
      </c>
      <c r="E2116" s="112">
        <f ca="1">IFERROR(__xludf.DUMMYFUNCTION("""COMPUTED_VALUE"""),43390.7055555555)</f>
        <v>43390.705555555498</v>
      </c>
      <c r="F2116" s="111">
        <f ca="1">IFERROR(__xludf.DUMMYFUNCTION("""COMPUTED_VALUE"""),10.64)</f>
        <v>10.64</v>
      </c>
      <c r="G2116" s="112">
        <f ca="1">IFERROR(__xludf.DUMMYFUNCTION("""COMPUTED_VALUE"""),43384.7055555555)</f>
        <v>43384.705555555498</v>
      </c>
      <c r="H2116" s="111">
        <f ca="1">IFERROR(__xludf.DUMMYFUNCTION("""COMPUTED_VALUE"""),25.29)</f>
        <v>25.29</v>
      </c>
      <c r="K2116" s="112">
        <f ca="1">IFERROR(__xludf.DUMMYFUNCTION("""COMPUTED_VALUE"""),43843.7055555555)</f>
        <v>43843.705555555498</v>
      </c>
      <c r="L2116" s="111">
        <f ca="1">IFERROR(__xludf.DUMMYFUNCTION("""COMPUTED_VALUE"""),13.56)</f>
        <v>13.56</v>
      </c>
      <c r="M2116" s="112">
        <f ca="1">IFERROR(__xludf.DUMMYFUNCTION("""COMPUTED_VALUE"""),43298.7055555555)</f>
        <v>43298.705555555498</v>
      </c>
      <c r="N2116" s="111">
        <f ca="1">IFERROR(__xludf.DUMMYFUNCTION("""COMPUTED_VALUE"""),20.69)</f>
        <v>20.69</v>
      </c>
      <c r="O2116" s="112">
        <f ca="1">IFERROR(__xludf.DUMMYFUNCTION("""COMPUTED_VALUE"""),43371.7055555555)</f>
        <v>43371.705555555498</v>
      </c>
      <c r="P2116" s="111">
        <f ca="1">IFERROR(__xludf.DUMMYFUNCTION("""COMPUTED_VALUE"""),59.82)</f>
        <v>59.82</v>
      </c>
      <c r="Q2116" s="112">
        <f ca="1">IFERROR(__xludf.DUMMYFUNCTION("""COMPUTED_VALUE"""),43370.7055555555)</f>
        <v>43370.705555555498</v>
      </c>
      <c r="R2116" s="111">
        <f ca="1">IFERROR(__xludf.DUMMYFUNCTION("""COMPUTED_VALUE"""),30.29)</f>
        <v>30.29</v>
      </c>
      <c r="S2116" s="112">
        <f ca="1">IFERROR(__xludf.DUMMYFUNCTION("""COMPUTED_VALUE"""),43382.7055555555)</f>
        <v>43382.705555555498</v>
      </c>
      <c r="T2116" s="111">
        <f ca="1">IFERROR(__xludf.DUMMYFUNCTION("""COMPUTED_VALUE"""),29.61)</f>
        <v>29.61</v>
      </c>
    </row>
    <row r="2117" spans="1:20" x14ac:dyDescent="0.3">
      <c r="A2117" s="112">
        <f ca="1">IFERROR(__xludf.DUMMYFUNCTION("""COMPUTED_VALUE"""),43381.7055555555)</f>
        <v>43381.705555555498</v>
      </c>
      <c r="B2117" s="111">
        <f ca="1">IFERROR(__xludf.DUMMYFUNCTION("""COMPUTED_VALUE"""),21.76)</f>
        <v>21.76</v>
      </c>
      <c r="C2117" s="112">
        <f ca="1">IFERROR(__xludf.DUMMYFUNCTION("""COMPUTED_VALUE"""),43390.7055555555)</f>
        <v>43390.705555555498</v>
      </c>
      <c r="D2117" s="111">
        <f ca="1">IFERROR(__xludf.DUMMYFUNCTION("""COMPUTED_VALUE"""),32.97)</f>
        <v>32.97</v>
      </c>
      <c r="E2117" s="112">
        <f ca="1">IFERROR(__xludf.DUMMYFUNCTION("""COMPUTED_VALUE"""),43391.7055555555)</f>
        <v>43391.705555555498</v>
      </c>
      <c r="F2117" s="111">
        <f ca="1">IFERROR(__xludf.DUMMYFUNCTION("""COMPUTED_VALUE"""),10.31)</f>
        <v>10.31</v>
      </c>
      <c r="G2117" s="112">
        <f ca="1">IFERROR(__xludf.DUMMYFUNCTION("""COMPUTED_VALUE"""),43388.7055555555)</f>
        <v>43388.705555555498</v>
      </c>
      <c r="H2117" s="111">
        <f ca="1">IFERROR(__xludf.DUMMYFUNCTION("""COMPUTED_VALUE"""),25.77)</f>
        <v>25.77</v>
      </c>
      <c r="K2117" s="112">
        <f ca="1">IFERROR(__xludf.DUMMYFUNCTION("""COMPUTED_VALUE"""),43844.7055555555)</f>
        <v>43844.705555555498</v>
      </c>
      <c r="L2117" s="111">
        <f ca="1">IFERROR(__xludf.DUMMYFUNCTION("""COMPUTED_VALUE"""),13.5)</f>
        <v>13.5</v>
      </c>
      <c r="M2117" s="112">
        <f ca="1">IFERROR(__xludf.DUMMYFUNCTION("""COMPUTED_VALUE"""),43299.7055555555)</f>
        <v>43299.705555555498</v>
      </c>
      <c r="N2117" s="111">
        <f ca="1">IFERROR(__xludf.DUMMYFUNCTION("""COMPUTED_VALUE"""),20.18)</f>
        <v>20.18</v>
      </c>
      <c r="O2117" s="112">
        <f ca="1">IFERROR(__xludf.DUMMYFUNCTION("""COMPUTED_VALUE"""),43374.7055555555)</f>
        <v>43374.705555555498</v>
      </c>
      <c r="P2117" s="111">
        <f ca="1">IFERROR(__xludf.DUMMYFUNCTION("""COMPUTED_VALUE"""),60.4)</f>
        <v>60.4</v>
      </c>
      <c r="Q2117" s="112">
        <f ca="1">IFERROR(__xludf.DUMMYFUNCTION("""COMPUTED_VALUE"""),43371.7055555555)</f>
        <v>43371.705555555498</v>
      </c>
      <c r="R2117" s="111">
        <f ca="1">IFERROR(__xludf.DUMMYFUNCTION("""COMPUTED_VALUE"""),29.45)</f>
        <v>29.45</v>
      </c>
      <c r="S2117" s="112">
        <f ca="1">IFERROR(__xludf.DUMMYFUNCTION("""COMPUTED_VALUE"""),43383.7055555555)</f>
        <v>43383.705555555498</v>
      </c>
      <c r="T2117" s="111">
        <f ca="1">IFERROR(__xludf.DUMMYFUNCTION("""COMPUTED_VALUE"""),28.93)</f>
        <v>28.93</v>
      </c>
    </row>
    <row r="2118" spans="1:20" x14ac:dyDescent="0.3">
      <c r="A2118" s="112">
        <f ca="1">IFERROR(__xludf.DUMMYFUNCTION("""COMPUTED_VALUE"""),43382.7055555555)</f>
        <v>43382.705555555498</v>
      </c>
      <c r="B2118" s="111">
        <f ca="1">IFERROR(__xludf.DUMMYFUNCTION("""COMPUTED_VALUE"""),22.56)</f>
        <v>22.56</v>
      </c>
      <c r="C2118" s="112">
        <f ca="1">IFERROR(__xludf.DUMMYFUNCTION("""COMPUTED_VALUE"""),43391.7055555555)</f>
        <v>43391.705555555498</v>
      </c>
      <c r="D2118" s="111">
        <f ca="1">IFERROR(__xludf.DUMMYFUNCTION("""COMPUTED_VALUE"""),31.99)</f>
        <v>31.99</v>
      </c>
      <c r="E2118" s="112">
        <f ca="1">IFERROR(__xludf.DUMMYFUNCTION("""COMPUTED_VALUE"""),43392.7055555555)</f>
        <v>43392.705555555498</v>
      </c>
      <c r="F2118" s="111">
        <f ca="1">IFERROR(__xludf.DUMMYFUNCTION("""COMPUTED_VALUE"""),10.3)</f>
        <v>10.3</v>
      </c>
      <c r="G2118" s="112">
        <f ca="1">IFERROR(__xludf.DUMMYFUNCTION("""COMPUTED_VALUE"""),43389.7055555555)</f>
        <v>43389.705555555498</v>
      </c>
      <c r="H2118" s="111">
        <f ca="1">IFERROR(__xludf.DUMMYFUNCTION("""COMPUTED_VALUE"""),26.73)</f>
        <v>26.73</v>
      </c>
      <c r="K2118" s="112">
        <f ca="1">IFERROR(__xludf.DUMMYFUNCTION("""COMPUTED_VALUE"""),43845.7055555555)</f>
        <v>43845.705555555498</v>
      </c>
      <c r="L2118" s="111">
        <f ca="1">IFERROR(__xludf.DUMMYFUNCTION("""COMPUTED_VALUE"""),13.42)</f>
        <v>13.42</v>
      </c>
      <c r="M2118" s="112">
        <f ca="1">IFERROR(__xludf.DUMMYFUNCTION("""COMPUTED_VALUE"""),43300.7055555555)</f>
        <v>43300.705555555498</v>
      </c>
      <c r="N2118" s="111">
        <f ca="1">IFERROR(__xludf.DUMMYFUNCTION("""COMPUTED_VALUE"""),20.43)</f>
        <v>20.43</v>
      </c>
      <c r="O2118" s="112">
        <f ca="1">IFERROR(__xludf.DUMMYFUNCTION("""COMPUTED_VALUE"""),43375.7055555555)</f>
        <v>43375.705555555498</v>
      </c>
      <c r="P2118" s="111">
        <f ca="1">IFERROR(__xludf.DUMMYFUNCTION("""COMPUTED_VALUE"""),61.2)</f>
        <v>61.2</v>
      </c>
      <c r="Q2118" s="112">
        <f ca="1">IFERROR(__xludf.DUMMYFUNCTION("""COMPUTED_VALUE"""),43374.7055555555)</f>
        <v>43374.705555555498</v>
      </c>
      <c r="R2118" s="111">
        <f ca="1">IFERROR(__xludf.DUMMYFUNCTION("""COMPUTED_VALUE"""),28.21)</f>
        <v>28.21</v>
      </c>
      <c r="S2118" s="112">
        <f ca="1">IFERROR(__xludf.DUMMYFUNCTION("""COMPUTED_VALUE"""),43384.7055555555)</f>
        <v>43384.705555555498</v>
      </c>
      <c r="T2118" s="111">
        <f ca="1">IFERROR(__xludf.DUMMYFUNCTION("""COMPUTED_VALUE"""),28.47)</f>
        <v>28.47</v>
      </c>
    </row>
    <row r="2119" spans="1:20" x14ac:dyDescent="0.3">
      <c r="A2119" s="112">
        <f ca="1">IFERROR(__xludf.DUMMYFUNCTION("""COMPUTED_VALUE"""),43383.7055555555)</f>
        <v>43383.705555555498</v>
      </c>
      <c r="B2119" s="111">
        <f ca="1">IFERROR(__xludf.DUMMYFUNCTION("""COMPUTED_VALUE"""),20.48)</f>
        <v>20.48</v>
      </c>
      <c r="C2119" s="112">
        <f ca="1">IFERROR(__xludf.DUMMYFUNCTION("""COMPUTED_VALUE"""),43392.7055555555)</f>
        <v>43392.705555555498</v>
      </c>
      <c r="D2119" s="111">
        <f ca="1">IFERROR(__xludf.DUMMYFUNCTION("""COMPUTED_VALUE"""),31.95)</f>
        <v>31.95</v>
      </c>
      <c r="E2119" s="112">
        <f ca="1">IFERROR(__xludf.DUMMYFUNCTION("""COMPUTED_VALUE"""),43395.7055555555)</f>
        <v>43395.705555555498</v>
      </c>
      <c r="F2119" s="111">
        <f ca="1">IFERROR(__xludf.DUMMYFUNCTION("""COMPUTED_VALUE"""),10.46)</f>
        <v>10.46</v>
      </c>
      <c r="G2119" s="112">
        <f ca="1">IFERROR(__xludf.DUMMYFUNCTION("""COMPUTED_VALUE"""),43390.7055555555)</f>
        <v>43390.705555555498</v>
      </c>
      <c r="H2119" s="111">
        <f ca="1">IFERROR(__xludf.DUMMYFUNCTION("""COMPUTED_VALUE"""),26.45)</f>
        <v>26.45</v>
      </c>
      <c r="K2119" s="112">
        <f ca="1">IFERROR(__xludf.DUMMYFUNCTION("""COMPUTED_VALUE"""),43846.7055555555)</f>
        <v>43846.705555555498</v>
      </c>
      <c r="L2119" s="111">
        <f ca="1">IFERROR(__xludf.DUMMYFUNCTION("""COMPUTED_VALUE"""),13.37)</f>
        <v>13.37</v>
      </c>
      <c r="M2119" s="112">
        <f ca="1">IFERROR(__xludf.DUMMYFUNCTION("""COMPUTED_VALUE"""),43301.7055555555)</f>
        <v>43301.705555555498</v>
      </c>
      <c r="N2119" s="111">
        <f ca="1">IFERROR(__xludf.DUMMYFUNCTION("""COMPUTED_VALUE"""),21.14)</f>
        <v>21.14</v>
      </c>
      <c r="O2119" s="112">
        <f ca="1">IFERROR(__xludf.DUMMYFUNCTION("""COMPUTED_VALUE"""),43376.7055555555)</f>
        <v>43376.705555555498</v>
      </c>
      <c r="P2119" s="111">
        <f ca="1">IFERROR(__xludf.DUMMYFUNCTION("""COMPUTED_VALUE"""),59.95)</f>
        <v>59.95</v>
      </c>
      <c r="Q2119" s="112">
        <f ca="1">IFERROR(__xludf.DUMMYFUNCTION("""COMPUTED_VALUE"""),43375.7055555555)</f>
        <v>43375.705555555498</v>
      </c>
      <c r="R2119" s="111">
        <f ca="1">IFERROR(__xludf.DUMMYFUNCTION("""COMPUTED_VALUE"""),31.43)</f>
        <v>31.43</v>
      </c>
      <c r="S2119" s="112">
        <f ca="1">IFERROR(__xludf.DUMMYFUNCTION("""COMPUTED_VALUE"""),43388.7055555555)</f>
        <v>43388.705555555498</v>
      </c>
      <c r="T2119" s="111">
        <f ca="1">IFERROR(__xludf.DUMMYFUNCTION("""COMPUTED_VALUE"""),28.47)</f>
        <v>28.47</v>
      </c>
    </row>
    <row r="2120" spans="1:20" x14ac:dyDescent="0.3">
      <c r="A2120" s="112">
        <f ca="1">IFERROR(__xludf.DUMMYFUNCTION("""COMPUTED_VALUE"""),43384.7055555555)</f>
        <v>43384.705555555498</v>
      </c>
      <c r="B2120" s="111">
        <f ca="1">IFERROR(__xludf.DUMMYFUNCTION("""COMPUTED_VALUE"""),19.5)</f>
        <v>19.5</v>
      </c>
      <c r="C2120" s="112">
        <f ca="1">IFERROR(__xludf.DUMMYFUNCTION("""COMPUTED_VALUE"""),43395.7055555555)</f>
        <v>43395.705555555498</v>
      </c>
      <c r="D2120" s="111">
        <f ca="1">IFERROR(__xludf.DUMMYFUNCTION("""COMPUTED_VALUE"""),32.42)</f>
        <v>32.42</v>
      </c>
      <c r="E2120" s="112">
        <f ca="1">IFERROR(__xludf.DUMMYFUNCTION("""COMPUTED_VALUE"""),43396.7055555555)</f>
        <v>43396.705555555498</v>
      </c>
      <c r="F2120" s="111">
        <f ca="1">IFERROR(__xludf.DUMMYFUNCTION("""COMPUTED_VALUE"""),10.44)</f>
        <v>10.44</v>
      </c>
      <c r="G2120" s="112">
        <f ca="1">IFERROR(__xludf.DUMMYFUNCTION("""COMPUTED_VALUE"""),43392.7055555555)</f>
        <v>43392.705555555498</v>
      </c>
      <c r="H2120" s="111">
        <f ca="1">IFERROR(__xludf.DUMMYFUNCTION("""COMPUTED_VALUE"""),25.92)</f>
        <v>25.92</v>
      </c>
      <c r="K2120" s="112">
        <f ca="1">IFERROR(__xludf.DUMMYFUNCTION("""COMPUTED_VALUE"""),43847.7055555555)</f>
        <v>43847.705555555498</v>
      </c>
      <c r="L2120" s="111">
        <f ca="1">IFERROR(__xludf.DUMMYFUNCTION("""COMPUTED_VALUE"""),13.59)</f>
        <v>13.59</v>
      </c>
      <c r="M2120" s="112">
        <f ca="1">IFERROR(__xludf.DUMMYFUNCTION("""COMPUTED_VALUE"""),43304.7055555555)</f>
        <v>43304.705555555498</v>
      </c>
      <c r="N2120" s="111">
        <f ca="1">IFERROR(__xludf.DUMMYFUNCTION("""COMPUTED_VALUE"""),20.9)</f>
        <v>20.9</v>
      </c>
      <c r="O2120" s="112">
        <f ca="1">IFERROR(__xludf.DUMMYFUNCTION("""COMPUTED_VALUE"""),43377.7055555555)</f>
        <v>43377.705555555498</v>
      </c>
      <c r="P2120" s="111">
        <f ca="1">IFERROR(__xludf.DUMMYFUNCTION("""COMPUTED_VALUE"""),58.8)</f>
        <v>58.8</v>
      </c>
      <c r="Q2120" s="112">
        <f ca="1">IFERROR(__xludf.DUMMYFUNCTION("""COMPUTED_VALUE"""),43376.7055555555)</f>
        <v>43376.705555555498</v>
      </c>
      <c r="R2120" s="111">
        <f ca="1">IFERROR(__xludf.DUMMYFUNCTION("""COMPUTED_VALUE"""),34.28)</f>
        <v>34.28</v>
      </c>
      <c r="S2120" s="112">
        <f ca="1">IFERROR(__xludf.DUMMYFUNCTION("""COMPUTED_VALUE"""),43389.7055555555)</f>
        <v>43389.705555555498</v>
      </c>
      <c r="T2120" s="111">
        <f ca="1">IFERROR(__xludf.DUMMYFUNCTION("""COMPUTED_VALUE"""),29.42)</f>
        <v>29.42</v>
      </c>
    </row>
    <row r="2121" spans="1:20" x14ac:dyDescent="0.3">
      <c r="A2121" s="112">
        <f ca="1">IFERROR(__xludf.DUMMYFUNCTION("""COMPUTED_VALUE"""),43388.7055555555)</f>
        <v>43388.705555555498</v>
      </c>
      <c r="B2121" s="111">
        <f ca="1">IFERROR(__xludf.DUMMYFUNCTION("""COMPUTED_VALUE"""),20.72)</f>
        <v>20.72</v>
      </c>
      <c r="C2121" s="112">
        <f ca="1">IFERROR(__xludf.DUMMYFUNCTION("""COMPUTED_VALUE"""),43396.7055555555)</f>
        <v>43396.705555555498</v>
      </c>
      <c r="D2121" s="111">
        <f ca="1">IFERROR(__xludf.DUMMYFUNCTION("""COMPUTED_VALUE"""),32.53)</f>
        <v>32.53</v>
      </c>
      <c r="E2121" s="112">
        <f ca="1">IFERROR(__xludf.DUMMYFUNCTION("""COMPUTED_VALUE"""),43397.7055555555)</f>
        <v>43397.705555555498</v>
      </c>
      <c r="F2121" s="111">
        <f ca="1">IFERROR(__xludf.DUMMYFUNCTION("""COMPUTED_VALUE"""),10.19)</f>
        <v>10.19</v>
      </c>
      <c r="G2121" s="112">
        <f ca="1">IFERROR(__xludf.DUMMYFUNCTION("""COMPUTED_VALUE"""),43395.7055555555)</f>
        <v>43395.705555555498</v>
      </c>
      <c r="H2121" s="111">
        <f ca="1">IFERROR(__xludf.DUMMYFUNCTION("""COMPUTED_VALUE"""),26.53)</f>
        <v>26.53</v>
      </c>
      <c r="K2121" s="112">
        <f ca="1">IFERROR(__xludf.DUMMYFUNCTION("""COMPUTED_VALUE"""),43850.7055555555)</f>
        <v>43850.705555555498</v>
      </c>
      <c r="L2121" s="111">
        <f ca="1">IFERROR(__xludf.DUMMYFUNCTION("""COMPUTED_VALUE"""),14)</f>
        <v>14</v>
      </c>
      <c r="M2121" s="112">
        <f ca="1">IFERROR(__xludf.DUMMYFUNCTION("""COMPUTED_VALUE"""),43305.7055555555)</f>
        <v>43305.705555555498</v>
      </c>
      <c r="N2121" s="111">
        <f ca="1">IFERROR(__xludf.DUMMYFUNCTION("""COMPUTED_VALUE"""),21.21)</f>
        <v>21.21</v>
      </c>
      <c r="O2121" s="112">
        <f ca="1">IFERROR(__xludf.DUMMYFUNCTION("""COMPUTED_VALUE"""),43378.7055555555)</f>
        <v>43378.705555555498</v>
      </c>
      <c r="P2121" s="111">
        <f ca="1">IFERROR(__xludf.DUMMYFUNCTION("""COMPUTED_VALUE"""),57.49)</f>
        <v>57.49</v>
      </c>
      <c r="Q2121" s="112">
        <f ca="1">IFERROR(__xludf.DUMMYFUNCTION("""COMPUTED_VALUE"""),43377.7055555555)</f>
        <v>43377.705555555498</v>
      </c>
      <c r="R2121" s="111">
        <f ca="1">IFERROR(__xludf.DUMMYFUNCTION("""COMPUTED_VALUE"""),35.12)</f>
        <v>35.119999999999997</v>
      </c>
      <c r="S2121" s="112">
        <f ca="1">IFERROR(__xludf.DUMMYFUNCTION("""COMPUTED_VALUE"""),43390.7055555555)</f>
        <v>43390.705555555498</v>
      </c>
      <c r="T2121" s="111">
        <f ca="1">IFERROR(__xludf.DUMMYFUNCTION("""COMPUTED_VALUE"""),29.09)</f>
        <v>29.09</v>
      </c>
    </row>
    <row r="2122" spans="1:20" x14ac:dyDescent="0.3">
      <c r="A2122" s="112">
        <f ca="1">IFERROR(__xludf.DUMMYFUNCTION("""COMPUTED_VALUE"""),43389.7055555555)</f>
        <v>43389.705555555498</v>
      </c>
      <c r="B2122" s="111">
        <f ca="1">IFERROR(__xludf.DUMMYFUNCTION("""COMPUTED_VALUE"""),21.78)</f>
        <v>21.78</v>
      </c>
      <c r="C2122" s="112">
        <f ca="1">IFERROR(__xludf.DUMMYFUNCTION("""COMPUTED_VALUE"""),43397.7055555555)</f>
        <v>43397.705555555498</v>
      </c>
      <c r="D2122" s="111">
        <f ca="1">IFERROR(__xludf.DUMMYFUNCTION("""COMPUTED_VALUE"""),31.69)</f>
        <v>31.69</v>
      </c>
      <c r="E2122" s="112">
        <f ca="1">IFERROR(__xludf.DUMMYFUNCTION("""COMPUTED_VALUE"""),43398.7055555555)</f>
        <v>43398.705555555498</v>
      </c>
      <c r="F2122" s="111">
        <f ca="1">IFERROR(__xludf.DUMMYFUNCTION("""COMPUTED_VALUE"""),10.3)</f>
        <v>10.3</v>
      </c>
      <c r="G2122" s="112">
        <f ca="1">IFERROR(__xludf.DUMMYFUNCTION("""COMPUTED_VALUE"""),43396.7055555555)</f>
        <v>43396.705555555498</v>
      </c>
      <c r="H2122" s="111">
        <f ca="1">IFERROR(__xludf.DUMMYFUNCTION("""COMPUTED_VALUE"""),26.2)</f>
        <v>26.2</v>
      </c>
      <c r="K2122" s="112">
        <f ca="1">IFERROR(__xludf.DUMMYFUNCTION("""COMPUTED_VALUE"""),43851.7055555555)</f>
        <v>43851.705555555498</v>
      </c>
      <c r="L2122" s="111">
        <f ca="1">IFERROR(__xludf.DUMMYFUNCTION("""COMPUTED_VALUE"""),13.98)</f>
        <v>13.98</v>
      </c>
      <c r="M2122" s="112">
        <f ca="1">IFERROR(__xludf.DUMMYFUNCTION("""COMPUTED_VALUE"""),43306.7055555555)</f>
        <v>43306.705555555498</v>
      </c>
      <c r="N2122" s="111">
        <f ca="1">IFERROR(__xludf.DUMMYFUNCTION("""COMPUTED_VALUE"""),21.6)</f>
        <v>21.6</v>
      </c>
      <c r="O2122" s="112">
        <f ca="1">IFERROR(__xludf.DUMMYFUNCTION("""COMPUTED_VALUE"""),43381.7055555555)</f>
        <v>43381.705555555498</v>
      </c>
      <c r="P2122" s="111">
        <f ca="1">IFERROR(__xludf.DUMMYFUNCTION("""COMPUTED_VALUE"""),57.05)</f>
        <v>57.05</v>
      </c>
      <c r="Q2122" s="112">
        <f ca="1">IFERROR(__xludf.DUMMYFUNCTION("""COMPUTED_VALUE"""),43378.7055555555)</f>
        <v>43378.705555555498</v>
      </c>
      <c r="R2122" s="111">
        <f ca="1">IFERROR(__xludf.DUMMYFUNCTION("""COMPUTED_VALUE"""),35.74)</f>
        <v>35.74</v>
      </c>
      <c r="S2122" s="112">
        <f ca="1">IFERROR(__xludf.DUMMYFUNCTION("""COMPUTED_VALUE"""),43392.7055555555)</f>
        <v>43392.705555555498</v>
      </c>
      <c r="T2122" s="111">
        <f ca="1">IFERROR(__xludf.DUMMYFUNCTION("""COMPUTED_VALUE"""),28.56)</f>
        <v>28.56</v>
      </c>
    </row>
    <row r="2123" spans="1:20" x14ac:dyDescent="0.3">
      <c r="A2123" s="112">
        <f ca="1">IFERROR(__xludf.DUMMYFUNCTION("""COMPUTED_VALUE"""),43390.7055555555)</f>
        <v>43390.705555555498</v>
      </c>
      <c r="B2123" s="111">
        <f ca="1">IFERROR(__xludf.DUMMYFUNCTION("""COMPUTED_VALUE"""),20.97)</f>
        <v>20.97</v>
      </c>
      <c r="C2123" s="112">
        <f ca="1">IFERROR(__xludf.DUMMYFUNCTION("""COMPUTED_VALUE"""),43398.7055555555)</f>
        <v>43398.705555555498</v>
      </c>
      <c r="D2123" s="111">
        <f ca="1">IFERROR(__xludf.DUMMYFUNCTION("""COMPUTED_VALUE"""),32.05)</f>
        <v>32.049999999999997</v>
      </c>
      <c r="E2123" s="112">
        <f ca="1">IFERROR(__xludf.DUMMYFUNCTION("""COMPUTED_VALUE"""),43399.7055555555)</f>
        <v>43399.705555555498</v>
      </c>
      <c r="F2123" s="111">
        <f ca="1">IFERROR(__xludf.DUMMYFUNCTION("""COMPUTED_VALUE"""),10.51)</f>
        <v>10.51</v>
      </c>
      <c r="G2123" s="112">
        <f ca="1">IFERROR(__xludf.DUMMYFUNCTION("""COMPUTED_VALUE"""),43397.7055555555)</f>
        <v>43397.705555555498</v>
      </c>
      <c r="H2123" s="111">
        <f ca="1">IFERROR(__xludf.DUMMYFUNCTION("""COMPUTED_VALUE"""),25.68)</f>
        <v>25.68</v>
      </c>
      <c r="K2123" s="112">
        <f ca="1">IFERROR(__xludf.DUMMYFUNCTION("""COMPUTED_VALUE"""),43852.7055555555)</f>
        <v>43852.705555555498</v>
      </c>
      <c r="L2123" s="111">
        <f ca="1">IFERROR(__xludf.DUMMYFUNCTION("""COMPUTED_VALUE"""),13.93)</f>
        <v>13.93</v>
      </c>
      <c r="M2123" s="112">
        <f ca="1">IFERROR(__xludf.DUMMYFUNCTION("""COMPUTED_VALUE"""),43307.7055555555)</f>
        <v>43307.705555555498</v>
      </c>
      <c r="N2123" s="111">
        <f ca="1">IFERROR(__xludf.DUMMYFUNCTION("""COMPUTED_VALUE"""),21.05)</f>
        <v>21.05</v>
      </c>
      <c r="O2123" s="112">
        <f ca="1">IFERROR(__xludf.DUMMYFUNCTION("""COMPUTED_VALUE"""),43382.7055555555)</f>
        <v>43382.705555555498</v>
      </c>
      <c r="P2123" s="111">
        <f ca="1">IFERROR(__xludf.DUMMYFUNCTION("""COMPUTED_VALUE"""),57.7)</f>
        <v>57.7</v>
      </c>
      <c r="Q2123" s="112">
        <f ca="1">IFERROR(__xludf.DUMMYFUNCTION("""COMPUTED_VALUE"""),43381.7055555555)</f>
        <v>43381.705555555498</v>
      </c>
      <c r="R2123" s="111">
        <f ca="1">IFERROR(__xludf.DUMMYFUNCTION("""COMPUTED_VALUE"""),39.2)</f>
        <v>39.200000000000003</v>
      </c>
      <c r="S2123" s="112">
        <f ca="1">IFERROR(__xludf.DUMMYFUNCTION("""COMPUTED_VALUE"""),43395.7055555555)</f>
        <v>43395.705555555498</v>
      </c>
      <c r="T2123" s="111">
        <f ca="1">IFERROR(__xludf.DUMMYFUNCTION("""COMPUTED_VALUE"""),29.04)</f>
        <v>29.04</v>
      </c>
    </row>
    <row r="2124" spans="1:20" x14ac:dyDescent="0.3">
      <c r="A2124" s="112">
        <f ca="1">IFERROR(__xludf.DUMMYFUNCTION("""COMPUTED_VALUE"""),43391.7055555555)</f>
        <v>43391.705555555498</v>
      </c>
      <c r="B2124" s="111">
        <f ca="1">IFERROR(__xludf.DUMMYFUNCTION("""COMPUTED_VALUE"""),20.42)</f>
        <v>20.420000000000002</v>
      </c>
      <c r="C2124" s="112">
        <f ca="1">IFERROR(__xludf.DUMMYFUNCTION("""COMPUTED_VALUE"""),43399.7055555555)</f>
        <v>43399.705555555498</v>
      </c>
      <c r="D2124" s="111">
        <f ca="1">IFERROR(__xludf.DUMMYFUNCTION("""COMPUTED_VALUE"""),32.65)</f>
        <v>32.65</v>
      </c>
      <c r="E2124" s="112">
        <f ca="1">IFERROR(__xludf.DUMMYFUNCTION("""COMPUTED_VALUE"""),43402.7055555555)</f>
        <v>43402.705555555498</v>
      </c>
      <c r="F2124" s="111">
        <f ca="1">IFERROR(__xludf.DUMMYFUNCTION("""COMPUTED_VALUE"""),10.37)</f>
        <v>10.37</v>
      </c>
      <c r="G2124" s="112">
        <f ca="1">IFERROR(__xludf.DUMMYFUNCTION("""COMPUTED_VALUE"""),43398.7055555555)</f>
        <v>43398.705555555498</v>
      </c>
      <c r="H2124" s="111">
        <f ca="1">IFERROR(__xludf.DUMMYFUNCTION("""COMPUTED_VALUE"""),26.32)</f>
        <v>26.32</v>
      </c>
      <c r="K2124" s="112">
        <f ca="1">IFERROR(__xludf.DUMMYFUNCTION("""COMPUTED_VALUE"""),43853.7055555555)</f>
        <v>43853.705555555498</v>
      </c>
      <c r="L2124" s="111">
        <f ca="1">IFERROR(__xludf.DUMMYFUNCTION("""COMPUTED_VALUE"""),14.15)</f>
        <v>14.15</v>
      </c>
      <c r="M2124" s="112">
        <f ca="1">IFERROR(__xludf.DUMMYFUNCTION("""COMPUTED_VALUE"""),43308.7055555555)</f>
        <v>43308.705555555498</v>
      </c>
      <c r="N2124" s="111">
        <f ca="1">IFERROR(__xludf.DUMMYFUNCTION("""COMPUTED_VALUE"""),21.28)</f>
        <v>21.28</v>
      </c>
      <c r="O2124" s="112">
        <f ca="1">IFERROR(__xludf.DUMMYFUNCTION("""COMPUTED_VALUE"""),43383.7055555555)</f>
        <v>43383.705555555498</v>
      </c>
      <c r="P2124" s="111">
        <f ca="1">IFERROR(__xludf.DUMMYFUNCTION("""COMPUTED_VALUE"""),55.89)</f>
        <v>55.89</v>
      </c>
      <c r="Q2124" s="112">
        <f ca="1">IFERROR(__xludf.DUMMYFUNCTION("""COMPUTED_VALUE"""),43382.7055555555)</f>
        <v>43382.705555555498</v>
      </c>
      <c r="R2124" s="111">
        <f ca="1">IFERROR(__xludf.DUMMYFUNCTION("""COMPUTED_VALUE"""),39)</f>
        <v>39</v>
      </c>
      <c r="S2124" s="112">
        <f ca="1">IFERROR(__xludf.DUMMYFUNCTION("""COMPUTED_VALUE"""),43396.7055555555)</f>
        <v>43396.705555555498</v>
      </c>
      <c r="T2124" s="111">
        <f ca="1">IFERROR(__xludf.DUMMYFUNCTION("""COMPUTED_VALUE"""),29.3)</f>
        <v>29.3</v>
      </c>
    </row>
    <row r="2125" spans="1:20" x14ac:dyDescent="0.3">
      <c r="A2125" s="112">
        <f ca="1">IFERROR(__xludf.DUMMYFUNCTION("""COMPUTED_VALUE"""),43392.7055555555)</f>
        <v>43392.705555555498</v>
      </c>
      <c r="B2125" s="111">
        <f ca="1">IFERROR(__xludf.DUMMYFUNCTION("""COMPUTED_VALUE"""),21.54)</f>
        <v>21.54</v>
      </c>
      <c r="C2125" s="112">
        <f ca="1">IFERROR(__xludf.DUMMYFUNCTION("""COMPUTED_VALUE"""),43402.7055555555)</f>
        <v>43402.705555555498</v>
      </c>
      <c r="D2125" s="111">
        <f ca="1">IFERROR(__xludf.DUMMYFUNCTION("""COMPUTED_VALUE"""),32.05)</f>
        <v>32.049999999999997</v>
      </c>
      <c r="E2125" s="112">
        <f ca="1">IFERROR(__xludf.DUMMYFUNCTION("""COMPUTED_VALUE"""),43403.7055555555)</f>
        <v>43403.705555555498</v>
      </c>
      <c r="F2125" s="111">
        <f ca="1">IFERROR(__xludf.DUMMYFUNCTION("""COMPUTED_VALUE"""),10.77)</f>
        <v>10.77</v>
      </c>
      <c r="G2125" s="112">
        <f ca="1">IFERROR(__xludf.DUMMYFUNCTION("""COMPUTED_VALUE"""),43399.7055555555)</f>
        <v>43399.705555555498</v>
      </c>
      <c r="H2125" s="111">
        <f ca="1">IFERROR(__xludf.DUMMYFUNCTION("""COMPUTED_VALUE"""),27.6)</f>
        <v>27.6</v>
      </c>
      <c r="K2125" s="112">
        <f ca="1">IFERROR(__xludf.DUMMYFUNCTION("""COMPUTED_VALUE"""),43854.7055555555)</f>
        <v>43854.705555555498</v>
      </c>
      <c r="L2125" s="111">
        <f ca="1">IFERROR(__xludf.DUMMYFUNCTION("""COMPUTED_VALUE"""),14.04)</f>
        <v>14.04</v>
      </c>
      <c r="M2125" s="112">
        <f ca="1">IFERROR(__xludf.DUMMYFUNCTION("""COMPUTED_VALUE"""),43311.7055555555)</f>
        <v>43311.705555555498</v>
      </c>
      <c r="N2125" s="111">
        <f ca="1">IFERROR(__xludf.DUMMYFUNCTION("""COMPUTED_VALUE"""),21.44)</f>
        <v>21.44</v>
      </c>
      <c r="O2125" s="112">
        <f ca="1">IFERROR(__xludf.DUMMYFUNCTION("""COMPUTED_VALUE"""),43384.7055555555)</f>
        <v>43384.705555555498</v>
      </c>
      <c r="P2125" s="111">
        <f ca="1">IFERROR(__xludf.DUMMYFUNCTION("""COMPUTED_VALUE"""),56.48)</f>
        <v>56.48</v>
      </c>
      <c r="Q2125" s="112">
        <f ca="1">IFERROR(__xludf.DUMMYFUNCTION("""COMPUTED_VALUE"""),43383.7055555555)</f>
        <v>43383.705555555498</v>
      </c>
      <c r="R2125" s="111">
        <f ca="1">IFERROR(__xludf.DUMMYFUNCTION("""COMPUTED_VALUE"""),37.35)</f>
        <v>37.35</v>
      </c>
      <c r="S2125" s="112">
        <f ca="1">IFERROR(__xludf.DUMMYFUNCTION("""COMPUTED_VALUE"""),43397.7055555555)</f>
        <v>43397.705555555498</v>
      </c>
      <c r="T2125" s="111">
        <f ca="1">IFERROR(__xludf.DUMMYFUNCTION("""COMPUTED_VALUE"""),28.93)</f>
        <v>28.93</v>
      </c>
    </row>
    <row r="2126" spans="1:20" x14ac:dyDescent="0.3">
      <c r="A2126" s="112">
        <f ca="1">IFERROR(__xludf.DUMMYFUNCTION("""COMPUTED_VALUE"""),43395.7055555555)</f>
        <v>43395.705555555498</v>
      </c>
      <c r="B2126" s="111">
        <f ca="1">IFERROR(__xludf.DUMMYFUNCTION("""COMPUTED_VALUE"""),22.48)</f>
        <v>22.48</v>
      </c>
      <c r="C2126" s="112">
        <f ca="1">IFERROR(__xludf.DUMMYFUNCTION("""COMPUTED_VALUE"""),43403.7055555555)</f>
        <v>43403.705555555498</v>
      </c>
      <c r="D2126" s="111">
        <f ca="1">IFERROR(__xludf.DUMMYFUNCTION("""COMPUTED_VALUE"""),32.99)</f>
        <v>32.99</v>
      </c>
      <c r="E2126" s="112">
        <f ca="1">IFERROR(__xludf.DUMMYFUNCTION("""COMPUTED_VALUE"""),43404.7055555555)</f>
        <v>43404.705555555498</v>
      </c>
      <c r="F2126" s="111">
        <f ca="1">IFERROR(__xludf.DUMMYFUNCTION("""COMPUTED_VALUE"""),10.7)</f>
        <v>10.7</v>
      </c>
      <c r="G2126" s="112">
        <f ca="1">IFERROR(__xludf.DUMMYFUNCTION("""COMPUTED_VALUE"""),43402.7055555555)</f>
        <v>43402.705555555498</v>
      </c>
      <c r="H2126" s="111">
        <f ca="1">IFERROR(__xludf.DUMMYFUNCTION("""COMPUTED_VALUE"""),26.42)</f>
        <v>26.42</v>
      </c>
      <c r="K2126" s="112">
        <f ca="1">IFERROR(__xludf.DUMMYFUNCTION("""COMPUTED_VALUE"""),43857.7055555555)</f>
        <v>43857.705555555498</v>
      </c>
      <c r="L2126" s="111">
        <f ca="1">IFERROR(__xludf.DUMMYFUNCTION("""COMPUTED_VALUE"""),13.45)</f>
        <v>13.45</v>
      </c>
      <c r="M2126" s="112">
        <f ca="1">IFERROR(__xludf.DUMMYFUNCTION("""COMPUTED_VALUE"""),43312.7055555555)</f>
        <v>43312.705555555498</v>
      </c>
      <c r="N2126" s="111">
        <f ca="1">IFERROR(__xludf.DUMMYFUNCTION("""COMPUTED_VALUE"""),21.03)</f>
        <v>21.03</v>
      </c>
      <c r="O2126" s="112">
        <f ca="1">IFERROR(__xludf.DUMMYFUNCTION("""COMPUTED_VALUE"""),43388.7055555555)</f>
        <v>43388.705555555498</v>
      </c>
      <c r="P2126" s="111">
        <f ca="1">IFERROR(__xludf.DUMMYFUNCTION("""COMPUTED_VALUE"""),57.67)</f>
        <v>57.67</v>
      </c>
      <c r="Q2126" s="112">
        <f ca="1">IFERROR(__xludf.DUMMYFUNCTION("""COMPUTED_VALUE"""),43384.7055555555)</f>
        <v>43384.705555555498</v>
      </c>
      <c r="R2126" s="111">
        <f ca="1">IFERROR(__xludf.DUMMYFUNCTION("""COMPUTED_VALUE"""),37.2)</f>
        <v>37.200000000000003</v>
      </c>
      <c r="S2126" s="112">
        <f ca="1">IFERROR(__xludf.DUMMYFUNCTION("""COMPUTED_VALUE"""),43398.7055555555)</f>
        <v>43398.705555555498</v>
      </c>
      <c r="T2126" s="111">
        <f ca="1">IFERROR(__xludf.DUMMYFUNCTION("""COMPUTED_VALUE"""),29.88)</f>
        <v>29.88</v>
      </c>
    </row>
    <row r="2127" spans="1:20" x14ac:dyDescent="0.3">
      <c r="A2127" s="112">
        <f ca="1">IFERROR(__xludf.DUMMYFUNCTION("""COMPUTED_VALUE"""),43396.7055555555)</f>
        <v>43396.705555555498</v>
      </c>
      <c r="B2127" s="111">
        <f ca="1">IFERROR(__xludf.DUMMYFUNCTION("""COMPUTED_VALUE"""),21.97)</f>
        <v>21.97</v>
      </c>
      <c r="C2127" s="112">
        <f ca="1">IFERROR(__xludf.DUMMYFUNCTION("""COMPUTED_VALUE"""),43404.7055555555)</f>
        <v>43404.705555555498</v>
      </c>
      <c r="D2127" s="111">
        <f ca="1">IFERROR(__xludf.DUMMYFUNCTION("""COMPUTED_VALUE"""),32.83)</f>
        <v>32.83</v>
      </c>
      <c r="E2127" s="112">
        <f ca="1">IFERROR(__xludf.DUMMYFUNCTION("""COMPUTED_VALUE"""),43405.7055555555)</f>
        <v>43405.705555555498</v>
      </c>
      <c r="F2127" s="111">
        <f ca="1">IFERROR(__xludf.DUMMYFUNCTION("""COMPUTED_VALUE"""),10.86)</f>
        <v>10.86</v>
      </c>
      <c r="G2127" s="112">
        <f ca="1">IFERROR(__xludf.DUMMYFUNCTION("""COMPUTED_VALUE"""),43403.7055555555)</f>
        <v>43403.705555555498</v>
      </c>
      <c r="H2127" s="111">
        <f ca="1">IFERROR(__xludf.DUMMYFUNCTION("""COMPUTED_VALUE"""),28)</f>
        <v>28</v>
      </c>
      <c r="K2127" s="112">
        <f ca="1">IFERROR(__xludf.DUMMYFUNCTION("""COMPUTED_VALUE"""),43858.7055555555)</f>
        <v>43858.705555555498</v>
      </c>
      <c r="L2127" s="111">
        <f ca="1">IFERROR(__xludf.DUMMYFUNCTION("""COMPUTED_VALUE"""),14.25)</f>
        <v>14.25</v>
      </c>
      <c r="M2127" s="112">
        <f ca="1">IFERROR(__xludf.DUMMYFUNCTION("""COMPUTED_VALUE"""),43313.7055555555)</f>
        <v>43313.705555555498</v>
      </c>
      <c r="N2127" s="111">
        <f ca="1">IFERROR(__xludf.DUMMYFUNCTION("""COMPUTED_VALUE"""),21.3)</f>
        <v>21.3</v>
      </c>
      <c r="O2127" s="112">
        <f ca="1">IFERROR(__xludf.DUMMYFUNCTION("""COMPUTED_VALUE"""),43389.7055555555)</f>
        <v>43389.705555555498</v>
      </c>
      <c r="P2127" s="111">
        <f ca="1">IFERROR(__xludf.DUMMYFUNCTION("""COMPUTED_VALUE"""),57.7)</f>
        <v>57.7</v>
      </c>
      <c r="Q2127" s="112">
        <f ca="1">IFERROR(__xludf.DUMMYFUNCTION("""COMPUTED_VALUE"""),43388.7055555555)</f>
        <v>43388.705555555498</v>
      </c>
      <c r="R2127" s="111">
        <f ca="1">IFERROR(__xludf.DUMMYFUNCTION("""COMPUTED_VALUE"""),37.72)</f>
        <v>37.72</v>
      </c>
      <c r="S2127" s="112">
        <f ca="1">IFERROR(__xludf.DUMMYFUNCTION("""COMPUTED_VALUE"""),43399.7055555555)</f>
        <v>43399.705555555498</v>
      </c>
      <c r="T2127" s="111">
        <f ca="1">IFERROR(__xludf.DUMMYFUNCTION("""COMPUTED_VALUE"""),30.5)</f>
        <v>30.5</v>
      </c>
    </row>
    <row r="2128" spans="1:20" x14ac:dyDescent="0.3">
      <c r="A2128" s="112">
        <f ca="1">IFERROR(__xludf.DUMMYFUNCTION("""COMPUTED_VALUE"""),43397.7055555555)</f>
        <v>43397.705555555498</v>
      </c>
      <c r="B2128" s="111">
        <f ca="1">IFERROR(__xludf.DUMMYFUNCTION("""COMPUTED_VALUE"""),20.99)</f>
        <v>20.99</v>
      </c>
      <c r="C2128" s="112">
        <f ca="1">IFERROR(__xludf.DUMMYFUNCTION("""COMPUTED_VALUE"""),43405.7055555555)</f>
        <v>43405.705555555498</v>
      </c>
      <c r="D2128" s="111">
        <f ca="1">IFERROR(__xludf.DUMMYFUNCTION("""COMPUTED_VALUE"""),33.29)</f>
        <v>33.29</v>
      </c>
      <c r="E2128" s="112">
        <f ca="1">IFERROR(__xludf.DUMMYFUNCTION("""COMPUTED_VALUE"""),43409.7055555555)</f>
        <v>43409.705555555498</v>
      </c>
      <c r="F2128" s="111">
        <f ca="1">IFERROR(__xludf.DUMMYFUNCTION("""COMPUTED_VALUE"""),10.95)</f>
        <v>10.95</v>
      </c>
      <c r="G2128" s="112">
        <f ca="1">IFERROR(__xludf.DUMMYFUNCTION("""COMPUTED_VALUE"""),43404.7055555555)</f>
        <v>43404.705555555498</v>
      </c>
      <c r="H2128" s="111">
        <f ca="1">IFERROR(__xludf.DUMMYFUNCTION("""COMPUTED_VALUE"""),27.62)</f>
        <v>27.62</v>
      </c>
      <c r="K2128" s="112">
        <f ca="1">IFERROR(__xludf.DUMMYFUNCTION("""COMPUTED_VALUE"""),43859.7055555555)</f>
        <v>43859.705555555498</v>
      </c>
      <c r="L2128" s="111">
        <f ca="1">IFERROR(__xludf.DUMMYFUNCTION("""COMPUTED_VALUE"""),14.33)</f>
        <v>14.33</v>
      </c>
      <c r="M2128" s="112">
        <f ca="1">IFERROR(__xludf.DUMMYFUNCTION("""COMPUTED_VALUE"""),43314.7055555555)</f>
        <v>43314.705555555498</v>
      </c>
      <c r="N2128" s="111">
        <f ca="1">IFERROR(__xludf.DUMMYFUNCTION("""COMPUTED_VALUE"""),21.29)</f>
        <v>21.29</v>
      </c>
      <c r="O2128" s="112">
        <f ca="1">IFERROR(__xludf.DUMMYFUNCTION("""COMPUTED_VALUE"""),43390.7055555555)</f>
        <v>43390.705555555498</v>
      </c>
      <c r="P2128" s="111">
        <f ca="1">IFERROR(__xludf.DUMMYFUNCTION("""COMPUTED_VALUE"""),58.8)</f>
        <v>58.8</v>
      </c>
      <c r="Q2128" s="112">
        <f ca="1">IFERROR(__xludf.DUMMYFUNCTION("""COMPUTED_VALUE"""),43389.7055555555)</f>
        <v>43389.705555555498</v>
      </c>
      <c r="R2128" s="111">
        <f ca="1">IFERROR(__xludf.DUMMYFUNCTION("""COMPUTED_VALUE"""),39.37)</f>
        <v>39.369999999999997</v>
      </c>
      <c r="S2128" s="112">
        <f ca="1">IFERROR(__xludf.DUMMYFUNCTION("""COMPUTED_VALUE"""),43402.7055555555)</f>
        <v>43402.705555555498</v>
      </c>
      <c r="T2128" s="111">
        <f ca="1">IFERROR(__xludf.DUMMYFUNCTION("""COMPUTED_VALUE"""),29.11)</f>
        <v>29.11</v>
      </c>
    </row>
    <row r="2129" spans="1:20" x14ac:dyDescent="0.3">
      <c r="A2129" s="112">
        <f ca="1">IFERROR(__xludf.DUMMYFUNCTION("""COMPUTED_VALUE"""),43398.7055555555)</f>
        <v>43398.705555555498</v>
      </c>
      <c r="B2129" s="111">
        <f ca="1">IFERROR(__xludf.DUMMYFUNCTION("""COMPUTED_VALUE"""),21.8)</f>
        <v>21.8</v>
      </c>
      <c r="C2129" s="112">
        <f ca="1">IFERROR(__xludf.DUMMYFUNCTION("""COMPUTED_VALUE"""),43409.7055555555)</f>
        <v>43409.705555555498</v>
      </c>
      <c r="D2129" s="111">
        <f ca="1">IFERROR(__xludf.DUMMYFUNCTION("""COMPUTED_VALUE"""),33.65)</f>
        <v>33.65</v>
      </c>
      <c r="E2129" s="112">
        <f ca="1">IFERROR(__xludf.DUMMYFUNCTION("""COMPUTED_VALUE"""),43410.7055555555)</f>
        <v>43410.705555555498</v>
      </c>
      <c r="F2129" s="111">
        <f ca="1">IFERROR(__xludf.DUMMYFUNCTION("""COMPUTED_VALUE"""),11)</f>
        <v>11</v>
      </c>
      <c r="G2129" s="112">
        <f ca="1">IFERROR(__xludf.DUMMYFUNCTION("""COMPUTED_VALUE"""),43405.7055555555)</f>
        <v>43405.705555555498</v>
      </c>
      <c r="H2129" s="111">
        <f ca="1">IFERROR(__xludf.DUMMYFUNCTION("""COMPUTED_VALUE"""),27.32)</f>
        <v>27.32</v>
      </c>
      <c r="K2129" s="112">
        <f ca="1">IFERROR(__xludf.DUMMYFUNCTION("""COMPUTED_VALUE"""),43860.7055555555)</f>
        <v>43860.705555555498</v>
      </c>
      <c r="L2129" s="111">
        <f ca="1">IFERROR(__xludf.DUMMYFUNCTION("""COMPUTED_VALUE"""),14.13)</f>
        <v>14.13</v>
      </c>
      <c r="M2129" s="112">
        <f ca="1">IFERROR(__xludf.DUMMYFUNCTION("""COMPUTED_VALUE"""),43315.7055555555)</f>
        <v>43315.705555555498</v>
      </c>
      <c r="N2129" s="111">
        <f ca="1">IFERROR(__xludf.DUMMYFUNCTION("""COMPUTED_VALUE"""),22.11)</f>
        <v>22.11</v>
      </c>
      <c r="O2129" s="112">
        <f ca="1">IFERROR(__xludf.DUMMYFUNCTION("""COMPUTED_VALUE"""),43391.7055555555)</f>
        <v>43391.705555555498</v>
      </c>
      <c r="P2129" s="111">
        <f ca="1">IFERROR(__xludf.DUMMYFUNCTION("""COMPUTED_VALUE"""),56.5)</f>
        <v>56.5</v>
      </c>
      <c r="Q2129" s="112">
        <f ca="1">IFERROR(__xludf.DUMMYFUNCTION("""COMPUTED_VALUE"""),43390.7055555555)</f>
        <v>43390.705555555498</v>
      </c>
      <c r="R2129" s="111">
        <f ca="1">IFERROR(__xludf.DUMMYFUNCTION("""COMPUTED_VALUE"""),39.71)</f>
        <v>39.71</v>
      </c>
      <c r="S2129" s="112">
        <f ca="1">IFERROR(__xludf.DUMMYFUNCTION("""COMPUTED_VALUE"""),43403.7055555555)</f>
        <v>43403.705555555498</v>
      </c>
      <c r="T2129" s="111">
        <f ca="1">IFERROR(__xludf.DUMMYFUNCTION("""COMPUTED_VALUE"""),31.58)</f>
        <v>31.58</v>
      </c>
    </row>
    <row r="2130" spans="1:20" x14ac:dyDescent="0.3">
      <c r="A2130" s="112">
        <f ca="1">IFERROR(__xludf.DUMMYFUNCTION("""COMPUTED_VALUE"""),43399.7055555555)</f>
        <v>43399.705555555498</v>
      </c>
      <c r="B2130" s="111">
        <f ca="1">IFERROR(__xludf.DUMMYFUNCTION("""COMPUTED_VALUE"""),23.06)</f>
        <v>23.06</v>
      </c>
      <c r="C2130" s="112">
        <f ca="1">IFERROR(__xludf.DUMMYFUNCTION("""COMPUTED_VALUE"""),43410.7055555555)</f>
        <v>43410.705555555498</v>
      </c>
      <c r="D2130" s="111">
        <f ca="1">IFERROR(__xludf.DUMMYFUNCTION("""COMPUTED_VALUE"""),33.87)</f>
        <v>33.869999999999997</v>
      </c>
      <c r="E2130" s="112">
        <f ca="1">IFERROR(__xludf.DUMMYFUNCTION("""COMPUTED_VALUE"""),43411.7055555555)</f>
        <v>43411.705555555498</v>
      </c>
      <c r="F2130" s="111">
        <f ca="1">IFERROR(__xludf.DUMMYFUNCTION("""COMPUTED_VALUE"""),11.05)</f>
        <v>11.05</v>
      </c>
      <c r="G2130" s="112">
        <f ca="1">IFERROR(__xludf.DUMMYFUNCTION("""COMPUTED_VALUE"""),43409.7055555555)</f>
        <v>43409.705555555498</v>
      </c>
      <c r="H2130" s="111">
        <f ca="1">IFERROR(__xludf.DUMMYFUNCTION("""COMPUTED_VALUE"""),28.16)</f>
        <v>28.16</v>
      </c>
      <c r="K2130" s="112">
        <f ca="1">IFERROR(__xludf.DUMMYFUNCTION("""COMPUTED_VALUE"""),43861.7055555555)</f>
        <v>43861.705555555498</v>
      </c>
      <c r="L2130" s="111">
        <f ca="1">IFERROR(__xludf.DUMMYFUNCTION("""COMPUTED_VALUE"""),13.95)</f>
        <v>13.95</v>
      </c>
      <c r="M2130" s="112">
        <f ca="1">IFERROR(__xludf.DUMMYFUNCTION("""COMPUTED_VALUE"""),43318.7055555555)</f>
        <v>43318.705555555498</v>
      </c>
      <c r="N2130" s="111">
        <f ca="1">IFERROR(__xludf.DUMMYFUNCTION("""COMPUTED_VALUE"""),21.96)</f>
        <v>21.96</v>
      </c>
      <c r="O2130" s="112">
        <f ca="1">IFERROR(__xludf.DUMMYFUNCTION("""COMPUTED_VALUE"""),43392.7055555555)</f>
        <v>43392.705555555498</v>
      </c>
      <c r="P2130" s="111">
        <f ca="1">IFERROR(__xludf.DUMMYFUNCTION("""COMPUTED_VALUE"""),56.53)</f>
        <v>56.53</v>
      </c>
      <c r="Q2130" s="112">
        <f ca="1">IFERROR(__xludf.DUMMYFUNCTION("""COMPUTED_VALUE"""),43391.7055555555)</f>
        <v>43391.705555555498</v>
      </c>
      <c r="R2130" s="111">
        <f ca="1">IFERROR(__xludf.DUMMYFUNCTION("""COMPUTED_VALUE"""),39.25)</f>
        <v>39.25</v>
      </c>
      <c r="S2130" s="112">
        <f ca="1">IFERROR(__xludf.DUMMYFUNCTION("""COMPUTED_VALUE"""),43404.7055555555)</f>
        <v>43404.705555555498</v>
      </c>
      <c r="T2130" s="111">
        <f ca="1">IFERROR(__xludf.DUMMYFUNCTION("""COMPUTED_VALUE"""),31.07)</f>
        <v>31.07</v>
      </c>
    </row>
    <row r="2131" spans="1:20" x14ac:dyDescent="0.3">
      <c r="A2131" s="112">
        <f ca="1">IFERROR(__xludf.DUMMYFUNCTION("""COMPUTED_VALUE"""),43402.7055555555)</f>
        <v>43402.705555555498</v>
      </c>
      <c r="B2131" s="111">
        <f ca="1">IFERROR(__xludf.DUMMYFUNCTION("""COMPUTED_VALUE"""),21.79)</f>
        <v>21.79</v>
      </c>
      <c r="C2131" s="112">
        <f ca="1">IFERROR(__xludf.DUMMYFUNCTION("""COMPUTED_VALUE"""),43411.7055555555)</f>
        <v>43411.705555555498</v>
      </c>
      <c r="D2131" s="111">
        <f ca="1">IFERROR(__xludf.DUMMYFUNCTION("""COMPUTED_VALUE"""),33.9)</f>
        <v>33.9</v>
      </c>
      <c r="E2131" s="112">
        <f ca="1">IFERROR(__xludf.DUMMYFUNCTION("""COMPUTED_VALUE"""),43412.7055555555)</f>
        <v>43412.705555555498</v>
      </c>
      <c r="F2131" s="111">
        <f ca="1">IFERROR(__xludf.DUMMYFUNCTION("""COMPUTED_VALUE"""),10.76)</f>
        <v>10.76</v>
      </c>
      <c r="G2131" s="112">
        <f ca="1">IFERROR(__xludf.DUMMYFUNCTION("""COMPUTED_VALUE"""),43410.7055555555)</f>
        <v>43410.705555555498</v>
      </c>
      <c r="H2131" s="111">
        <f ca="1">IFERROR(__xludf.DUMMYFUNCTION("""COMPUTED_VALUE"""),27.19)</f>
        <v>27.19</v>
      </c>
      <c r="K2131" s="112">
        <f ca="1">IFERROR(__xludf.DUMMYFUNCTION("""COMPUTED_VALUE"""),43864.7055555555)</f>
        <v>43864.705555555498</v>
      </c>
      <c r="L2131" s="111">
        <f ca="1">IFERROR(__xludf.DUMMYFUNCTION("""COMPUTED_VALUE"""),14.14)</f>
        <v>14.14</v>
      </c>
      <c r="M2131" s="112">
        <f ca="1">IFERROR(__xludf.DUMMYFUNCTION("""COMPUTED_VALUE"""),43319.7055555555)</f>
        <v>43319.705555555498</v>
      </c>
      <c r="N2131" s="111">
        <f ca="1">IFERROR(__xludf.DUMMYFUNCTION("""COMPUTED_VALUE"""),21.63)</f>
        <v>21.63</v>
      </c>
      <c r="O2131" s="112">
        <f ca="1">IFERROR(__xludf.DUMMYFUNCTION("""COMPUTED_VALUE"""),43395.7055555555)</f>
        <v>43395.705555555498</v>
      </c>
      <c r="P2131" s="111">
        <f ca="1">IFERROR(__xludf.DUMMYFUNCTION("""COMPUTED_VALUE"""),58.37)</f>
        <v>58.37</v>
      </c>
      <c r="Q2131" s="112">
        <f ca="1">IFERROR(__xludf.DUMMYFUNCTION("""COMPUTED_VALUE"""),43392.7055555555)</f>
        <v>43392.705555555498</v>
      </c>
      <c r="R2131" s="111">
        <f ca="1">IFERROR(__xludf.DUMMYFUNCTION("""COMPUTED_VALUE"""),39.58)</f>
        <v>39.58</v>
      </c>
      <c r="S2131" s="112">
        <f ca="1">IFERROR(__xludf.DUMMYFUNCTION("""COMPUTED_VALUE"""),43405.7055555555)</f>
        <v>43405.705555555498</v>
      </c>
      <c r="T2131" s="111">
        <f ca="1">IFERROR(__xludf.DUMMYFUNCTION("""COMPUTED_VALUE"""),31.43)</f>
        <v>31.43</v>
      </c>
    </row>
    <row r="2132" spans="1:20" x14ac:dyDescent="0.3">
      <c r="A2132" s="112">
        <f ca="1">IFERROR(__xludf.DUMMYFUNCTION("""COMPUTED_VALUE"""),43403.7055555555)</f>
        <v>43403.705555555498</v>
      </c>
      <c r="B2132" s="111">
        <f ca="1">IFERROR(__xludf.DUMMYFUNCTION("""COMPUTED_VALUE"""),23.04)</f>
        <v>23.04</v>
      </c>
      <c r="C2132" s="112">
        <f ca="1">IFERROR(__xludf.DUMMYFUNCTION("""COMPUTED_VALUE"""),43412.7055555555)</f>
        <v>43412.705555555498</v>
      </c>
      <c r="D2132" s="111">
        <f ca="1">IFERROR(__xludf.DUMMYFUNCTION("""COMPUTED_VALUE"""),33.43)</f>
        <v>33.43</v>
      </c>
      <c r="E2132" s="112">
        <f ca="1">IFERROR(__xludf.DUMMYFUNCTION("""COMPUTED_VALUE"""),43413.7055555555)</f>
        <v>43413.705555555498</v>
      </c>
      <c r="F2132" s="111">
        <f ca="1">IFERROR(__xludf.DUMMYFUNCTION("""COMPUTED_VALUE"""),11)</f>
        <v>11</v>
      </c>
      <c r="G2132" s="112">
        <f ca="1">IFERROR(__xludf.DUMMYFUNCTION("""COMPUTED_VALUE"""),43411.7055555555)</f>
        <v>43411.705555555498</v>
      </c>
      <c r="H2132" s="111">
        <f ca="1">IFERROR(__xludf.DUMMYFUNCTION("""COMPUTED_VALUE"""),26.3)</f>
        <v>26.3</v>
      </c>
      <c r="K2132" s="112">
        <f ca="1">IFERROR(__xludf.DUMMYFUNCTION("""COMPUTED_VALUE"""),43865.7055555555)</f>
        <v>43865.705555555498</v>
      </c>
      <c r="L2132" s="111">
        <f ca="1">IFERROR(__xludf.DUMMYFUNCTION("""COMPUTED_VALUE"""),14.42)</f>
        <v>14.42</v>
      </c>
      <c r="M2132" s="112">
        <f ca="1">IFERROR(__xludf.DUMMYFUNCTION("""COMPUTED_VALUE"""),43320.7055555555)</f>
        <v>43320.705555555498</v>
      </c>
      <c r="N2132" s="111">
        <f ca="1">IFERROR(__xludf.DUMMYFUNCTION("""COMPUTED_VALUE"""),21.11)</f>
        <v>21.11</v>
      </c>
      <c r="O2132" s="112">
        <f ca="1">IFERROR(__xludf.DUMMYFUNCTION("""COMPUTED_VALUE"""),43396.7055555555)</f>
        <v>43396.705555555498</v>
      </c>
      <c r="P2132" s="111">
        <f ca="1">IFERROR(__xludf.DUMMYFUNCTION("""COMPUTED_VALUE"""),56.75)</f>
        <v>56.75</v>
      </c>
      <c r="Q2132" s="112">
        <f ca="1">IFERROR(__xludf.DUMMYFUNCTION("""COMPUTED_VALUE"""),43395.7055555555)</f>
        <v>43395.705555555498</v>
      </c>
      <c r="R2132" s="111">
        <f ca="1">IFERROR(__xludf.DUMMYFUNCTION("""COMPUTED_VALUE"""),39.85)</f>
        <v>39.85</v>
      </c>
      <c r="S2132" s="112">
        <f ca="1">IFERROR(__xludf.DUMMYFUNCTION("""COMPUTED_VALUE"""),43409.7055555555)</f>
        <v>43409.705555555498</v>
      </c>
      <c r="T2132" s="111">
        <f ca="1">IFERROR(__xludf.DUMMYFUNCTION("""COMPUTED_VALUE"""),30.95)</f>
        <v>30.95</v>
      </c>
    </row>
    <row r="2133" spans="1:20" x14ac:dyDescent="0.3">
      <c r="A2133" s="112">
        <f ca="1">IFERROR(__xludf.DUMMYFUNCTION("""COMPUTED_VALUE"""),43404.7055555555)</f>
        <v>43404.705555555498</v>
      </c>
      <c r="B2133" s="111">
        <f ca="1">IFERROR(__xludf.DUMMYFUNCTION("""COMPUTED_VALUE"""),23.24)</f>
        <v>23.24</v>
      </c>
      <c r="C2133" s="112">
        <f ca="1">IFERROR(__xludf.DUMMYFUNCTION("""COMPUTED_VALUE"""),43413.7055555555)</f>
        <v>43413.705555555498</v>
      </c>
      <c r="D2133" s="111">
        <f ca="1">IFERROR(__xludf.DUMMYFUNCTION("""COMPUTED_VALUE"""),33.85)</f>
        <v>33.85</v>
      </c>
      <c r="E2133" s="112">
        <f ca="1">IFERROR(__xludf.DUMMYFUNCTION("""COMPUTED_VALUE"""),43416.7055555555)</f>
        <v>43416.705555555498</v>
      </c>
      <c r="F2133" s="111">
        <f ca="1">IFERROR(__xludf.DUMMYFUNCTION("""COMPUTED_VALUE"""),10.9)</f>
        <v>10.9</v>
      </c>
      <c r="G2133" s="112">
        <f ca="1">IFERROR(__xludf.DUMMYFUNCTION("""COMPUTED_VALUE"""),43412.7055555555)</f>
        <v>43412.705555555498</v>
      </c>
      <c r="H2133" s="111">
        <f ca="1">IFERROR(__xludf.DUMMYFUNCTION("""COMPUTED_VALUE"""),25.35)</f>
        <v>25.35</v>
      </c>
      <c r="K2133" s="112">
        <f ca="1">IFERROR(__xludf.DUMMYFUNCTION("""COMPUTED_VALUE"""),43866.7055555555)</f>
        <v>43866.705555555498</v>
      </c>
      <c r="L2133" s="111">
        <f ca="1">IFERROR(__xludf.DUMMYFUNCTION("""COMPUTED_VALUE"""),14.33)</f>
        <v>14.33</v>
      </c>
      <c r="M2133" s="112">
        <f ca="1">IFERROR(__xludf.DUMMYFUNCTION("""COMPUTED_VALUE"""),43321.7055555555)</f>
        <v>43321.705555555498</v>
      </c>
      <c r="N2133" s="111">
        <f ca="1">IFERROR(__xludf.DUMMYFUNCTION("""COMPUTED_VALUE"""),20.89)</f>
        <v>20.89</v>
      </c>
      <c r="O2133" s="112">
        <f ca="1">IFERROR(__xludf.DUMMYFUNCTION("""COMPUTED_VALUE"""),43397.7055555555)</f>
        <v>43397.705555555498</v>
      </c>
      <c r="P2133" s="111">
        <f ca="1">IFERROR(__xludf.DUMMYFUNCTION("""COMPUTED_VALUE"""),54.43)</f>
        <v>54.43</v>
      </c>
      <c r="Q2133" s="112">
        <f ca="1">IFERROR(__xludf.DUMMYFUNCTION("""COMPUTED_VALUE"""),43396.7055555555)</f>
        <v>43396.705555555498</v>
      </c>
      <c r="R2133" s="111">
        <f ca="1">IFERROR(__xludf.DUMMYFUNCTION("""COMPUTED_VALUE"""),39.99)</f>
        <v>39.99</v>
      </c>
      <c r="S2133" s="112">
        <f ca="1">IFERROR(__xludf.DUMMYFUNCTION("""COMPUTED_VALUE"""),43410.7055555555)</f>
        <v>43410.705555555498</v>
      </c>
      <c r="T2133" s="111">
        <f ca="1">IFERROR(__xludf.DUMMYFUNCTION("""COMPUTED_VALUE"""),30.79)</f>
        <v>30.79</v>
      </c>
    </row>
    <row r="2134" spans="1:20" x14ac:dyDescent="0.3">
      <c r="A2134" s="112">
        <f ca="1">IFERROR(__xludf.DUMMYFUNCTION("""COMPUTED_VALUE"""),43405.7055555555)</f>
        <v>43405.705555555498</v>
      </c>
      <c r="B2134" s="111">
        <f ca="1">IFERROR(__xludf.DUMMYFUNCTION("""COMPUTED_VALUE"""),23.73)</f>
        <v>23.73</v>
      </c>
      <c r="C2134" s="112">
        <f ca="1">IFERROR(__xludf.DUMMYFUNCTION("""COMPUTED_VALUE"""),43416.7055555555)</f>
        <v>43416.705555555498</v>
      </c>
      <c r="D2134" s="111">
        <f ca="1">IFERROR(__xludf.DUMMYFUNCTION("""COMPUTED_VALUE"""),33.95)</f>
        <v>33.950000000000003</v>
      </c>
      <c r="E2134" s="112">
        <f ca="1">IFERROR(__xludf.DUMMYFUNCTION("""COMPUTED_VALUE"""),43417.7055555555)</f>
        <v>43417.705555555498</v>
      </c>
      <c r="F2134" s="111">
        <f ca="1">IFERROR(__xludf.DUMMYFUNCTION("""COMPUTED_VALUE"""),10.82)</f>
        <v>10.82</v>
      </c>
      <c r="G2134" s="112">
        <f ca="1">IFERROR(__xludf.DUMMYFUNCTION("""COMPUTED_VALUE"""),43413.7055555555)</f>
        <v>43413.705555555498</v>
      </c>
      <c r="H2134" s="111">
        <f ca="1">IFERROR(__xludf.DUMMYFUNCTION("""COMPUTED_VALUE"""),25.46)</f>
        <v>25.46</v>
      </c>
      <c r="K2134" s="112">
        <f ca="1">IFERROR(__xludf.DUMMYFUNCTION("""COMPUTED_VALUE"""),43867.7055555555)</f>
        <v>43867.705555555498</v>
      </c>
      <c r="L2134" s="111">
        <f ca="1">IFERROR(__xludf.DUMMYFUNCTION("""COMPUTED_VALUE"""),13.96)</f>
        <v>13.96</v>
      </c>
      <c r="M2134" s="112">
        <f ca="1">IFERROR(__xludf.DUMMYFUNCTION("""COMPUTED_VALUE"""),43322.7055555555)</f>
        <v>43322.705555555498</v>
      </c>
      <c r="N2134" s="111">
        <f ca="1">IFERROR(__xludf.DUMMYFUNCTION("""COMPUTED_VALUE"""),19.85)</f>
        <v>19.850000000000001</v>
      </c>
      <c r="O2134" s="112">
        <f ca="1">IFERROR(__xludf.DUMMYFUNCTION("""COMPUTED_VALUE"""),43398.7055555555)</f>
        <v>43398.705555555498</v>
      </c>
      <c r="P2134" s="111">
        <f ca="1">IFERROR(__xludf.DUMMYFUNCTION("""COMPUTED_VALUE"""),54.61)</f>
        <v>54.61</v>
      </c>
      <c r="Q2134" s="112">
        <f ca="1">IFERROR(__xludf.DUMMYFUNCTION("""COMPUTED_VALUE"""),43397.7055555555)</f>
        <v>43397.705555555498</v>
      </c>
      <c r="R2134" s="111">
        <f ca="1">IFERROR(__xludf.DUMMYFUNCTION("""COMPUTED_VALUE"""),39.1)</f>
        <v>39.1</v>
      </c>
      <c r="S2134" s="112">
        <f ca="1">IFERROR(__xludf.DUMMYFUNCTION("""COMPUTED_VALUE"""),43411.7055555555)</f>
        <v>43411.705555555498</v>
      </c>
      <c r="T2134" s="111">
        <f ca="1">IFERROR(__xludf.DUMMYFUNCTION("""COMPUTED_VALUE"""),30.55)</f>
        <v>30.55</v>
      </c>
    </row>
    <row r="2135" spans="1:20" x14ac:dyDescent="0.3">
      <c r="A2135" s="112">
        <f ca="1">IFERROR(__xludf.DUMMYFUNCTION("""COMPUTED_VALUE"""),43409.7055555555)</f>
        <v>43409.705555555498</v>
      </c>
      <c r="B2135" s="111">
        <f ca="1">IFERROR(__xludf.DUMMYFUNCTION("""COMPUTED_VALUE"""),24.45)</f>
        <v>24.45</v>
      </c>
      <c r="C2135" s="112">
        <f ca="1">IFERROR(__xludf.DUMMYFUNCTION("""COMPUTED_VALUE"""),43417.7055555555)</f>
        <v>43417.705555555498</v>
      </c>
      <c r="D2135" s="111">
        <f ca="1">IFERROR(__xludf.DUMMYFUNCTION("""COMPUTED_VALUE"""),33.82)</f>
        <v>33.82</v>
      </c>
      <c r="E2135" s="112">
        <f ca="1">IFERROR(__xludf.DUMMYFUNCTION("""COMPUTED_VALUE"""),43418.7055555555)</f>
        <v>43418.705555555498</v>
      </c>
      <c r="F2135" s="111">
        <f ca="1">IFERROR(__xludf.DUMMYFUNCTION("""COMPUTED_VALUE"""),11)</f>
        <v>11</v>
      </c>
      <c r="G2135" s="112">
        <f ca="1">IFERROR(__xludf.DUMMYFUNCTION("""COMPUTED_VALUE"""),43416.7055555555)</f>
        <v>43416.705555555498</v>
      </c>
      <c r="H2135" s="111">
        <f ca="1">IFERROR(__xludf.DUMMYFUNCTION("""COMPUTED_VALUE"""),25.33)</f>
        <v>25.33</v>
      </c>
      <c r="K2135" s="112">
        <f ca="1">IFERROR(__xludf.DUMMYFUNCTION("""COMPUTED_VALUE"""),43868.7055555555)</f>
        <v>43868.705555555498</v>
      </c>
      <c r="L2135" s="111">
        <f ca="1">IFERROR(__xludf.DUMMYFUNCTION("""COMPUTED_VALUE"""),13.56)</f>
        <v>13.56</v>
      </c>
      <c r="M2135" s="112">
        <f ca="1">IFERROR(__xludf.DUMMYFUNCTION("""COMPUTED_VALUE"""),43325.7055555555)</f>
        <v>43325.705555555498</v>
      </c>
      <c r="N2135" s="111">
        <f ca="1">IFERROR(__xludf.DUMMYFUNCTION("""COMPUTED_VALUE"""),20.23)</f>
        <v>20.23</v>
      </c>
      <c r="O2135" s="112">
        <f ca="1">IFERROR(__xludf.DUMMYFUNCTION("""COMPUTED_VALUE"""),43399.7055555555)</f>
        <v>43399.705555555498</v>
      </c>
      <c r="P2135" s="111">
        <f ca="1">IFERROR(__xludf.DUMMYFUNCTION("""COMPUTED_VALUE"""),55.6)</f>
        <v>55.6</v>
      </c>
      <c r="Q2135" s="112">
        <f ca="1">IFERROR(__xludf.DUMMYFUNCTION("""COMPUTED_VALUE"""),43398.7055555555)</f>
        <v>43398.705555555498</v>
      </c>
      <c r="R2135" s="111">
        <f ca="1">IFERROR(__xludf.DUMMYFUNCTION("""COMPUTED_VALUE"""),40.1)</f>
        <v>40.1</v>
      </c>
      <c r="S2135" s="112">
        <f ca="1">IFERROR(__xludf.DUMMYFUNCTION("""COMPUTED_VALUE"""),43412.7055555555)</f>
        <v>43412.705555555498</v>
      </c>
      <c r="T2135" s="111">
        <f ca="1">IFERROR(__xludf.DUMMYFUNCTION("""COMPUTED_VALUE"""),29.93)</f>
        <v>29.93</v>
      </c>
    </row>
    <row r="2136" spans="1:20" x14ac:dyDescent="0.3">
      <c r="A2136" s="112">
        <f ca="1">IFERROR(__xludf.DUMMYFUNCTION("""COMPUTED_VALUE"""),43410.7055555555)</f>
        <v>43410.705555555498</v>
      </c>
      <c r="B2136" s="111">
        <f ca="1">IFERROR(__xludf.DUMMYFUNCTION("""COMPUTED_VALUE"""),23.78)</f>
        <v>23.78</v>
      </c>
      <c r="C2136" s="112">
        <f ca="1">IFERROR(__xludf.DUMMYFUNCTION("""COMPUTED_VALUE"""),43418.7055555555)</f>
        <v>43418.705555555498</v>
      </c>
      <c r="D2136" s="111">
        <f ca="1">IFERROR(__xludf.DUMMYFUNCTION("""COMPUTED_VALUE"""),34.11)</f>
        <v>34.11</v>
      </c>
      <c r="E2136" s="112">
        <f ca="1">IFERROR(__xludf.DUMMYFUNCTION("""COMPUTED_VALUE"""),43420.7055555555)</f>
        <v>43420.705555555498</v>
      </c>
      <c r="F2136" s="111">
        <f ca="1">IFERROR(__xludf.DUMMYFUNCTION("""COMPUTED_VALUE"""),11.42)</f>
        <v>11.42</v>
      </c>
      <c r="G2136" s="112">
        <f ca="1">IFERROR(__xludf.DUMMYFUNCTION("""COMPUTED_VALUE"""),43417.7055555555)</f>
        <v>43417.705555555498</v>
      </c>
      <c r="H2136" s="111">
        <f ca="1">IFERROR(__xludf.DUMMYFUNCTION("""COMPUTED_VALUE"""),24.24)</f>
        <v>24.24</v>
      </c>
      <c r="K2136" s="112">
        <f ca="1">IFERROR(__xludf.DUMMYFUNCTION("""COMPUTED_VALUE"""),43871.7055555555)</f>
        <v>43871.705555555498</v>
      </c>
      <c r="L2136" s="111">
        <f ca="1">IFERROR(__xludf.DUMMYFUNCTION("""COMPUTED_VALUE"""),13.1)</f>
        <v>13.1</v>
      </c>
      <c r="M2136" s="112">
        <f ca="1">IFERROR(__xludf.DUMMYFUNCTION("""COMPUTED_VALUE"""),43326.7055555555)</f>
        <v>43326.705555555498</v>
      </c>
      <c r="N2136" s="111">
        <f ca="1">IFERROR(__xludf.DUMMYFUNCTION("""COMPUTED_VALUE"""),20.58)</f>
        <v>20.58</v>
      </c>
      <c r="O2136" s="112">
        <f ca="1">IFERROR(__xludf.DUMMYFUNCTION("""COMPUTED_VALUE"""),43402.7055555555)</f>
        <v>43402.705555555498</v>
      </c>
      <c r="P2136" s="111">
        <f ca="1">IFERROR(__xludf.DUMMYFUNCTION("""COMPUTED_VALUE"""),53.1)</f>
        <v>53.1</v>
      </c>
      <c r="Q2136" s="112">
        <f ca="1">IFERROR(__xludf.DUMMYFUNCTION("""COMPUTED_VALUE"""),43399.7055555555)</f>
        <v>43399.705555555498</v>
      </c>
      <c r="R2136" s="111">
        <f ca="1">IFERROR(__xludf.DUMMYFUNCTION("""COMPUTED_VALUE"""),42.42)</f>
        <v>42.42</v>
      </c>
      <c r="S2136" s="112">
        <f ca="1">IFERROR(__xludf.DUMMYFUNCTION("""COMPUTED_VALUE"""),43413.7055555555)</f>
        <v>43413.705555555498</v>
      </c>
      <c r="T2136" s="111">
        <f ca="1">IFERROR(__xludf.DUMMYFUNCTION("""COMPUTED_VALUE"""),30.4)</f>
        <v>30.4</v>
      </c>
    </row>
    <row r="2137" spans="1:20" x14ac:dyDescent="0.3">
      <c r="A2137" s="112">
        <f ca="1">IFERROR(__xludf.DUMMYFUNCTION("""COMPUTED_VALUE"""),43411.7055555555)</f>
        <v>43411.705555555498</v>
      </c>
      <c r="B2137" s="111">
        <f ca="1">IFERROR(__xludf.DUMMYFUNCTION("""COMPUTED_VALUE"""),22.77)</f>
        <v>22.77</v>
      </c>
      <c r="C2137" s="112">
        <f ca="1">IFERROR(__xludf.DUMMYFUNCTION("""COMPUTED_VALUE"""),43420.7055555555)</f>
        <v>43420.705555555498</v>
      </c>
      <c r="D2137" s="111">
        <f ca="1">IFERROR(__xludf.DUMMYFUNCTION("""COMPUTED_VALUE"""),35.17)</f>
        <v>35.17</v>
      </c>
      <c r="E2137" s="112">
        <f ca="1">IFERROR(__xludf.DUMMYFUNCTION("""COMPUTED_VALUE"""),43423.7055555555)</f>
        <v>43423.705555555498</v>
      </c>
      <c r="F2137" s="111">
        <f ca="1">IFERROR(__xludf.DUMMYFUNCTION("""COMPUTED_VALUE"""),11.5)</f>
        <v>11.5</v>
      </c>
      <c r="G2137" s="112">
        <f ca="1">IFERROR(__xludf.DUMMYFUNCTION("""COMPUTED_VALUE"""),43418.7055555555)</f>
        <v>43418.705555555498</v>
      </c>
      <c r="H2137" s="111">
        <f ca="1">IFERROR(__xludf.DUMMYFUNCTION("""COMPUTED_VALUE"""),25.1)</f>
        <v>25.1</v>
      </c>
      <c r="K2137" s="112">
        <f ca="1">IFERROR(__xludf.DUMMYFUNCTION("""COMPUTED_VALUE"""),43872.7055555555)</f>
        <v>43872.705555555498</v>
      </c>
      <c r="L2137" s="111">
        <f ca="1">IFERROR(__xludf.DUMMYFUNCTION("""COMPUTED_VALUE"""),13.57)</f>
        <v>13.57</v>
      </c>
      <c r="M2137" s="112">
        <f ca="1">IFERROR(__xludf.DUMMYFUNCTION("""COMPUTED_VALUE"""),43327.7055555555)</f>
        <v>43327.705555555498</v>
      </c>
      <c r="N2137" s="111">
        <f ca="1">IFERROR(__xludf.DUMMYFUNCTION("""COMPUTED_VALUE"""),20.33)</f>
        <v>20.329999999999998</v>
      </c>
      <c r="O2137" s="112">
        <f ca="1">IFERROR(__xludf.DUMMYFUNCTION("""COMPUTED_VALUE"""),43403.7055555555)</f>
        <v>43403.705555555498</v>
      </c>
      <c r="P2137" s="111">
        <f ca="1">IFERROR(__xludf.DUMMYFUNCTION("""COMPUTED_VALUE"""),53.87)</f>
        <v>53.87</v>
      </c>
      <c r="Q2137" s="112">
        <f ca="1">IFERROR(__xludf.DUMMYFUNCTION("""COMPUTED_VALUE"""),43402.7055555555)</f>
        <v>43402.705555555498</v>
      </c>
      <c r="R2137" s="111">
        <f ca="1">IFERROR(__xludf.DUMMYFUNCTION("""COMPUTED_VALUE"""),41.87)</f>
        <v>41.87</v>
      </c>
      <c r="S2137" s="112">
        <f ca="1">IFERROR(__xludf.DUMMYFUNCTION("""COMPUTED_VALUE"""),43416.7055555555)</f>
        <v>43416.705555555498</v>
      </c>
      <c r="T2137" s="111">
        <f ca="1">IFERROR(__xludf.DUMMYFUNCTION("""COMPUTED_VALUE"""),30.04)</f>
        <v>30.04</v>
      </c>
    </row>
    <row r="2138" spans="1:20" x14ac:dyDescent="0.3">
      <c r="A2138" s="112">
        <f ca="1">IFERROR(__xludf.DUMMYFUNCTION("""COMPUTED_VALUE"""),43412.7055555555)</f>
        <v>43412.705555555498</v>
      </c>
      <c r="B2138" s="111">
        <f ca="1">IFERROR(__xludf.DUMMYFUNCTION("""COMPUTED_VALUE"""),22.23)</f>
        <v>22.23</v>
      </c>
      <c r="C2138" s="112">
        <f ca="1">IFERROR(__xludf.DUMMYFUNCTION("""COMPUTED_VALUE"""),43423.7055555555)</f>
        <v>43423.705555555498</v>
      </c>
      <c r="D2138" s="111">
        <f ca="1">IFERROR(__xludf.DUMMYFUNCTION("""COMPUTED_VALUE"""),35.15)</f>
        <v>35.15</v>
      </c>
      <c r="E2138" s="112">
        <f ca="1">IFERROR(__xludf.DUMMYFUNCTION("""COMPUTED_VALUE"""),43425.7055555555)</f>
        <v>43425.705555555498</v>
      </c>
      <c r="F2138" s="111">
        <f ca="1">IFERROR(__xludf.DUMMYFUNCTION("""COMPUTED_VALUE"""),11.29)</f>
        <v>11.29</v>
      </c>
      <c r="G2138" s="112">
        <f ca="1">IFERROR(__xludf.DUMMYFUNCTION("""COMPUTED_VALUE"""),43420.7055555555)</f>
        <v>43420.705555555498</v>
      </c>
      <c r="H2138" s="111">
        <f ca="1">IFERROR(__xludf.DUMMYFUNCTION("""COMPUTED_VALUE"""),25.8)</f>
        <v>25.8</v>
      </c>
      <c r="K2138" s="112">
        <f ca="1">IFERROR(__xludf.DUMMYFUNCTION("""COMPUTED_VALUE"""),43873.7055555555)</f>
        <v>43873.705555555498</v>
      </c>
      <c r="L2138" s="111">
        <f ca="1">IFERROR(__xludf.DUMMYFUNCTION("""COMPUTED_VALUE"""),13.99)</f>
        <v>13.99</v>
      </c>
      <c r="M2138" s="112">
        <f ca="1">IFERROR(__xludf.DUMMYFUNCTION("""COMPUTED_VALUE"""),43328.7055555555)</f>
        <v>43328.705555555498</v>
      </c>
      <c r="N2138" s="111">
        <f ca="1">IFERROR(__xludf.DUMMYFUNCTION("""COMPUTED_VALUE"""),20.33)</f>
        <v>20.329999999999998</v>
      </c>
      <c r="O2138" s="112">
        <f ca="1">IFERROR(__xludf.DUMMYFUNCTION("""COMPUTED_VALUE"""),43404.7055555555)</f>
        <v>43404.705555555498</v>
      </c>
      <c r="P2138" s="111">
        <f ca="1">IFERROR(__xludf.DUMMYFUNCTION("""COMPUTED_VALUE"""),56.71)</f>
        <v>56.71</v>
      </c>
      <c r="Q2138" s="112">
        <f ca="1">IFERROR(__xludf.DUMMYFUNCTION("""COMPUTED_VALUE"""),43403.7055555555)</f>
        <v>43403.705555555498</v>
      </c>
      <c r="R2138" s="111">
        <f ca="1">IFERROR(__xludf.DUMMYFUNCTION("""COMPUTED_VALUE"""),43.1)</f>
        <v>43.1</v>
      </c>
      <c r="S2138" s="112">
        <f ca="1">IFERROR(__xludf.DUMMYFUNCTION("""COMPUTED_VALUE"""),43417.7055555555)</f>
        <v>43417.705555555498</v>
      </c>
      <c r="T2138" s="111">
        <f ca="1">IFERROR(__xludf.DUMMYFUNCTION("""COMPUTED_VALUE"""),30.83)</f>
        <v>30.83</v>
      </c>
    </row>
    <row r="2139" spans="1:20" x14ac:dyDescent="0.3">
      <c r="A2139" s="112">
        <f ca="1">IFERROR(__xludf.DUMMYFUNCTION("""COMPUTED_VALUE"""),43413.7055555555)</f>
        <v>43413.705555555498</v>
      </c>
      <c r="B2139" s="111">
        <f ca="1">IFERROR(__xludf.DUMMYFUNCTION("""COMPUTED_VALUE"""),23.38)</f>
        <v>23.38</v>
      </c>
      <c r="C2139" s="112">
        <f ca="1">IFERROR(__xludf.DUMMYFUNCTION("""COMPUTED_VALUE"""),43425.7055555555)</f>
        <v>43425.705555555498</v>
      </c>
      <c r="D2139" s="111">
        <f ca="1">IFERROR(__xludf.DUMMYFUNCTION("""COMPUTED_VALUE"""),17.63)</f>
        <v>17.63</v>
      </c>
      <c r="E2139" s="112">
        <f ca="1">IFERROR(__xludf.DUMMYFUNCTION("""COMPUTED_VALUE"""),43426.7055555555)</f>
        <v>43426.705555555498</v>
      </c>
      <c r="F2139" s="111">
        <f ca="1">IFERROR(__xludf.DUMMYFUNCTION("""COMPUTED_VALUE"""),11.28)</f>
        <v>11.28</v>
      </c>
      <c r="G2139" s="112">
        <f ca="1">IFERROR(__xludf.DUMMYFUNCTION("""COMPUTED_VALUE"""),43423.7055555555)</f>
        <v>43423.705555555498</v>
      </c>
      <c r="H2139" s="111">
        <f ca="1">IFERROR(__xludf.DUMMYFUNCTION("""COMPUTED_VALUE"""),26)</f>
        <v>26</v>
      </c>
      <c r="K2139" s="112">
        <f ca="1">IFERROR(__xludf.DUMMYFUNCTION("""COMPUTED_VALUE"""),43874.7055555555)</f>
        <v>43874.705555555498</v>
      </c>
      <c r="L2139" s="111">
        <f ca="1">IFERROR(__xludf.DUMMYFUNCTION("""COMPUTED_VALUE"""),14.27)</f>
        <v>14.27</v>
      </c>
      <c r="M2139" s="112">
        <f ca="1">IFERROR(__xludf.DUMMYFUNCTION("""COMPUTED_VALUE"""),43329.7055555555)</f>
        <v>43329.705555555498</v>
      </c>
      <c r="N2139" s="111">
        <f ca="1">IFERROR(__xludf.DUMMYFUNCTION("""COMPUTED_VALUE"""),19.71)</f>
        <v>19.71</v>
      </c>
      <c r="O2139" s="112">
        <f ca="1">IFERROR(__xludf.DUMMYFUNCTION("""COMPUTED_VALUE"""),43405.7055555555)</f>
        <v>43405.705555555498</v>
      </c>
      <c r="P2139" s="111">
        <f ca="1">IFERROR(__xludf.DUMMYFUNCTION("""COMPUTED_VALUE"""),57.5)</f>
        <v>57.5</v>
      </c>
      <c r="Q2139" s="112">
        <f ca="1">IFERROR(__xludf.DUMMYFUNCTION("""COMPUTED_VALUE"""),43404.7055555555)</f>
        <v>43404.705555555498</v>
      </c>
      <c r="R2139" s="111">
        <f ca="1">IFERROR(__xludf.DUMMYFUNCTION("""COMPUTED_VALUE"""),42.75)</f>
        <v>42.75</v>
      </c>
      <c r="S2139" s="112">
        <f ca="1">IFERROR(__xludf.DUMMYFUNCTION("""COMPUTED_VALUE"""),43418.7055555555)</f>
        <v>43418.705555555498</v>
      </c>
      <c r="T2139" s="111">
        <f ca="1">IFERROR(__xludf.DUMMYFUNCTION("""COMPUTED_VALUE"""),31.33)</f>
        <v>31.33</v>
      </c>
    </row>
    <row r="2140" spans="1:20" x14ac:dyDescent="0.3">
      <c r="A2140" s="112">
        <f ca="1">IFERROR(__xludf.DUMMYFUNCTION("""COMPUTED_VALUE"""),43416.7055555555)</f>
        <v>43416.705555555498</v>
      </c>
      <c r="B2140" s="111">
        <f ca="1">IFERROR(__xludf.DUMMYFUNCTION("""COMPUTED_VALUE"""),23.38)</f>
        <v>23.38</v>
      </c>
      <c r="C2140" s="112">
        <f ca="1">IFERROR(__xludf.DUMMYFUNCTION("""COMPUTED_VALUE"""),43426.7055555555)</f>
        <v>43426.705555555498</v>
      </c>
      <c r="D2140" s="111">
        <f ca="1">IFERROR(__xludf.DUMMYFUNCTION("""COMPUTED_VALUE"""),34.61)</f>
        <v>34.61</v>
      </c>
      <c r="E2140" s="112">
        <f ca="1">IFERROR(__xludf.DUMMYFUNCTION("""COMPUTED_VALUE"""),43427.7055555555)</f>
        <v>43427.705555555498</v>
      </c>
      <c r="F2140" s="111">
        <f ca="1">IFERROR(__xludf.DUMMYFUNCTION("""COMPUTED_VALUE"""),11.3)</f>
        <v>11.3</v>
      </c>
      <c r="G2140" s="112">
        <f ca="1">IFERROR(__xludf.DUMMYFUNCTION("""COMPUTED_VALUE"""),43425.7055555555)</f>
        <v>43425.705555555498</v>
      </c>
      <c r="H2140" s="111">
        <f ca="1">IFERROR(__xludf.DUMMYFUNCTION("""COMPUTED_VALUE"""),25.17)</f>
        <v>25.17</v>
      </c>
      <c r="K2140" s="112">
        <f ca="1">IFERROR(__xludf.DUMMYFUNCTION("""COMPUTED_VALUE"""),43875.7055555555)</f>
        <v>43875.705555555498</v>
      </c>
      <c r="L2140" s="111">
        <f ca="1">IFERROR(__xludf.DUMMYFUNCTION("""COMPUTED_VALUE"""),14.09)</f>
        <v>14.09</v>
      </c>
      <c r="M2140" s="112">
        <f ca="1">IFERROR(__xludf.DUMMYFUNCTION("""COMPUTED_VALUE"""),43332.7055555555)</f>
        <v>43332.705555555498</v>
      </c>
      <c r="N2140" s="111">
        <f ca="1">IFERROR(__xludf.DUMMYFUNCTION("""COMPUTED_VALUE"""),19.83)</f>
        <v>19.829999999999998</v>
      </c>
      <c r="O2140" s="112">
        <f ca="1">IFERROR(__xludf.DUMMYFUNCTION("""COMPUTED_VALUE"""),43409.7055555555)</f>
        <v>43409.705555555498</v>
      </c>
      <c r="P2140" s="111">
        <f ca="1">IFERROR(__xludf.DUMMYFUNCTION("""COMPUTED_VALUE"""),57.53)</f>
        <v>57.53</v>
      </c>
      <c r="Q2140" s="112">
        <f ca="1">IFERROR(__xludf.DUMMYFUNCTION("""COMPUTED_VALUE"""),43405.7055555555)</f>
        <v>43405.705555555498</v>
      </c>
      <c r="R2140" s="111">
        <f ca="1">IFERROR(__xludf.DUMMYFUNCTION("""COMPUTED_VALUE"""),43.38)</f>
        <v>43.38</v>
      </c>
      <c r="S2140" s="112">
        <f ca="1">IFERROR(__xludf.DUMMYFUNCTION("""COMPUTED_VALUE"""),43420.7055555555)</f>
        <v>43420.705555555498</v>
      </c>
      <c r="T2140" s="111">
        <f ca="1">IFERROR(__xludf.DUMMYFUNCTION("""COMPUTED_VALUE"""),32.41)</f>
        <v>32.409999999999997</v>
      </c>
    </row>
    <row r="2141" spans="1:20" x14ac:dyDescent="0.3">
      <c r="A2141" s="112">
        <f ca="1">IFERROR(__xludf.DUMMYFUNCTION("""COMPUTED_VALUE"""),43417.7055555555)</f>
        <v>43417.705555555498</v>
      </c>
      <c r="B2141" s="111">
        <f ca="1">IFERROR(__xludf.DUMMYFUNCTION("""COMPUTED_VALUE"""),22.89)</f>
        <v>22.89</v>
      </c>
      <c r="C2141" s="112">
        <f ca="1">IFERROR(__xludf.DUMMYFUNCTION("""COMPUTED_VALUE"""),43427.7055555555)</f>
        <v>43427.705555555498</v>
      </c>
      <c r="D2141" s="111">
        <f ca="1">IFERROR(__xludf.DUMMYFUNCTION("""COMPUTED_VALUE"""),34.57)</f>
        <v>34.57</v>
      </c>
      <c r="E2141" s="112">
        <f ca="1">IFERROR(__xludf.DUMMYFUNCTION("""COMPUTED_VALUE"""),43430.7055555555)</f>
        <v>43430.705555555498</v>
      </c>
      <c r="F2141" s="111">
        <f ca="1">IFERROR(__xludf.DUMMYFUNCTION("""COMPUTED_VALUE"""),11.09)</f>
        <v>11.09</v>
      </c>
      <c r="G2141" s="112">
        <f ca="1">IFERROR(__xludf.DUMMYFUNCTION("""COMPUTED_VALUE"""),43426.7055555555)</f>
        <v>43426.705555555498</v>
      </c>
      <c r="H2141" s="111">
        <f ca="1">IFERROR(__xludf.DUMMYFUNCTION("""COMPUTED_VALUE"""),25.15)</f>
        <v>25.15</v>
      </c>
      <c r="K2141" s="112">
        <f ca="1">IFERROR(__xludf.DUMMYFUNCTION("""COMPUTED_VALUE"""),43878.7055555555)</f>
        <v>43878.705555555498</v>
      </c>
      <c r="L2141" s="111">
        <f ca="1">IFERROR(__xludf.DUMMYFUNCTION("""COMPUTED_VALUE"""),14.72)</f>
        <v>14.72</v>
      </c>
      <c r="M2141" s="112">
        <f ca="1">IFERROR(__xludf.DUMMYFUNCTION("""COMPUTED_VALUE"""),43333.7055555555)</f>
        <v>43333.705555555498</v>
      </c>
      <c r="N2141" s="111">
        <f ca="1">IFERROR(__xludf.DUMMYFUNCTION("""COMPUTED_VALUE"""),19.35)</f>
        <v>19.350000000000001</v>
      </c>
      <c r="O2141" s="112">
        <f ca="1">IFERROR(__xludf.DUMMYFUNCTION("""COMPUTED_VALUE"""),43410.7055555555)</f>
        <v>43410.705555555498</v>
      </c>
      <c r="P2141" s="111">
        <f ca="1">IFERROR(__xludf.DUMMYFUNCTION("""COMPUTED_VALUE"""),57.23)</f>
        <v>57.23</v>
      </c>
      <c r="Q2141" s="112">
        <f ca="1">IFERROR(__xludf.DUMMYFUNCTION("""COMPUTED_VALUE"""),43409.7055555555)</f>
        <v>43409.705555555498</v>
      </c>
      <c r="R2141" s="111">
        <f ca="1">IFERROR(__xludf.DUMMYFUNCTION("""COMPUTED_VALUE"""),43.41)</f>
        <v>43.41</v>
      </c>
      <c r="S2141" s="112">
        <f ca="1">IFERROR(__xludf.DUMMYFUNCTION("""COMPUTED_VALUE"""),43423.7055555555)</f>
        <v>43423.705555555498</v>
      </c>
      <c r="T2141" s="111">
        <f ca="1">IFERROR(__xludf.DUMMYFUNCTION("""COMPUTED_VALUE"""),32.74)</f>
        <v>32.74</v>
      </c>
    </row>
    <row r="2142" spans="1:20" x14ac:dyDescent="0.3">
      <c r="A2142" s="112">
        <f ca="1">IFERROR(__xludf.DUMMYFUNCTION("""COMPUTED_VALUE"""),43418.7055555555)</f>
        <v>43418.705555555498</v>
      </c>
      <c r="B2142" s="111">
        <f ca="1">IFERROR(__xludf.DUMMYFUNCTION("""COMPUTED_VALUE"""),22.76)</f>
        <v>22.76</v>
      </c>
      <c r="C2142" s="112">
        <f ca="1">IFERROR(__xludf.DUMMYFUNCTION("""COMPUTED_VALUE"""),43430.7055555555)</f>
        <v>43430.705555555498</v>
      </c>
      <c r="D2142" s="111">
        <f ca="1">IFERROR(__xludf.DUMMYFUNCTION("""COMPUTED_VALUE"""),34)</f>
        <v>34</v>
      </c>
      <c r="E2142" s="112">
        <f ca="1">IFERROR(__xludf.DUMMYFUNCTION("""COMPUTED_VALUE"""),43431.7055555555)</f>
        <v>43431.705555555498</v>
      </c>
      <c r="F2142" s="111">
        <f ca="1">IFERROR(__xludf.DUMMYFUNCTION("""COMPUTED_VALUE"""),11.51)</f>
        <v>11.51</v>
      </c>
      <c r="G2142" s="112">
        <f ca="1">IFERROR(__xludf.DUMMYFUNCTION("""COMPUTED_VALUE"""),43427.7055555555)</f>
        <v>43427.705555555498</v>
      </c>
      <c r="H2142" s="111">
        <f ca="1">IFERROR(__xludf.DUMMYFUNCTION("""COMPUTED_VALUE"""),24.37)</f>
        <v>24.37</v>
      </c>
      <c r="K2142" s="112">
        <f ca="1">IFERROR(__xludf.DUMMYFUNCTION("""COMPUTED_VALUE"""),43879.7055555555)</f>
        <v>43879.705555555498</v>
      </c>
      <c r="L2142" s="111">
        <f ca="1">IFERROR(__xludf.DUMMYFUNCTION("""COMPUTED_VALUE"""),14.56)</f>
        <v>14.56</v>
      </c>
      <c r="M2142" s="112">
        <f ca="1">IFERROR(__xludf.DUMMYFUNCTION("""COMPUTED_VALUE"""),43334.7055555555)</f>
        <v>43334.705555555498</v>
      </c>
      <c r="N2142" s="111">
        <f ca="1">IFERROR(__xludf.DUMMYFUNCTION("""COMPUTED_VALUE"""),19.83)</f>
        <v>19.829999999999998</v>
      </c>
      <c r="O2142" s="112">
        <f ca="1">IFERROR(__xludf.DUMMYFUNCTION("""COMPUTED_VALUE"""),43411.7055555555)</f>
        <v>43411.705555555498</v>
      </c>
      <c r="P2142" s="111">
        <f ca="1">IFERROR(__xludf.DUMMYFUNCTION("""COMPUTED_VALUE"""),57.59)</f>
        <v>57.59</v>
      </c>
      <c r="Q2142" s="112">
        <f ca="1">IFERROR(__xludf.DUMMYFUNCTION("""COMPUTED_VALUE"""),43410.7055555555)</f>
        <v>43410.705555555498</v>
      </c>
      <c r="R2142" s="111">
        <f ca="1">IFERROR(__xludf.DUMMYFUNCTION("""COMPUTED_VALUE"""),42.47)</f>
        <v>42.47</v>
      </c>
      <c r="S2142" s="112">
        <f ca="1">IFERROR(__xludf.DUMMYFUNCTION("""COMPUTED_VALUE"""),43425.7055555555)</f>
        <v>43425.705555555498</v>
      </c>
      <c r="T2142" s="111">
        <f ca="1">IFERROR(__xludf.DUMMYFUNCTION("""COMPUTED_VALUE"""),32.11)</f>
        <v>32.11</v>
      </c>
    </row>
    <row r="2143" spans="1:20" x14ac:dyDescent="0.3">
      <c r="A2143" s="112">
        <f ca="1">IFERROR(__xludf.DUMMYFUNCTION("""COMPUTED_VALUE"""),43420.7055555555)</f>
        <v>43420.705555555498</v>
      </c>
      <c r="B2143" s="111">
        <f ca="1">IFERROR(__xludf.DUMMYFUNCTION("""COMPUTED_VALUE"""),24.72)</f>
        <v>24.72</v>
      </c>
      <c r="C2143" s="112">
        <f ca="1">IFERROR(__xludf.DUMMYFUNCTION("""COMPUTED_VALUE"""),43431.7055555555)</f>
        <v>43431.705555555498</v>
      </c>
      <c r="D2143" s="111">
        <f ca="1">IFERROR(__xludf.DUMMYFUNCTION("""COMPUTED_VALUE"""),35.15)</f>
        <v>35.15</v>
      </c>
      <c r="E2143" s="112">
        <f ca="1">IFERROR(__xludf.DUMMYFUNCTION("""COMPUTED_VALUE"""),43432.7055555555)</f>
        <v>43432.705555555498</v>
      </c>
      <c r="F2143" s="111">
        <f ca="1">IFERROR(__xludf.DUMMYFUNCTION("""COMPUTED_VALUE"""),11.78)</f>
        <v>11.78</v>
      </c>
      <c r="G2143" s="112">
        <f ca="1">IFERROR(__xludf.DUMMYFUNCTION("""COMPUTED_VALUE"""),43430.7055555555)</f>
        <v>43430.705555555498</v>
      </c>
      <c r="H2143" s="111">
        <f ca="1">IFERROR(__xludf.DUMMYFUNCTION("""COMPUTED_VALUE"""),24.25)</f>
        <v>24.25</v>
      </c>
      <c r="K2143" s="112">
        <f ca="1">IFERROR(__xludf.DUMMYFUNCTION("""COMPUTED_VALUE"""),43880.7055555555)</f>
        <v>43880.705555555498</v>
      </c>
      <c r="L2143" s="111">
        <f ca="1">IFERROR(__xludf.DUMMYFUNCTION("""COMPUTED_VALUE"""),14.47)</f>
        <v>14.47</v>
      </c>
      <c r="M2143" s="112">
        <f ca="1">IFERROR(__xludf.DUMMYFUNCTION("""COMPUTED_VALUE"""),43335.7055555555)</f>
        <v>43335.705555555498</v>
      </c>
      <c r="N2143" s="111">
        <f ca="1">IFERROR(__xludf.DUMMYFUNCTION("""COMPUTED_VALUE"""),19.33)</f>
        <v>19.329999999999998</v>
      </c>
      <c r="O2143" s="112">
        <f ca="1">IFERROR(__xludf.DUMMYFUNCTION("""COMPUTED_VALUE"""),43412.7055555555)</f>
        <v>43412.705555555498</v>
      </c>
      <c r="P2143" s="111">
        <f ca="1">IFERROR(__xludf.DUMMYFUNCTION("""COMPUTED_VALUE"""),57.02)</f>
        <v>57.02</v>
      </c>
      <c r="Q2143" s="112">
        <f ca="1">IFERROR(__xludf.DUMMYFUNCTION("""COMPUTED_VALUE"""),43411.7055555555)</f>
        <v>43411.705555555498</v>
      </c>
      <c r="R2143" s="111">
        <f ca="1">IFERROR(__xludf.DUMMYFUNCTION("""COMPUTED_VALUE"""),41.45)</f>
        <v>41.45</v>
      </c>
      <c r="S2143" s="112">
        <f ca="1">IFERROR(__xludf.DUMMYFUNCTION("""COMPUTED_VALUE"""),43426.7055555555)</f>
        <v>43426.705555555498</v>
      </c>
      <c r="T2143" s="111">
        <f ca="1">IFERROR(__xludf.DUMMYFUNCTION("""COMPUTED_VALUE"""),32.07)</f>
        <v>32.07</v>
      </c>
    </row>
    <row r="2144" spans="1:20" x14ac:dyDescent="0.3">
      <c r="A2144" s="112">
        <f ca="1">IFERROR(__xludf.DUMMYFUNCTION("""COMPUTED_VALUE"""),43423.7055555555)</f>
        <v>43423.705555555498</v>
      </c>
      <c r="B2144" s="111">
        <f ca="1">IFERROR(__xludf.DUMMYFUNCTION("""COMPUTED_VALUE"""),24.23)</f>
        <v>24.23</v>
      </c>
      <c r="C2144" s="112">
        <f ca="1">IFERROR(__xludf.DUMMYFUNCTION("""COMPUTED_VALUE"""),43432.7055555555)</f>
        <v>43432.705555555498</v>
      </c>
      <c r="D2144" s="111">
        <f ca="1">IFERROR(__xludf.DUMMYFUNCTION("""COMPUTED_VALUE"""),36.03)</f>
        <v>36.03</v>
      </c>
      <c r="E2144" s="112">
        <f ca="1">IFERROR(__xludf.DUMMYFUNCTION("""COMPUTED_VALUE"""),43433.7055555555)</f>
        <v>43433.705555555498</v>
      </c>
      <c r="F2144" s="111">
        <f ca="1">IFERROR(__xludf.DUMMYFUNCTION("""COMPUTED_VALUE"""),11.9)</f>
        <v>11.9</v>
      </c>
      <c r="G2144" s="112">
        <f ca="1">IFERROR(__xludf.DUMMYFUNCTION("""COMPUTED_VALUE"""),43431.7055555555)</f>
        <v>43431.705555555498</v>
      </c>
      <c r="H2144" s="111">
        <f ca="1">IFERROR(__xludf.DUMMYFUNCTION("""COMPUTED_VALUE"""),25.53)</f>
        <v>25.53</v>
      </c>
      <c r="K2144" s="112">
        <f ca="1">IFERROR(__xludf.DUMMYFUNCTION("""COMPUTED_VALUE"""),43881.7055555555)</f>
        <v>43881.705555555498</v>
      </c>
      <c r="L2144" s="111">
        <f ca="1">IFERROR(__xludf.DUMMYFUNCTION("""COMPUTED_VALUE"""),14.14)</f>
        <v>14.14</v>
      </c>
      <c r="M2144" s="112">
        <f ca="1">IFERROR(__xludf.DUMMYFUNCTION("""COMPUTED_VALUE"""),43336.7055555555)</f>
        <v>43336.705555555498</v>
      </c>
      <c r="N2144" s="111">
        <f ca="1">IFERROR(__xludf.DUMMYFUNCTION("""COMPUTED_VALUE"""),19.5)</f>
        <v>19.5</v>
      </c>
      <c r="O2144" s="112">
        <f ca="1">IFERROR(__xludf.DUMMYFUNCTION("""COMPUTED_VALUE"""),43413.7055555555)</f>
        <v>43413.705555555498</v>
      </c>
      <c r="P2144" s="111">
        <f ca="1">IFERROR(__xludf.DUMMYFUNCTION("""COMPUTED_VALUE"""),54.65)</f>
        <v>54.65</v>
      </c>
      <c r="Q2144" s="112">
        <f ca="1">IFERROR(__xludf.DUMMYFUNCTION("""COMPUTED_VALUE"""),43412.7055555555)</f>
        <v>43412.705555555498</v>
      </c>
      <c r="R2144" s="111">
        <f ca="1">IFERROR(__xludf.DUMMYFUNCTION("""COMPUTED_VALUE"""),40.6)</f>
        <v>40.6</v>
      </c>
      <c r="S2144" s="112">
        <f ca="1">IFERROR(__xludf.DUMMYFUNCTION("""COMPUTED_VALUE"""),43427.7055555555)</f>
        <v>43427.705555555498</v>
      </c>
      <c r="T2144" s="111">
        <f ca="1">IFERROR(__xludf.DUMMYFUNCTION("""COMPUTED_VALUE"""),32.42)</f>
        <v>32.42</v>
      </c>
    </row>
    <row r="2145" spans="1:20" x14ac:dyDescent="0.3">
      <c r="A2145" s="112">
        <f ca="1">IFERROR(__xludf.DUMMYFUNCTION("""COMPUTED_VALUE"""),43425.7055555555)</f>
        <v>43425.705555555498</v>
      </c>
      <c r="B2145" s="111">
        <f ca="1">IFERROR(__xludf.DUMMYFUNCTION("""COMPUTED_VALUE"""),24.39)</f>
        <v>24.39</v>
      </c>
      <c r="C2145" s="112">
        <f ca="1">IFERROR(__xludf.DUMMYFUNCTION("""COMPUTED_VALUE"""),43433.7055555555)</f>
        <v>43433.705555555498</v>
      </c>
      <c r="D2145" s="111">
        <f ca="1">IFERROR(__xludf.DUMMYFUNCTION("""COMPUTED_VALUE"""),36.35)</f>
        <v>36.35</v>
      </c>
      <c r="E2145" s="112">
        <f ca="1">IFERROR(__xludf.DUMMYFUNCTION("""COMPUTED_VALUE"""),43434.7055555555)</f>
        <v>43434.705555555498</v>
      </c>
      <c r="F2145" s="111">
        <f ca="1">IFERROR(__xludf.DUMMYFUNCTION("""COMPUTED_VALUE"""),11.75)</f>
        <v>11.75</v>
      </c>
      <c r="G2145" s="112">
        <f ca="1">IFERROR(__xludf.DUMMYFUNCTION("""COMPUTED_VALUE"""),43432.7055555555)</f>
        <v>43432.705555555498</v>
      </c>
      <c r="H2145" s="111">
        <f ca="1">IFERROR(__xludf.DUMMYFUNCTION("""COMPUTED_VALUE"""),25.38)</f>
        <v>25.38</v>
      </c>
      <c r="K2145" s="112">
        <f ca="1">IFERROR(__xludf.DUMMYFUNCTION("""COMPUTED_VALUE"""),43882.7055555555)</f>
        <v>43882.705555555498</v>
      </c>
      <c r="L2145" s="111">
        <f ca="1">IFERROR(__xludf.DUMMYFUNCTION("""COMPUTED_VALUE"""),14.12)</f>
        <v>14.12</v>
      </c>
      <c r="M2145" s="112">
        <f ca="1">IFERROR(__xludf.DUMMYFUNCTION("""COMPUTED_VALUE"""),43339.7055555555)</f>
        <v>43339.705555555498</v>
      </c>
      <c r="N2145" s="111">
        <f ca="1">IFERROR(__xludf.DUMMYFUNCTION("""COMPUTED_VALUE"""),20.03)</f>
        <v>20.03</v>
      </c>
      <c r="O2145" s="112">
        <f ca="1">IFERROR(__xludf.DUMMYFUNCTION("""COMPUTED_VALUE"""),43416.7055555555)</f>
        <v>43416.705555555498</v>
      </c>
      <c r="P2145" s="111">
        <f ca="1">IFERROR(__xludf.DUMMYFUNCTION("""COMPUTED_VALUE"""),54.85)</f>
        <v>54.85</v>
      </c>
      <c r="Q2145" s="112">
        <f ca="1">IFERROR(__xludf.DUMMYFUNCTION("""COMPUTED_VALUE"""),43413.7055555555)</f>
        <v>43413.705555555498</v>
      </c>
      <c r="R2145" s="111">
        <f ca="1">IFERROR(__xludf.DUMMYFUNCTION("""COMPUTED_VALUE"""),41.5)</f>
        <v>41.5</v>
      </c>
      <c r="S2145" s="112">
        <f ca="1">IFERROR(__xludf.DUMMYFUNCTION("""COMPUTED_VALUE"""),43430.7055555555)</f>
        <v>43430.705555555498</v>
      </c>
      <c r="T2145" s="111">
        <f ca="1">IFERROR(__xludf.DUMMYFUNCTION("""COMPUTED_VALUE"""),31.43)</f>
        <v>31.43</v>
      </c>
    </row>
    <row r="2146" spans="1:20" x14ac:dyDescent="0.3">
      <c r="A2146" s="112">
        <f ca="1">IFERROR(__xludf.DUMMYFUNCTION("""COMPUTED_VALUE"""),43426.7055555555)</f>
        <v>43426.705555555498</v>
      </c>
      <c r="B2146" s="111">
        <f ca="1">IFERROR(__xludf.DUMMYFUNCTION("""COMPUTED_VALUE"""),24.41)</f>
        <v>24.41</v>
      </c>
      <c r="C2146" s="112">
        <f ca="1">IFERROR(__xludf.DUMMYFUNCTION("""COMPUTED_VALUE"""),43434.7055555555)</f>
        <v>43434.705555555498</v>
      </c>
      <c r="D2146" s="111">
        <f ca="1">IFERROR(__xludf.DUMMYFUNCTION("""COMPUTED_VALUE"""),36.02)</f>
        <v>36.020000000000003</v>
      </c>
      <c r="E2146" s="112">
        <f ca="1">IFERROR(__xludf.DUMMYFUNCTION("""COMPUTED_VALUE"""),43437.7055555555)</f>
        <v>43437.705555555498</v>
      </c>
      <c r="F2146" s="111">
        <f ca="1">IFERROR(__xludf.DUMMYFUNCTION("""COMPUTED_VALUE"""),11.65)</f>
        <v>11.65</v>
      </c>
      <c r="G2146" s="112">
        <f ca="1">IFERROR(__xludf.DUMMYFUNCTION("""COMPUTED_VALUE"""),43433.7055555555)</f>
        <v>43433.705555555498</v>
      </c>
      <c r="H2146" s="111">
        <f ca="1">IFERROR(__xludf.DUMMYFUNCTION("""COMPUTED_VALUE"""),25.17)</f>
        <v>25.17</v>
      </c>
      <c r="K2146" s="112">
        <f ca="1">IFERROR(__xludf.DUMMYFUNCTION("""COMPUTED_VALUE"""),43887.7055555555)</f>
        <v>43887.705555555498</v>
      </c>
      <c r="L2146" s="111">
        <f ca="1">IFERROR(__xludf.DUMMYFUNCTION("""COMPUTED_VALUE"""),13.22)</f>
        <v>13.22</v>
      </c>
      <c r="M2146" s="112">
        <f ca="1">IFERROR(__xludf.DUMMYFUNCTION("""COMPUTED_VALUE"""),43340.7055555555)</f>
        <v>43340.705555555498</v>
      </c>
      <c r="N2146" s="111">
        <f ca="1">IFERROR(__xludf.DUMMYFUNCTION("""COMPUTED_VALUE"""),19.9)</f>
        <v>19.899999999999999</v>
      </c>
      <c r="O2146" s="112">
        <f ca="1">IFERROR(__xludf.DUMMYFUNCTION("""COMPUTED_VALUE"""),43417.7055555555)</f>
        <v>43417.705555555498</v>
      </c>
      <c r="P2146" s="111">
        <f ca="1">IFERROR(__xludf.DUMMYFUNCTION("""COMPUTED_VALUE"""),56.27)</f>
        <v>56.27</v>
      </c>
      <c r="Q2146" s="112">
        <f ca="1">IFERROR(__xludf.DUMMYFUNCTION("""COMPUTED_VALUE"""),43416.7055555555)</f>
        <v>43416.705555555498</v>
      </c>
      <c r="R2146" s="111">
        <f ca="1">IFERROR(__xludf.DUMMYFUNCTION("""COMPUTED_VALUE"""),42.18)</f>
        <v>42.18</v>
      </c>
      <c r="S2146" s="112">
        <f ca="1">IFERROR(__xludf.DUMMYFUNCTION("""COMPUTED_VALUE"""),43431.7055555555)</f>
        <v>43431.705555555498</v>
      </c>
      <c r="T2146" s="111">
        <f ca="1">IFERROR(__xludf.DUMMYFUNCTION("""COMPUTED_VALUE"""),32.64)</f>
        <v>32.64</v>
      </c>
    </row>
    <row r="2147" spans="1:20" x14ac:dyDescent="0.3">
      <c r="A2147" s="112">
        <f ca="1">IFERROR(__xludf.DUMMYFUNCTION("""COMPUTED_VALUE"""),43427.7055555555)</f>
        <v>43427.705555555498</v>
      </c>
      <c r="B2147" s="111">
        <f ca="1">IFERROR(__xludf.DUMMYFUNCTION("""COMPUTED_VALUE"""),24.3)</f>
        <v>24.3</v>
      </c>
      <c r="C2147" s="112">
        <f ca="1">IFERROR(__xludf.DUMMYFUNCTION("""COMPUTED_VALUE"""),43437.7055555555)</f>
        <v>43437.705555555498</v>
      </c>
      <c r="D2147" s="111">
        <f ca="1">IFERROR(__xludf.DUMMYFUNCTION("""COMPUTED_VALUE"""),35.55)</f>
        <v>35.549999999999997</v>
      </c>
      <c r="E2147" s="112">
        <f ca="1">IFERROR(__xludf.DUMMYFUNCTION("""COMPUTED_VALUE"""),43438.7055555555)</f>
        <v>43438.705555555498</v>
      </c>
      <c r="F2147" s="111">
        <f ca="1">IFERROR(__xludf.DUMMYFUNCTION("""COMPUTED_VALUE"""),11.48)</f>
        <v>11.48</v>
      </c>
      <c r="G2147" s="112">
        <f ca="1">IFERROR(__xludf.DUMMYFUNCTION("""COMPUTED_VALUE"""),43434.7055555555)</f>
        <v>43434.705555555498</v>
      </c>
      <c r="H2147" s="111">
        <f ca="1">IFERROR(__xludf.DUMMYFUNCTION("""COMPUTED_VALUE"""),25.46)</f>
        <v>25.46</v>
      </c>
      <c r="K2147" s="112">
        <f ca="1">IFERROR(__xludf.DUMMYFUNCTION("""COMPUTED_VALUE"""),43888.7055555555)</f>
        <v>43888.705555555498</v>
      </c>
      <c r="L2147" s="111">
        <f ca="1">IFERROR(__xludf.DUMMYFUNCTION("""COMPUTED_VALUE"""),12.57)</f>
        <v>12.57</v>
      </c>
      <c r="M2147" s="112">
        <f ca="1">IFERROR(__xludf.DUMMYFUNCTION("""COMPUTED_VALUE"""),43341.7055555555)</f>
        <v>43341.705555555498</v>
      </c>
      <c r="N2147" s="111">
        <f ca="1">IFERROR(__xludf.DUMMYFUNCTION("""COMPUTED_VALUE"""),20.14)</f>
        <v>20.14</v>
      </c>
      <c r="O2147" s="112">
        <f ca="1">IFERROR(__xludf.DUMMYFUNCTION("""COMPUTED_VALUE"""),43418.7055555555)</f>
        <v>43418.705555555498</v>
      </c>
      <c r="P2147" s="111">
        <f ca="1">IFERROR(__xludf.DUMMYFUNCTION("""COMPUTED_VALUE"""),55.16)</f>
        <v>55.16</v>
      </c>
      <c r="Q2147" s="112">
        <f ca="1">IFERROR(__xludf.DUMMYFUNCTION("""COMPUTED_VALUE"""),43417.7055555555)</f>
        <v>43417.705555555498</v>
      </c>
      <c r="R2147" s="111">
        <f ca="1">IFERROR(__xludf.DUMMYFUNCTION("""COMPUTED_VALUE"""),41.7)</f>
        <v>41.7</v>
      </c>
      <c r="S2147" s="112">
        <f ca="1">IFERROR(__xludf.DUMMYFUNCTION("""COMPUTED_VALUE"""),43432.7055555555)</f>
        <v>43432.705555555498</v>
      </c>
      <c r="T2147" s="111">
        <f ca="1">IFERROR(__xludf.DUMMYFUNCTION("""COMPUTED_VALUE"""),32.64)</f>
        <v>32.64</v>
      </c>
    </row>
    <row r="2148" spans="1:20" x14ac:dyDescent="0.3">
      <c r="A2148" s="112">
        <f ca="1">IFERROR(__xludf.DUMMYFUNCTION("""COMPUTED_VALUE"""),43430.7055555555)</f>
        <v>43430.705555555498</v>
      </c>
      <c r="B2148" s="111">
        <f ca="1">IFERROR(__xludf.DUMMYFUNCTION("""COMPUTED_VALUE"""),24.45)</f>
        <v>24.45</v>
      </c>
      <c r="C2148" s="112">
        <f ca="1">IFERROR(__xludf.DUMMYFUNCTION("""COMPUTED_VALUE"""),43438.7055555555)</f>
        <v>43438.705555555498</v>
      </c>
      <c r="D2148" s="111">
        <f ca="1">IFERROR(__xludf.DUMMYFUNCTION("""COMPUTED_VALUE"""),35.51)</f>
        <v>35.51</v>
      </c>
      <c r="E2148" s="112">
        <f ca="1">IFERROR(__xludf.DUMMYFUNCTION("""COMPUTED_VALUE"""),43439.7055555555)</f>
        <v>43439.705555555498</v>
      </c>
      <c r="F2148" s="111">
        <f ca="1">IFERROR(__xludf.DUMMYFUNCTION("""COMPUTED_VALUE"""),11.48)</f>
        <v>11.48</v>
      </c>
      <c r="G2148" s="112">
        <f ca="1">IFERROR(__xludf.DUMMYFUNCTION("""COMPUTED_VALUE"""),43437.7055555555)</f>
        <v>43437.705555555498</v>
      </c>
      <c r="H2148" s="111">
        <f ca="1">IFERROR(__xludf.DUMMYFUNCTION("""COMPUTED_VALUE"""),25.94)</f>
        <v>25.94</v>
      </c>
      <c r="K2148" s="112">
        <f ca="1">IFERROR(__xludf.DUMMYFUNCTION("""COMPUTED_VALUE"""),43889.7055555555)</f>
        <v>43889.705555555498</v>
      </c>
      <c r="L2148" s="111">
        <f ca="1">IFERROR(__xludf.DUMMYFUNCTION("""COMPUTED_VALUE"""),12.63)</f>
        <v>12.63</v>
      </c>
      <c r="M2148" s="112">
        <f ca="1">IFERROR(__xludf.DUMMYFUNCTION("""COMPUTED_VALUE"""),43342.7055555555)</f>
        <v>43342.705555555498</v>
      </c>
      <c r="N2148" s="111">
        <f ca="1">IFERROR(__xludf.DUMMYFUNCTION("""COMPUTED_VALUE"""),19.28)</f>
        <v>19.28</v>
      </c>
      <c r="O2148" s="112">
        <f ca="1">IFERROR(__xludf.DUMMYFUNCTION("""COMPUTED_VALUE"""),43420.7055555555)</f>
        <v>43420.705555555498</v>
      </c>
      <c r="P2148" s="111">
        <f ca="1">IFERROR(__xludf.DUMMYFUNCTION("""COMPUTED_VALUE"""),56.15)</f>
        <v>56.15</v>
      </c>
      <c r="Q2148" s="112">
        <f ca="1">IFERROR(__xludf.DUMMYFUNCTION("""COMPUTED_VALUE"""),43418.7055555555)</f>
        <v>43418.705555555498</v>
      </c>
      <c r="R2148" s="111">
        <f ca="1">IFERROR(__xludf.DUMMYFUNCTION("""COMPUTED_VALUE"""),41.77)</f>
        <v>41.77</v>
      </c>
      <c r="S2148" s="112">
        <f ca="1">IFERROR(__xludf.DUMMYFUNCTION("""COMPUTED_VALUE"""),43433.7055555555)</f>
        <v>43433.705555555498</v>
      </c>
      <c r="T2148" s="111">
        <f ca="1">IFERROR(__xludf.DUMMYFUNCTION("""COMPUTED_VALUE"""),32.6)</f>
        <v>32.6</v>
      </c>
    </row>
    <row r="2149" spans="1:20" x14ac:dyDescent="0.3">
      <c r="A2149" s="112">
        <f ca="1">IFERROR(__xludf.DUMMYFUNCTION("""COMPUTED_VALUE"""),43431.7055555555)</f>
        <v>43431.705555555498</v>
      </c>
      <c r="B2149" s="111">
        <f ca="1">IFERROR(__xludf.DUMMYFUNCTION("""COMPUTED_VALUE"""),25.51)</f>
        <v>25.51</v>
      </c>
      <c r="C2149" s="112">
        <f ca="1">IFERROR(__xludf.DUMMYFUNCTION("""COMPUTED_VALUE"""),43439.7055555555)</f>
        <v>43439.705555555498</v>
      </c>
      <c r="D2149" s="111">
        <f ca="1">IFERROR(__xludf.DUMMYFUNCTION("""COMPUTED_VALUE"""),35.53)</f>
        <v>35.53</v>
      </c>
      <c r="E2149" s="112">
        <f ca="1">IFERROR(__xludf.DUMMYFUNCTION("""COMPUTED_VALUE"""),43440.7055555555)</f>
        <v>43440.705555555498</v>
      </c>
      <c r="F2149" s="111">
        <f ca="1">IFERROR(__xludf.DUMMYFUNCTION("""COMPUTED_VALUE"""),11.77)</f>
        <v>11.77</v>
      </c>
      <c r="G2149" s="112">
        <f ca="1">IFERROR(__xludf.DUMMYFUNCTION("""COMPUTED_VALUE"""),43438.7055555555)</f>
        <v>43438.705555555498</v>
      </c>
      <c r="H2149" s="111">
        <f ca="1">IFERROR(__xludf.DUMMYFUNCTION("""COMPUTED_VALUE"""),25.34)</f>
        <v>25.34</v>
      </c>
      <c r="K2149" s="112">
        <f ca="1">IFERROR(__xludf.DUMMYFUNCTION("""COMPUTED_VALUE"""),43892.7055555555)</f>
        <v>43892.705555555498</v>
      </c>
      <c r="L2149" s="111">
        <f ca="1">IFERROR(__xludf.DUMMYFUNCTION("""COMPUTED_VALUE"""),13.14)</f>
        <v>13.14</v>
      </c>
      <c r="M2149" s="112">
        <f ca="1">IFERROR(__xludf.DUMMYFUNCTION("""COMPUTED_VALUE"""),43343.7055555555)</f>
        <v>43343.705555555498</v>
      </c>
      <c r="N2149" s="111">
        <f ca="1">IFERROR(__xludf.DUMMYFUNCTION("""COMPUTED_VALUE"""),19.55)</f>
        <v>19.55</v>
      </c>
      <c r="O2149" s="112">
        <f ca="1">IFERROR(__xludf.DUMMYFUNCTION("""COMPUTED_VALUE"""),43423.7055555555)</f>
        <v>43423.705555555498</v>
      </c>
      <c r="P2149" s="111">
        <f ca="1">IFERROR(__xludf.DUMMYFUNCTION("""COMPUTED_VALUE"""),55.37)</f>
        <v>55.37</v>
      </c>
      <c r="Q2149" s="112">
        <f ca="1">IFERROR(__xludf.DUMMYFUNCTION("""COMPUTED_VALUE"""),43420.7055555555)</f>
        <v>43420.705555555498</v>
      </c>
      <c r="R2149" s="111">
        <f ca="1">IFERROR(__xludf.DUMMYFUNCTION("""COMPUTED_VALUE"""),43.09)</f>
        <v>43.09</v>
      </c>
      <c r="S2149" s="112">
        <f ca="1">IFERROR(__xludf.DUMMYFUNCTION("""COMPUTED_VALUE"""),43434.7055555555)</f>
        <v>43434.705555555498</v>
      </c>
      <c r="T2149" s="111">
        <f ca="1">IFERROR(__xludf.DUMMYFUNCTION("""COMPUTED_VALUE"""),32.31)</f>
        <v>32.31</v>
      </c>
    </row>
    <row r="2150" spans="1:20" x14ac:dyDescent="0.3">
      <c r="A2150" s="112">
        <f ca="1">IFERROR(__xludf.DUMMYFUNCTION("""COMPUTED_VALUE"""),43432.7055555555)</f>
        <v>43432.705555555498</v>
      </c>
      <c r="B2150" s="111">
        <f ca="1">IFERROR(__xludf.DUMMYFUNCTION("""COMPUTED_VALUE"""),25.45)</f>
        <v>25.45</v>
      </c>
      <c r="C2150" s="112">
        <f ca="1">IFERROR(__xludf.DUMMYFUNCTION("""COMPUTED_VALUE"""),43440.7055555555)</f>
        <v>43440.705555555498</v>
      </c>
      <c r="D2150" s="111">
        <f ca="1">IFERROR(__xludf.DUMMYFUNCTION("""COMPUTED_VALUE"""),35.85)</f>
        <v>35.85</v>
      </c>
      <c r="E2150" s="112">
        <f ca="1">IFERROR(__xludf.DUMMYFUNCTION("""COMPUTED_VALUE"""),43441.7055555555)</f>
        <v>43441.705555555498</v>
      </c>
      <c r="F2150" s="111">
        <f ca="1">IFERROR(__xludf.DUMMYFUNCTION("""COMPUTED_VALUE"""),11.54)</f>
        <v>11.54</v>
      </c>
      <c r="G2150" s="112">
        <f ca="1">IFERROR(__xludf.DUMMYFUNCTION("""COMPUTED_VALUE"""),43439.7055555555)</f>
        <v>43439.705555555498</v>
      </c>
      <c r="H2150" s="111">
        <f ca="1">IFERROR(__xludf.DUMMYFUNCTION("""COMPUTED_VALUE"""),25.56)</f>
        <v>25.56</v>
      </c>
      <c r="K2150" s="112">
        <f ca="1">IFERROR(__xludf.DUMMYFUNCTION("""COMPUTED_VALUE"""),43893.7055555555)</f>
        <v>43893.705555555498</v>
      </c>
      <c r="L2150" s="111">
        <f ca="1">IFERROR(__xludf.DUMMYFUNCTION("""COMPUTED_VALUE"""),13.22)</f>
        <v>13.22</v>
      </c>
      <c r="M2150" s="112">
        <f ca="1">IFERROR(__xludf.DUMMYFUNCTION("""COMPUTED_VALUE"""),43346.7055555555)</f>
        <v>43346.705555555498</v>
      </c>
      <c r="N2150" s="111">
        <f ca="1">IFERROR(__xludf.DUMMYFUNCTION("""COMPUTED_VALUE"""),19.37)</f>
        <v>19.37</v>
      </c>
      <c r="O2150" s="112">
        <f ca="1">IFERROR(__xludf.DUMMYFUNCTION("""COMPUTED_VALUE"""),43425.7055555555)</f>
        <v>43425.705555555498</v>
      </c>
      <c r="P2150" s="111">
        <f ca="1">IFERROR(__xludf.DUMMYFUNCTION("""COMPUTED_VALUE"""),54.53)</f>
        <v>54.53</v>
      </c>
      <c r="Q2150" s="112">
        <f ca="1">IFERROR(__xludf.DUMMYFUNCTION("""COMPUTED_VALUE"""),43423.7055555555)</f>
        <v>43423.705555555498</v>
      </c>
      <c r="R2150" s="111">
        <f ca="1">IFERROR(__xludf.DUMMYFUNCTION("""COMPUTED_VALUE"""),44.1)</f>
        <v>44.1</v>
      </c>
      <c r="S2150" s="112">
        <f ca="1">IFERROR(__xludf.DUMMYFUNCTION("""COMPUTED_VALUE"""),43437.7055555555)</f>
        <v>43437.705555555498</v>
      </c>
      <c r="T2150" s="111">
        <f ca="1">IFERROR(__xludf.DUMMYFUNCTION("""COMPUTED_VALUE"""),32.37)</f>
        <v>32.369999999999997</v>
      </c>
    </row>
    <row r="2151" spans="1:20" x14ac:dyDescent="0.3">
      <c r="A2151" s="112">
        <f ca="1">IFERROR(__xludf.DUMMYFUNCTION("""COMPUTED_VALUE"""),43433.7055555555)</f>
        <v>43433.705555555498</v>
      </c>
      <c r="B2151" s="111">
        <f ca="1">IFERROR(__xludf.DUMMYFUNCTION("""COMPUTED_VALUE"""),25.48)</f>
        <v>25.48</v>
      </c>
      <c r="C2151" s="112">
        <f ca="1">IFERROR(__xludf.DUMMYFUNCTION("""COMPUTED_VALUE"""),43441.7055555555)</f>
        <v>43441.705555555498</v>
      </c>
      <c r="D2151" s="111">
        <f ca="1">IFERROR(__xludf.DUMMYFUNCTION("""COMPUTED_VALUE"""),35.56)</f>
        <v>35.56</v>
      </c>
      <c r="E2151" s="112">
        <f ca="1">IFERROR(__xludf.DUMMYFUNCTION("""COMPUTED_VALUE"""),43444.7055555555)</f>
        <v>43444.705555555498</v>
      </c>
      <c r="F2151" s="111">
        <f ca="1">IFERROR(__xludf.DUMMYFUNCTION("""COMPUTED_VALUE"""),11.19)</f>
        <v>11.19</v>
      </c>
      <c r="G2151" s="112">
        <f ca="1">IFERROR(__xludf.DUMMYFUNCTION("""COMPUTED_VALUE"""),43440.7055555555)</f>
        <v>43440.705555555498</v>
      </c>
      <c r="H2151" s="111">
        <f ca="1">IFERROR(__xludf.DUMMYFUNCTION("""COMPUTED_VALUE"""),24.59)</f>
        <v>24.59</v>
      </c>
      <c r="K2151" s="112">
        <f ca="1">IFERROR(__xludf.DUMMYFUNCTION("""COMPUTED_VALUE"""),43894.7055555555)</f>
        <v>43894.705555555498</v>
      </c>
      <c r="L2151" s="111">
        <f ca="1">IFERROR(__xludf.DUMMYFUNCTION("""COMPUTED_VALUE"""),13.12)</f>
        <v>13.12</v>
      </c>
      <c r="M2151" s="112">
        <f ca="1">IFERROR(__xludf.DUMMYFUNCTION("""COMPUTED_VALUE"""),43347.7055555555)</f>
        <v>43347.705555555498</v>
      </c>
      <c r="N2151" s="111">
        <f ca="1">IFERROR(__xludf.DUMMYFUNCTION("""COMPUTED_VALUE"""),18.93)</f>
        <v>18.93</v>
      </c>
      <c r="O2151" s="112">
        <f ca="1">IFERROR(__xludf.DUMMYFUNCTION("""COMPUTED_VALUE"""),43426.7055555555)</f>
        <v>43426.705555555498</v>
      </c>
      <c r="P2151" s="111">
        <f ca="1">IFERROR(__xludf.DUMMYFUNCTION("""COMPUTED_VALUE"""),54.04)</f>
        <v>54.04</v>
      </c>
      <c r="Q2151" s="112">
        <f ca="1">IFERROR(__xludf.DUMMYFUNCTION("""COMPUTED_VALUE"""),43425.7055555555)</f>
        <v>43425.705555555498</v>
      </c>
      <c r="R2151" s="111">
        <f ca="1">IFERROR(__xludf.DUMMYFUNCTION("""COMPUTED_VALUE"""),44)</f>
        <v>44</v>
      </c>
      <c r="S2151" s="112">
        <f ca="1">IFERROR(__xludf.DUMMYFUNCTION("""COMPUTED_VALUE"""),43438.7055555555)</f>
        <v>43438.705555555498</v>
      </c>
      <c r="T2151" s="111">
        <f ca="1">IFERROR(__xludf.DUMMYFUNCTION("""COMPUTED_VALUE"""),31.7)</f>
        <v>31.7</v>
      </c>
    </row>
    <row r="2152" spans="1:20" x14ac:dyDescent="0.3">
      <c r="A2152" s="112">
        <f ca="1">IFERROR(__xludf.DUMMYFUNCTION("""COMPUTED_VALUE"""),43434.7055555555)</f>
        <v>43434.705555555498</v>
      </c>
      <c r="B2152" s="111">
        <f ca="1">IFERROR(__xludf.DUMMYFUNCTION("""COMPUTED_VALUE"""),24.16)</f>
        <v>24.16</v>
      </c>
      <c r="C2152" s="112">
        <f ca="1">IFERROR(__xludf.DUMMYFUNCTION("""COMPUTED_VALUE"""),43444.7055555555)</f>
        <v>43444.705555555498</v>
      </c>
      <c r="D2152" s="111">
        <f ca="1">IFERROR(__xludf.DUMMYFUNCTION("""COMPUTED_VALUE"""),34.61)</f>
        <v>34.61</v>
      </c>
      <c r="E2152" s="112">
        <f ca="1">IFERROR(__xludf.DUMMYFUNCTION("""COMPUTED_VALUE"""),43445.7055555555)</f>
        <v>43445.705555555498</v>
      </c>
      <c r="F2152" s="111">
        <f ca="1">IFERROR(__xludf.DUMMYFUNCTION("""COMPUTED_VALUE"""),11.23)</f>
        <v>11.23</v>
      </c>
      <c r="G2152" s="112">
        <f ca="1">IFERROR(__xludf.DUMMYFUNCTION("""COMPUTED_VALUE"""),43441.7055555555)</f>
        <v>43441.705555555498</v>
      </c>
      <c r="H2152" s="111">
        <f ca="1">IFERROR(__xludf.DUMMYFUNCTION("""COMPUTED_VALUE"""),24.77)</f>
        <v>24.77</v>
      </c>
      <c r="K2152" s="112">
        <f ca="1">IFERROR(__xludf.DUMMYFUNCTION("""COMPUTED_VALUE"""),43895.7055555555)</f>
        <v>43895.705555555498</v>
      </c>
      <c r="L2152" s="111">
        <f ca="1">IFERROR(__xludf.DUMMYFUNCTION("""COMPUTED_VALUE"""),11.95)</f>
        <v>11.95</v>
      </c>
      <c r="M2152" s="112">
        <f ca="1">IFERROR(__xludf.DUMMYFUNCTION("""COMPUTED_VALUE"""),43348.7055555555)</f>
        <v>43348.705555555498</v>
      </c>
      <c r="N2152" s="111">
        <f ca="1">IFERROR(__xludf.DUMMYFUNCTION("""COMPUTED_VALUE"""),19.04)</f>
        <v>19.04</v>
      </c>
      <c r="O2152" s="112">
        <f ca="1">IFERROR(__xludf.DUMMYFUNCTION("""COMPUTED_VALUE"""),43427.7055555555)</f>
        <v>43427.705555555498</v>
      </c>
      <c r="P2152" s="111">
        <f ca="1">IFERROR(__xludf.DUMMYFUNCTION("""COMPUTED_VALUE"""),50.35)</f>
        <v>50.35</v>
      </c>
      <c r="Q2152" s="112">
        <f ca="1">IFERROR(__xludf.DUMMYFUNCTION("""COMPUTED_VALUE"""),43426.7055555555)</f>
        <v>43426.705555555498</v>
      </c>
      <c r="R2152" s="111">
        <f ca="1">IFERROR(__xludf.DUMMYFUNCTION("""COMPUTED_VALUE"""),44.45)</f>
        <v>44.45</v>
      </c>
      <c r="S2152" s="112">
        <f ca="1">IFERROR(__xludf.DUMMYFUNCTION("""COMPUTED_VALUE"""),43439.7055555555)</f>
        <v>43439.705555555498</v>
      </c>
      <c r="T2152" s="111">
        <f ca="1">IFERROR(__xludf.DUMMYFUNCTION("""COMPUTED_VALUE"""),32.56)</f>
        <v>32.56</v>
      </c>
    </row>
    <row r="2153" spans="1:20" x14ac:dyDescent="0.3">
      <c r="A2153" s="112">
        <f ca="1">IFERROR(__xludf.DUMMYFUNCTION("""COMPUTED_VALUE"""),43437.7055555555)</f>
        <v>43437.705555555498</v>
      </c>
      <c r="B2153" s="111">
        <f ca="1">IFERROR(__xludf.DUMMYFUNCTION("""COMPUTED_VALUE"""),24.33)</f>
        <v>24.33</v>
      </c>
      <c r="C2153" s="112">
        <f ca="1">IFERROR(__xludf.DUMMYFUNCTION("""COMPUTED_VALUE"""),43445.7055555555)</f>
        <v>43445.705555555498</v>
      </c>
      <c r="D2153" s="111">
        <f ca="1">IFERROR(__xludf.DUMMYFUNCTION("""COMPUTED_VALUE"""),34.92)</f>
        <v>34.92</v>
      </c>
      <c r="E2153" s="112">
        <f ca="1">IFERROR(__xludf.DUMMYFUNCTION("""COMPUTED_VALUE"""),43446.7055555555)</f>
        <v>43446.705555555498</v>
      </c>
      <c r="F2153" s="111">
        <f ca="1">IFERROR(__xludf.DUMMYFUNCTION("""COMPUTED_VALUE"""),11.34)</f>
        <v>11.34</v>
      </c>
      <c r="G2153" s="112">
        <f ca="1">IFERROR(__xludf.DUMMYFUNCTION("""COMPUTED_VALUE"""),43444.7055555555)</f>
        <v>43444.705555555498</v>
      </c>
      <c r="H2153" s="111">
        <f ca="1">IFERROR(__xludf.DUMMYFUNCTION("""COMPUTED_VALUE"""),23.44)</f>
        <v>23.44</v>
      </c>
      <c r="K2153" s="112">
        <f ca="1">IFERROR(__xludf.DUMMYFUNCTION("""COMPUTED_VALUE"""),43896.7055555555)</f>
        <v>43896.705555555498</v>
      </c>
      <c r="L2153" s="111">
        <f ca="1">IFERROR(__xludf.DUMMYFUNCTION("""COMPUTED_VALUE"""),11.34)</f>
        <v>11.34</v>
      </c>
      <c r="M2153" s="112">
        <f ca="1">IFERROR(__xludf.DUMMYFUNCTION("""COMPUTED_VALUE"""),43349.7055555555)</f>
        <v>43349.705555555498</v>
      </c>
      <c r="N2153" s="111">
        <f ca="1">IFERROR(__xludf.DUMMYFUNCTION("""COMPUTED_VALUE"""),19.59)</f>
        <v>19.59</v>
      </c>
      <c r="O2153" s="112">
        <f ca="1">IFERROR(__xludf.DUMMYFUNCTION("""COMPUTED_VALUE"""),43430.7055555555)</f>
        <v>43430.705555555498</v>
      </c>
      <c r="P2153" s="111">
        <f ca="1">IFERROR(__xludf.DUMMYFUNCTION("""COMPUTED_VALUE"""),50.12)</f>
        <v>50.12</v>
      </c>
      <c r="Q2153" s="112">
        <f ca="1">IFERROR(__xludf.DUMMYFUNCTION("""COMPUTED_VALUE"""),43427.7055555555)</f>
        <v>43427.705555555498</v>
      </c>
      <c r="R2153" s="111">
        <f ca="1">IFERROR(__xludf.DUMMYFUNCTION("""COMPUTED_VALUE"""),44.8)</f>
        <v>44.8</v>
      </c>
      <c r="S2153" s="112">
        <f ca="1">IFERROR(__xludf.DUMMYFUNCTION("""COMPUTED_VALUE"""),43440.7055555555)</f>
        <v>43440.705555555498</v>
      </c>
      <c r="T2153" s="111">
        <f ca="1">IFERROR(__xludf.DUMMYFUNCTION("""COMPUTED_VALUE"""),32.98)</f>
        <v>32.979999999999997</v>
      </c>
    </row>
    <row r="2154" spans="1:20" x14ac:dyDescent="0.3">
      <c r="A2154" s="112">
        <f ca="1">IFERROR(__xludf.DUMMYFUNCTION("""COMPUTED_VALUE"""),43438.7055555555)</f>
        <v>43438.705555555498</v>
      </c>
      <c r="B2154" s="111">
        <f ca="1">IFERROR(__xludf.DUMMYFUNCTION("""COMPUTED_VALUE"""),24.09)</f>
        <v>24.09</v>
      </c>
      <c r="C2154" s="112">
        <f ca="1">IFERROR(__xludf.DUMMYFUNCTION("""COMPUTED_VALUE"""),43446.7055555555)</f>
        <v>43446.705555555498</v>
      </c>
      <c r="D2154" s="111">
        <f ca="1">IFERROR(__xludf.DUMMYFUNCTION("""COMPUTED_VALUE"""),35.16)</f>
        <v>35.159999999999997</v>
      </c>
      <c r="E2154" s="112">
        <f ca="1">IFERROR(__xludf.DUMMYFUNCTION("""COMPUTED_VALUE"""),43447.7055555555)</f>
        <v>43447.705555555498</v>
      </c>
      <c r="F2154" s="111">
        <f ca="1">IFERROR(__xludf.DUMMYFUNCTION("""COMPUTED_VALUE"""),11.52)</f>
        <v>11.52</v>
      </c>
      <c r="G2154" s="112">
        <f ca="1">IFERROR(__xludf.DUMMYFUNCTION("""COMPUTED_VALUE"""),43445.7055555555)</f>
        <v>43445.705555555498</v>
      </c>
      <c r="H2154" s="111">
        <f ca="1">IFERROR(__xludf.DUMMYFUNCTION("""COMPUTED_VALUE"""),23.29)</f>
        <v>23.29</v>
      </c>
      <c r="K2154" s="112">
        <f ca="1">IFERROR(__xludf.DUMMYFUNCTION("""COMPUTED_VALUE"""),43899.7055555555)</f>
        <v>43899.705555555498</v>
      </c>
      <c r="L2154" s="111">
        <f ca="1">IFERROR(__xludf.DUMMYFUNCTION("""COMPUTED_VALUE"""),10.09)</f>
        <v>10.09</v>
      </c>
      <c r="M2154" s="112">
        <f ca="1">IFERROR(__xludf.DUMMYFUNCTION("""COMPUTED_VALUE"""),43353.7055555555)</f>
        <v>43353.705555555498</v>
      </c>
      <c r="N2154" s="111">
        <f ca="1">IFERROR(__xludf.DUMMYFUNCTION("""COMPUTED_VALUE"""),19.66)</f>
        <v>19.66</v>
      </c>
      <c r="O2154" s="112">
        <f ca="1">IFERROR(__xludf.DUMMYFUNCTION("""COMPUTED_VALUE"""),43431.7055555555)</f>
        <v>43431.705555555498</v>
      </c>
      <c r="P2154" s="111">
        <f ca="1">IFERROR(__xludf.DUMMYFUNCTION("""COMPUTED_VALUE"""),49.92)</f>
        <v>49.92</v>
      </c>
      <c r="Q2154" s="112">
        <f ca="1">IFERROR(__xludf.DUMMYFUNCTION("""COMPUTED_VALUE"""),43430.7055555555)</f>
        <v>43430.705555555498</v>
      </c>
      <c r="R2154" s="111">
        <f ca="1">IFERROR(__xludf.DUMMYFUNCTION("""COMPUTED_VALUE"""),44.01)</f>
        <v>44.01</v>
      </c>
      <c r="S2154" s="112">
        <f ca="1">IFERROR(__xludf.DUMMYFUNCTION("""COMPUTED_VALUE"""),43441.7055555555)</f>
        <v>43441.705555555498</v>
      </c>
      <c r="T2154" s="111">
        <f ca="1">IFERROR(__xludf.DUMMYFUNCTION("""COMPUTED_VALUE"""),32.35)</f>
        <v>32.35</v>
      </c>
    </row>
    <row r="2155" spans="1:20" x14ac:dyDescent="0.3">
      <c r="A2155" s="112">
        <f ca="1">IFERROR(__xludf.DUMMYFUNCTION("""COMPUTED_VALUE"""),43439.7055555555)</f>
        <v>43439.705555555498</v>
      </c>
      <c r="B2155" s="111">
        <f ca="1">IFERROR(__xludf.DUMMYFUNCTION("""COMPUTED_VALUE"""),24.38)</f>
        <v>24.38</v>
      </c>
      <c r="C2155" s="112">
        <f ca="1">IFERROR(__xludf.DUMMYFUNCTION("""COMPUTED_VALUE"""),43447.7055555555)</f>
        <v>43447.705555555498</v>
      </c>
      <c r="D2155" s="111">
        <f ca="1">IFERROR(__xludf.DUMMYFUNCTION("""COMPUTED_VALUE"""),35.78)</f>
        <v>35.78</v>
      </c>
      <c r="E2155" s="112">
        <f ca="1">IFERROR(__xludf.DUMMYFUNCTION("""COMPUTED_VALUE"""),43448.7055555555)</f>
        <v>43448.705555555498</v>
      </c>
      <c r="F2155" s="111">
        <f ca="1">IFERROR(__xludf.DUMMYFUNCTION("""COMPUTED_VALUE"""),11.6)</f>
        <v>11.6</v>
      </c>
      <c r="G2155" s="112">
        <f ca="1">IFERROR(__xludf.DUMMYFUNCTION("""COMPUTED_VALUE"""),43446.7055555555)</f>
        <v>43446.705555555498</v>
      </c>
      <c r="H2155" s="111">
        <f ca="1">IFERROR(__xludf.DUMMYFUNCTION("""COMPUTED_VALUE"""),23.3)</f>
        <v>23.3</v>
      </c>
      <c r="K2155" s="112">
        <f ca="1">IFERROR(__xludf.DUMMYFUNCTION("""COMPUTED_VALUE"""),43900.7055555555)</f>
        <v>43900.705555555498</v>
      </c>
      <c r="L2155" s="111">
        <f ca="1">IFERROR(__xludf.DUMMYFUNCTION("""COMPUTED_VALUE"""),11.75)</f>
        <v>11.75</v>
      </c>
      <c r="M2155" s="112">
        <f ca="1">IFERROR(__xludf.DUMMYFUNCTION("""COMPUTED_VALUE"""),43354.7055555555)</f>
        <v>43354.705555555498</v>
      </c>
      <c r="N2155" s="111">
        <f ca="1">IFERROR(__xludf.DUMMYFUNCTION("""COMPUTED_VALUE"""),19.07)</f>
        <v>19.07</v>
      </c>
      <c r="O2155" s="112">
        <f ca="1">IFERROR(__xludf.DUMMYFUNCTION("""COMPUTED_VALUE"""),43432.7055555555)</f>
        <v>43432.705555555498</v>
      </c>
      <c r="P2155" s="111">
        <f ca="1">IFERROR(__xludf.DUMMYFUNCTION("""COMPUTED_VALUE"""),52.3)</f>
        <v>52.3</v>
      </c>
      <c r="Q2155" s="112">
        <f ca="1">IFERROR(__xludf.DUMMYFUNCTION("""COMPUTED_VALUE"""),43431.7055555555)</f>
        <v>43431.705555555498</v>
      </c>
      <c r="R2155" s="111">
        <f ca="1">IFERROR(__xludf.DUMMYFUNCTION("""COMPUTED_VALUE"""),45.05)</f>
        <v>45.05</v>
      </c>
      <c r="S2155" s="112">
        <f ca="1">IFERROR(__xludf.DUMMYFUNCTION("""COMPUTED_VALUE"""),43444.7055555555)</f>
        <v>43444.705555555498</v>
      </c>
      <c r="T2155" s="111">
        <f ca="1">IFERROR(__xludf.DUMMYFUNCTION("""COMPUTED_VALUE"""),31.61)</f>
        <v>31.61</v>
      </c>
    </row>
    <row r="2156" spans="1:20" x14ac:dyDescent="0.3">
      <c r="A2156" s="112">
        <f ca="1">IFERROR(__xludf.DUMMYFUNCTION("""COMPUTED_VALUE"""),43440.7055555555)</f>
        <v>43440.705555555498</v>
      </c>
      <c r="B2156" s="111">
        <f ca="1">IFERROR(__xludf.DUMMYFUNCTION("""COMPUTED_VALUE"""),24.46)</f>
        <v>24.46</v>
      </c>
      <c r="C2156" s="112">
        <f ca="1">IFERROR(__xludf.DUMMYFUNCTION("""COMPUTED_VALUE"""),43448.7055555555)</f>
        <v>43448.705555555498</v>
      </c>
      <c r="D2156" s="111">
        <f ca="1">IFERROR(__xludf.DUMMYFUNCTION("""COMPUTED_VALUE"""),35.52)</f>
        <v>35.520000000000003</v>
      </c>
      <c r="E2156" s="112">
        <f ca="1">IFERROR(__xludf.DUMMYFUNCTION("""COMPUTED_VALUE"""),43451.7055555555)</f>
        <v>43451.705555555498</v>
      </c>
      <c r="F2156" s="111">
        <f ca="1">IFERROR(__xludf.DUMMYFUNCTION("""COMPUTED_VALUE"""),11.29)</f>
        <v>11.29</v>
      </c>
      <c r="G2156" s="112">
        <f ca="1">IFERROR(__xludf.DUMMYFUNCTION("""COMPUTED_VALUE"""),43447.7055555555)</f>
        <v>43447.705555555498</v>
      </c>
      <c r="H2156" s="111">
        <f ca="1">IFERROR(__xludf.DUMMYFUNCTION("""COMPUTED_VALUE"""),23.36)</f>
        <v>23.36</v>
      </c>
      <c r="K2156" s="112">
        <f ca="1">IFERROR(__xludf.DUMMYFUNCTION("""COMPUTED_VALUE"""),43901.7055555555)</f>
        <v>43901.705555555498</v>
      </c>
      <c r="L2156" s="111">
        <f ca="1">IFERROR(__xludf.DUMMYFUNCTION("""COMPUTED_VALUE"""),10.77)</f>
        <v>10.77</v>
      </c>
      <c r="M2156" s="112">
        <f ca="1">IFERROR(__xludf.DUMMYFUNCTION("""COMPUTED_VALUE"""),43355.7055555555)</f>
        <v>43355.705555555498</v>
      </c>
      <c r="N2156" s="111">
        <f ca="1">IFERROR(__xludf.DUMMYFUNCTION("""COMPUTED_VALUE"""),19.08)</f>
        <v>19.079999999999998</v>
      </c>
      <c r="O2156" s="112">
        <f ca="1">IFERROR(__xludf.DUMMYFUNCTION("""COMPUTED_VALUE"""),43433.7055555555)</f>
        <v>43433.705555555498</v>
      </c>
      <c r="P2156" s="111">
        <f ca="1">IFERROR(__xludf.DUMMYFUNCTION("""COMPUTED_VALUE"""),52)</f>
        <v>52</v>
      </c>
      <c r="Q2156" s="112">
        <f ca="1">IFERROR(__xludf.DUMMYFUNCTION("""COMPUTED_VALUE"""),43432.7055555555)</f>
        <v>43432.705555555498</v>
      </c>
      <c r="R2156" s="111">
        <f ca="1">IFERROR(__xludf.DUMMYFUNCTION("""COMPUTED_VALUE"""),45.76)</f>
        <v>45.76</v>
      </c>
      <c r="S2156" s="112">
        <f ca="1">IFERROR(__xludf.DUMMYFUNCTION("""COMPUTED_VALUE"""),43445.7055555555)</f>
        <v>43445.705555555498</v>
      </c>
      <c r="T2156" s="111">
        <f ca="1">IFERROR(__xludf.DUMMYFUNCTION("""COMPUTED_VALUE"""),32.55)</f>
        <v>32.549999999999997</v>
      </c>
    </row>
    <row r="2157" spans="1:20" x14ac:dyDescent="0.3">
      <c r="A2157" s="112">
        <f ca="1">IFERROR(__xludf.DUMMYFUNCTION("""COMPUTED_VALUE"""),43441.7055555555)</f>
        <v>43441.705555555498</v>
      </c>
      <c r="B2157" s="111">
        <f ca="1">IFERROR(__xludf.DUMMYFUNCTION("""COMPUTED_VALUE"""),25.01)</f>
        <v>25.01</v>
      </c>
      <c r="C2157" s="112">
        <f ca="1">IFERROR(__xludf.DUMMYFUNCTION("""COMPUTED_VALUE"""),43451.7055555555)</f>
        <v>43451.705555555498</v>
      </c>
      <c r="D2157" s="111">
        <f ca="1">IFERROR(__xludf.DUMMYFUNCTION("""COMPUTED_VALUE"""),34.57)</f>
        <v>34.57</v>
      </c>
      <c r="E2157" s="112">
        <f ca="1">IFERROR(__xludf.DUMMYFUNCTION("""COMPUTED_VALUE"""),43452.7055555555)</f>
        <v>43452.705555555498</v>
      </c>
      <c r="F2157" s="111">
        <f ca="1">IFERROR(__xludf.DUMMYFUNCTION("""COMPUTED_VALUE"""),11.33)</f>
        <v>11.33</v>
      </c>
      <c r="G2157" s="112">
        <f ca="1">IFERROR(__xludf.DUMMYFUNCTION("""COMPUTED_VALUE"""),43448.7055555555)</f>
        <v>43448.705555555498</v>
      </c>
      <c r="H2157" s="111">
        <f ca="1">IFERROR(__xludf.DUMMYFUNCTION("""COMPUTED_VALUE"""),23.05)</f>
        <v>23.05</v>
      </c>
      <c r="K2157" s="112">
        <f ca="1">IFERROR(__xludf.DUMMYFUNCTION("""COMPUTED_VALUE"""),43902.7055555555)</f>
        <v>43902.705555555498</v>
      </c>
      <c r="L2157" s="111">
        <f ca="1">IFERROR(__xludf.DUMMYFUNCTION("""COMPUTED_VALUE"""),8.5)</f>
        <v>8.5</v>
      </c>
      <c r="M2157" s="112">
        <f ca="1">IFERROR(__xludf.DUMMYFUNCTION("""COMPUTED_VALUE"""),43356.7055555555)</f>
        <v>43356.705555555498</v>
      </c>
      <c r="N2157" s="111">
        <f ca="1">IFERROR(__xludf.DUMMYFUNCTION("""COMPUTED_VALUE"""),19)</f>
        <v>19</v>
      </c>
      <c r="O2157" s="112">
        <f ca="1">IFERROR(__xludf.DUMMYFUNCTION("""COMPUTED_VALUE"""),43434.7055555555)</f>
        <v>43434.705555555498</v>
      </c>
      <c r="P2157" s="111">
        <f ca="1">IFERROR(__xludf.DUMMYFUNCTION("""COMPUTED_VALUE"""),52.8)</f>
        <v>52.8</v>
      </c>
      <c r="Q2157" s="112">
        <f ca="1">IFERROR(__xludf.DUMMYFUNCTION("""COMPUTED_VALUE"""),43433.7055555555)</f>
        <v>43433.705555555498</v>
      </c>
      <c r="R2157" s="111">
        <f ca="1">IFERROR(__xludf.DUMMYFUNCTION("""COMPUTED_VALUE"""),45.24)</f>
        <v>45.24</v>
      </c>
      <c r="S2157" s="112">
        <f ca="1">IFERROR(__xludf.DUMMYFUNCTION("""COMPUTED_VALUE"""),43446.7055555555)</f>
        <v>43446.705555555498</v>
      </c>
      <c r="T2157" s="111">
        <f ca="1">IFERROR(__xludf.DUMMYFUNCTION("""COMPUTED_VALUE"""),32.66)</f>
        <v>32.659999999999997</v>
      </c>
    </row>
    <row r="2158" spans="1:20" x14ac:dyDescent="0.3">
      <c r="A2158" s="112">
        <f ca="1">IFERROR(__xludf.DUMMYFUNCTION("""COMPUTED_VALUE"""),43444.7055555555)</f>
        <v>43444.705555555498</v>
      </c>
      <c r="B2158" s="111">
        <f ca="1">IFERROR(__xludf.DUMMYFUNCTION("""COMPUTED_VALUE"""),24.53)</f>
        <v>24.53</v>
      </c>
      <c r="C2158" s="112">
        <f ca="1">IFERROR(__xludf.DUMMYFUNCTION("""COMPUTED_VALUE"""),43452.7055555555)</f>
        <v>43452.705555555498</v>
      </c>
      <c r="D2158" s="111">
        <f ca="1">IFERROR(__xludf.DUMMYFUNCTION("""COMPUTED_VALUE"""),35.12)</f>
        <v>35.119999999999997</v>
      </c>
      <c r="E2158" s="112">
        <f ca="1">IFERROR(__xludf.DUMMYFUNCTION("""COMPUTED_VALUE"""),43453.7055555555)</f>
        <v>43453.705555555498</v>
      </c>
      <c r="F2158" s="111">
        <f ca="1">IFERROR(__xludf.DUMMYFUNCTION("""COMPUTED_VALUE"""),11.32)</f>
        <v>11.32</v>
      </c>
      <c r="G2158" s="112">
        <f ca="1">IFERROR(__xludf.DUMMYFUNCTION("""COMPUTED_VALUE"""),43451.7055555555)</f>
        <v>43451.705555555498</v>
      </c>
      <c r="H2158" s="111">
        <f ca="1">IFERROR(__xludf.DUMMYFUNCTION("""COMPUTED_VALUE"""),22.87)</f>
        <v>22.87</v>
      </c>
      <c r="K2158" s="112">
        <f ca="1">IFERROR(__xludf.DUMMYFUNCTION("""COMPUTED_VALUE"""),43903.7055555555)</f>
        <v>43903.705555555498</v>
      </c>
      <c r="L2158" s="111">
        <f ca="1">IFERROR(__xludf.DUMMYFUNCTION("""COMPUTED_VALUE"""),10.5)</f>
        <v>10.5</v>
      </c>
      <c r="M2158" s="112">
        <f ca="1">IFERROR(__xludf.DUMMYFUNCTION("""COMPUTED_VALUE"""),43357.7055555555)</f>
        <v>43357.705555555498</v>
      </c>
      <c r="N2158" s="111">
        <f ca="1">IFERROR(__xludf.DUMMYFUNCTION("""COMPUTED_VALUE"""),19.08)</f>
        <v>19.079999999999998</v>
      </c>
      <c r="O2158" s="112">
        <f ca="1">IFERROR(__xludf.DUMMYFUNCTION("""COMPUTED_VALUE"""),43437.7055555555)</f>
        <v>43437.705555555498</v>
      </c>
      <c r="P2158" s="111">
        <f ca="1">IFERROR(__xludf.DUMMYFUNCTION("""COMPUTED_VALUE"""),54.11)</f>
        <v>54.11</v>
      </c>
      <c r="Q2158" s="112">
        <f ca="1">IFERROR(__xludf.DUMMYFUNCTION("""COMPUTED_VALUE"""),43434.7055555555)</f>
        <v>43434.705555555498</v>
      </c>
      <c r="R2158" s="111">
        <f ca="1">IFERROR(__xludf.DUMMYFUNCTION("""COMPUTED_VALUE"""),44.63)</f>
        <v>44.63</v>
      </c>
      <c r="S2158" s="112">
        <f ca="1">IFERROR(__xludf.DUMMYFUNCTION("""COMPUTED_VALUE"""),43447.7055555555)</f>
        <v>43447.705555555498</v>
      </c>
      <c r="T2158" s="111">
        <f ca="1">IFERROR(__xludf.DUMMYFUNCTION("""COMPUTED_VALUE"""),32.78)</f>
        <v>32.78</v>
      </c>
    </row>
    <row r="2159" spans="1:20" x14ac:dyDescent="0.3">
      <c r="A2159" s="112">
        <f ca="1">IFERROR(__xludf.DUMMYFUNCTION("""COMPUTED_VALUE"""),43445.7055555555)</f>
        <v>43445.705555555498</v>
      </c>
      <c r="B2159" s="111">
        <f ca="1">IFERROR(__xludf.DUMMYFUNCTION("""COMPUTED_VALUE"""),25.48)</f>
        <v>25.48</v>
      </c>
      <c r="C2159" s="112">
        <f ca="1">IFERROR(__xludf.DUMMYFUNCTION("""COMPUTED_VALUE"""),43453.7055555555)</f>
        <v>43453.705555555498</v>
      </c>
      <c r="D2159" s="111">
        <f ca="1">IFERROR(__xludf.DUMMYFUNCTION("""COMPUTED_VALUE"""),34.65)</f>
        <v>34.65</v>
      </c>
      <c r="E2159" s="112">
        <f ca="1">IFERROR(__xludf.DUMMYFUNCTION("""COMPUTED_VALUE"""),43454.7055555555)</f>
        <v>43454.705555555498</v>
      </c>
      <c r="F2159" s="111">
        <f ca="1">IFERROR(__xludf.DUMMYFUNCTION("""COMPUTED_VALUE"""),11.31)</f>
        <v>11.31</v>
      </c>
      <c r="G2159" s="112">
        <f ca="1">IFERROR(__xludf.DUMMYFUNCTION("""COMPUTED_VALUE"""),43452.7055555555)</f>
        <v>43452.705555555498</v>
      </c>
      <c r="H2159" s="111">
        <f ca="1">IFERROR(__xludf.DUMMYFUNCTION("""COMPUTED_VALUE"""),22)</f>
        <v>22</v>
      </c>
      <c r="K2159" s="112">
        <f ca="1">IFERROR(__xludf.DUMMYFUNCTION("""COMPUTED_VALUE"""),43906.7055555555)</f>
        <v>43906.705555555498</v>
      </c>
      <c r="L2159" s="111">
        <f ca="1">IFERROR(__xludf.DUMMYFUNCTION("""COMPUTED_VALUE"""),8.52)</f>
        <v>8.52</v>
      </c>
      <c r="M2159" s="112">
        <f ca="1">IFERROR(__xludf.DUMMYFUNCTION("""COMPUTED_VALUE"""),43360.7055555555)</f>
        <v>43360.705555555498</v>
      </c>
      <c r="N2159" s="111">
        <f ca="1">IFERROR(__xludf.DUMMYFUNCTION("""COMPUTED_VALUE"""),19.63)</f>
        <v>19.63</v>
      </c>
      <c r="O2159" s="112">
        <f ca="1">IFERROR(__xludf.DUMMYFUNCTION("""COMPUTED_VALUE"""),43438.7055555555)</f>
        <v>43438.705555555498</v>
      </c>
      <c r="P2159" s="111">
        <f ca="1">IFERROR(__xludf.DUMMYFUNCTION("""COMPUTED_VALUE"""),52.88)</f>
        <v>52.88</v>
      </c>
      <c r="Q2159" s="112">
        <f ca="1">IFERROR(__xludf.DUMMYFUNCTION("""COMPUTED_VALUE"""),43437.7055555555)</f>
        <v>43437.705555555498</v>
      </c>
      <c r="R2159" s="111">
        <f ca="1">IFERROR(__xludf.DUMMYFUNCTION("""COMPUTED_VALUE"""),44.1)</f>
        <v>44.1</v>
      </c>
      <c r="S2159" s="112">
        <f ca="1">IFERROR(__xludf.DUMMYFUNCTION("""COMPUTED_VALUE"""),43448.7055555555)</f>
        <v>43448.705555555498</v>
      </c>
      <c r="T2159" s="111">
        <f ca="1">IFERROR(__xludf.DUMMYFUNCTION("""COMPUTED_VALUE"""),32.64)</f>
        <v>32.64</v>
      </c>
    </row>
    <row r="2160" spans="1:20" x14ac:dyDescent="0.3">
      <c r="A2160" s="112">
        <f ca="1">IFERROR(__xludf.DUMMYFUNCTION("""COMPUTED_VALUE"""),43446.7055555555)</f>
        <v>43446.705555555498</v>
      </c>
      <c r="B2160" s="111">
        <f ca="1">IFERROR(__xludf.DUMMYFUNCTION("""COMPUTED_VALUE"""),24.99)</f>
        <v>24.99</v>
      </c>
      <c r="C2160" s="112">
        <f ca="1">IFERROR(__xludf.DUMMYFUNCTION("""COMPUTED_VALUE"""),43454.7055555555)</f>
        <v>43454.705555555498</v>
      </c>
      <c r="D2160" s="111">
        <f ca="1">IFERROR(__xludf.DUMMYFUNCTION("""COMPUTED_VALUE"""),34.64)</f>
        <v>34.64</v>
      </c>
      <c r="E2160" s="112">
        <f ca="1">IFERROR(__xludf.DUMMYFUNCTION("""COMPUTED_VALUE"""),43455.7055555555)</f>
        <v>43455.705555555498</v>
      </c>
      <c r="F2160" s="111">
        <f ca="1">IFERROR(__xludf.DUMMYFUNCTION("""COMPUTED_VALUE"""),11.19)</f>
        <v>11.19</v>
      </c>
      <c r="G2160" s="112">
        <f ca="1">IFERROR(__xludf.DUMMYFUNCTION("""COMPUTED_VALUE"""),43453.7055555555)</f>
        <v>43453.705555555498</v>
      </c>
      <c r="H2160" s="111">
        <f ca="1">IFERROR(__xludf.DUMMYFUNCTION("""COMPUTED_VALUE"""),22.25)</f>
        <v>22.25</v>
      </c>
      <c r="K2160" s="112">
        <f ca="1">IFERROR(__xludf.DUMMYFUNCTION("""COMPUTED_VALUE"""),43907.7055555555)</f>
        <v>43907.705555555498</v>
      </c>
      <c r="L2160" s="111">
        <f ca="1">IFERROR(__xludf.DUMMYFUNCTION("""COMPUTED_VALUE"""),8.9)</f>
        <v>8.9</v>
      </c>
      <c r="M2160" s="112">
        <f ca="1">IFERROR(__xludf.DUMMYFUNCTION("""COMPUTED_VALUE"""),43361.7055555555)</f>
        <v>43361.705555555498</v>
      </c>
      <c r="N2160" s="111">
        <f ca="1">IFERROR(__xludf.DUMMYFUNCTION("""COMPUTED_VALUE"""),19.79)</f>
        <v>19.79</v>
      </c>
      <c r="O2160" s="112">
        <f ca="1">IFERROR(__xludf.DUMMYFUNCTION("""COMPUTED_VALUE"""),43439.7055555555)</f>
        <v>43439.705555555498</v>
      </c>
      <c r="P2160" s="111">
        <f ca="1">IFERROR(__xludf.DUMMYFUNCTION("""COMPUTED_VALUE"""),52.8)</f>
        <v>52.8</v>
      </c>
      <c r="Q2160" s="112">
        <f ca="1">IFERROR(__xludf.DUMMYFUNCTION("""COMPUTED_VALUE"""),43438.7055555555)</f>
        <v>43438.705555555498</v>
      </c>
      <c r="R2160" s="111">
        <f ca="1">IFERROR(__xludf.DUMMYFUNCTION("""COMPUTED_VALUE"""),43.66)</f>
        <v>43.66</v>
      </c>
      <c r="S2160" s="112">
        <f ca="1">IFERROR(__xludf.DUMMYFUNCTION("""COMPUTED_VALUE"""),43451.7055555555)</f>
        <v>43451.705555555498</v>
      </c>
      <c r="T2160" s="111">
        <f ca="1">IFERROR(__xludf.DUMMYFUNCTION("""COMPUTED_VALUE"""),32.07)</f>
        <v>32.07</v>
      </c>
    </row>
    <row r="2161" spans="1:20" x14ac:dyDescent="0.3">
      <c r="A2161" s="112">
        <f ca="1">IFERROR(__xludf.DUMMYFUNCTION("""COMPUTED_VALUE"""),43447.7055555555)</f>
        <v>43447.705555555498</v>
      </c>
      <c r="B2161" s="111">
        <f ca="1">IFERROR(__xludf.DUMMYFUNCTION("""COMPUTED_VALUE"""),24.71)</f>
        <v>24.71</v>
      </c>
      <c r="C2161" s="112">
        <f ca="1">IFERROR(__xludf.DUMMYFUNCTION("""COMPUTED_VALUE"""),43455.7055555555)</f>
        <v>43455.705555555498</v>
      </c>
      <c r="D2161" s="111">
        <f ca="1">IFERROR(__xludf.DUMMYFUNCTION("""COMPUTED_VALUE"""),34.48)</f>
        <v>34.479999999999997</v>
      </c>
      <c r="E2161" s="112">
        <f ca="1">IFERROR(__xludf.DUMMYFUNCTION("""COMPUTED_VALUE"""),43460.7055555555)</f>
        <v>43460.705555555498</v>
      </c>
      <c r="F2161" s="111">
        <f ca="1">IFERROR(__xludf.DUMMYFUNCTION("""COMPUTED_VALUE"""),11.05)</f>
        <v>11.05</v>
      </c>
      <c r="G2161" s="112">
        <f ca="1">IFERROR(__xludf.DUMMYFUNCTION("""COMPUTED_VALUE"""),43454.7055555555)</f>
        <v>43454.705555555498</v>
      </c>
      <c r="H2161" s="111">
        <f ca="1">IFERROR(__xludf.DUMMYFUNCTION("""COMPUTED_VALUE"""),21.49)</f>
        <v>21.49</v>
      </c>
      <c r="K2161" s="112">
        <f ca="1">IFERROR(__xludf.DUMMYFUNCTION("""COMPUTED_VALUE"""),43908.7055555555)</f>
        <v>43908.705555555498</v>
      </c>
      <c r="L2161" s="111">
        <f ca="1">IFERROR(__xludf.DUMMYFUNCTION("""COMPUTED_VALUE"""),7.2)</f>
        <v>7.2</v>
      </c>
      <c r="M2161" s="112">
        <f ca="1">IFERROR(__xludf.DUMMYFUNCTION("""COMPUTED_VALUE"""),43362.7055555555)</f>
        <v>43362.705555555498</v>
      </c>
      <c r="N2161" s="111">
        <f ca="1">IFERROR(__xludf.DUMMYFUNCTION("""COMPUTED_VALUE"""),19.88)</f>
        <v>19.88</v>
      </c>
      <c r="O2161" s="112">
        <f ca="1">IFERROR(__xludf.DUMMYFUNCTION("""COMPUTED_VALUE"""),43440.7055555555)</f>
        <v>43440.705555555498</v>
      </c>
      <c r="P2161" s="111">
        <f ca="1">IFERROR(__xludf.DUMMYFUNCTION("""COMPUTED_VALUE"""),52.3)</f>
        <v>52.3</v>
      </c>
      <c r="Q2161" s="112">
        <f ca="1">IFERROR(__xludf.DUMMYFUNCTION("""COMPUTED_VALUE"""),43439.7055555555)</f>
        <v>43439.705555555498</v>
      </c>
      <c r="R2161" s="111">
        <f ca="1">IFERROR(__xludf.DUMMYFUNCTION("""COMPUTED_VALUE"""),44.1)</f>
        <v>44.1</v>
      </c>
      <c r="S2161" s="112">
        <f ca="1">IFERROR(__xludf.DUMMYFUNCTION("""COMPUTED_VALUE"""),43452.7055555555)</f>
        <v>43452.705555555498</v>
      </c>
      <c r="T2161" s="111">
        <f ca="1">IFERROR(__xludf.DUMMYFUNCTION("""COMPUTED_VALUE"""),32.07)</f>
        <v>32.07</v>
      </c>
    </row>
    <row r="2162" spans="1:20" x14ac:dyDescent="0.3">
      <c r="A2162" s="112">
        <f ca="1">IFERROR(__xludf.DUMMYFUNCTION("""COMPUTED_VALUE"""),43448.7055555555)</f>
        <v>43448.705555555498</v>
      </c>
      <c r="B2162" s="111">
        <f ca="1">IFERROR(__xludf.DUMMYFUNCTION("""COMPUTED_VALUE"""),24.14)</f>
        <v>24.14</v>
      </c>
      <c r="C2162" s="112">
        <f ca="1">IFERROR(__xludf.DUMMYFUNCTION("""COMPUTED_VALUE"""),43460.7055555555)</f>
        <v>43460.705555555498</v>
      </c>
      <c r="D2162" s="111">
        <f ca="1">IFERROR(__xludf.DUMMYFUNCTION("""COMPUTED_VALUE"""),33.73)</f>
        <v>33.729999999999997</v>
      </c>
      <c r="E2162" s="112">
        <f ca="1">IFERROR(__xludf.DUMMYFUNCTION("""COMPUTED_VALUE"""),43461.7055555555)</f>
        <v>43461.705555555498</v>
      </c>
      <c r="F2162" s="111">
        <f ca="1">IFERROR(__xludf.DUMMYFUNCTION("""COMPUTED_VALUE"""),11.24)</f>
        <v>11.24</v>
      </c>
      <c r="G2162" s="112">
        <f ca="1">IFERROR(__xludf.DUMMYFUNCTION("""COMPUTED_VALUE"""),43455.7055555555)</f>
        <v>43455.705555555498</v>
      </c>
      <c r="H2162" s="111">
        <f ca="1">IFERROR(__xludf.DUMMYFUNCTION("""COMPUTED_VALUE"""),21.55)</f>
        <v>21.55</v>
      </c>
      <c r="K2162" s="112">
        <f ca="1">IFERROR(__xludf.DUMMYFUNCTION("""COMPUTED_VALUE"""),43909.7055555555)</f>
        <v>43909.705555555498</v>
      </c>
      <c r="L2162" s="111">
        <f ca="1">IFERROR(__xludf.DUMMYFUNCTION("""COMPUTED_VALUE"""),7.64)</f>
        <v>7.64</v>
      </c>
      <c r="M2162" s="112">
        <f ca="1">IFERROR(__xludf.DUMMYFUNCTION("""COMPUTED_VALUE"""),43363.7055555555)</f>
        <v>43363.705555555498</v>
      </c>
      <c r="N2162" s="111">
        <f ca="1">IFERROR(__xludf.DUMMYFUNCTION("""COMPUTED_VALUE"""),19.83)</f>
        <v>19.829999999999998</v>
      </c>
      <c r="O2162" s="112">
        <f ca="1">IFERROR(__xludf.DUMMYFUNCTION("""COMPUTED_VALUE"""),43441.7055555555)</f>
        <v>43441.705555555498</v>
      </c>
      <c r="P2162" s="111">
        <f ca="1">IFERROR(__xludf.DUMMYFUNCTION("""COMPUTED_VALUE"""),51.29)</f>
        <v>51.29</v>
      </c>
      <c r="Q2162" s="112">
        <f ca="1">IFERROR(__xludf.DUMMYFUNCTION("""COMPUTED_VALUE"""),43440.7055555555)</f>
        <v>43440.705555555498</v>
      </c>
      <c r="R2162" s="111">
        <f ca="1">IFERROR(__xludf.DUMMYFUNCTION("""COMPUTED_VALUE"""),44.37)</f>
        <v>44.37</v>
      </c>
      <c r="S2162" s="112">
        <f ca="1">IFERROR(__xludf.DUMMYFUNCTION("""COMPUTED_VALUE"""),43453.7055555555)</f>
        <v>43453.705555555498</v>
      </c>
      <c r="T2162" s="111">
        <f ca="1">IFERROR(__xludf.DUMMYFUNCTION("""COMPUTED_VALUE"""),32.12)</f>
        <v>32.119999999999997</v>
      </c>
    </row>
    <row r="2163" spans="1:20" x14ac:dyDescent="0.3">
      <c r="A2163" s="112">
        <f ca="1">IFERROR(__xludf.DUMMYFUNCTION("""COMPUTED_VALUE"""),43451.7055555555)</f>
        <v>43451.705555555498</v>
      </c>
      <c r="B2163" s="111">
        <f ca="1">IFERROR(__xludf.DUMMYFUNCTION("""COMPUTED_VALUE"""),23.7)</f>
        <v>23.7</v>
      </c>
      <c r="C2163" s="112">
        <f ca="1">IFERROR(__xludf.DUMMYFUNCTION("""COMPUTED_VALUE"""),43461.7055555555)</f>
        <v>43461.705555555498</v>
      </c>
      <c r="D2163" s="111">
        <f ca="1">IFERROR(__xludf.DUMMYFUNCTION("""COMPUTED_VALUE"""),34.3)</f>
        <v>34.299999999999997</v>
      </c>
      <c r="E2163" s="112">
        <f ca="1">IFERROR(__xludf.DUMMYFUNCTION("""COMPUTED_VALUE"""),43462.7055555555)</f>
        <v>43462.705555555498</v>
      </c>
      <c r="F2163" s="111">
        <f ca="1">IFERROR(__xludf.DUMMYFUNCTION("""COMPUTED_VALUE"""),11.5)</f>
        <v>11.5</v>
      </c>
      <c r="G2163" s="112">
        <f ca="1">IFERROR(__xludf.DUMMYFUNCTION("""COMPUTED_VALUE"""),43460.7055555555)</f>
        <v>43460.705555555498</v>
      </c>
      <c r="H2163" s="111">
        <f ca="1">IFERROR(__xludf.DUMMYFUNCTION("""COMPUTED_VALUE"""),21.68)</f>
        <v>21.68</v>
      </c>
      <c r="K2163" s="112">
        <f ca="1">IFERROR(__xludf.DUMMYFUNCTION("""COMPUTED_VALUE"""),43910.7055555555)</f>
        <v>43910.705555555498</v>
      </c>
      <c r="L2163" s="111">
        <f ca="1">IFERROR(__xludf.DUMMYFUNCTION("""COMPUTED_VALUE"""),7.66)</f>
        <v>7.66</v>
      </c>
      <c r="M2163" s="112">
        <f ca="1">IFERROR(__xludf.DUMMYFUNCTION("""COMPUTED_VALUE"""),43364.7055555555)</f>
        <v>43364.705555555498</v>
      </c>
      <c r="N2163" s="111">
        <f ca="1">IFERROR(__xludf.DUMMYFUNCTION("""COMPUTED_VALUE"""),20.15)</f>
        <v>20.149999999999999</v>
      </c>
      <c r="O2163" s="112">
        <f ca="1">IFERROR(__xludf.DUMMYFUNCTION("""COMPUTED_VALUE"""),43444.7055555555)</f>
        <v>43444.705555555498</v>
      </c>
      <c r="P2163" s="111">
        <f ca="1">IFERROR(__xludf.DUMMYFUNCTION("""COMPUTED_VALUE"""),50.2)</f>
        <v>50.2</v>
      </c>
      <c r="Q2163" s="112">
        <f ca="1">IFERROR(__xludf.DUMMYFUNCTION("""COMPUTED_VALUE"""),43441.7055555555)</f>
        <v>43441.705555555498</v>
      </c>
      <c r="R2163" s="111">
        <f ca="1">IFERROR(__xludf.DUMMYFUNCTION("""COMPUTED_VALUE"""),44.03)</f>
        <v>44.03</v>
      </c>
      <c r="S2163" s="112">
        <f ca="1">IFERROR(__xludf.DUMMYFUNCTION("""COMPUTED_VALUE"""),43454.7055555555)</f>
        <v>43454.705555555498</v>
      </c>
      <c r="T2163" s="111">
        <f ca="1">IFERROR(__xludf.DUMMYFUNCTION("""COMPUTED_VALUE"""),32.65)</f>
        <v>32.65</v>
      </c>
    </row>
    <row r="2164" spans="1:20" x14ac:dyDescent="0.3">
      <c r="A2164" s="112">
        <f ca="1">IFERROR(__xludf.DUMMYFUNCTION("""COMPUTED_VALUE"""),43452.7055555555)</f>
        <v>43452.705555555498</v>
      </c>
      <c r="B2164" s="111">
        <f ca="1">IFERROR(__xludf.DUMMYFUNCTION("""COMPUTED_VALUE"""),24.55)</f>
        <v>24.55</v>
      </c>
      <c r="C2164" s="112">
        <f ca="1">IFERROR(__xludf.DUMMYFUNCTION("""COMPUTED_VALUE"""),43462.7055555555)</f>
        <v>43462.705555555498</v>
      </c>
      <c r="D2164" s="111">
        <f ca="1">IFERROR(__xludf.DUMMYFUNCTION("""COMPUTED_VALUE"""),35.5)</f>
        <v>35.5</v>
      </c>
      <c r="E2164" s="112">
        <f ca="1">IFERROR(__xludf.DUMMYFUNCTION("""COMPUTED_VALUE"""),43467.7055555555)</f>
        <v>43467.705555555498</v>
      </c>
      <c r="F2164" s="111">
        <f ca="1">IFERROR(__xludf.DUMMYFUNCTION("""COMPUTED_VALUE"""),12.05)</f>
        <v>12.05</v>
      </c>
      <c r="G2164" s="112">
        <f ca="1">IFERROR(__xludf.DUMMYFUNCTION("""COMPUTED_VALUE"""),43461.7055555555)</f>
        <v>43461.705555555498</v>
      </c>
      <c r="H2164" s="111">
        <f ca="1">IFERROR(__xludf.DUMMYFUNCTION("""COMPUTED_VALUE"""),21.67)</f>
        <v>21.67</v>
      </c>
      <c r="K2164" s="112">
        <f ca="1">IFERROR(__xludf.DUMMYFUNCTION("""COMPUTED_VALUE"""),43913.7055555555)</f>
        <v>43913.705555555498</v>
      </c>
      <c r="L2164" s="111">
        <f ca="1">IFERROR(__xludf.DUMMYFUNCTION("""COMPUTED_VALUE"""),7.55)</f>
        <v>7.55</v>
      </c>
      <c r="M2164" s="112">
        <f ca="1">IFERROR(__xludf.DUMMYFUNCTION("""COMPUTED_VALUE"""),43367.7055555555)</f>
        <v>43367.705555555498</v>
      </c>
      <c r="N2164" s="111">
        <f ca="1">IFERROR(__xludf.DUMMYFUNCTION("""COMPUTED_VALUE"""),19.61)</f>
        <v>19.61</v>
      </c>
      <c r="O2164" s="112">
        <f ca="1">IFERROR(__xludf.DUMMYFUNCTION("""COMPUTED_VALUE"""),43445.7055555555)</f>
        <v>43445.705555555498</v>
      </c>
      <c r="P2164" s="111">
        <f ca="1">IFERROR(__xludf.DUMMYFUNCTION("""COMPUTED_VALUE"""),50.6)</f>
        <v>50.6</v>
      </c>
      <c r="Q2164" s="112">
        <f ca="1">IFERROR(__xludf.DUMMYFUNCTION("""COMPUTED_VALUE"""),43444.7055555555)</f>
        <v>43444.705555555498</v>
      </c>
      <c r="R2164" s="111">
        <f ca="1">IFERROR(__xludf.DUMMYFUNCTION("""COMPUTED_VALUE"""),42.74)</f>
        <v>42.74</v>
      </c>
      <c r="S2164" s="112">
        <f ca="1">IFERROR(__xludf.DUMMYFUNCTION("""COMPUTED_VALUE"""),43455.7055555555)</f>
        <v>43455.705555555498</v>
      </c>
      <c r="T2164" s="111">
        <f ca="1">IFERROR(__xludf.DUMMYFUNCTION("""COMPUTED_VALUE"""),34.13)</f>
        <v>34.130000000000003</v>
      </c>
    </row>
    <row r="2165" spans="1:20" x14ac:dyDescent="0.3">
      <c r="A2165" s="112">
        <f ca="1">IFERROR(__xludf.DUMMYFUNCTION("""COMPUTED_VALUE"""),43453.7055555555)</f>
        <v>43453.705555555498</v>
      </c>
      <c r="B2165" s="111">
        <f ca="1">IFERROR(__xludf.DUMMYFUNCTION("""COMPUTED_VALUE"""),23.54)</f>
        <v>23.54</v>
      </c>
      <c r="C2165" s="112">
        <f ca="1">IFERROR(__xludf.DUMMYFUNCTION("""COMPUTED_VALUE"""),43467.7055555555)</f>
        <v>43467.705555555498</v>
      </c>
      <c r="D2165" s="111">
        <f ca="1">IFERROR(__xludf.DUMMYFUNCTION("""COMPUTED_VALUE"""),37)</f>
        <v>37</v>
      </c>
      <c r="E2165" s="112">
        <f ca="1">IFERROR(__xludf.DUMMYFUNCTION("""COMPUTED_VALUE"""),43468.7055555555)</f>
        <v>43468.705555555498</v>
      </c>
      <c r="F2165" s="111">
        <f ca="1">IFERROR(__xludf.DUMMYFUNCTION("""COMPUTED_VALUE"""),12.15)</f>
        <v>12.15</v>
      </c>
      <c r="G2165" s="112">
        <f ca="1">IFERROR(__xludf.DUMMYFUNCTION("""COMPUTED_VALUE"""),43462.7055555555)</f>
        <v>43462.705555555498</v>
      </c>
      <c r="H2165" s="111">
        <f ca="1">IFERROR(__xludf.DUMMYFUNCTION("""COMPUTED_VALUE"""),22.68)</f>
        <v>22.68</v>
      </c>
      <c r="K2165" s="112">
        <f ca="1">IFERROR(__xludf.DUMMYFUNCTION("""COMPUTED_VALUE"""),43914.7055555555)</f>
        <v>43914.705555555498</v>
      </c>
      <c r="L2165" s="111">
        <f ca="1">IFERROR(__xludf.DUMMYFUNCTION("""COMPUTED_VALUE"""),9.17)</f>
        <v>9.17</v>
      </c>
      <c r="M2165" s="112">
        <f ca="1">IFERROR(__xludf.DUMMYFUNCTION("""COMPUTED_VALUE"""),43368.7055555555)</f>
        <v>43368.705555555498</v>
      </c>
      <c r="N2165" s="111">
        <f ca="1">IFERROR(__xludf.DUMMYFUNCTION("""COMPUTED_VALUE"""),19.63)</f>
        <v>19.63</v>
      </c>
      <c r="O2165" s="112">
        <f ca="1">IFERROR(__xludf.DUMMYFUNCTION("""COMPUTED_VALUE"""),43446.7055555555)</f>
        <v>43446.705555555498</v>
      </c>
      <c r="P2165" s="111">
        <f ca="1">IFERROR(__xludf.DUMMYFUNCTION("""COMPUTED_VALUE"""),50.37)</f>
        <v>50.37</v>
      </c>
      <c r="Q2165" s="112">
        <f ca="1">IFERROR(__xludf.DUMMYFUNCTION("""COMPUTED_VALUE"""),43445.7055555555)</f>
        <v>43445.705555555498</v>
      </c>
      <c r="R2165" s="111">
        <f ca="1">IFERROR(__xludf.DUMMYFUNCTION("""COMPUTED_VALUE"""),42.99)</f>
        <v>42.99</v>
      </c>
      <c r="S2165" s="112">
        <f ca="1">IFERROR(__xludf.DUMMYFUNCTION("""COMPUTED_VALUE"""),43460.7055555555)</f>
        <v>43460.705555555498</v>
      </c>
      <c r="T2165" s="111">
        <f ca="1">IFERROR(__xludf.DUMMYFUNCTION("""COMPUTED_VALUE"""),33.39)</f>
        <v>33.39</v>
      </c>
    </row>
    <row r="2166" spans="1:20" x14ac:dyDescent="0.3">
      <c r="A2166" s="112">
        <f ca="1">IFERROR(__xludf.DUMMYFUNCTION("""COMPUTED_VALUE"""),43454.7055555555)</f>
        <v>43454.705555555498</v>
      </c>
      <c r="B2166" s="111">
        <f ca="1">IFERROR(__xludf.DUMMYFUNCTION("""COMPUTED_VALUE"""),22.84)</f>
        <v>22.84</v>
      </c>
      <c r="C2166" s="112">
        <f ca="1">IFERROR(__xludf.DUMMYFUNCTION("""COMPUTED_VALUE"""),43468.7055555555)</f>
        <v>43468.705555555498</v>
      </c>
      <c r="D2166" s="111">
        <f ca="1">IFERROR(__xludf.DUMMYFUNCTION("""COMPUTED_VALUE"""),37.61)</f>
        <v>37.61</v>
      </c>
      <c r="E2166" s="112">
        <f ca="1">IFERROR(__xludf.DUMMYFUNCTION("""COMPUTED_VALUE"""),43469.7055555555)</f>
        <v>43469.705555555498</v>
      </c>
      <c r="F2166" s="111">
        <f ca="1">IFERROR(__xludf.DUMMYFUNCTION("""COMPUTED_VALUE"""),12.11)</f>
        <v>12.11</v>
      </c>
      <c r="G2166" s="112">
        <f ca="1">IFERROR(__xludf.DUMMYFUNCTION("""COMPUTED_VALUE"""),43467.7055555555)</f>
        <v>43467.705555555498</v>
      </c>
      <c r="H2166" s="111">
        <f ca="1">IFERROR(__xludf.DUMMYFUNCTION("""COMPUTED_VALUE"""),24.06)</f>
        <v>24.06</v>
      </c>
      <c r="K2166" s="112">
        <f ca="1">IFERROR(__xludf.DUMMYFUNCTION("""COMPUTED_VALUE"""),43915.7055555555)</f>
        <v>43915.705555555498</v>
      </c>
      <c r="L2166" s="111">
        <f ca="1">IFERROR(__xludf.DUMMYFUNCTION("""COMPUTED_VALUE"""),10)</f>
        <v>10</v>
      </c>
      <c r="M2166" s="112">
        <f ca="1">IFERROR(__xludf.DUMMYFUNCTION("""COMPUTED_VALUE"""),43369.7055555555)</f>
        <v>43369.705555555498</v>
      </c>
      <c r="N2166" s="111">
        <f ca="1">IFERROR(__xludf.DUMMYFUNCTION("""COMPUTED_VALUE"""),19.68)</f>
        <v>19.68</v>
      </c>
      <c r="O2166" s="112">
        <f ca="1">IFERROR(__xludf.DUMMYFUNCTION("""COMPUTED_VALUE"""),43447.7055555555)</f>
        <v>43447.705555555498</v>
      </c>
      <c r="P2166" s="111">
        <f ca="1">IFERROR(__xludf.DUMMYFUNCTION("""COMPUTED_VALUE"""),50.6)</f>
        <v>50.6</v>
      </c>
      <c r="Q2166" s="112">
        <f ca="1">IFERROR(__xludf.DUMMYFUNCTION("""COMPUTED_VALUE"""),43446.7055555555)</f>
        <v>43446.705555555498</v>
      </c>
      <c r="R2166" s="111">
        <f ca="1">IFERROR(__xludf.DUMMYFUNCTION("""COMPUTED_VALUE"""),42.98)</f>
        <v>42.98</v>
      </c>
      <c r="S2166" s="112">
        <f ca="1">IFERROR(__xludf.DUMMYFUNCTION("""COMPUTED_VALUE"""),43461.7055555555)</f>
        <v>43461.705555555498</v>
      </c>
      <c r="T2166" s="111">
        <f ca="1">IFERROR(__xludf.DUMMYFUNCTION("""COMPUTED_VALUE"""),34.06)</f>
        <v>34.06</v>
      </c>
    </row>
    <row r="2167" spans="1:20" x14ac:dyDescent="0.3">
      <c r="A2167" s="112">
        <f ca="1">IFERROR(__xludf.DUMMYFUNCTION("""COMPUTED_VALUE"""),43455.7055555555)</f>
        <v>43455.705555555498</v>
      </c>
      <c r="B2167" s="111">
        <f ca="1">IFERROR(__xludf.DUMMYFUNCTION("""COMPUTED_VALUE"""),22.45)</f>
        <v>22.45</v>
      </c>
      <c r="C2167" s="112">
        <f ca="1">IFERROR(__xludf.DUMMYFUNCTION("""COMPUTED_VALUE"""),43469.7055555555)</f>
        <v>43469.705555555498</v>
      </c>
      <c r="D2167" s="111">
        <f ca="1">IFERROR(__xludf.DUMMYFUNCTION("""COMPUTED_VALUE"""),36.98)</f>
        <v>36.979999999999997</v>
      </c>
      <c r="E2167" s="112">
        <f ca="1">IFERROR(__xludf.DUMMYFUNCTION("""COMPUTED_VALUE"""),43472.7055555555)</f>
        <v>43472.705555555498</v>
      </c>
      <c r="F2167" s="111">
        <f ca="1">IFERROR(__xludf.DUMMYFUNCTION("""COMPUTED_VALUE"""),12.1)</f>
        <v>12.1</v>
      </c>
      <c r="G2167" s="112">
        <f ca="1">IFERROR(__xludf.DUMMYFUNCTION("""COMPUTED_VALUE"""),43468.7055555555)</f>
        <v>43468.705555555498</v>
      </c>
      <c r="H2167" s="111">
        <f ca="1">IFERROR(__xludf.DUMMYFUNCTION("""COMPUTED_VALUE"""),24.65)</f>
        <v>24.65</v>
      </c>
      <c r="K2167" s="112">
        <f ca="1">IFERROR(__xludf.DUMMYFUNCTION("""COMPUTED_VALUE"""),43916.7055555555)</f>
        <v>43916.705555555498</v>
      </c>
      <c r="L2167" s="111">
        <f ca="1">IFERROR(__xludf.DUMMYFUNCTION("""COMPUTED_VALUE"""),10.28)</f>
        <v>10.28</v>
      </c>
      <c r="M2167" s="112">
        <f ca="1">IFERROR(__xludf.DUMMYFUNCTION("""COMPUTED_VALUE"""),43370.7055555555)</f>
        <v>43370.705555555498</v>
      </c>
      <c r="N2167" s="111">
        <f ca="1">IFERROR(__xludf.DUMMYFUNCTION("""COMPUTED_VALUE"""),20.12)</f>
        <v>20.12</v>
      </c>
      <c r="O2167" s="112">
        <f ca="1">IFERROR(__xludf.DUMMYFUNCTION("""COMPUTED_VALUE"""),43448.7055555555)</f>
        <v>43448.705555555498</v>
      </c>
      <c r="P2167" s="111">
        <f ca="1">IFERROR(__xludf.DUMMYFUNCTION("""COMPUTED_VALUE"""),50.88)</f>
        <v>50.88</v>
      </c>
      <c r="Q2167" s="112">
        <f ca="1">IFERROR(__xludf.DUMMYFUNCTION("""COMPUTED_VALUE"""),43447.7055555555)</f>
        <v>43447.705555555498</v>
      </c>
      <c r="R2167" s="111">
        <f ca="1">IFERROR(__xludf.DUMMYFUNCTION("""COMPUTED_VALUE"""),44.08)</f>
        <v>44.08</v>
      </c>
      <c r="S2167" s="112">
        <f ca="1">IFERROR(__xludf.DUMMYFUNCTION("""COMPUTED_VALUE"""),43462.7055555555)</f>
        <v>43462.705555555498</v>
      </c>
      <c r="T2167" s="111">
        <f ca="1">IFERROR(__xludf.DUMMYFUNCTION("""COMPUTED_VALUE"""),35.04)</f>
        <v>35.04</v>
      </c>
    </row>
    <row r="2168" spans="1:20" x14ac:dyDescent="0.3">
      <c r="A2168" s="112">
        <f ca="1">IFERROR(__xludf.DUMMYFUNCTION("""COMPUTED_VALUE"""),43460.7055555555)</f>
        <v>43460.705555555498</v>
      </c>
      <c r="B2168" s="111">
        <f ca="1">IFERROR(__xludf.DUMMYFUNCTION("""COMPUTED_VALUE"""),22.17)</f>
        <v>22.17</v>
      </c>
      <c r="C2168" s="112">
        <f ca="1">IFERROR(__xludf.DUMMYFUNCTION("""COMPUTED_VALUE"""),43472.7055555555)</f>
        <v>43472.705555555498</v>
      </c>
      <c r="D2168" s="111">
        <f ca="1">IFERROR(__xludf.DUMMYFUNCTION("""COMPUTED_VALUE"""),37.05)</f>
        <v>37.049999999999997</v>
      </c>
      <c r="E2168" s="112">
        <f ca="1">IFERROR(__xludf.DUMMYFUNCTION("""COMPUTED_VALUE"""),43473.7055555555)</f>
        <v>43473.705555555498</v>
      </c>
      <c r="F2168" s="111">
        <f ca="1">IFERROR(__xludf.DUMMYFUNCTION("""COMPUTED_VALUE"""),12.27)</f>
        <v>12.27</v>
      </c>
      <c r="G2168" s="112">
        <f ca="1">IFERROR(__xludf.DUMMYFUNCTION("""COMPUTED_VALUE"""),43469.7055555555)</f>
        <v>43469.705555555498</v>
      </c>
      <c r="H2168" s="111">
        <f ca="1">IFERROR(__xludf.DUMMYFUNCTION("""COMPUTED_VALUE"""),24.72)</f>
        <v>24.72</v>
      </c>
      <c r="K2168" s="112">
        <f ca="1">IFERROR(__xludf.DUMMYFUNCTION("""COMPUTED_VALUE"""),43917.7055555555)</f>
        <v>43917.705555555498</v>
      </c>
      <c r="L2168" s="111">
        <f ca="1">IFERROR(__xludf.DUMMYFUNCTION("""COMPUTED_VALUE"""),9.75)</f>
        <v>9.75</v>
      </c>
      <c r="M2168" s="112">
        <f ca="1">IFERROR(__xludf.DUMMYFUNCTION("""COMPUTED_VALUE"""),43371.7055555555)</f>
        <v>43371.705555555498</v>
      </c>
      <c r="N2168" s="111">
        <f ca="1">IFERROR(__xludf.DUMMYFUNCTION("""COMPUTED_VALUE"""),19.75)</f>
        <v>19.75</v>
      </c>
      <c r="O2168" s="112">
        <f ca="1">IFERROR(__xludf.DUMMYFUNCTION("""COMPUTED_VALUE"""),43451.7055555555)</f>
        <v>43451.705555555498</v>
      </c>
      <c r="P2168" s="111">
        <f ca="1">IFERROR(__xludf.DUMMYFUNCTION("""COMPUTED_VALUE"""),51.25)</f>
        <v>51.25</v>
      </c>
      <c r="Q2168" s="112">
        <f ca="1">IFERROR(__xludf.DUMMYFUNCTION("""COMPUTED_VALUE"""),43448.7055555555)</f>
        <v>43448.705555555498</v>
      </c>
      <c r="R2168" s="111">
        <f ca="1">IFERROR(__xludf.DUMMYFUNCTION("""COMPUTED_VALUE"""),44.1)</f>
        <v>44.1</v>
      </c>
      <c r="S2168" s="112">
        <f ca="1">IFERROR(__xludf.DUMMYFUNCTION("""COMPUTED_VALUE"""),43467.7055555555)</f>
        <v>43467.705555555498</v>
      </c>
      <c r="T2168" s="111">
        <f ca="1">IFERROR(__xludf.DUMMYFUNCTION("""COMPUTED_VALUE"""),35.99)</f>
        <v>35.99</v>
      </c>
    </row>
    <row r="2169" spans="1:20" x14ac:dyDescent="0.3">
      <c r="A2169" s="112">
        <f ca="1">IFERROR(__xludf.DUMMYFUNCTION("""COMPUTED_VALUE"""),43461.7055555555)</f>
        <v>43461.705555555498</v>
      </c>
      <c r="B2169" s="111">
        <f ca="1">IFERROR(__xludf.DUMMYFUNCTION("""COMPUTED_VALUE"""),23.67)</f>
        <v>23.67</v>
      </c>
      <c r="C2169" s="112">
        <f ca="1">IFERROR(__xludf.DUMMYFUNCTION("""COMPUTED_VALUE"""),43473.7055555555)</f>
        <v>43473.705555555498</v>
      </c>
      <c r="D2169" s="111">
        <f ca="1">IFERROR(__xludf.DUMMYFUNCTION("""COMPUTED_VALUE"""),37.52)</f>
        <v>37.520000000000003</v>
      </c>
      <c r="E2169" s="112">
        <f ca="1">IFERROR(__xludf.DUMMYFUNCTION("""COMPUTED_VALUE"""),43474.7055555555)</f>
        <v>43474.705555555498</v>
      </c>
      <c r="F2169" s="111">
        <f ca="1">IFERROR(__xludf.DUMMYFUNCTION("""COMPUTED_VALUE"""),12.43)</f>
        <v>12.43</v>
      </c>
      <c r="G2169" s="112">
        <f ca="1">IFERROR(__xludf.DUMMYFUNCTION("""COMPUTED_VALUE"""),43472.7055555555)</f>
        <v>43472.705555555498</v>
      </c>
      <c r="H2169" s="111">
        <f ca="1">IFERROR(__xludf.DUMMYFUNCTION("""COMPUTED_VALUE"""),25.11)</f>
        <v>25.11</v>
      </c>
      <c r="K2169" s="112">
        <f ca="1">IFERROR(__xludf.DUMMYFUNCTION("""COMPUTED_VALUE"""),43920.7055555555)</f>
        <v>43920.705555555498</v>
      </c>
      <c r="L2169" s="111">
        <f ca="1">IFERROR(__xludf.DUMMYFUNCTION("""COMPUTED_VALUE"""),10.4)</f>
        <v>10.4</v>
      </c>
      <c r="M2169" s="112">
        <f ca="1">IFERROR(__xludf.DUMMYFUNCTION("""COMPUTED_VALUE"""),43374.7055555555)</f>
        <v>43374.705555555498</v>
      </c>
      <c r="N2169" s="111">
        <f ca="1">IFERROR(__xludf.DUMMYFUNCTION("""COMPUTED_VALUE"""),19.52)</f>
        <v>19.52</v>
      </c>
      <c r="O2169" s="112">
        <f ca="1">IFERROR(__xludf.DUMMYFUNCTION("""COMPUTED_VALUE"""),43452.7055555555)</f>
        <v>43452.705555555498</v>
      </c>
      <c r="P2169" s="111">
        <f ca="1">IFERROR(__xludf.DUMMYFUNCTION("""COMPUTED_VALUE"""),51.44)</f>
        <v>51.44</v>
      </c>
      <c r="Q2169" s="112">
        <f ca="1">IFERROR(__xludf.DUMMYFUNCTION("""COMPUTED_VALUE"""),43451.7055555555)</f>
        <v>43451.705555555498</v>
      </c>
      <c r="R2169" s="111">
        <f ca="1">IFERROR(__xludf.DUMMYFUNCTION("""COMPUTED_VALUE"""),43.7)</f>
        <v>43.7</v>
      </c>
      <c r="S2169" s="112">
        <f ca="1">IFERROR(__xludf.DUMMYFUNCTION("""COMPUTED_VALUE"""),43468.7055555555)</f>
        <v>43468.705555555498</v>
      </c>
      <c r="T2169" s="111">
        <f ca="1">IFERROR(__xludf.DUMMYFUNCTION("""COMPUTED_VALUE"""),35.54)</f>
        <v>35.54</v>
      </c>
    </row>
    <row r="2170" spans="1:20" x14ac:dyDescent="0.3">
      <c r="A2170" s="112">
        <f ca="1">IFERROR(__xludf.DUMMYFUNCTION("""COMPUTED_VALUE"""),43462.7055555555)</f>
        <v>43462.705555555498</v>
      </c>
      <c r="B2170" s="111">
        <f ca="1">IFERROR(__xludf.DUMMYFUNCTION("""COMPUTED_VALUE"""),23.96)</f>
        <v>23.96</v>
      </c>
      <c r="C2170" s="112">
        <f ca="1">IFERROR(__xludf.DUMMYFUNCTION("""COMPUTED_VALUE"""),43474.7055555555)</f>
        <v>43474.705555555498</v>
      </c>
      <c r="D2170" s="111">
        <f ca="1">IFERROR(__xludf.DUMMYFUNCTION("""COMPUTED_VALUE"""),38.09)</f>
        <v>38.090000000000003</v>
      </c>
      <c r="E2170" s="112">
        <f ca="1">IFERROR(__xludf.DUMMYFUNCTION("""COMPUTED_VALUE"""),43475.7055555555)</f>
        <v>43475.705555555498</v>
      </c>
      <c r="F2170" s="111">
        <f ca="1">IFERROR(__xludf.DUMMYFUNCTION("""COMPUTED_VALUE"""),12.34)</f>
        <v>12.34</v>
      </c>
      <c r="G2170" s="112">
        <f ca="1">IFERROR(__xludf.DUMMYFUNCTION("""COMPUTED_VALUE"""),43473.7055555555)</f>
        <v>43473.705555555498</v>
      </c>
      <c r="H2170" s="111">
        <f ca="1">IFERROR(__xludf.DUMMYFUNCTION("""COMPUTED_VALUE"""),24.96)</f>
        <v>24.96</v>
      </c>
      <c r="K2170" s="112">
        <f ca="1">IFERROR(__xludf.DUMMYFUNCTION("""COMPUTED_VALUE"""),43921.7055555555)</f>
        <v>43921.705555555498</v>
      </c>
      <c r="L2170" s="111">
        <f ca="1">IFERROR(__xludf.DUMMYFUNCTION("""COMPUTED_VALUE"""),9.75)</f>
        <v>9.75</v>
      </c>
      <c r="M2170" s="112">
        <f ca="1">IFERROR(__xludf.DUMMYFUNCTION("""COMPUTED_VALUE"""),43375.7055555555)</f>
        <v>43375.705555555498</v>
      </c>
      <c r="N2170" s="111">
        <f ca="1">IFERROR(__xludf.DUMMYFUNCTION("""COMPUTED_VALUE"""),20.66)</f>
        <v>20.66</v>
      </c>
      <c r="O2170" s="112">
        <f ca="1">IFERROR(__xludf.DUMMYFUNCTION("""COMPUTED_VALUE"""),43453.7055555555)</f>
        <v>43453.705555555498</v>
      </c>
      <c r="P2170" s="111">
        <f ca="1">IFERROR(__xludf.DUMMYFUNCTION("""COMPUTED_VALUE"""),50.01)</f>
        <v>50.01</v>
      </c>
      <c r="Q2170" s="112">
        <f ca="1">IFERROR(__xludf.DUMMYFUNCTION("""COMPUTED_VALUE"""),43452.7055555555)</f>
        <v>43452.705555555498</v>
      </c>
      <c r="R2170" s="111">
        <f ca="1">IFERROR(__xludf.DUMMYFUNCTION("""COMPUTED_VALUE"""),43.8)</f>
        <v>43.8</v>
      </c>
      <c r="S2170" s="112">
        <f ca="1">IFERROR(__xludf.DUMMYFUNCTION("""COMPUTED_VALUE"""),43469.7055555555)</f>
        <v>43469.705555555498</v>
      </c>
      <c r="T2170" s="111">
        <f ca="1">IFERROR(__xludf.DUMMYFUNCTION("""COMPUTED_VALUE"""),34.17)</f>
        <v>34.17</v>
      </c>
    </row>
    <row r="2171" spans="1:20" x14ac:dyDescent="0.3">
      <c r="A2171" s="112">
        <f ca="1">IFERROR(__xludf.DUMMYFUNCTION("""COMPUTED_VALUE"""),43467.7055555555)</f>
        <v>43467.705555555498</v>
      </c>
      <c r="B2171" s="111">
        <f ca="1">IFERROR(__xludf.DUMMYFUNCTION("""COMPUTED_VALUE"""),24.02)</f>
        <v>24.02</v>
      </c>
      <c r="C2171" s="112">
        <f ca="1">IFERROR(__xludf.DUMMYFUNCTION("""COMPUTED_VALUE"""),43475.7055555555)</f>
        <v>43475.705555555498</v>
      </c>
      <c r="D2171" s="111">
        <f ca="1">IFERROR(__xludf.DUMMYFUNCTION("""COMPUTED_VALUE"""),37.83)</f>
        <v>37.83</v>
      </c>
      <c r="E2171" s="112">
        <f ca="1">IFERROR(__xludf.DUMMYFUNCTION("""COMPUTED_VALUE"""),43476.7055555555)</f>
        <v>43476.705555555498</v>
      </c>
      <c r="F2171" s="111">
        <f ca="1">IFERROR(__xludf.DUMMYFUNCTION("""COMPUTED_VALUE"""),12.19)</f>
        <v>12.19</v>
      </c>
      <c r="G2171" s="112">
        <f ca="1">IFERROR(__xludf.DUMMYFUNCTION("""COMPUTED_VALUE"""),43474.7055555555)</f>
        <v>43474.705555555498</v>
      </c>
      <c r="H2171" s="111">
        <f ca="1">IFERROR(__xludf.DUMMYFUNCTION("""COMPUTED_VALUE"""),25.48)</f>
        <v>25.48</v>
      </c>
      <c r="K2171" s="112">
        <f ca="1">IFERROR(__xludf.DUMMYFUNCTION("""COMPUTED_VALUE"""),43922.7055555555)</f>
        <v>43922.705555555498</v>
      </c>
      <c r="L2171" s="111">
        <f ca="1">IFERROR(__xludf.DUMMYFUNCTION("""COMPUTED_VALUE"""),9.37)</f>
        <v>9.3699999999999992</v>
      </c>
      <c r="M2171" s="112">
        <f ca="1">IFERROR(__xludf.DUMMYFUNCTION("""COMPUTED_VALUE"""),43376.7055555555)</f>
        <v>43376.705555555498</v>
      </c>
      <c r="N2171" s="111">
        <f ca="1">IFERROR(__xludf.DUMMYFUNCTION("""COMPUTED_VALUE"""),21.56)</f>
        <v>21.56</v>
      </c>
      <c r="O2171" s="112">
        <f ca="1">IFERROR(__xludf.DUMMYFUNCTION("""COMPUTED_VALUE"""),43454.7055555555)</f>
        <v>43454.705555555498</v>
      </c>
      <c r="P2171" s="111">
        <f ca="1">IFERROR(__xludf.DUMMYFUNCTION("""COMPUTED_VALUE"""),49.81)</f>
        <v>49.81</v>
      </c>
      <c r="Q2171" s="112">
        <f ca="1">IFERROR(__xludf.DUMMYFUNCTION("""COMPUTED_VALUE"""),43453.7055555555)</f>
        <v>43453.705555555498</v>
      </c>
      <c r="R2171" s="111">
        <f ca="1">IFERROR(__xludf.DUMMYFUNCTION("""COMPUTED_VALUE"""),43.8)</f>
        <v>43.8</v>
      </c>
      <c r="S2171" s="112">
        <f ca="1">IFERROR(__xludf.DUMMYFUNCTION("""COMPUTED_VALUE"""),43472.7055555555)</f>
        <v>43472.705555555498</v>
      </c>
      <c r="T2171" s="111">
        <f ca="1">IFERROR(__xludf.DUMMYFUNCTION("""COMPUTED_VALUE"""),33.39)</f>
        <v>33.39</v>
      </c>
    </row>
    <row r="2172" spans="1:20" x14ac:dyDescent="0.3">
      <c r="A2172" s="112">
        <f ca="1">IFERROR(__xludf.DUMMYFUNCTION("""COMPUTED_VALUE"""),43468.7055555555)</f>
        <v>43468.705555555498</v>
      </c>
      <c r="B2172" s="111">
        <f ca="1">IFERROR(__xludf.DUMMYFUNCTION("""COMPUTED_VALUE"""),30.66)</f>
        <v>30.66</v>
      </c>
      <c r="C2172" s="112">
        <f ca="1">IFERROR(__xludf.DUMMYFUNCTION("""COMPUTED_VALUE"""),43476.7055555555)</f>
        <v>43476.705555555498</v>
      </c>
      <c r="D2172" s="111">
        <f ca="1">IFERROR(__xludf.DUMMYFUNCTION("""COMPUTED_VALUE"""),37.6)</f>
        <v>37.6</v>
      </c>
      <c r="E2172" s="112">
        <f ca="1">IFERROR(__xludf.DUMMYFUNCTION("""COMPUTED_VALUE"""),43479.7055555555)</f>
        <v>43479.705555555498</v>
      </c>
      <c r="F2172" s="111">
        <f ca="1">IFERROR(__xludf.DUMMYFUNCTION("""COMPUTED_VALUE"""),12.37)</f>
        <v>12.37</v>
      </c>
      <c r="G2172" s="112">
        <f ca="1">IFERROR(__xludf.DUMMYFUNCTION("""COMPUTED_VALUE"""),43475.7055555555)</f>
        <v>43475.705555555498</v>
      </c>
      <c r="H2172" s="111">
        <f ca="1">IFERROR(__xludf.DUMMYFUNCTION("""COMPUTED_VALUE"""),25.26)</f>
        <v>25.26</v>
      </c>
      <c r="K2172" s="112">
        <f ca="1">IFERROR(__xludf.DUMMYFUNCTION("""COMPUTED_VALUE"""),43923.7055555555)</f>
        <v>43923.705555555498</v>
      </c>
      <c r="L2172" s="111">
        <f ca="1">IFERROR(__xludf.DUMMYFUNCTION("""COMPUTED_VALUE"""),8.98)</f>
        <v>8.98</v>
      </c>
      <c r="M2172" s="112">
        <f ca="1">IFERROR(__xludf.DUMMYFUNCTION("""COMPUTED_VALUE"""),43377.7055555555)</f>
        <v>43377.705555555498</v>
      </c>
      <c r="N2172" s="111">
        <f ca="1">IFERROR(__xludf.DUMMYFUNCTION("""COMPUTED_VALUE"""),21.66)</f>
        <v>21.66</v>
      </c>
      <c r="O2172" s="112">
        <f ca="1">IFERROR(__xludf.DUMMYFUNCTION("""COMPUTED_VALUE"""),43455.7055555555)</f>
        <v>43455.705555555498</v>
      </c>
      <c r="P2172" s="111">
        <f ca="1">IFERROR(__xludf.DUMMYFUNCTION("""COMPUTED_VALUE"""),50.86)</f>
        <v>50.86</v>
      </c>
      <c r="Q2172" s="112">
        <f ca="1">IFERROR(__xludf.DUMMYFUNCTION("""COMPUTED_VALUE"""),43454.7055555555)</f>
        <v>43454.705555555498</v>
      </c>
      <c r="R2172" s="111">
        <f ca="1">IFERROR(__xludf.DUMMYFUNCTION("""COMPUTED_VALUE"""),44.08)</f>
        <v>44.08</v>
      </c>
      <c r="S2172" s="112">
        <f ca="1">IFERROR(__xludf.DUMMYFUNCTION("""COMPUTED_VALUE"""),43473.7055555555)</f>
        <v>43473.705555555498</v>
      </c>
      <c r="T2172" s="111">
        <f ca="1">IFERROR(__xludf.DUMMYFUNCTION("""COMPUTED_VALUE"""),34.46)</f>
        <v>34.46</v>
      </c>
    </row>
    <row r="2173" spans="1:20" x14ac:dyDescent="0.3">
      <c r="A2173" s="112">
        <f ca="1">IFERROR(__xludf.DUMMYFUNCTION("""COMPUTED_VALUE"""),43469.7055555555)</f>
        <v>43469.705555555498</v>
      </c>
      <c r="B2173" s="111">
        <f ca="1">IFERROR(__xludf.DUMMYFUNCTION("""COMPUTED_VALUE"""),30.19)</f>
        <v>30.19</v>
      </c>
      <c r="C2173" s="112">
        <f ca="1">IFERROR(__xludf.DUMMYFUNCTION("""COMPUTED_VALUE"""),43479.7055555555)</f>
        <v>43479.705555555498</v>
      </c>
      <c r="D2173" s="111">
        <f ca="1">IFERROR(__xludf.DUMMYFUNCTION("""COMPUTED_VALUE"""),37.88)</f>
        <v>37.880000000000003</v>
      </c>
      <c r="E2173" s="112">
        <f ca="1">IFERROR(__xludf.DUMMYFUNCTION("""COMPUTED_VALUE"""),43480.7055555555)</f>
        <v>43480.705555555498</v>
      </c>
      <c r="F2173" s="111">
        <f ca="1">IFERROR(__xludf.DUMMYFUNCTION("""COMPUTED_VALUE"""),12.3)</f>
        <v>12.3</v>
      </c>
      <c r="G2173" s="112">
        <f ca="1">IFERROR(__xludf.DUMMYFUNCTION("""COMPUTED_VALUE"""),43476.7055555555)</f>
        <v>43476.705555555498</v>
      </c>
      <c r="H2173" s="111">
        <f ca="1">IFERROR(__xludf.DUMMYFUNCTION("""COMPUTED_VALUE"""),24.99)</f>
        <v>24.99</v>
      </c>
      <c r="K2173" s="112">
        <f ca="1">IFERROR(__xludf.DUMMYFUNCTION("""COMPUTED_VALUE"""),43924.7055555555)</f>
        <v>43924.705555555498</v>
      </c>
      <c r="L2173" s="111">
        <f ca="1">IFERROR(__xludf.DUMMYFUNCTION("""COMPUTED_VALUE"""),8.89)</f>
        <v>8.89</v>
      </c>
      <c r="M2173" s="112">
        <f ca="1">IFERROR(__xludf.DUMMYFUNCTION("""COMPUTED_VALUE"""),43378.7055555555)</f>
        <v>43378.705555555498</v>
      </c>
      <c r="N2173" s="111">
        <f ca="1">IFERROR(__xludf.DUMMYFUNCTION("""COMPUTED_VALUE"""),21.34)</f>
        <v>21.34</v>
      </c>
      <c r="O2173" s="112">
        <f ca="1">IFERROR(__xludf.DUMMYFUNCTION("""COMPUTED_VALUE"""),43460.7055555555)</f>
        <v>43460.705555555498</v>
      </c>
      <c r="P2173" s="111">
        <f ca="1">IFERROR(__xludf.DUMMYFUNCTION("""COMPUTED_VALUE"""),50.44)</f>
        <v>50.44</v>
      </c>
      <c r="Q2173" s="112">
        <f ca="1">IFERROR(__xludf.DUMMYFUNCTION("""COMPUTED_VALUE"""),43455.7055555555)</f>
        <v>43455.705555555498</v>
      </c>
      <c r="R2173" s="111">
        <f ca="1">IFERROR(__xludf.DUMMYFUNCTION("""COMPUTED_VALUE"""),44.09)</f>
        <v>44.09</v>
      </c>
      <c r="S2173" s="112">
        <f ca="1">IFERROR(__xludf.DUMMYFUNCTION("""COMPUTED_VALUE"""),43474.7055555555)</f>
        <v>43474.705555555498</v>
      </c>
      <c r="T2173" s="111">
        <f ca="1">IFERROR(__xludf.DUMMYFUNCTION("""COMPUTED_VALUE"""),35.21)</f>
        <v>35.21</v>
      </c>
    </row>
    <row r="2174" spans="1:20" x14ac:dyDescent="0.3">
      <c r="A2174" s="112">
        <f ca="1">IFERROR(__xludf.DUMMYFUNCTION("""COMPUTED_VALUE"""),43472.7055555555)</f>
        <v>43472.705555555498</v>
      </c>
      <c r="B2174" s="111">
        <f ca="1">IFERROR(__xludf.DUMMYFUNCTION("""COMPUTED_VALUE"""),28.68)</f>
        <v>28.68</v>
      </c>
      <c r="C2174" s="112">
        <f ca="1">IFERROR(__xludf.DUMMYFUNCTION("""COMPUTED_VALUE"""),43480.7055555555)</f>
        <v>43480.705555555498</v>
      </c>
      <c r="D2174" s="111">
        <f ca="1">IFERROR(__xludf.DUMMYFUNCTION("""COMPUTED_VALUE"""),37.29)</f>
        <v>37.29</v>
      </c>
      <c r="E2174" s="112">
        <f ca="1">IFERROR(__xludf.DUMMYFUNCTION("""COMPUTED_VALUE"""),43481.7055555555)</f>
        <v>43481.705555555498</v>
      </c>
      <c r="F2174" s="111">
        <f ca="1">IFERROR(__xludf.DUMMYFUNCTION("""COMPUTED_VALUE"""),12.3)</f>
        <v>12.3</v>
      </c>
      <c r="G2174" s="112">
        <f ca="1">IFERROR(__xludf.DUMMYFUNCTION("""COMPUTED_VALUE"""),43479.7055555555)</f>
        <v>43479.705555555498</v>
      </c>
      <c r="H2174" s="111">
        <f ca="1">IFERROR(__xludf.DUMMYFUNCTION("""COMPUTED_VALUE"""),24.85)</f>
        <v>24.85</v>
      </c>
      <c r="K2174" s="112">
        <f ca="1">IFERROR(__xludf.DUMMYFUNCTION("""COMPUTED_VALUE"""),43927.7055555555)</f>
        <v>43927.705555555498</v>
      </c>
      <c r="L2174" s="111">
        <f ca="1">IFERROR(__xludf.DUMMYFUNCTION("""COMPUTED_VALUE"""),9.55)</f>
        <v>9.5500000000000007</v>
      </c>
      <c r="M2174" s="112">
        <f ca="1">IFERROR(__xludf.DUMMYFUNCTION("""COMPUTED_VALUE"""),43381.7055555555)</f>
        <v>43381.705555555498</v>
      </c>
      <c r="N2174" s="111">
        <f ca="1">IFERROR(__xludf.DUMMYFUNCTION("""COMPUTED_VALUE"""),22.78)</f>
        <v>22.78</v>
      </c>
      <c r="O2174" s="112">
        <f ca="1">IFERROR(__xludf.DUMMYFUNCTION("""COMPUTED_VALUE"""),43461.7055555555)</f>
        <v>43461.705555555498</v>
      </c>
      <c r="P2174" s="111">
        <f ca="1">IFERROR(__xludf.DUMMYFUNCTION("""COMPUTED_VALUE"""),49.5)</f>
        <v>49.5</v>
      </c>
      <c r="Q2174" s="112">
        <f ca="1">IFERROR(__xludf.DUMMYFUNCTION("""COMPUTED_VALUE"""),43460.7055555555)</f>
        <v>43460.705555555498</v>
      </c>
      <c r="R2174" s="111">
        <f ca="1">IFERROR(__xludf.DUMMYFUNCTION("""COMPUTED_VALUE"""),44.38)</f>
        <v>44.38</v>
      </c>
      <c r="S2174" s="112">
        <f ca="1">IFERROR(__xludf.DUMMYFUNCTION("""COMPUTED_VALUE"""),43475.7055555555)</f>
        <v>43475.705555555498</v>
      </c>
      <c r="T2174" s="111">
        <f ca="1">IFERROR(__xludf.DUMMYFUNCTION("""COMPUTED_VALUE"""),35.26)</f>
        <v>35.26</v>
      </c>
    </row>
    <row r="2175" spans="1:20" x14ac:dyDescent="0.3">
      <c r="A2175" s="112">
        <f ca="1">IFERROR(__xludf.DUMMYFUNCTION("""COMPUTED_VALUE"""),43473.7055555555)</f>
        <v>43473.705555555498</v>
      </c>
      <c r="B2175" s="111">
        <f ca="1">IFERROR(__xludf.DUMMYFUNCTION("""COMPUTED_VALUE"""),30.14)</f>
        <v>30.14</v>
      </c>
      <c r="C2175" s="112">
        <f ca="1">IFERROR(__xludf.DUMMYFUNCTION("""COMPUTED_VALUE"""),43481.7055555555)</f>
        <v>43481.705555555498</v>
      </c>
      <c r="D2175" s="111">
        <f ca="1">IFERROR(__xludf.DUMMYFUNCTION("""COMPUTED_VALUE"""),37.18)</f>
        <v>37.18</v>
      </c>
      <c r="E2175" s="112">
        <f ca="1">IFERROR(__xludf.DUMMYFUNCTION("""COMPUTED_VALUE"""),43482.7055555555)</f>
        <v>43482.705555555498</v>
      </c>
      <c r="F2175" s="111">
        <f ca="1">IFERROR(__xludf.DUMMYFUNCTION("""COMPUTED_VALUE"""),12.32)</f>
        <v>12.32</v>
      </c>
      <c r="G2175" s="112">
        <f ca="1">IFERROR(__xludf.DUMMYFUNCTION("""COMPUTED_VALUE"""),43480.7055555555)</f>
        <v>43480.705555555498</v>
      </c>
      <c r="H2175" s="111">
        <f ca="1">IFERROR(__xludf.DUMMYFUNCTION("""COMPUTED_VALUE"""),24.83)</f>
        <v>24.83</v>
      </c>
      <c r="K2175" s="112">
        <f ca="1">IFERROR(__xludf.DUMMYFUNCTION("""COMPUTED_VALUE"""),43928.7055555555)</f>
        <v>43928.705555555498</v>
      </c>
      <c r="L2175" s="111">
        <f ca="1">IFERROR(__xludf.DUMMYFUNCTION("""COMPUTED_VALUE"""),10.03)</f>
        <v>10.029999999999999</v>
      </c>
      <c r="M2175" s="112">
        <f ca="1">IFERROR(__xludf.DUMMYFUNCTION("""COMPUTED_VALUE"""),43382.7055555555)</f>
        <v>43382.705555555498</v>
      </c>
      <c r="N2175" s="111">
        <f ca="1">IFERROR(__xludf.DUMMYFUNCTION("""COMPUTED_VALUE"""),22.87)</f>
        <v>22.87</v>
      </c>
      <c r="O2175" s="112">
        <f ca="1">IFERROR(__xludf.DUMMYFUNCTION("""COMPUTED_VALUE"""),43462.7055555555)</f>
        <v>43462.705555555498</v>
      </c>
      <c r="P2175" s="111">
        <f ca="1">IFERROR(__xludf.DUMMYFUNCTION("""COMPUTED_VALUE"""),51)</f>
        <v>51</v>
      </c>
      <c r="Q2175" s="112">
        <f ca="1">IFERROR(__xludf.DUMMYFUNCTION("""COMPUTED_VALUE"""),43461.7055555555)</f>
        <v>43461.705555555498</v>
      </c>
      <c r="R2175" s="111">
        <f ca="1">IFERROR(__xludf.DUMMYFUNCTION("""COMPUTED_VALUE"""),45.12)</f>
        <v>45.12</v>
      </c>
      <c r="S2175" s="112">
        <f ca="1">IFERROR(__xludf.DUMMYFUNCTION("""COMPUTED_VALUE"""),43476.7055555555)</f>
        <v>43476.705555555498</v>
      </c>
      <c r="T2175" s="111">
        <f ca="1">IFERROR(__xludf.DUMMYFUNCTION("""COMPUTED_VALUE"""),34.47)</f>
        <v>34.47</v>
      </c>
    </row>
    <row r="2176" spans="1:20" x14ac:dyDescent="0.3">
      <c r="A2176" s="112">
        <f ca="1">IFERROR(__xludf.DUMMYFUNCTION("""COMPUTED_VALUE"""),43474.7055555555)</f>
        <v>43474.705555555498</v>
      </c>
      <c r="B2176" s="111">
        <f ca="1">IFERROR(__xludf.DUMMYFUNCTION("""COMPUTED_VALUE"""),30.26)</f>
        <v>30.26</v>
      </c>
      <c r="C2176" s="112">
        <f ca="1">IFERROR(__xludf.DUMMYFUNCTION("""COMPUTED_VALUE"""),43482.7055555555)</f>
        <v>43482.705555555498</v>
      </c>
      <c r="D2176" s="111">
        <f ca="1">IFERROR(__xludf.DUMMYFUNCTION("""COMPUTED_VALUE"""),37.18)</f>
        <v>37.18</v>
      </c>
      <c r="E2176" s="112">
        <f ca="1">IFERROR(__xludf.DUMMYFUNCTION("""COMPUTED_VALUE"""),43483.7055555555)</f>
        <v>43483.705555555498</v>
      </c>
      <c r="F2176" s="111">
        <f ca="1">IFERROR(__xludf.DUMMYFUNCTION("""COMPUTED_VALUE"""),12.31)</f>
        <v>12.31</v>
      </c>
      <c r="G2176" s="112">
        <f ca="1">IFERROR(__xludf.DUMMYFUNCTION("""COMPUTED_VALUE"""),43481.7055555555)</f>
        <v>43481.705555555498</v>
      </c>
      <c r="H2176" s="111">
        <f ca="1">IFERROR(__xludf.DUMMYFUNCTION("""COMPUTED_VALUE"""),24.82)</f>
        <v>24.82</v>
      </c>
      <c r="K2176" s="112">
        <f ca="1">IFERROR(__xludf.DUMMYFUNCTION("""COMPUTED_VALUE"""),43929.7055555555)</f>
        <v>43929.705555555498</v>
      </c>
      <c r="L2176" s="111">
        <f ca="1">IFERROR(__xludf.DUMMYFUNCTION("""COMPUTED_VALUE"""),10.49)</f>
        <v>10.49</v>
      </c>
      <c r="M2176" s="112">
        <f ca="1">IFERROR(__xludf.DUMMYFUNCTION("""COMPUTED_VALUE"""),43383.7055555555)</f>
        <v>43383.705555555498</v>
      </c>
      <c r="N2176" s="111">
        <f ca="1">IFERROR(__xludf.DUMMYFUNCTION("""COMPUTED_VALUE"""),22.12)</f>
        <v>22.12</v>
      </c>
      <c r="O2176" s="112">
        <f ca="1">IFERROR(__xludf.DUMMYFUNCTION("""COMPUTED_VALUE"""),43467.7055555555)</f>
        <v>43467.705555555498</v>
      </c>
      <c r="P2176" s="111">
        <f ca="1">IFERROR(__xludf.DUMMYFUNCTION("""COMPUTED_VALUE"""),51.09)</f>
        <v>51.09</v>
      </c>
      <c r="Q2176" s="112">
        <f ca="1">IFERROR(__xludf.DUMMYFUNCTION("""COMPUTED_VALUE"""),43462.7055555555)</f>
        <v>43462.705555555498</v>
      </c>
      <c r="R2176" s="111">
        <f ca="1">IFERROR(__xludf.DUMMYFUNCTION("""COMPUTED_VALUE"""),46.49)</f>
        <v>46.49</v>
      </c>
      <c r="S2176" s="112">
        <f ca="1">IFERROR(__xludf.DUMMYFUNCTION("""COMPUTED_VALUE"""),43479.7055555555)</f>
        <v>43479.705555555498</v>
      </c>
      <c r="T2176" s="111">
        <f ca="1">IFERROR(__xludf.DUMMYFUNCTION("""COMPUTED_VALUE"""),33.84)</f>
        <v>33.840000000000003</v>
      </c>
    </row>
    <row r="2177" spans="1:20" x14ac:dyDescent="0.3">
      <c r="A2177" s="112">
        <f ca="1">IFERROR(__xludf.DUMMYFUNCTION("""COMPUTED_VALUE"""),43475.7055555555)</f>
        <v>43475.705555555498</v>
      </c>
      <c r="B2177" s="111">
        <f ca="1">IFERROR(__xludf.DUMMYFUNCTION("""COMPUTED_VALUE"""),30.66)</f>
        <v>30.66</v>
      </c>
      <c r="C2177" s="112">
        <f ca="1">IFERROR(__xludf.DUMMYFUNCTION("""COMPUTED_VALUE"""),43483.7055555555)</f>
        <v>43483.705555555498</v>
      </c>
      <c r="D2177" s="111">
        <f ca="1">IFERROR(__xludf.DUMMYFUNCTION("""COMPUTED_VALUE"""),37.66)</f>
        <v>37.659999999999997</v>
      </c>
      <c r="E2177" s="112">
        <f ca="1">IFERROR(__xludf.DUMMYFUNCTION("""COMPUTED_VALUE"""),43486.7055555555)</f>
        <v>43486.705555555498</v>
      </c>
      <c r="F2177" s="111">
        <f ca="1">IFERROR(__xludf.DUMMYFUNCTION("""COMPUTED_VALUE"""),12.27)</f>
        <v>12.27</v>
      </c>
      <c r="G2177" s="112">
        <f ca="1">IFERROR(__xludf.DUMMYFUNCTION("""COMPUTED_VALUE"""),43482.7055555555)</f>
        <v>43482.705555555498</v>
      </c>
      <c r="H2177" s="111">
        <f ca="1">IFERROR(__xludf.DUMMYFUNCTION("""COMPUTED_VALUE"""),25.16)</f>
        <v>25.16</v>
      </c>
      <c r="K2177" s="112">
        <f ca="1">IFERROR(__xludf.DUMMYFUNCTION("""COMPUTED_VALUE"""),43930.7055555555)</f>
        <v>43930.705555555498</v>
      </c>
      <c r="L2177" s="111">
        <f ca="1">IFERROR(__xludf.DUMMYFUNCTION("""COMPUTED_VALUE"""),10.42)</f>
        <v>10.42</v>
      </c>
      <c r="M2177" s="112">
        <f ca="1">IFERROR(__xludf.DUMMYFUNCTION("""COMPUTED_VALUE"""),43384.7055555555)</f>
        <v>43384.705555555498</v>
      </c>
      <c r="N2177" s="111">
        <f ca="1">IFERROR(__xludf.DUMMYFUNCTION("""COMPUTED_VALUE"""),21.99)</f>
        <v>21.99</v>
      </c>
      <c r="O2177" s="112">
        <f ca="1">IFERROR(__xludf.DUMMYFUNCTION("""COMPUTED_VALUE"""),43468.7055555555)</f>
        <v>43468.705555555498</v>
      </c>
      <c r="P2177" s="111">
        <f ca="1">IFERROR(__xludf.DUMMYFUNCTION("""COMPUTED_VALUE"""),49)</f>
        <v>49</v>
      </c>
      <c r="Q2177" s="112">
        <f ca="1">IFERROR(__xludf.DUMMYFUNCTION("""COMPUTED_VALUE"""),43467.7055555555)</f>
        <v>43467.705555555498</v>
      </c>
      <c r="R2177" s="111">
        <f ca="1">IFERROR(__xludf.DUMMYFUNCTION("""COMPUTED_VALUE"""),48.6)</f>
        <v>48.6</v>
      </c>
      <c r="S2177" s="112">
        <f ca="1">IFERROR(__xludf.DUMMYFUNCTION("""COMPUTED_VALUE"""),43480.7055555555)</f>
        <v>43480.705555555498</v>
      </c>
      <c r="T2177" s="111">
        <f ca="1">IFERROR(__xludf.DUMMYFUNCTION("""COMPUTED_VALUE"""),33.72)</f>
        <v>33.72</v>
      </c>
    </row>
    <row r="2178" spans="1:20" x14ac:dyDescent="0.3">
      <c r="A2178" s="112">
        <f ca="1">IFERROR(__xludf.DUMMYFUNCTION("""COMPUTED_VALUE"""),43476.7055555555)</f>
        <v>43476.705555555498</v>
      </c>
      <c r="B2178" s="111">
        <f ca="1">IFERROR(__xludf.DUMMYFUNCTION("""COMPUTED_VALUE"""),30.62)</f>
        <v>30.62</v>
      </c>
      <c r="C2178" s="112">
        <f ca="1">IFERROR(__xludf.DUMMYFUNCTION("""COMPUTED_VALUE"""),43486.7055555555)</f>
        <v>43486.705555555498</v>
      </c>
      <c r="D2178" s="111">
        <f ca="1">IFERROR(__xludf.DUMMYFUNCTION("""COMPUTED_VALUE"""),37.35)</f>
        <v>37.35</v>
      </c>
      <c r="E2178" s="112">
        <f ca="1">IFERROR(__xludf.DUMMYFUNCTION("""COMPUTED_VALUE"""),43487.7055555555)</f>
        <v>43487.705555555498</v>
      </c>
      <c r="F2178" s="111">
        <f ca="1">IFERROR(__xludf.DUMMYFUNCTION("""COMPUTED_VALUE"""),12.21)</f>
        <v>12.21</v>
      </c>
      <c r="G2178" s="112">
        <f ca="1">IFERROR(__xludf.DUMMYFUNCTION("""COMPUTED_VALUE"""),43483.7055555555)</f>
        <v>43483.705555555498</v>
      </c>
      <c r="H2178" s="111">
        <f ca="1">IFERROR(__xludf.DUMMYFUNCTION("""COMPUTED_VALUE"""),25.4)</f>
        <v>25.4</v>
      </c>
      <c r="K2178" s="112">
        <f ca="1">IFERROR(__xludf.DUMMYFUNCTION("""COMPUTED_VALUE"""),43934.7055555555)</f>
        <v>43934.705555555498</v>
      </c>
      <c r="L2178" s="111">
        <f ca="1">IFERROR(__xludf.DUMMYFUNCTION("""COMPUTED_VALUE"""),10.48)</f>
        <v>10.48</v>
      </c>
      <c r="M2178" s="112">
        <f ca="1">IFERROR(__xludf.DUMMYFUNCTION("""COMPUTED_VALUE"""),43388.7055555555)</f>
        <v>43388.705555555498</v>
      </c>
      <c r="N2178" s="111">
        <f ca="1">IFERROR(__xludf.DUMMYFUNCTION("""COMPUTED_VALUE"""),22.11)</f>
        <v>22.11</v>
      </c>
      <c r="O2178" s="112">
        <f ca="1">IFERROR(__xludf.DUMMYFUNCTION("""COMPUTED_VALUE"""),43469.7055555555)</f>
        <v>43469.705555555498</v>
      </c>
      <c r="P2178" s="111">
        <f ca="1">IFERROR(__xludf.DUMMYFUNCTION("""COMPUTED_VALUE"""),52.19)</f>
        <v>52.19</v>
      </c>
      <c r="Q2178" s="112">
        <f ca="1">IFERROR(__xludf.DUMMYFUNCTION("""COMPUTED_VALUE"""),43468.7055555555)</f>
        <v>43468.705555555498</v>
      </c>
      <c r="R2178" s="111">
        <f ca="1">IFERROR(__xludf.DUMMYFUNCTION("""COMPUTED_VALUE"""),48.8)</f>
        <v>48.8</v>
      </c>
      <c r="S2178" s="112">
        <f ca="1">IFERROR(__xludf.DUMMYFUNCTION("""COMPUTED_VALUE"""),43481.7055555555)</f>
        <v>43481.705555555498</v>
      </c>
      <c r="T2178" s="111">
        <f ca="1">IFERROR(__xludf.DUMMYFUNCTION("""COMPUTED_VALUE"""),34.46)</f>
        <v>34.46</v>
      </c>
    </row>
    <row r="2179" spans="1:20" x14ac:dyDescent="0.3">
      <c r="A2179" s="112">
        <f ca="1">IFERROR(__xludf.DUMMYFUNCTION("""COMPUTED_VALUE"""),43479.7055555555)</f>
        <v>43479.705555555498</v>
      </c>
      <c r="B2179" s="111">
        <f ca="1">IFERROR(__xludf.DUMMYFUNCTION("""COMPUTED_VALUE"""),30.6)</f>
        <v>30.6</v>
      </c>
      <c r="C2179" s="112">
        <f ca="1">IFERROR(__xludf.DUMMYFUNCTION("""COMPUTED_VALUE"""),43487.7055555555)</f>
        <v>43487.705555555498</v>
      </c>
      <c r="D2179" s="111">
        <f ca="1">IFERROR(__xludf.DUMMYFUNCTION("""COMPUTED_VALUE"""),37.29)</f>
        <v>37.29</v>
      </c>
      <c r="E2179" s="112">
        <f ca="1">IFERROR(__xludf.DUMMYFUNCTION("""COMPUTED_VALUE"""),43488.7055555555)</f>
        <v>43488.705555555498</v>
      </c>
      <c r="F2179" s="111">
        <f ca="1">IFERROR(__xludf.DUMMYFUNCTION("""COMPUTED_VALUE"""),12.37)</f>
        <v>12.37</v>
      </c>
      <c r="G2179" s="112">
        <f ca="1">IFERROR(__xludf.DUMMYFUNCTION("""COMPUTED_VALUE"""),43486.7055555555)</f>
        <v>43486.705555555498</v>
      </c>
      <c r="H2179" s="111">
        <f ca="1">IFERROR(__xludf.DUMMYFUNCTION("""COMPUTED_VALUE"""),25.53)</f>
        <v>25.53</v>
      </c>
      <c r="K2179" s="112">
        <f ca="1">IFERROR(__xludf.DUMMYFUNCTION("""COMPUTED_VALUE"""),43935.7055555555)</f>
        <v>43935.705555555498</v>
      </c>
      <c r="L2179" s="111">
        <f ca="1">IFERROR(__xludf.DUMMYFUNCTION("""COMPUTED_VALUE"""),10.73)</f>
        <v>10.73</v>
      </c>
      <c r="M2179" s="112">
        <f ca="1">IFERROR(__xludf.DUMMYFUNCTION("""COMPUTED_VALUE"""),43389.7055555555)</f>
        <v>43389.705555555498</v>
      </c>
      <c r="N2179" s="111">
        <f ca="1">IFERROR(__xludf.DUMMYFUNCTION("""COMPUTED_VALUE"""),23.16)</f>
        <v>23.16</v>
      </c>
      <c r="O2179" s="112">
        <f ca="1">IFERROR(__xludf.DUMMYFUNCTION("""COMPUTED_VALUE"""),43472.7055555555)</f>
        <v>43472.705555555498</v>
      </c>
      <c r="P2179" s="111">
        <f ca="1">IFERROR(__xludf.DUMMYFUNCTION("""COMPUTED_VALUE"""),51.91)</f>
        <v>51.91</v>
      </c>
      <c r="Q2179" s="112">
        <f ca="1">IFERROR(__xludf.DUMMYFUNCTION("""COMPUTED_VALUE"""),43469.7055555555)</f>
        <v>43469.705555555498</v>
      </c>
      <c r="R2179" s="111">
        <f ca="1">IFERROR(__xludf.DUMMYFUNCTION("""COMPUTED_VALUE"""),48.8)</f>
        <v>48.8</v>
      </c>
      <c r="S2179" s="112">
        <f ca="1">IFERROR(__xludf.DUMMYFUNCTION("""COMPUTED_VALUE"""),43482.7055555555)</f>
        <v>43482.705555555498</v>
      </c>
      <c r="T2179" s="111">
        <f ca="1">IFERROR(__xludf.DUMMYFUNCTION("""COMPUTED_VALUE"""),35.74)</f>
        <v>35.74</v>
      </c>
    </row>
    <row r="2180" spans="1:20" x14ac:dyDescent="0.3">
      <c r="A2180" s="112">
        <f ca="1">IFERROR(__xludf.DUMMYFUNCTION("""COMPUTED_VALUE"""),43480.7055555555)</f>
        <v>43480.705555555498</v>
      </c>
      <c r="B2180" s="111">
        <f ca="1">IFERROR(__xludf.DUMMYFUNCTION("""COMPUTED_VALUE"""),29.75)</f>
        <v>29.75</v>
      </c>
      <c r="C2180" s="112">
        <f ca="1">IFERROR(__xludf.DUMMYFUNCTION("""COMPUTED_VALUE"""),43488.7055555555)</f>
        <v>43488.705555555498</v>
      </c>
      <c r="D2180" s="111">
        <f ca="1">IFERROR(__xludf.DUMMYFUNCTION("""COMPUTED_VALUE"""),37.54)</f>
        <v>37.54</v>
      </c>
      <c r="E2180" s="112">
        <f ca="1">IFERROR(__xludf.DUMMYFUNCTION("""COMPUTED_VALUE"""),43489.7055555555)</f>
        <v>43489.705555555498</v>
      </c>
      <c r="F2180" s="111">
        <f ca="1">IFERROR(__xludf.DUMMYFUNCTION("""COMPUTED_VALUE"""),12.57)</f>
        <v>12.57</v>
      </c>
      <c r="G2180" s="112">
        <f ca="1">IFERROR(__xludf.DUMMYFUNCTION("""COMPUTED_VALUE"""),43487.7055555555)</f>
        <v>43487.705555555498</v>
      </c>
      <c r="H2180" s="111">
        <f ca="1">IFERROR(__xludf.DUMMYFUNCTION("""COMPUTED_VALUE"""),25.13)</f>
        <v>25.13</v>
      </c>
      <c r="K2180" s="112">
        <f ca="1">IFERROR(__xludf.DUMMYFUNCTION("""COMPUTED_VALUE"""),43936.7055555555)</f>
        <v>43936.705555555498</v>
      </c>
      <c r="L2180" s="111">
        <f ca="1">IFERROR(__xludf.DUMMYFUNCTION("""COMPUTED_VALUE"""),10.97)</f>
        <v>10.97</v>
      </c>
      <c r="M2180" s="112">
        <f ca="1">IFERROR(__xludf.DUMMYFUNCTION("""COMPUTED_VALUE"""),43390.7055555555)</f>
        <v>43390.705555555498</v>
      </c>
      <c r="N2180" s="111">
        <f ca="1">IFERROR(__xludf.DUMMYFUNCTION("""COMPUTED_VALUE"""),23.19)</f>
        <v>23.19</v>
      </c>
      <c r="O2180" s="112">
        <f ca="1">IFERROR(__xludf.DUMMYFUNCTION("""COMPUTED_VALUE"""),43473.7055555555)</f>
        <v>43473.705555555498</v>
      </c>
      <c r="P2180" s="111">
        <f ca="1">IFERROR(__xludf.DUMMYFUNCTION("""COMPUTED_VALUE"""),52.41)</f>
        <v>52.41</v>
      </c>
      <c r="Q2180" s="112">
        <f ca="1">IFERROR(__xludf.DUMMYFUNCTION("""COMPUTED_VALUE"""),43472.7055555555)</f>
        <v>43472.705555555498</v>
      </c>
      <c r="R2180" s="111">
        <f ca="1">IFERROR(__xludf.DUMMYFUNCTION("""COMPUTED_VALUE"""),48.48)</f>
        <v>48.48</v>
      </c>
      <c r="S2180" s="112">
        <f ca="1">IFERROR(__xludf.DUMMYFUNCTION("""COMPUTED_VALUE"""),43483.7055555555)</f>
        <v>43483.705555555498</v>
      </c>
      <c r="T2180" s="111">
        <f ca="1">IFERROR(__xludf.DUMMYFUNCTION("""COMPUTED_VALUE"""),36.24)</f>
        <v>36.24</v>
      </c>
    </row>
    <row r="2181" spans="1:20" x14ac:dyDescent="0.3">
      <c r="A2181" s="112">
        <f ca="1">IFERROR(__xludf.DUMMYFUNCTION("""COMPUTED_VALUE"""),43481.7055555555)</f>
        <v>43481.705555555498</v>
      </c>
      <c r="B2181" s="111">
        <f ca="1">IFERROR(__xludf.DUMMYFUNCTION("""COMPUTED_VALUE"""),30.31)</f>
        <v>30.31</v>
      </c>
      <c r="C2181" s="112">
        <f ca="1">IFERROR(__xludf.DUMMYFUNCTION("""COMPUTED_VALUE"""),43489.7055555555)</f>
        <v>43489.705555555498</v>
      </c>
      <c r="D2181" s="111">
        <f ca="1">IFERROR(__xludf.DUMMYFUNCTION("""COMPUTED_VALUE"""),37.49)</f>
        <v>37.49</v>
      </c>
      <c r="E2181" s="112">
        <f ca="1">IFERROR(__xludf.DUMMYFUNCTION("""COMPUTED_VALUE"""),43493.7055555555)</f>
        <v>43493.705555555498</v>
      </c>
      <c r="F2181" s="111">
        <f ca="1">IFERROR(__xludf.DUMMYFUNCTION("""COMPUTED_VALUE"""),12.85)</f>
        <v>12.85</v>
      </c>
      <c r="G2181" s="112">
        <f ca="1">IFERROR(__xludf.DUMMYFUNCTION("""COMPUTED_VALUE"""),43488.7055555555)</f>
        <v>43488.705555555498</v>
      </c>
      <c r="H2181" s="111">
        <f ca="1">IFERROR(__xludf.DUMMYFUNCTION("""COMPUTED_VALUE"""),25.43)</f>
        <v>25.43</v>
      </c>
      <c r="K2181" s="112">
        <f ca="1">IFERROR(__xludf.DUMMYFUNCTION("""COMPUTED_VALUE"""),43937.7055555555)</f>
        <v>43937.705555555498</v>
      </c>
      <c r="L2181" s="111">
        <f ca="1">IFERROR(__xludf.DUMMYFUNCTION("""COMPUTED_VALUE"""),11.4)</f>
        <v>11.4</v>
      </c>
      <c r="M2181" s="112">
        <f ca="1">IFERROR(__xludf.DUMMYFUNCTION("""COMPUTED_VALUE"""),43391.7055555555)</f>
        <v>43391.705555555498</v>
      </c>
      <c r="N2181" s="111">
        <f ca="1">IFERROR(__xludf.DUMMYFUNCTION("""COMPUTED_VALUE"""),22.55)</f>
        <v>22.55</v>
      </c>
      <c r="O2181" s="112">
        <f ca="1">IFERROR(__xludf.DUMMYFUNCTION("""COMPUTED_VALUE"""),43474.7055555555)</f>
        <v>43474.705555555498</v>
      </c>
      <c r="P2181" s="111">
        <f ca="1">IFERROR(__xludf.DUMMYFUNCTION("""COMPUTED_VALUE"""),53.69)</f>
        <v>53.69</v>
      </c>
      <c r="Q2181" s="112">
        <f ca="1">IFERROR(__xludf.DUMMYFUNCTION("""COMPUTED_VALUE"""),43473.7055555555)</f>
        <v>43473.705555555498</v>
      </c>
      <c r="R2181" s="111">
        <f ca="1">IFERROR(__xludf.DUMMYFUNCTION("""COMPUTED_VALUE"""),47.93)</f>
        <v>47.93</v>
      </c>
      <c r="S2181" s="112">
        <f ca="1">IFERROR(__xludf.DUMMYFUNCTION("""COMPUTED_VALUE"""),43486.7055555555)</f>
        <v>43486.705555555498</v>
      </c>
      <c r="T2181" s="111">
        <f ca="1">IFERROR(__xludf.DUMMYFUNCTION("""COMPUTED_VALUE"""),35.54)</f>
        <v>35.54</v>
      </c>
    </row>
    <row r="2182" spans="1:20" x14ac:dyDescent="0.3">
      <c r="A2182" s="112">
        <f ca="1">IFERROR(__xludf.DUMMYFUNCTION("""COMPUTED_VALUE"""),43482.7055555555)</f>
        <v>43482.705555555498</v>
      </c>
      <c r="B2182" s="111">
        <f ca="1">IFERROR(__xludf.DUMMYFUNCTION("""COMPUTED_VALUE"""),30.61)</f>
        <v>30.61</v>
      </c>
      <c r="C2182" s="112">
        <f ca="1">IFERROR(__xludf.DUMMYFUNCTION("""COMPUTED_VALUE"""),43493.7055555555)</f>
        <v>43493.705555555498</v>
      </c>
      <c r="D2182" s="111">
        <f ca="1">IFERROR(__xludf.DUMMYFUNCTION("""COMPUTED_VALUE"""),38.16)</f>
        <v>38.159999999999997</v>
      </c>
      <c r="E2182" s="112">
        <f ca="1">IFERROR(__xludf.DUMMYFUNCTION("""COMPUTED_VALUE"""),43494.7055555555)</f>
        <v>43494.705555555498</v>
      </c>
      <c r="F2182" s="111">
        <f ca="1">IFERROR(__xludf.DUMMYFUNCTION("""COMPUTED_VALUE"""),12.64)</f>
        <v>12.64</v>
      </c>
      <c r="G2182" s="112">
        <f ca="1">IFERROR(__xludf.DUMMYFUNCTION("""COMPUTED_VALUE"""),43489.7055555555)</f>
        <v>43489.705555555498</v>
      </c>
      <c r="H2182" s="111">
        <f ca="1">IFERROR(__xludf.DUMMYFUNCTION("""COMPUTED_VALUE"""),25.54)</f>
        <v>25.54</v>
      </c>
      <c r="K2182" s="112">
        <f ca="1">IFERROR(__xludf.DUMMYFUNCTION("""COMPUTED_VALUE"""),43938.7055555555)</f>
        <v>43938.705555555498</v>
      </c>
      <c r="L2182" s="111">
        <f ca="1">IFERROR(__xludf.DUMMYFUNCTION("""COMPUTED_VALUE"""),11.15)</f>
        <v>11.15</v>
      </c>
      <c r="M2182" s="112">
        <f ca="1">IFERROR(__xludf.DUMMYFUNCTION("""COMPUTED_VALUE"""),43392.7055555555)</f>
        <v>43392.705555555498</v>
      </c>
      <c r="N2182" s="111">
        <f ca="1">IFERROR(__xludf.DUMMYFUNCTION("""COMPUTED_VALUE"""),22.62)</f>
        <v>22.62</v>
      </c>
      <c r="O2182" s="112">
        <f ca="1">IFERROR(__xludf.DUMMYFUNCTION("""COMPUTED_VALUE"""),43475.7055555555)</f>
        <v>43475.705555555498</v>
      </c>
      <c r="P2182" s="111">
        <f ca="1">IFERROR(__xludf.DUMMYFUNCTION("""COMPUTED_VALUE"""),53.1)</f>
        <v>53.1</v>
      </c>
      <c r="Q2182" s="112">
        <f ca="1">IFERROR(__xludf.DUMMYFUNCTION("""COMPUTED_VALUE"""),43474.7055555555)</f>
        <v>43474.705555555498</v>
      </c>
      <c r="R2182" s="111">
        <f ca="1">IFERROR(__xludf.DUMMYFUNCTION("""COMPUTED_VALUE"""),47.8)</f>
        <v>47.8</v>
      </c>
      <c r="S2182" s="112">
        <f ca="1">IFERROR(__xludf.DUMMYFUNCTION("""COMPUTED_VALUE"""),43487.7055555555)</f>
        <v>43487.705555555498</v>
      </c>
      <c r="T2182" s="111">
        <f ca="1">IFERROR(__xludf.DUMMYFUNCTION("""COMPUTED_VALUE"""),35.04)</f>
        <v>35.04</v>
      </c>
    </row>
    <row r="2183" spans="1:20" x14ac:dyDescent="0.3">
      <c r="A2183" s="112">
        <f ca="1">IFERROR(__xludf.DUMMYFUNCTION("""COMPUTED_VALUE"""),43483.7055555555)</f>
        <v>43483.705555555498</v>
      </c>
      <c r="B2183" s="111">
        <f ca="1">IFERROR(__xludf.DUMMYFUNCTION("""COMPUTED_VALUE"""),32)</f>
        <v>32</v>
      </c>
      <c r="C2183" s="112">
        <f ca="1">IFERROR(__xludf.DUMMYFUNCTION("""COMPUTED_VALUE"""),43494.7055555555)</f>
        <v>43494.705555555498</v>
      </c>
      <c r="D2183" s="111">
        <f ca="1">IFERROR(__xludf.DUMMYFUNCTION("""COMPUTED_VALUE"""),37.88)</f>
        <v>37.880000000000003</v>
      </c>
      <c r="E2183" s="112">
        <f ca="1">IFERROR(__xludf.DUMMYFUNCTION("""COMPUTED_VALUE"""),43495.7055555555)</f>
        <v>43495.705555555498</v>
      </c>
      <c r="F2183" s="111">
        <f ca="1">IFERROR(__xludf.DUMMYFUNCTION("""COMPUTED_VALUE"""),12.78)</f>
        <v>12.78</v>
      </c>
      <c r="G2183" s="112">
        <f ca="1">IFERROR(__xludf.DUMMYFUNCTION("""COMPUTED_VALUE"""),43493.7055555555)</f>
        <v>43493.705555555498</v>
      </c>
      <c r="H2183" s="111">
        <f ca="1">IFERROR(__xludf.DUMMYFUNCTION("""COMPUTED_VALUE"""),24.77)</f>
        <v>24.77</v>
      </c>
      <c r="K2183" s="112">
        <f ca="1">IFERROR(__xludf.DUMMYFUNCTION("""COMPUTED_VALUE"""),43941.7055555555)</f>
        <v>43941.705555555498</v>
      </c>
      <c r="L2183" s="111">
        <f ca="1">IFERROR(__xludf.DUMMYFUNCTION("""COMPUTED_VALUE"""),12.12)</f>
        <v>12.12</v>
      </c>
      <c r="M2183" s="112">
        <f ca="1">IFERROR(__xludf.DUMMYFUNCTION("""COMPUTED_VALUE"""),43395.7055555555)</f>
        <v>43395.705555555498</v>
      </c>
      <c r="N2183" s="111">
        <f ca="1">IFERROR(__xludf.DUMMYFUNCTION("""COMPUTED_VALUE"""),22.9)</f>
        <v>22.9</v>
      </c>
      <c r="O2183" s="112">
        <f ca="1">IFERROR(__xludf.DUMMYFUNCTION("""COMPUTED_VALUE"""),43476.7055555555)</f>
        <v>43476.705555555498</v>
      </c>
      <c r="P2183" s="111">
        <f ca="1">IFERROR(__xludf.DUMMYFUNCTION("""COMPUTED_VALUE"""),52.38)</f>
        <v>52.38</v>
      </c>
      <c r="Q2183" s="112">
        <f ca="1">IFERROR(__xludf.DUMMYFUNCTION("""COMPUTED_VALUE"""),43475.7055555555)</f>
        <v>43475.705555555498</v>
      </c>
      <c r="R2183" s="111">
        <f ca="1">IFERROR(__xludf.DUMMYFUNCTION("""COMPUTED_VALUE"""),48.5)</f>
        <v>48.5</v>
      </c>
      <c r="S2183" s="112">
        <f ca="1">IFERROR(__xludf.DUMMYFUNCTION("""COMPUTED_VALUE"""),43488.7055555555)</f>
        <v>43488.705555555498</v>
      </c>
      <c r="T2183" s="111">
        <f ca="1">IFERROR(__xludf.DUMMYFUNCTION("""COMPUTED_VALUE"""),35.69)</f>
        <v>35.69</v>
      </c>
    </row>
    <row r="2184" spans="1:20" x14ac:dyDescent="0.3">
      <c r="A2184" s="112">
        <f ca="1">IFERROR(__xludf.DUMMYFUNCTION("""COMPUTED_VALUE"""),43486.7055555555)</f>
        <v>43486.705555555498</v>
      </c>
      <c r="B2184" s="111">
        <f ca="1">IFERROR(__xludf.DUMMYFUNCTION("""COMPUTED_VALUE"""),32.13)</f>
        <v>32.130000000000003</v>
      </c>
      <c r="C2184" s="112">
        <f ca="1">IFERROR(__xludf.DUMMYFUNCTION("""COMPUTED_VALUE"""),43495.7055555555)</f>
        <v>43495.705555555498</v>
      </c>
      <c r="D2184" s="111">
        <f ca="1">IFERROR(__xludf.DUMMYFUNCTION("""COMPUTED_VALUE"""),38.12)</f>
        <v>38.119999999999997</v>
      </c>
      <c r="E2184" s="112">
        <f ca="1">IFERROR(__xludf.DUMMYFUNCTION("""COMPUTED_VALUE"""),43496.7055555555)</f>
        <v>43496.705555555498</v>
      </c>
      <c r="F2184" s="111">
        <f ca="1">IFERROR(__xludf.DUMMYFUNCTION("""COMPUTED_VALUE"""),12.86)</f>
        <v>12.86</v>
      </c>
      <c r="G2184" s="112">
        <f ca="1">IFERROR(__xludf.DUMMYFUNCTION("""COMPUTED_VALUE"""),43494.7055555555)</f>
        <v>43494.705555555498</v>
      </c>
      <c r="H2184" s="111">
        <f ca="1">IFERROR(__xludf.DUMMYFUNCTION("""COMPUTED_VALUE"""),25.37)</f>
        <v>25.37</v>
      </c>
      <c r="K2184" s="112">
        <f ca="1">IFERROR(__xludf.DUMMYFUNCTION("""COMPUTED_VALUE"""),43943.7055555555)</f>
        <v>43943.705555555498</v>
      </c>
      <c r="L2184" s="111">
        <f ca="1">IFERROR(__xludf.DUMMYFUNCTION("""COMPUTED_VALUE"""),12.64)</f>
        <v>12.64</v>
      </c>
      <c r="M2184" s="112">
        <f ca="1">IFERROR(__xludf.DUMMYFUNCTION("""COMPUTED_VALUE"""),43396.7055555555)</f>
        <v>43396.705555555498</v>
      </c>
      <c r="N2184" s="111">
        <f ca="1">IFERROR(__xludf.DUMMYFUNCTION("""COMPUTED_VALUE"""),22.98)</f>
        <v>22.98</v>
      </c>
      <c r="O2184" s="112">
        <f ca="1">IFERROR(__xludf.DUMMYFUNCTION("""COMPUTED_VALUE"""),43479.7055555555)</f>
        <v>43479.705555555498</v>
      </c>
      <c r="P2184" s="111">
        <f ca="1">IFERROR(__xludf.DUMMYFUNCTION("""COMPUTED_VALUE"""),52.6)</f>
        <v>52.6</v>
      </c>
      <c r="Q2184" s="112">
        <f ca="1">IFERROR(__xludf.DUMMYFUNCTION("""COMPUTED_VALUE"""),43476.7055555555)</f>
        <v>43476.705555555498</v>
      </c>
      <c r="R2184" s="111">
        <f ca="1">IFERROR(__xludf.DUMMYFUNCTION("""COMPUTED_VALUE"""),48.7)</f>
        <v>48.7</v>
      </c>
      <c r="S2184" s="112">
        <f ca="1">IFERROR(__xludf.DUMMYFUNCTION("""COMPUTED_VALUE"""),43489.7055555555)</f>
        <v>43489.705555555498</v>
      </c>
      <c r="T2184" s="111">
        <f ca="1">IFERROR(__xludf.DUMMYFUNCTION("""COMPUTED_VALUE"""),36.73)</f>
        <v>36.729999999999997</v>
      </c>
    </row>
    <row r="2185" spans="1:20" x14ac:dyDescent="0.3">
      <c r="A2185" s="112">
        <f ca="1">IFERROR(__xludf.DUMMYFUNCTION("""COMPUTED_VALUE"""),43487.7055555555)</f>
        <v>43487.705555555498</v>
      </c>
      <c r="B2185" s="111">
        <f ca="1">IFERROR(__xludf.DUMMYFUNCTION("""COMPUTED_VALUE"""),31.82)</f>
        <v>31.82</v>
      </c>
      <c r="C2185" s="112">
        <f ca="1">IFERROR(__xludf.DUMMYFUNCTION("""COMPUTED_VALUE"""),43496.7055555555)</f>
        <v>43496.705555555498</v>
      </c>
      <c r="D2185" s="111">
        <f ca="1">IFERROR(__xludf.DUMMYFUNCTION("""COMPUTED_VALUE"""),38.78)</f>
        <v>38.78</v>
      </c>
      <c r="E2185" s="112">
        <f ca="1">IFERROR(__xludf.DUMMYFUNCTION("""COMPUTED_VALUE"""),43497.7055555555)</f>
        <v>43497.705555555498</v>
      </c>
      <c r="F2185" s="111">
        <f ca="1">IFERROR(__xludf.DUMMYFUNCTION("""COMPUTED_VALUE"""),12.9)</f>
        <v>12.9</v>
      </c>
      <c r="G2185" s="112">
        <f ca="1">IFERROR(__xludf.DUMMYFUNCTION("""COMPUTED_VALUE"""),43495.7055555555)</f>
        <v>43495.705555555498</v>
      </c>
      <c r="H2185" s="111">
        <f ca="1">IFERROR(__xludf.DUMMYFUNCTION("""COMPUTED_VALUE"""),25.62)</f>
        <v>25.62</v>
      </c>
      <c r="K2185" s="112">
        <f ca="1">IFERROR(__xludf.DUMMYFUNCTION("""COMPUTED_VALUE"""),43944.7055555555)</f>
        <v>43944.705555555498</v>
      </c>
      <c r="L2185" s="111">
        <f ca="1">IFERROR(__xludf.DUMMYFUNCTION("""COMPUTED_VALUE"""),12.37)</f>
        <v>12.37</v>
      </c>
      <c r="M2185" s="112">
        <f ca="1">IFERROR(__xludf.DUMMYFUNCTION("""COMPUTED_VALUE"""),43397.7055555555)</f>
        <v>43397.705555555498</v>
      </c>
      <c r="N2185" s="111">
        <f ca="1">IFERROR(__xludf.DUMMYFUNCTION("""COMPUTED_VALUE"""),22.43)</f>
        <v>22.43</v>
      </c>
      <c r="O2185" s="112">
        <f ca="1">IFERROR(__xludf.DUMMYFUNCTION("""COMPUTED_VALUE"""),43480.7055555555)</f>
        <v>43480.705555555498</v>
      </c>
      <c r="P2185" s="111">
        <f ca="1">IFERROR(__xludf.DUMMYFUNCTION("""COMPUTED_VALUE"""),52.35)</f>
        <v>52.35</v>
      </c>
      <c r="Q2185" s="112">
        <f ca="1">IFERROR(__xludf.DUMMYFUNCTION("""COMPUTED_VALUE"""),43479.7055555555)</f>
        <v>43479.705555555498</v>
      </c>
      <c r="R2185" s="111">
        <f ca="1">IFERROR(__xludf.DUMMYFUNCTION("""COMPUTED_VALUE"""),49.83)</f>
        <v>49.83</v>
      </c>
      <c r="S2185" s="112">
        <f ca="1">IFERROR(__xludf.DUMMYFUNCTION("""COMPUTED_VALUE"""),43493.7055555555)</f>
        <v>43493.705555555498</v>
      </c>
      <c r="T2185" s="111">
        <f ca="1">IFERROR(__xludf.DUMMYFUNCTION("""COMPUTED_VALUE"""),37.41)</f>
        <v>37.409999999999997</v>
      </c>
    </row>
    <row r="2186" spans="1:20" x14ac:dyDescent="0.3">
      <c r="A2186" s="112">
        <f ca="1">IFERROR(__xludf.DUMMYFUNCTION("""COMPUTED_VALUE"""),43488.7055555555)</f>
        <v>43488.705555555498</v>
      </c>
      <c r="B2186" s="111">
        <f ca="1">IFERROR(__xludf.DUMMYFUNCTION("""COMPUTED_VALUE"""),32.64)</f>
        <v>32.64</v>
      </c>
      <c r="C2186" s="112">
        <f ca="1">IFERROR(__xludf.DUMMYFUNCTION("""COMPUTED_VALUE"""),43497.7055555555)</f>
        <v>43497.705555555498</v>
      </c>
      <c r="D2186" s="111">
        <f ca="1">IFERROR(__xludf.DUMMYFUNCTION("""COMPUTED_VALUE"""),38.81)</f>
        <v>38.81</v>
      </c>
      <c r="E2186" s="112">
        <f ca="1">IFERROR(__xludf.DUMMYFUNCTION("""COMPUTED_VALUE"""),43500.7055555555)</f>
        <v>43500.705555555498</v>
      </c>
      <c r="F2186" s="111">
        <f ca="1">IFERROR(__xludf.DUMMYFUNCTION("""COMPUTED_VALUE"""),13.14)</f>
        <v>13.14</v>
      </c>
      <c r="G2186" s="112">
        <f ca="1">IFERROR(__xludf.DUMMYFUNCTION("""COMPUTED_VALUE"""),43496.7055555555)</f>
        <v>43496.705555555498</v>
      </c>
      <c r="H2186" s="111">
        <f ca="1">IFERROR(__xludf.DUMMYFUNCTION("""COMPUTED_VALUE"""),25.58)</f>
        <v>25.58</v>
      </c>
      <c r="K2186" s="112">
        <f ca="1">IFERROR(__xludf.DUMMYFUNCTION("""COMPUTED_VALUE"""),43945.7055555555)</f>
        <v>43945.705555555498</v>
      </c>
      <c r="L2186" s="111">
        <f ca="1">IFERROR(__xludf.DUMMYFUNCTION("""COMPUTED_VALUE"""),11.85)</f>
        <v>11.85</v>
      </c>
      <c r="M2186" s="112">
        <f ca="1">IFERROR(__xludf.DUMMYFUNCTION("""COMPUTED_VALUE"""),43398.7055555555)</f>
        <v>43398.705555555498</v>
      </c>
      <c r="N2186" s="111">
        <f ca="1">IFERROR(__xludf.DUMMYFUNCTION("""COMPUTED_VALUE"""),23.08)</f>
        <v>23.08</v>
      </c>
      <c r="O2186" s="112">
        <f ca="1">IFERROR(__xludf.DUMMYFUNCTION("""COMPUTED_VALUE"""),43481.7055555555)</f>
        <v>43481.705555555498</v>
      </c>
      <c r="P2186" s="111">
        <f ca="1">IFERROR(__xludf.DUMMYFUNCTION("""COMPUTED_VALUE"""),52.65)</f>
        <v>52.65</v>
      </c>
      <c r="Q2186" s="112">
        <f ca="1">IFERROR(__xludf.DUMMYFUNCTION("""COMPUTED_VALUE"""),43480.7055555555)</f>
        <v>43480.705555555498</v>
      </c>
      <c r="R2186" s="111">
        <f ca="1">IFERROR(__xludf.DUMMYFUNCTION("""COMPUTED_VALUE"""),49.25)</f>
        <v>49.25</v>
      </c>
      <c r="S2186" s="112">
        <f ca="1">IFERROR(__xludf.DUMMYFUNCTION("""COMPUTED_VALUE"""),43494.7055555555)</f>
        <v>43494.705555555498</v>
      </c>
      <c r="T2186" s="111">
        <f ca="1">IFERROR(__xludf.DUMMYFUNCTION("""COMPUTED_VALUE"""),37.68)</f>
        <v>37.68</v>
      </c>
    </row>
    <row r="2187" spans="1:20" x14ac:dyDescent="0.3">
      <c r="A2187" s="112">
        <f ca="1">IFERROR(__xludf.DUMMYFUNCTION("""COMPUTED_VALUE"""),43489.7055555555)</f>
        <v>43489.705555555498</v>
      </c>
      <c r="B2187" s="111">
        <f ca="1">IFERROR(__xludf.DUMMYFUNCTION("""COMPUTED_VALUE"""),33.6)</f>
        <v>33.6</v>
      </c>
      <c r="C2187" s="112">
        <f ca="1">IFERROR(__xludf.DUMMYFUNCTION("""COMPUTED_VALUE"""),43500.7055555555)</f>
        <v>43500.705555555498</v>
      </c>
      <c r="D2187" s="111">
        <f ca="1">IFERROR(__xludf.DUMMYFUNCTION("""COMPUTED_VALUE"""),39.69)</f>
        <v>39.69</v>
      </c>
      <c r="E2187" s="112">
        <f ca="1">IFERROR(__xludf.DUMMYFUNCTION("""COMPUTED_VALUE"""),43501.7055555555)</f>
        <v>43501.705555555498</v>
      </c>
      <c r="F2187" s="111">
        <f ca="1">IFERROR(__xludf.DUMMYFUNCTION("""COMPUTED_VALUE"""),12.73)</f>
        <v>12.73</v>
      </c>
      <c r="G2187" s="112">
        <f ca="1">IFERROR(__xludf.DUMMYFUNCTION("""COMPUTED_VALUE"""),43497.7055555555)</f>
        <v>43497.705555555498</v>
      </c>
      <c r="H2187" s="111">
        <f ca="1">IFERROR(__xludf.DUMMYFUNCTION("""COMPUTED_VALUE"""),25.8)</f>
        <v>25.8</v>
      </c>
      <c r="K2187" s="112">
        <f ca="1">IFERROR(__xludf.DUMMYFUNCTION("""COMPUTED_VALUE"""),43948.7055555555)</f>
        <v>43948.705555555498</v>
      </c>
      <c r="L2187" s="111">
        <f ca="1">IFERROR(__xludf.DUMMYFUNCTION("""COMPUTED_VALUE"""),12.38)</f>
        <v>12.38</v>
      </c>
      <c r="M2187" s="112">
        <f ca="1">IFERROR(__xludf.DUMMYFUNCTION("""COMPUTED_VALUE"""),43399.7055555555)</f>
        <v>43399.705555555498</v>
      </c>
      <c r="N2187" s="111">
        <f ca="1">IFERROR(__xludf.DUMMYFUNCTION("""COMPUTED_VALUE"""),23.48)</f>
        <v>23.48</v>
      </c>
      <c r="O2187" s="112">
        <f ca="1">IFERROR(__xludf.DUMMYFUNCTION("""COMPUTED_VALUE"""),43482.7055555555)</f>
        <v>43482.705555555498</v>
      </c>
      <c r="P2187" s="111">
        <f ca="1">IFERROR(__xludf.DUMMYFUNCTION("""COMPUTED_VALUE"""),54.23)</f>
        <v>54.23</v>
      </c>
      <c r="Q2187" s="112">
        <f ca="1">IFERROR(__xludf.DUMMYFUNCTION("""COMPUTED_VALUE"""),43481.7055555555)</f>
        <v>43481.705555555498</v>
      </c>
      <c r="R2187" s="111">
        <f ca="1">IFERROR(__xludf.DUMMYFUNCTION("""COMPUTED_VALUE"""),48.78)</f>
        <v>48.78</v>
      </c>
      <c r="S2187" s="112">
        <f ca="1">IFERROR(__xludf.DUMMYFUNCTION("""COMPUTED_VALUE"""),43495.7055555555)</f>
        <v>43495.705555555498</v>
      </c>
      <c r="T2187" s="111">
        <f ca="1">IFERROR(__xludf.DUMMYFUNCTION("""COMPUTED_VALUE"""),37.54)</f>
        <v>37.54</v>
      </c>
    </row>
    <row r="2188" spans="1:20" x14ac:dyDescent="0.3">
      <c r="A2188" s="112">
        <f ca="1">IFERROR(__xludf.DUMMYFUNCTION("""COMPUTED_VALUE"""),43493.7055555555)</f>
        <v>43493.705555555498</v>
      </c>
      <c r="B2188" s="111">
        <f ca="1">IFERROR(__xludf.DUMMYFUNCTION("""COMPUTED_VALUE"""),33.94)</f>
        <v>33.94</v>
      </c>
      <c r="C2188" s="112">
        <f ca="1">IFERROR(__xludf.DUMMYFUNCTION("""COMPUTED_VALUE"""),43501.7055555555)</f>
        <v>43501.705555555498</v>
      </c>
      <c r="D2188" s="111">
        <f ca="1">IFERROR(__xludf.DUMMYFUNCTION("""COMPUTED_VALUE"""),38)</f>
        <v>38</v>
      </c>
      <c r="E2188" s="112">
        <f ca="1">IFERROR(__xludf.DUMMYFUNCTION("""COMPUTED_VALUE"""),43502.7055555555)</f>
        <v>43502.705555555498</v>
      </c>
      <c r="F2188" s="111">
        <f ca="1">IFERROR(__xludf.DUMMYFUNCTION("""COMPUTED_VALUE"""),12.19)</f>
        <v>12.19</v>
      </c>
      <c r="G2188" s="112">
        <f ca="1">IFERROR(__xludf.DUMMYFUNCTION("""COMPUTED_VALUE"""),43500.7055555555)</f>
        <v>43500.705555555498</v>
      </c>
      <c r="H2188" s="111">
        <f ca="1">IFERROR(__xludf.DUMMYFUNCTION("""COMPUTED_VALUE"""),26.03)</f>
        <v>26.03</v>
      </c>
      <c r="K2188" s="112">
        <f ca="1">IFERROR(__xludf.DUMMYFUNCTION("""COMPUTED_VALUE"""),43949.7055555555)</f>
        <v>43949.705555555498</v>
      </c>
      <c r="L2188" s="111">
        <f ca="1">IFERROR(__xludf.DUMMYFUNCTION("""COMPUTED_VALUE"""),12.95)</f>
        <v>12.95</v>
      </c>
      <c r="M2188" s="112">
        <f ca="1">IFERROR(__xludf.DUMMYFUNCTION("""COMPUTED_VALUE"""),43402.7055555555)</f>
        <v>43402.705555555498</v>
      </c>
      <c r="N2188" s="111">
        <f ca="1">IFERROR(__xludf.DUMMYFUNCTION("""COMPUTED_VALUE"""),23.04)</f>
        <v>23.04</v>
      </c>
      <c r="O2188" s="112">
        <f ca="1">IFERROR(__xludf.DUMMYFUNCTION("""COMPUTED_VALUE"""),43483.7055555555)</f>
        <v>43483.705555555498</v>
      </c>
      <c r="P2188" s="111">
        <f ca="1">IFERROR(__xludf.DUMMYFUNCTION("""COMPUTED_VALUE"""),54.76)</f>
        <v>54.76</v>
      </c>
      <c r="Q2188" s="112">
        <f ca="1">IFERROR(__xludf.DUMMYFUNCTION("""COMPUTED_VALUE"""),43482.7055555555)</f>
        <v>43482.705555555498</v>
      </c>
      <c r="R2188" s="111">
        <f ca="1">IFERROR(__xludf.DUMMYFUNCTION("""COMPUTED_VALUE"""),48.96)</f>
        <v>48.96</v>
      </c>
      <c r="S2188" s="112">
        <f ca="1">IFERROR(__xludf.DUMMYFUNCTION("""COMPUTED_VALUE"""),43496.7055555555)</f>
        <v>43496.705555555498</v>
      </c>
      <c r="T2188" s="111">
        <f ca="1">IFERROR(__xludf.DUMMYFUNCTION("""COMPUTED_VALUE"""),37.6)</f>
        <v>37.6</v>
      </c>
    </row>
    <row r="2189" spans="1:20" x14ac:dyDescent="0.3">
      <c r="A2189" s="112">
        <f ca="1">IFERROR(__xludf.DUMMYFUNCTION("""COMPUTED_VALUE"""),43494.7055555555)</f>
        <v>43494.705555555498</v>
      </c>
      <c r="B2189" s="111">
        <f ca="1">IFERROR(__xludf.DUMMYFUNCTION("""COMPUTED_VALUE"""),36.34)</f>
        <v>36.340000000000003</v>
      </c>
      <c r="C2189" s="112">
        <f ca="1">IFERROR(__xludf.DUMMYFUNCTION("""COMPUTED_VALUE"""),43502.7055555555)</f>
        <v>43502.705555555498</v>
      </c>
      <c r="D2189" s="111">
        <f ca="1">IFERROR(__xludf.DUMMYFUNCTION("""COMPUTED_VALUE"""),36.4)</f>
        <v>36.4</v>
      </c>
      <c r="E2189" s="112">
        <f ca="1">IFERROR(__xludf.DUMMYFUNCTION("""COMPUTED_VALUE"""),43503.7055555555)</f>
        <v>43503.705555555498</v>
      </c>
      <c r="F2189" s="111">
        <f ca="1">IFERROR(__xludf.DUMMYFUNCTION("""COMPUTED_VALUE"""),12.21)</f>
        <v>12.21</v>
      </c>
      <c r="G2189" s="112">
        <f ca="1">IFERROR(__xludf.DUMMYFUNCTION("""COMPUTED_VALUE"""),43501.7055555555)</f>
        <v>43501.705555555498</v>
      </c>
      <c r="H2189" s="111">
        <f ca="1">IFERROR(__xludf.DUMMYFUNCTION("""COMPUTED_VALUE"""),26.08)</f>
        <v>26.08</v>
      </c>
      <c r="K2189" s="112">
        <f ca="1">IFERROR(__xludf.DUMMYFUNCTION("""COMPUTED_VALUE"""),43950.7055555555)</f>
        <v>43950.705555555498</v>
      </c>
      <c r="L2189" s="111">
        <f ca="1">IFERROR(__xludf.DUMMYFUNCTION("""COMPUTED_VALUE"""),12.66)</f>
        <v>12.66</v>
      </c>
      <c r="M2189" s="112">
        <f ca="1">IFERROR(__xludf.DUMMYFUNCTION("""COMPUTED_VALUE"""),43403.7055555555)</f>
        <v>43403.705555555498</v>
      </c>
      <c r="N2189" s="111">
        <f ca="1">IFERROR(__xludf.DUMMYFUNCTION("""COMPUTED_VALUE"""),23.93)</f>
        <v>23.93</v>
      </c>
      <c r="O2189" s="112">
        <f ca="1">IFERROR(__xludf.DUMMYFUNCTION("""COMPUTED_VALUE"""),43486.7055555555)</f>
        <v>43486.705555555498</v>
      </c>
      <c r="P2189" s="111">
        <f ca="1">IFERROR(__xludf.DUMMYFUNCTION("""COMPUTED_VALUE"""),55.28)</f>
        <v>55.28</v>
      </c>
      <c r="Q2189" s="112">
        <f ca="1">IFERROR(__xludf.DUMMYFUNCTION("""COMPUTED_VALUE"""),43483.7055555555)</f>
        <v>43483.705555555498</v>
      </c>
      <c r="R2189" s="111">
        <f ca="1">IFERROR(__xludf.DUMMYFUNCTION("""COMPUTED_VALUE"""),48.55)</f>
        <v>48.55</v>
      </c>
      <c r="S2189" s="112">
        <f ca="1">IFERROR(__xludf.DUMMYFUNCTION("""COMPUTED_VALUE"""),43497.7055555555)</f>
        <v>43497.705555555498</v>
      </c>
      <c r="T2189" s="111">
        <f ca="1">IFERROR(__xludf.DUMMYFUNCTION("""COMPUTED_VALUE"""),37.74)</f>
        <v>37.74</v>
      </c>
    </row>
    <row r="2190" spans="1:20" x14ac:dyDescent="0.3">
      <c r="A2190" s="112">
        <f ca="1">IFERROR(__xludf.DUMMYFUNCTION("""COMPUTED_VALUE"""),43495.7055555555)</f>
        <v>43495.705555555498</v>
      </c>
      <c r="B2190" s="111">
        <f ca="1">IFERROR(__xludf.DUMMYFUNCTION("""COMPUTED_VALUE"""),36.89)</f>
        <v>36.89</v>
      </c>
      <c r="C2190" s="112">
        <f ca="1">IFERROR(__xludf.DUMMYFUNCTION("""COMPUTED_VALUE"""),43503.7055555555)</f>
        <v>43503.705555555498</v>
      </c>
      <c r="D2190" s="111">
        <f ca="1">IFERROR(__xludf.DUMMYFUNCTION("""COMPUTED_VALUE"""),36.53)</f>
        <v>36.53</v>
      </c>
      <c r="E2190" s="112">
        <f ca="1">IFERROR(__xludf.DUMMYFUNCTION("""COMPUTED_VALUE"""),43504.7055555555)</f>
        <v>43504.705555555498</v>
      </c>
      <c r="F2190" s="111">
        <f ca="1">IFERROR(__xludf.DUMMYFUNCTION("""COMPUTED_VALUE"""),12.6)</f>
        <v>12.6</v>
      </c>
      <c r="G2190" s="112">
        <f ca="1">IFERROR(__xludf.DUMMYFUNCTION("""COMPUTED_VALUE"""),43502.7055555555)</f>
        <v>43502.705555555498</v>
      </c>
      <c r="H2190" s="111">
        <f ca="1">IFERROR(__xludf.DUMMYFUNCTION("""COMPUTED_VALUE"""),25.49)</f>
        <v>25.49</v>
      </c>
      <c r="K2190" s="112">
        <f ca="1">IFERROR(__xludf.DUMMYFUNCTION("""COMPUTED_VALUE"""),43951.7055555555)</f>
        <v>43951.705555555498</v>
      </c>
      <c r="L2190" s="111">
        <f ca="1">IFERROR(__xludf.DUMMYFUNCTION("""COMPUTED_VALUE"""),12.43)</f>
        <v>12.43</v>
      </c>
      <c r="M2190" s="112">
        <f ca="1">IFERROR(__xludf.DUMMYFUNCTION("""COMPUTED_VALUE"""),43404.7055555555)</f>
        <v>43404.705555555498</v>
      </c>
      <c r="N2190" s="111">
        <f ca="1">IFERROR(__xludf.DUMMYFUNCTION("""COMPUTED_VALUE"""),23.62)</f>
        <v>23.62</v>
      </c>
      <c r="O2190" s="112">
        <f ca="1">IFERROR(__xludf.DUMMYFUNCTION("""COMPUTED_VALUE"""),43487.7055555555)</f>
        <v>43487.705555555498</v>
      </c>
      <c r="P2190" s="111">
        <f ca="1">IFERROR(__xludf.DUMMYFUNCTION("""COMPUTED_VALUE"""),55.08)</f>
        <v>55.08</v>
      </c>
      <c r="Q2190" s="112">
        <f ca="1">IFERROR(__xludf.DUMMYFUNCTION("""COMPUTED_VALUE"""),43486.7055555555)</f>
        <v>43486.705555555498</v>
      </c>
      <c r="R2190" s="111">
        <f ca="1">IFERROR(__xludf.DUMMYFUNCTION("""COMPUTED_VALUE"""),48.29)</f>
        <v>48.29</v>
      </c>
      <c r="S2190" s="112">
        <f ca="1">IFERROR(__xludf.DUMMYFUNCTION("""COMPUTED_VALUE"""),43500.7055555555)</f>
        <v>43500.705555555498</v>
      </c>
      <c r="T2190" s="111">
        <f ca="1">IFERROR(__xludf.DUMMYFUNCTION("""COMPUTED_VALUE"""),38.02)</f>
        <v>38.020000000000003</v>
      </c>
    </row>
    <row r="2191" spans="1:20" x14ac:dyDescent="0.3">
      <c r="A2191" s="112">
        <f ca="1">IFERROR(__xludf.DUMMYFUNCTION("""COMPUTED_VALUE"""),43496.7055555555)</f>
        <v>43496.705555555498</v>
      </c>
      <c r="B2191" s="111">
        <f ca="1">IFERROR(__xludf.DUMMYFUNCTION("""COMPUTED_VALUE"""),36.99)</f>
        <v>36.99</v>
      </c>
      <c r="C2191" s="112">
        <f ca="1">IFERROR(__xludf.DUMMYFUNCTION("""COMPUTED_VALUE"""),43504.7055555555)</f>
        <v>43504.705555555498</v>
      </c>
      <c r="D2191" s="111">
        <f ca="1">IFERROR(__xludf.DUMMYFUNCTION("""COMPUTED_VALUE"""),37.31)</f>
        <v>37.31</v>
      </c>
      <c r="E2191" s="112">
        <f ca="1">IFERROR(__xludf.DUMMYFUNCTION("""COMPUTED_VALUE"""),43507.7055555555)</f>
        <v>43507.705555555498</v>
      </c>
      <c r="F2191" s="111">
        <f ca="1">IFERROR(__xludf.DUMMYFUNCTION("""COMPUTED_VALUE"""),12.51)</f>
        <v>12.51</v>
      </c>
      <c r="G2191" s="112">
        <f ca="1">IFERROR(__xludf.DUMMYFUNCTION("""COMPUTED_VALUE"""),43503.7055555555)</f>
        <v>43503.705555555498</v>
      </c>
      <c r="H2191" s="111">
        <f ca="1">IFERROR(__xludf.DUMMYFUNCTION("""COMPUTED_VALUE"""),25.09)</f>
        <v>25.09</v>
      </c>
      <c r="K2191" s="112">
        <f ca="1">IFERROR(__xludf.DUMMYFUNCTION("""COMPUTED_VALUE"""),43955.7055555555)</f>
        <v>43955.705555555498</v>
      </c>
      <c r="L2191" s="111">
        <f ca="1">IFERROR(__xludf.DUMMYFUNCTION("""COMPUTED_VALUE"""),12.86)</f>
        <v>12.86</v>
      </c>
      <c r="M2191" s="112">
        <f ca="1">IFERROR(__xludf.DUMMYFUNCTION("""COMPUTED_VALUE"""),43405.7055555555)</f>
        <v>43405.705555555498</v>
      </c>
      <c r="N2191" s="111">
        <f ca="1">IFERROR(__xludf.DUMMYFUNCTION("""COMPUTED_VALUE"""),24.97)</f>
        <v>24.97</v>
      </c>
      <c r="O2191" s="112">
        <f ca="1">IFERROR(__xludf.DUMMYFUNCTION("""COMPUTED_VALUE"""),43488.7055555555)</f>
        <v>43488.705555555498</v>
      </c>
      <c r="P2191" s="111">
        <f ca="1">IFERROR(__xludf.DUMMYFUNCTION("""COMPUTED_VALUE"""),55.65)</f>
        <v>55.65</v>
      </c>
      <c r="Q2191" s="112">
        <f ca="1">IFERROR(__xludf.DUMMYFUNCTION("""COMPUTED_VALUE"""),43487.7055555555)</f>
        <v>43487.705555555498</v>
      </c>
      <c r="R2191" s="111">
        <f ca="1">IFERROR(__xludf.DUMMYFUNCTION("""COMPUTED_VALUE"""),48.2)</f>
        <v>48.2</v>
      </c>
      <c r="S2191" s="112">
        <f ca="1">IFERROR(__xludf.DUMMYFUNCTION("""COMPUTED_VALUE"""),43501.7055555555)</f>
        <v>43501.705555555498</v>
      </c>
      <c r="T2191" s="111">
        <f ca="1">IFERROR(__xludf.DUMMYFUNCTION("""COMPUTED_VALUE"""),37.58)</f>
        <v>37.58</v>
      </c>
    </row>
    <row r="2192" spans="1:20" x14ac:dyDescent="0.3">
      <c r="A2192" s="112">
        <f ca="1">IFERROR(__xludf.DUMMYFUNCTION("""COMPUTED_VALUE"""),43497.7055555555)</f>
        <v>43497.705555555498</v>
      </c>
      <c r="B2192" s="111">
        <f ca="1">IFERROR(__xludf.DUMMYFUNCTION("""COMPUTED_VALUE"""),37.18)</f>
        <v>37.18</v>
      </c>
      <c r="C2192" s="112">
        <f ca="1">IFERROR(__xludf.DUMMYFUNCTION("""COMPUTED_VALUE"""),43507.7055555555)</f>
        <v>43507.705555555498</v>
      </c>
      <c r="D2192" s="111">
        <f ca="1">IFERROR(__xludf.DUMMYFUNCTION("""COMPUTED_VALUE"""),36.89)</f>
        <v>36.89</v>
      </c>
      <c r="E2192" s="112">
        <f ca="1">IFERROR(__xludf.DUMMYFUNCTION("""COMPUTED_VALUE"""),43508.7055555555)</f>
        <v>43508.705555555498</v>
      </c>
      <c r="F2192" s="111">
        <f ca="1">IFERROR(__xludf.DUMMYFUNCTION("""COMPUTED_VALUE"""),12.72)</f>
        <v>12.72</v>
      </c>
      <c r="G2192" s="112">
        <f ca="1">IFERROR(__xludf.DUMMYFUNCTION("""COMPUTED_VALUE"""),43504.7055555555)</f>
        <v>43504.705555555498</v>
      </c>
      <c r="H2192" s="111">
        <f ca="1">IFERROR(__xludf.DUMMYFUNCTION("""COMPUTED_VALUE"""),25.13)</f>
        <v>25.13</v>
      </c>
      <c r="K2192" s="112">
        <f ca="1">IFERROR(__xludf.DUMMYFUNCTION("""COMPUTED_VALUE"""),43956.7055555555)</f>
        <v>43956.705555555498</v>
      </c>
      <c r="L2192" s="111">
        <f ca="1">IFERROR(__xludf.DUMMYFUNCTION("""COMPUTED_VALUE"""),12.55)</f>
        <v>12.55</v>
      </c>
      <c r="M2192" s="112">
        <f ca="1">IFERROR(__xludf.DUMMYFUNCTION("""COMPUTED_VALUE"""),43409.7055555555)</f>
        <v>43409.705555555498</v>
      </c>
      <c r="N2192" s="111">
        <f ca="1">IFERROR(__xludf.DUMMYFUNCTION("""COMPUTED_VALUE"""),25.5)</f>
        <v>25.5</v>
      </c>
      <c r="O2192" s="112">
        <f ca="1">IFERROR(__xludf.DUMMYFUNCTION("""COMPUTED_VALUE"""),43489.7055555555)</f>
        <v>43489.705555555498</v>
      </c>
      <c r="P2192" s="111">
        <f ca="1">IFERROR(__xludf.DUMMYFUNCTION("""COMPUTED_VALUE"""),56.15)</f>
        <v>56.15</v>
      </c>
      <c r="Q2192" s="112">
        <f ca="1">IFERROR(__xludf.DUMMYFUNCTION("""COMPUTED_VALUE"""),43488.7055555555)</f>
        <v>43488.705555555498</v>
      </c>
      <c r="R2192" s="111">
        <f ca="1">IFERROR(__xludf.DUMMYFUNCTION("""COMPUTED_VALUE"""),49.2)</f>
        <v>49.2</v>
      </c>
      <c r="S2192" s="112">
        <f ca="1">IFERROR(__xludf.DUMMYFUNCTION("""COMPUTED_VALUE"""),43502.7055555555)</f>
        <v>43502.705555555498</v>
      </c>
      <c r="T2192" s="111">
        <f ca="1">IFERROR(__xludf.DUMMYFUNCTION("""COMPUTED_VALUE"""),35.71)</f>
        <v>35.71</v>
      </c>
    </row>
    <row r="2193" spans="1:20" x14ac:dyDescent="0.3">
      <c r="A2193" s="112">
        <f ca="1">IFERROR(__xludf.DUMMYFUNCTION("""COMPUTED_VALUE"""),43500.7055555555)</f>
        <v>43500.705555555498</v>
      </c>
      <c r="B2193" s="111">
        <f ca="1">IFERROR(__xludf.DUMMYFUNCTION("""COMPUTED_VALUE"""),36.4)</f>
        <v>36.4</v>
      </c>
      <c r="C2193" s="112">
        <f ca="1">IFERROR(__xludf.DUMMYFUNCTION("""COMPUTED_VALUE"""),43508.7055555555)</f>
        <v>43508.705555555498</v>
      </c>
      <c r="D2193" s="111">
        <f ca="1">IFERROR(__xludf.DUMMYFUNCTION("""COMPUTED_VALUE"""),37.77)</f>
        <v>37.770000000000003</v>
      </c>
      <c r="E2193" s="112">
        <f ca="1">IFERROR(__xludf.DUMMYFUNCTION("""COMPUTED_VALUE"""),43509.7055555555)</f>
        <v>43509.705555555498</v>
      </c>
      <c r="F2193" s="111">
        <f ca="1">IFERROR(__xludf.DUMMYFUNCTION("""COMPUTED_VALUE"""),12.45)</f>
        <v>12.45</v>
      </c>
      <c r="G2193" s="112">
        <f ca="1">IFERROR(__xludf.DUMMYFUNCTION("""COMPUTED_VALUE"""),43507.7055555555)</f>
        <v>43507.705555555498</v>
      </c>
      <c r="H2193" s="111">
        <f ca="1">IFERROR(__xludf.DUMMYFUNCTION("""COMPUTED_VALUE"""),24.84)</f>
        <v>24.84</v>
      </c>
      <c r="K2193" s="112">
        <f ca="1">IFERROR(__xludf.DUMMYFUNCTION("""COMPUTED_VALUE"""),43957.7055555555)</f>
        <v>43957.705555555498</v>
      </c>
      <c r="L2193" s="111">
        <f ca="1">IFERROR(__xludf.DUMMYFUNCTION("""COMPUTED_VALUE"""),13.79)</f>
        <v>13.79</v>
      </c>
      <c r="M2193" s="112">
        <f ca="1">IFERROR(__xludf.DUMMYFUNCTION("""COMPUTED_VALUE"""),43410.7055555555)</f>
        <v>43410.705555555498</v>
      </c>
      <c r="N2193" s="111">
        <f ca="1">IFERROR(__xludf.DUMMYFUNCTION("""COMPUTED_VALUE"""),25.22)</f>
        <v>25.22</v>
      </c>
      <c r="O2193" s="112">
        <f ca="1">IFERROR(__xludf.DUMMYFUNCTION("""COMPUTED_VALUE"""),43493.7055555555)</f>
        <v>43493.705555555498</v>
      </c>
      <c r="P2193" s="111">
        <f ca="1">IFERROR(__xludf.DUMMYFUNCTION("""COMPUTED_VALUE"""),42.36)</f>
        <v>42.36</v>
      </c>
      <c r="Q2193" s="112">
        <f ca="1">IFERROR(__xludf.DUMMYFUNCTION("""COMPUTED_VALUE"""),43489.7055555555)</f>
        <v>43489.705555555498</v>
      </c>
      <c r="R2193" s="111">
        <f ca="1">IFERROR(__xludf.DUMMYFUNCTION("""COMPUTED_VALUE"""),48.95)</f>
        <v>48.95</v>
      </c>
      <c r="S2193" s="112">
        <f ca="1">IFERROR(__xludf.DUMMYFUNCTION("""COMPUTED_VALUE"""),43503.7055555555)</f>
        <v>43503.705555555498</v>
      </c>
      <c r="T2193" s="111">
        <f ca="1">IFERROR(__xludf.DUMMYFUNCTION("""COMPUTED_VALUE"""),35.83)</f>
        <v>35.83</v>
      </c>
    </row>
    <row r="2194" spans="1:20" x14ac:dyDescent="0.3">
      <c r="A2194" s="112">
        <f ca="1">IFERROR(__xludf.DUMMYFUNCTION("""COMPUTED_VALUE"""),43501.7055555555)</f>
        <v>43501.705555555498</v>
      </c>
      <c r="B2194" s="111">
        <f ca="1">IFERROR(__xludf.DUMMYFUNCTION("""COMPUTED_VALUE"""),36.46)</f>
        <v>36.46</v>
      </c>
      <c r="C2194" s="112">
        <f ca="1">IFERROR(__xludf.DUMMYFUNCTION("""COMPUTED_VALUE"""),43509.7055555555)</f>
        <v>43509.705555555498</v>
      </c>
      <c r="D2194" s="111">
        <f ca="1">IFERROR(__xludf.DUMMYFUNCTION("""COMPUTED_VALUE"""),36.91)</f>
        <v>36.909999999999997</v>
      </c>
      <c r="E2194" s="112">
        <f ca="1">IFERROR(__xludf.DUMMYFUNCTION("""COMPUTED_VALUE"""),43510.7055555555)</f>
        <v>43510.705555555498</v>
      </c>
      <c r="F2194" s="111">
        <f ca="1">IFERROR(__xludf.DUMMYFUNCTION("""COMPUTED_VALUE"""),12.76)</f>
        <v>12.76</v>
      </c>
      <c r="G2194" s="112">
        <f ca="1">IFERROR(__xludf.DUMMYFUNCTION("""COMPUTED_VALUE"""),43508.7055555555)</f>
        <v>43508.705555555498</v>
      </c>
      <c r="H2194" s="111">
        <f ca="1">IFERROR(__xludf.DUMMYFUNCTION("""COMPUTED_VALUE"""),25.72)</f>
        <v>25.72</v>
      </c>
      <c r="K2194" s="112">
        <f ca="1">IFERROR(__xludf.DUMMYFUNCTION("""COMPUTED_VALUE"""),43958.7055555555)</f>
        <v>43958.705555555498</v>
      </c>
      <c r="L2194" s="111">
        <f ca="1">IFERROR(__xludf.DUMMYFUNCTION("""COMPUTED_VALUE"""),14.2)</f>
        <v>14.2</v>
      </c>
      <c r="M2194" s="112">
        <f ca="1">IFERROR(__xludf.DUMMYFUNCTION("""COMPUTED_VALUE"""),43411.7055555555)</f>
        <v>43411.705555555498</v>
      </c>
      <c r="N2194" s="111">
        <f ca="1">IFERROR(__xludf.DUMMYFUNCTION("""COMPUTED_VALUE"""),24.73)</f>
        <v>24.73</v>
      </c>
      <c r="O2194" s="112">
        <f ca="1">IFERROR(__xludf.DUMMYFUNCTION("""COMPUTED_VALUE"""),43494.7055555555)</f>
        <v>43494.705555555498</v>
      </c>
      <c r="P2194" s="111">
        <f ca="1">IFERROR(__xludf.DUMMYFUNCTION("""COMPUTED_VALUE"""),42.74)</f>
        <v>42.74</v>
      </c>
      <c r="Q2194" s="112">
        <f ca="1">IFERROR(__xludf.DUMMYFUNCTION("""COMPUTED_VALUE"""),43493.7055555555)</f>
        <v>43493.705555555498</v>
      </c>
      <c r="R2194" s="111">
        <f ca="1">IFERROR(__xludf.DUMMYFUNCTION("""COMPUTED_VALUE"""),48.32)</f>
        <v>48.32</v>
      </c>
      <c r="S2194" s="112">
        <f ca="1">IFERROR(__xludf.DUMMYFUNCTION("""COMPUTED_VALUE"""),43504.7055555555)</f>
        <v>43504.705555555498</v>
      </c>
      <c r="T2194" s="111">
        <f ca="1">IFERROR(__xludf.DUMMYFUNCTION("""COMPUTED_VALUE"""),35.95)</f>
        <v>35.950000000000003</v>
      </c>
    </row>
    <row r="2195" spans="1:20" x14ac:dyDescent="0.3">
      <c r="A2195" s="112">
        <f ca="1">IFERROR(__xludf.DUMMYFUNCTION("""COMPUTED_VALUE"""),43502.7055555555)</f>
        <v>43502.705555555498</v>
      </c>
      <c r="B2195" s="111">
        <f ca="1">IFERROR(__xludf.DUMMYFUNCTION("""COMPUTED_VALUE"""),35.17)</f>
        <v>35.17</v>
      </c>
      <c r="C2195" s="112">
        <f ca="1">IFERROR(__xludf.DUMMYFUNCTION("""COMPUTED_VALUE"""),43510.7055555555)</f>
        <v>43510.705555555498</v>
      </c>
      <c r="D2195" s="111">
        <f ca="1">IFERROR(__xludf.DUMMYFUNCTION("""COMPUTED_VALUE"""),37.89)</f>
        <v>37.89</v>
      </c>
      <c r="E2195" s="112">
        <f ca="1">IFERROR(__xludf.DUMMYFUNCTION("""COMPUTED_VALUE"""),43511.7055555555)</f>
        <v>43511.705555555498</v>
      </c>
      <c r="F2195" s="111">
        <f ca="1">IFERROR(__xludf.DUMMYFUNCTION("""COMPUTED_VALUE"""),12.6)</f>
        <v>12.6</v>
      </c>
      <c r="G2195" s="112">
        <f ca="1">IFERROR(__xludf.DUMMYFUNCTION("""COMPUTED_VALUE"""),43509.7055555555)</f>
        <v>43509.705555555498</v>
      </c>
      <c r="H2195" s="111">
        <f ca="1">IFERROR(__xludf.DUMMYFUNCTION("""COMPUTED_VALUE"""),26.05)</f>
        <v>26.05</v>
      </c>
      <c r="K2195" s="112">
        <f ca="1">IFERROR(__xludf.DUMMYFUNCTION("""COMPUTED_VALUE"""),43959.7055555555)</f>
        <v>43959.705555555498</v>
      </c>
      <c r="L2195" s="111">
        <f ca="1">IFERROR(__xludf.DUMMYFUNCTION("""COMPUTED_VALUE"""),13.89)</f>
        <v>13.89</v>
      </c>
      <c r="M2195" s="112">
        <f ca="1">IFERROR(__xludf.DUMMYFUNCTION("""COMPUTED_VALUE"""),43412.7055555555)</f>
        <v>43412.705555555498</v>
      </c>
      <c r="N2195" s="111">
        <f ca="1">IFERROR(__xludf.DUMMYFUNCTION("""COMPUTED_VALUE"""),24.21)</f>
        <v>24.21</v>
      </c>
      <c r="O2195" s="112">
        <f ca="1">IFERROR(__xludf.DUMMYFUNCTION("""COMPUTED_VALUE"""),43495.7055555555)</f>
        <v>43495.705555555498</v>
      </c>
      <c r="P2195" s="111">
        <f ca="1">IFERROR(__xludf.DUMMYFUNCTION("""COMPUTED_VALUE"""),46.6)</f>
        <v>46.6</v>
      </c>
      <c r="Q2195" s="112">
        <f ca="1">IFERROR(__xludf.DUMMYFUNCTION("""COMPUTED_VALUE"""),43494.7055555555)</f>
        <v>43494.705555555498</v>
      </c>
      <c r="R2195" s="111">
        <f ca="1">IFERROR(__xludf.DUMMYFUNCTION("""COMPUTED_VALUE"""),49.93)</f>
        <v>49.93</v>
      </c>
      <c r="S2195" s="112">
        <f ca="1">IFERROR(__xludf.DUMMYFUNCTION("""COMPUTED_VALUE"""),43507.7055555555)</f>
        <v>43507.705555555498</v>
      </c>
      <c r="T2195" s="111">
        <f ca="1">IFERROR(__xludf.DUMMYFUNCTION("""COMPUTED_VALUE"""),35.54)</f>
        <v>35.54</v>
      </c>
    </row>
    <row r="2196" spans="1:20" x14ac:dyDescent="0.3">
      <c r="A2196" s="112">
        <f ca="1">IFERROR(__xludf.DUMMYFUNCTION("""COMPUTED_VALUE"""),43503.7055555555)</f>
        <v>43503.705555555498</v>
      </c>
      <c r="B2196" s="111">
        <f ca="1">IFERROR(__xludf.DUMMYFUNCTION("""COMPUTED_VALUE"""),34.81)</f>
        <v>34.81</v>
      </c>
      <c r="C2196" s="112">
        <f ca="1">IFERROR(__xludf.DUMMYFUNCTION("""COMPUTED_VALUE"""),43511.7055555555)</f>
        <v>43511.705555555498</v>
      </c>
      <c r="D2196" s="111">
        <f ca="1">IFERROR(__xludf.DUMMYFUNCTION("""COMPUTED_VALUE"""),37.5)</f>
        <v>37.5</v>
      </c>
      <c r="E2196" s="112">
        <f ca="1">IFERROR(__xludf.DUMMYFUNCTION("""COMPUTED_VALUE"""),43515.7055555555)</f>
        <v>43515.705555555498</v>
      </c>
      <c r="F2196" s="111">
        <f ca="1">IFERROR(__xludf.DUMMYFUNCTION("""COMPUTED_VALUE"""),12.6)</f>
        <v>12.6</v>
      </c>
      <c r="G2196" s="112">
        <f ca="1">IFERROR(__xludf.DUMMYFUNCTION("""COMPUTED_VALUE"""),43510.7055555555)</f>
        <v>43510.705555555498</v>
      </c>
      <c r="H2196" s="111">
        <f ca="1">IFERROR(__xludf.DUMMYFUNCTION("""COMPUTED_VALUE"""),26.95)</f>
        <v>26.95</v>
      </c>
      <c r="K2196" s="112">
        <f ca="1">IFERROR(__xludf.DUMMYFUNCTION("""COMPUTED_VALUE"""),43962.7055555555)</f>
        <v>43962.705555555498</v>
      </c>
      <c r="L2196" s="111">
        <f ca="1">IFERROR(__xludf.DUMMYFUNCTION("""COMPUTED_VALUE"""),13.74)</f>
        <v>13.74</v>
      </c>
      <c r="M2196" s="112">
        <f ca="1">IFERROR(__xludf.DUMMYFUNCTION("""COMPUTED_VALUE"""),43413.7055555555)</f>
        <v>43413.705555555498</v>
      </c>
      <c r="N2196" s="111">
        <f ca="1">IFERROR(__xludf.DUMMYFUNCTION("""COMPUTED_VALUE"""),24.57)</f>
        <v>24.57</v>
      </c>
      <c r="O2196" s="112">
        <f ca="1">IFERROR(__xludf.DUMMYFUNCTION("""COMPUTED_VALUE"""),43496.7055555555)</f>
        <v>43496.705555555498</v>
      </c>
      <c r="P2196" s="111">
        <f ca="1">IFERROR(__xludf.DUMMYFUNCTION("""COMPUTED_VALUE"""),45.5)</f>
        <v>45.5</v>
      </c>
      <c r="Q2196" s="112">
        <f ca="1">IFERROR(__xludf.DUMMYFUNCTION("""COMPUTED_VALUE"""),43495.7055555555)</f>
        <v>43495.705555555498</v>
      </c>
      <c r="R2196" s="111">
        <f ca="1">IFERROR(__xludf.DUMMYFUNCTION("""COMPUTED_VALUE"""),50.58)</f>
        <v>50.58</v>
      </c>
      <c r="S2196" s="112">
        <f ca="1">IFERROR(__xludf.DUMMYFUNCTION("""COMPUTED_VALUE"""),43508.7055555555)</f>
        <v>43508.705555555498</v>
      </c>
      <c r="T2196" s="111">
        <f ca="1">IFERROR(__xludf.DUMMYFUNCTION("""COMPUTED_VALUE"""),36.91)</f>
        <v>36.909999999999997</v>
      </c>
    </row>
    <row r="2197" spans="1:20" x14ac:dyDescent="0.3">
      <c r="A2197" s="112">
        <f ca="1">IFERROR(__xludf.DUMMYFUNCTION("""COMPUTED_VALUE"""),43504.7055555555)</f>
        <v>43504.705555555498</v>
      </c>
      <c r="B2197" s="111">
        <f ca="1">IFERROR(__xludf.DUMMYFUNCTION("""COMPUTED_VALUE"""),35.39)</f>
        <v>35.39</v>
      </c>
      <c r="C2197" s="112">
        <f ca="1">IFERROR(__xludf.DUMMYFUNCTION("""COMPUTED_VALUE"""),43515.7055555555)</f>
        <v>43515.705555555498</v>
      </c>
      <c r="D2197" s="111">
        <f ca="1">IFERROR(__xludf.DUMMYFUNCTION("""COMPUTED_VALUE"""),37.75)</f>
        <v>37.75</v>
      </c>
      <c r="E2197" s="112">
        <f ca="1">IFERROR(__xludf.DUMMYFUNCTION("""COMPUTED_VALUE"""),43516.7055555555)</f>
        <v>43516.705555555498</v>
      </c>
      <c r="F2197" s="111">
        <f ca="1">IFERROR(__xludf.DUMMYFUNCTION("""COMPUTED_VALUE"""),12.57)</f>
        <v>12.57</v>
      </c>
      <c r="G2197" s="112">
        <f ca="1">IFERROR(__xludf.DUMMYFUNCTION("""COMPUTED_VALUE"""),43511.7055555555)</f>
        <v>43511.705555555498</v>
      </c>
      <c r="H2197" s="111">
        <f ca="1">IFERROR(__xludf.DUMMYFUNCTION("""COMPUTED_VALUE"""),26.84)</f>
        <v>26.84</v>
      </c>
      <c r="K2197" s="112">
        <f ca="1">IFERROR(__xludf.DUMMYFUNCTION("""COMPUTED_VALUE"""),43963.7055555555)</f>
        <v>43963.705555555498</v>
      </c>
      <c r="L2197" s="111">
        <f ca="1">IFERROR(__xludf.DUMMYFUNCTION("""COMPUTED_VALUE"""),13.7)</f>
        <v>13.7</v>
      </c>
      <c r="M2197" s="112">
        <f ca="1">IFERROR(__xludf.DUMMYFUNCTION("""COMPUTED_VALUE"""),43416.7055555555)</f>
        <v>43416.705555555498</v>
      </c>
      <c r="N2197" s="111">
        <f ca="1">IFERROR(__xludf.DUMMYFUNCTION("""COMPUTED_VALUE"""),24.55)</f>
        <v>24.55</v>
      </c>
      <c r="O2197" s="112">
        <f ca="1">IFERROR(__xludf.DUMMYFUNCTION("""COMPUTED_VALUE"""),43497.7055555555)</f>
        <v>43497.705555555498</v>
      </c>
      <c r="P2197" s="111">
        <f ca="1">IFERROR(__xludf.DUMMYFUNCTION("""COMPUTED_VALUE"""),46.25)</f>
        <v>46.25</v>
      </c>
      <c r="Q2197" s="112">
        <f ca="1">IFERROR(__xludf.DUMMYFUNCTION("""COMPUTED_VALUE"""),43496.7055555555)</f>
        <v>43496.705555555498</v>
      </c>
      <c r="R2197" s="111">
        <f ca="1">IFERROR(__xludf.DUMMYFUNCTION("""COMPUTED_VALUE"""),51.86)</f>
        <v>51.86</v>
      </c>
      <c r="S2197" s="112">
        <f ca="1">IFERROR(__xludf.DUMMYFUNCTION("""COMPUTED_VALUE"""),43509.7055555555)</f>
        <v>43509.705555555498</v>
      </c>
      <c r="T2197" s="111">
        <f ca="1">IFERROR(__xludf.DUMMYFUNCTION("""COMPUTED_VALUE"""),35.95)</f>
        <v>35.950000000000003</v>
      </c>
    </row>
    <row r="2198" spans="1:20" x14ac:dyDescent="0.3">
      <c r="A2198" s="112">
        <f ca="1">IFERROR(__xludf.DUMMYFUNCTION("""COMPUTED_VALUE"""),43507.7055555555)</f>
        <v>43507.705555555498</v>
      </c>
      <c r="B2198" s="111">
        <f ca="1">IFERROR(__xludf.DUMMYFUNCTION("""COMPUTED_VALUE"""),35.41)</f>
        <v>35.409999999999997</v>
      </c>
      <c r="C2198" s="112">
        <f ca="1">IFERROR(__xludf.DUMMYFUNCTION("""COMPUTED_VALUE"""),43516.7055555555)</f>
        <v>43516.705555555498</v>
      </c>
      <c r="D2198" s="111">
        <f ca="1">IFERROR(__xludf.DUMMYFUNCTION("""COMPUTED_VALUE"""),37.27)</f>
        <v>37.270000000000003</v>
      </c>
      <c r="E2198" s="112">
        <f ca="1">IFERROR(__xludf.DUMMYFUNCTION("""COMPUTED_VALUE"""),43517.7055555555)</f>
        <v>43517.705555555498</v>
      </c>
      <c r="F2198" s="111">
        <f ca="1">IFERROR(__xludf.DUMMYFUNCTION("""COMPUTED_VALUE"""),12.91)</f>
        <v>12.91</v>
      </c>
      <c r="G2198" s="112">
        <f ca="1">IFERROR(__xludf.DUMMYFUNCTION("""COMPUTED_VALUE"""),43515.7055555555)</f>
        <v>43515.705555555498</v>
      </c>
      <c r="H2198" s="111">
        <f ca="1">IFERROR(__xludf.DUMMYFUNCTION("""COMPUTED_VALUE"""),27.38)</f>
        <v>27.38</v>
      </c>
      <c r="K2198" s="112">
        <f ca="1">IFERROR(__xludf.DUMMYFUNCTION("""COMPUTED_VALUE"""),43964.7055555555)</f>
        <v>43964.705555555498</v>
      </c>
      <c r="L2198" s="111">
        <f ca="1">IFERROR(__xludf.DUMMYFUNCTION("""COMPUTED_VALUE"""),13.78)</f>
        <v>13.78</v>
      </c>
      <c r="M2198" s="112">
        <f ca="1">IFERROR(__xludf.DUMMYFUNCTION("""COMPUTED_VALUE"""),43417.7055555555)</f>
        <v>43417.705555555498</v>
      </c>
      <c r="N2198" s="111">
        <f ca="1">IFERROR(__xludf.DUMMYFUNCTION("""COMPUTED_VALUE"""),24.11)</f>
        <v>24.11</v>
      </c>
      <c r="O2198" s="112">
        <f ca="1">IFERROR(__xludf.DUMMYFUNCTION("""COMPUTED_VALUE"""),43500.7055555555)</f>
        <v>43500.705555555498</v>
      </c>
      <c r="P2198" s="111">
        <f ca="1">IFERROR(__xludf.DUMMYFUNCTION("""COMPUTED_VALUE"""),44.68)</f>
        <v>44.68</v>
      </c>
      <c r="Q2198" s="112">
        <f ca="1">IFERROR(__xludf.DUMMYFUNCTION("""COMPUTED_VALUE"""),43497.7055555555)</f>
        <v>43497.705555555498</v>
      </c>
      <c r="R2198" s="111">
        <f ca="1">IFERROR(__xludf.DUMMYFUNCTION("""COMPUTED_VALUE"""),52.11)</f>
        <v>52.11</v>
      </c>
      <c r="S2198" s="112">
        <f ca="1">IFERROR(__xludf.DUMMYFUNCTION("""COMPUTED_VALUE"""),43510.7055555555)</f>
        <v>43510.705555555498</v>
      </c>
      <c r="T2198" s="111">
        <f ca="1">IFERROR(__xludf.DUMMYFUNCTION("""COMPUTED_VALUE"""),36.91)</f>
        <v>36.909999999999997</v>
      </c>
    </row>
    <row r="2199" spans="1:20" x14ac:dyDescent="0.3">
      <c r="A2199" s="112">
        <f ca="1">IFERROR(__xludf.DUMMYFUNCTION("""COMPUTED_VALUE"""),43508.7055555555)</f>
        <v>43508.705555555498</v>
      </c>
      <c r="B2199" s="111">
        <f ca="1">IFERROR(__xludf.DUMMYFUNCTION("""COMPUTED_VALUE"""),35.34)</f>
        <v>35.340000000000003</v>
      </c>
      <c r="C2199" s="112">
        <f ca="1">IFERROR(__xludf.DUMMYFUNCTION("""COMPUTED_VALUE"""),43517.7055555555)</f>
        <v>43517.705555555498</v>
      </c>
      <c r="D2199" s="111">
        <f ca="1">IFERROR(__xludf.DUMMYFUNCTION("""COMPUTED_VALUE"""),37.95)</f>
        <v>37.950000000000003</v>
      </c>
      <c r="E2199" s="112">
        <f ca="1">IFERROR(__xludf.DUMMYFUNCTION("""COMPUTED_VALUE"""),43518.7055555555)</f>
        <v>43518.705555555498</v>
      </c>
      <c r="F2199" s="111">
        <f ca="1">IFERROR(__xludf.DUMMYFUNCTION("""COMPUTED_VALUE"""),12.29)</f>
        <v>12.29</v>
      </c>
      <c r="G2199" s="112">
        <f ca="1">IFERROR(__xludf.DUMMYFUNCTION("""COMPUTED_VALUE"""),43516.7055555555)</f>
        <v>43516.705555555498</v>
      </c>
      <c r="H2199" s="111">
        <f ca="1">IFERROR(__xludf.DUMMYFUNCTION("""COMPUTED_VALUE"""),27.04)</f>
        <v>27.04</v>
      </c>
      <c r="K2199" s="112">
        <f ca="1">IFERROR(__xludf.DUMMYFUNCTION("""COMPUTED_VALUE"""),43965.7055555555)</f>
        <v>43965.705555555498</v>
      </c>
      <c r="L2199" s="111">
        <f ca="1">IFERROR(__xludf.DUMMYFUNCTION("""COMPUTED_VALUE"""),13.88)</f>
        <v>13.88</v>
      </c>
      <c r="M2199" s="112">
        <f ca="1">IFERROR(__xludf.DUMMYFUNCTION("""COMPUTED_VALUE"""),43418.7055555555)</f>
        <v>43418.705555555498</v>
      </c>
      <c r="N2199" s="111">
        <f ca="1">IFERROR(__xludf.DUMMYFUNCTION("""COMPUTED_VALUE"""),24.45)</f>
        <v>24.45</v>
      </c>
      <c r="O2199" s="112">
        <f ca="1">IFERROR(__xludf.DUMMYFUNCTION("""COMPUTED_VALUE"""),43501.7055555555)</f>
        <v>43501.705555555498</v>
      </c>
      <c r="P2199" s="111">
        <f ca="1">IFERROR(__xludf.DUMMYFUNCTION("""COMPUTED_VALUE"""),44.52)</f>
        <v>44.52</v>
      </c>
      <c r="Q2199" s="112">
        <f ca="1">IFERROR(__xludf.DUMMYFUNCTION("""COMPUTED_VALUE"""),43500.7055555555)</f>
        <v>43500.705555555498</v>
      </c>
      <c r="R2199" s="111">
        <f ca="1">IFERROR(__xludf.DUMMYFUNCTION("""COMPUTED_VALUE"""),53.1)</f>
        <v>53.1</v>
      </c>
      <c r="S2199" s="112">
        <f ca="1">IFERROR(__xludf.DUMMYFUNCTION("""COMPUTED_VALUE"""),43511.7055555555)</f>
        <v>43511.705555555498</v>
      </c>
      <c r="T2199" s="111">
        <f ca="1">IFERROR(__xludf.DUMMYFUNCTION("""COMPUTED_VALUE"""),36.49)</f>
        <v>36.49</v>
      </c>
    </row>
    <row r="2200" spans="1:20" x14ac:dyDescent="0.3">
      <c r="A2200" s="112">
        <f ca="1">IFERROR(__xludf.DUMMYFUNCTION("""COMPUTED_VALUE"""),43509.7055555555)</f>
        <v>43509.705555555498</v>
      </c>
      <c r="B2200" s="111">
        <f ca="1">IFERROR(__xludf.DUMMYFUNCTION("""COMPUTED_VALUE"""),36.4)</f>
        <v>36.4</v>
      </c>
      <c r="C2200" s="112">
        <f ca="1">IFERROR(__xludf.DUMMYFUNCTION("""COMPUTED_VALUE"""),43518.7055555555)</f>
        <v>43518.705555555498</v>
      </c>
      <c r="D2200" s="111">
        <f ca="1">IFERROR(__xludf.DUMMYFUNCTION("""COMPUTED_VALUE"""),36.66)</f>
        <v>36.659999999999997</v>
      </c>
      <c r="E2200" s="112">
        <f ca="1">IFERROR(__xludf.DUMMYFUNCTION("""COMPUTED_VALUE"""),43521.7055555555)</f>
        <v>43521.705555555498</v>
      </c>
      <c r="F2200" s="111">
        <f ca="1">IFERROR(__xludf.DUMMYFUNCTION("""COMPUTED_VALUE"""),12.2)</f>
        <v>12.2</v>
      </c>
      <c r="G2200" s="112">
        <f ca="1">IFERROR(__xludf.DUMMYFUNCTION("""COMPUTED_VALUE"""),43517.7055555555)</f>
        <v>43517.705555555498</v>
      </c>
      <c r="H2200" s="111">
        <f ca="1">IFERROR(__xludf.DUMMYFUNCTION("""COMPUTED_VALUE"""),27.4)</f>
        <v>27.4</v>
      </c>
      <c r="K2200" s="112">
        <f ca="1">IFERROR(__xludf.DUMMYFUNCTION("""COMPUTED_VALUE"""),43966.7055555555)</f>
        <v>43966.705555555498</v>
      </c>
      <c r="L2200" s="111">
        <f ca="1">IFERROR(__xludf.DUMMYFUNCTION("""COMPUTED_VALUE"""),13.79)</f>
        <v>13.79</v>
      </c>
      <c r="M2200" s="112">
        <f ca="1">IFERROR(__xludf.DUMMYFUNCTION("""COMPUTED_VALUE"""),43420.7055555555)</f>
        <v>43420.705555555498</v>
      </c>
      <c r="N2200" s="111">
        <f ca="1">IFERROR(__xludf.DUMMYFUNCTION("""COMPUTED_VALUE"""),25.63)</f>
        <v>25.63</v>
      </c>
      <c r="O2200" s="112">
        <f ca="1">IFERROR(__xludf.DUMMYFUNCTION("""COMPUTED_VALUE"""),43502.7055555555)</f>
        <v>43502.705555555498</v>
      </c>
      <c r="P2200" s="111">
        <f ca="1">IFERROR(__xludf.DUMMYFUNCTION("""COMPUTED_VALUE"""),42.46)</f>
        <v>42.46</v>
      </c>
      <c r="Q2200" s="112">
        <f ca="1">IFERROR(__xludf.DUMMYFUNCTION("""COMPUTED_VALUE"""),43501.7055555555)</f>
        <v>43501.705555555498</v>
      </c>
      <c r="R2200" s="111">
        <f ca="1">IFERROR(__xludf.DUMMYFUNCTION("""COMPUTED_VALUE"""),54.65)</f>
        <v>54.65</v>
      </c>
      <c r="S2200" s="112">
        <f ca="1">IFERROR(__xludf.DUMMYFUNCTION("""COMPUTED_VALUE"""),43515.7055555555)</f>
        <v>43515.705555555498</v>
      </c>
      <c r="T2200" s="111">
        <f ca="1">IFERROR(__xludf.DUMMYFUNCTION("""COMPUTED_VALUE"""),36.86)</f>
        <v>36.86</v>
      </c>
    </row>
    <row r="2201" spans="1:20" x14ac:dyDescent="0.3">
      <c r="A2201" s="112">
        <f ca="1">IFERROR(__xludf.DUMMYFUNCTION("""COMPUTED_VALUE"""),43510.7055555555)</f>
        <v>43510.705555555498</v>
      </c>
      <c r="B2201" s="111">
        <f ca="1">IFERROR(__xludf.DUMMYFUNCTION("""COMPUTED_VALUE"""),36.72)</f>
        <v>36.72</v>
      </c>
      <c r="C2201" s="112">
        <f ca="1">IFERROR(__xludf.DUMMYFUNCTION("""COMPUTED_VALUE"""),43521.7055555555)</f>
        <v>43521.705555555498</v>
      </c>
      <c r="D2201" s="111">
        <f ca="1">IFERROR(__xludf.DUMMYFUNCTION("""COMPUTED_VALUE"""),36.1)</f>
        <v>36.1</v>
      </c>
      <c r="E2201" s="112">
        <f ca="1">IFERROR(__xludf.DUMMYFUNCTION("""COMPUTED_VALUE"""),43522.7055555555)</f>
        <v>43522.705555555498</v>
      </c>
      <c r="F2201" s="111">
        <f ca="1">IFERROR(__xludf.DUMMYFUNCTION("""COMPUTED_VALUE"""),12.21)</f>
        <v>12.21</v>
      </c>
      <c r="G2201" s="112">
        <f ca="1">IFERROR(__xludf.DUMMYFUNCTION("""COMPUTED_VALUE"""),43518.7055555555)</f>
        <v>43518.705555555498</v>
      </c>
      <c r="H2201" s="111">
        <f ca="1">IFERROR(__xludf.DUMMYFUNCTION("""COMPUTED_VALUE"""),27.13)</f>
        <v>27.13</v>
      </c>
      <c r="K2201" s="112">
        <f ca="1">IFERROR(__xludf.DUMMYFUNCTION("""COMPUTED_VALUE"""),43969.7055555555)</f>
        <v>43969.705555555498</v>
      </c>
      <c r="L2201" s="111">
        <f ca="1">IFERROR(__xludf.DUMMYFUNCTION("""COMPUTED_VALUE"""),13.94)</f>
        <v>13.94</v>
      </c>
      <c r="M2201" s="112">
        <f ca="1">IFERROR(__xludf.DUMMYFUNCTION("""COMPUTED_VALUE"""),43423.7055555555)</f>
        <v>43423.705555555498</v>
      </c>
      <c r="N2201" s="111">
        <f ca="1">IFERROR(__xludf.DUMMYFUNCTION("""COMPUTED_VALUE"""),25.52)</f>
        <v>25.52</v>
      </c>
      <c r="O2201" s="112">
        <f ca="1">IFERROR(__xludf.DUMMYFUNCTION("""COMPUTED_VALUE"""),43503.7055555555)</f>
        <v>43503.705555555498</v>
      </c>
      <c r="P2201" s="111">
        <f ca="1">IFERROR(__xludf.DUMMYFUNCTION("""COMPUTED_VALUE"""),41.59)</f>
        <v>41.59</v>
      </c>
      <c r="Q2201" s="112">
        <f ca="1">IFERROR(__xludf.DUMMYFUNCTION("""COMPUTED_VALUE"""),43502.7055555555)</f>
        <v>43502.705555555498</v>
      </c>
      <c r="R2201" s="111">
        <f ca="1">IFERROR(__xludf.DUMMYFUNCTION("""COMPUTED_VALUE"""),51.32)</f>
        <v>51.32</v>
      </c>
      <c r="S2201" s="112">
        <f ca="1">IFERROR(__xludf.DUMMYFUNCTION("""COMPUTED_VALUE"""),43516.7055555555)</f>
        <v>43516.705555555498</v>
      </c>
      <c r="T2201" s="111">
        <f ca="1">IFERROR(__xludf.DUMMYFUNCTION("""COMPUTED_VALUE"""),35.87)</f>
        <v>35.869999999999997</v>
      </c>
    </row>
    <row r="2202" spans="1:20" x14ac:dyDescent="0.3">
      <c r="A2202" s="112">
        <f ca="1">IFERROR(__xludf.DUMMYFUNCTION("""COMPUTED_VALUE"""),43511.7055555555)</f>
        <v>43511.705555555498</v>
      </c>
      <c r="B2202" s="111">
        <f ca="1">IFERROR(__xludf.DUMMYFUNCTION("""COMPUTED_VALUE"""),35.91)</f>
        <v>35.909999999999997</v>
      </c>
      <c r="C2202" s="112">
        <f ca="1">IFERROR(__xludf.DUMMYFUNCTION("""COMPUTED_VALUE"""),43522.7055555555)</f>
        <v>43522.705555555498</v>
      </c>
      <c r="D2202" s="111">
        <f ca="1">IFERROR(__xludf.DUMMYFUNCTION("""COMPUTED_VALUE"""),36.23)</f>
        <v>36.229999999999997</v>
      </c>
      <c r="E2202" s="112">
        <f ca="1">IFERROR(__xludf.DUMMYFUNCTION("""COMPUTED_VALUE"""),43523.7055555555)</f>
        <v>43523.705555555498</v>
      </c>
      <c r="F2202" s="111">
        <f ca="1">IFERROR(__xludf.DUMMYFUNCTION("""COMPUTED_VALUE"""),12.04)</f>
        <v>12.04</v>
      </c>
      <c r="G2202" s="112">
        <f ca="1">IFERROR(__xludf.DUMMYFUNCTION("""COMPUTED_VALUE"""),43521.7055555555)</f>
        <v>43521.705555555498</v>
      </c>
      <c r="H2202" s="111">
        <f ca="1">IFERROR(__xludf.DUMMYFUNCTION("""COMPUTED_VALUE"""),26.7)</f>
        <v>26.7</v>
      </c>
      <c r="K2202" s="112">
        <f ca="1">IFERROR(__xludf.DUMMYFUNCTION("""COMPUTED_VALUE"""),43970.7055555555)</f>
        <v>43970.705555555498</v>
      </c>
      <c r="L2202" s="111">
        <f ca="1">IFERROR(__xludf.DUMMYFUNCTION("""COMPUTED_VALUE"""),14.65)</f>
        <v>14.65</v>
      </c>
      <c r="M2202" s="112">
        <f ca="1">IFERROR(__xludf.DUMMYFUNCTION("""COMPUTED_VALUE"""),43425.7055555555)</f>
        <v>43425.705555555498</v>
      </c>
      <c r="N2202" s="111">
        <f ca="1">IFERROR(__xludf.DUMMYFUNCTION("""COMPUTED_VALUE"""),25.24)</f>
        <v>25.24</v>
      </c>
      <c r="O2202" s="112">
        <f ca="1">IFERROR(__xludf.DUMMYFUNCTION("""COMPUTED_VALUE"""),43504.7055555555)</f>
        <v>43504.705555555498</v>
      </c>
      <c r="P2202" s="111">
        <f ca="1">IFERROR(__xludf.DUMMYFUNCTION("""COMPUTED_VALUE"""),43.16)</f>
        <v>43.16</v>
      </c>
      <c r="Q2202" s="112">
        <f ca="1">IFERROR(__xludf.DUMMYFUNCTION("""COMPUTED_VALUE"""),43503.7055555555)</f>
        <v>43503.705555555498</v>
      </c>
      <c r="R2202" s="111">
        <f ca="1">IFERROR(__xludf.DUMMYFUNCTION("""COMPUTED_VALUE"""),51.66)</f>
        <v>51.66</v>
      </c>
      <c r="S2202" s="112">
        <f ca="1">IFERROR(__xludf.DUMMYFUNCTION("""COMPUTED_VALUE"""),43517.7055555555)</f>
        <v>43517.705555555498</v>
      </c>
      <c r="T2202" s="111">
        <f ca="1">IFERROR(__xludf.DUMMYFUNCTION("""COMPUTED_VALUE"""),35.79)</f>
        <v>35.79</v>
      </c>
    </row>
    <row r="2203" spans="1:20" x14ac:dyDescent="0.3">
      <c r="A2203" s="112">
        <f ca="1">IFERROR(__xludf.DUMMYFUNCTION("""COMPUTED_VALUE"""),43515.7055555555)</f>
        <v>43515.705555555498</v>
      </c>
      <c r="B2203" s="111">
        <f ca="1">IFERROR(__xludf.DUMMYFUNCTION("""COMPUTED_VALUE"""),35.3)</f>
        <v>35.299999999999997</v>
      </c>
      <c r="C2203" s="112">
        <f ca="1">IFERROR(__xludf.DUMMYFUNCTION("""COMPUTED_VALUE"""),43523.7055555555)</f>
        <v>43523.705555555498</v>
      </c>
      <c r="D2203" s="111">
        <f ca="1">IFERROR(__xludf.DUMMYFUNCTION("""COMPUTED_VALUE"""),35.91)</f>
        <v>35.909999999999997</v>
      </c>
      <c r="E2203" s="112">
        <f ca="1">IFERROR(__xludf.DUMMYFUNCTION("""COMPUTED_VALUE"""),43524.7055555555)</f>
        <v>43524.705555555498</v>
      </c>
      <c r="F2203" s="111">
        <f ca="1">IFERROR(__xludf.DUMMYFUNCTION("""COMPUTED_VALUE"""),11.78)</f>
        <v>11.78</v>
      </c>
      <c r="G2203" s="112">
        <f ca="1">IFERROR(__xludf.DUMMYFUNCTION("""COMPUTED_VALUE"""),43522.7055555555)</f>
        <v>43522.705555555498</v>
      </c>
      <c r="H2203" s="111">
        <f ca="1">IFERROR(__xludf.DUMMYFUNCTION("""COMPUTED_VALUE"""),26.58)</f>
        <v>26.58</v>
      </c>
      <c r="K2203" s="112">
        <f ca="1">IFERROR(__xludf.DUMMYFUNCTION("""COMPUTED_VALUE"""),43971.7055555555)</f>
        <v>43971.705555555498</v>
      </c>
      <c r="L2203" s="111">
        <f ca="1">IFERROR(__xludf.DUMMYFUNCTION("""COMPUTED_VALUE"""),14.23)</f>
        <v>14.23</v>
      </c>
      <c r="M2203" s="112">
        <f ca="1">IFERROR(__xludf.DUMMYFUNCTION("""COMPUTED_VALUE"""),43426.7055555555)</f>
        <v>43426.705555555498</v>
      </c>
      <c r="N2203" s="111">
        <f ca="1">IFERROR(__xludf.DUMMYFUNCTION("""COMPUTED_VALUE"""),25.34)</f>
        <v>25.34</v>
      </c>
      <c r="O2203" s="112">
        <f ca="1">IFERROR(__xludf.DUMMYFUNCTION("""COMPUTED_VALUE"""),43507.7055555555)</f>
        <v>43507.705555555498</v>
      </c>
      <c r="P2203" s="111">
        <f ca="1">IFERROR(__xludf.DUMMYFUNCTION("""COMPUTED_VALUE"""),42.02)</f>
        <v>42.02</v>
      </c>
      <c r="Q2203" s="112">
        <f ca="1">IFERROR(__xludf.DUMMYFUNCTION("""COMPUTED_VALUE"""),43504.7055555555)</f>
        <v>43504.705555555498</v>
      </c>
      <c r="R2203" s="111">
        <f ca="1">IFERROR(__xludf.DUMMYFUNCTION("""COMPUTED_VALUE"""),51.73)</f>
        <v>51.73</v>
      </c>
      <c r="S2203" s="112">
        <f ca="1">IFERROR(__xludf.DUMMYFUNCTION("""COMPUTED_VALUE"""),43518.7055555555)</f>
        <v>43518.705555555498</v>
      </c>
      <c r="T2203" s="111">
        <f ca="1">IFERROR(__xludf.DUMMYFUNCTION("""COMPUTED_VALUE"""),36.94)</f>
        <v>36.94</v>
      </c>
    </row>
    <row r="2204" spans="1:20" x14ac:dyDescent="0.3">
      <c r="A2204" s="112">
        <f ca="1">IFERROR(__xludf.DUMMYFUNCTION("""COMPUTED_VALUE"""),43516.7055555555)</f>
        <v>43516.705555555498</v>
      </c>
      <c r="B2204" s="111">
        <f ca="1">IFERROR(__xludf.DUMMYFUNCTION("""COMPUTED_VALUE"""),34.63)</f>
        <v>34.630000000000003</v>
      </c>
      <c r="C2204" s="112">
        <f ca="1">IFERROR(__xludf.DUMMYFUNCTION("""COMPUTED_VALUE"""),43524.7055555555)</f>
        <v>43524.705555555498</v>
      </c>
      <c r="D2204" s="111">
        <f ca="1">IFERROR(__xludf.DUMMYFUNCTION("""COMPUTED_VALUE"""),35.23)</f>
        <v>35.229999999999997</v>
      </c>
      <c r="E2204" s="112">
        <f ca="1">IFERROR(__xludf.DUMMYFUNCTION("""COMPUTED_VALUE"""),43525.7055555555)</f>
        <v>43525.705555555498</v>
      </c>
      <c r="F2204" s="111">
        <f ca="1">IFERROR(__xludf.DUMMYFUNCTION("""COMPUTED_VALUE"""),11.68)</f>
        <v>11.68</v>
      </c>
      <c r="G2204" s="112">
        <f ca="1">IFERROR(__xludf.DUMMYFUNCTION("""COMPUTED_VALUE"""),43523.7055555555)</f>
        <v>43523.705555555498</v>
      </c>
      <c r="H2204" s="111">
        <f ca="1">IFERROR(__xludf.DUMMYFUNCTION("""COMPUTED_VALUE"""),27.08)</f>
        <v>27.08</v>
      </c>
      <c r="K2204" s="112">
        <f ca="1">IFERROR(__xludf.DUMMYFUNCTION("""COMPUTED_VALUE"""),43972.7055555555)</f>
        <v>43972.705555555498</v>
      </c>
      <c r="L2204" s="111">
        <f ca="1">IFERROR(__xludf.DUMMYFUNCTION("""COMPUTED_VALUE"""),14.58)</f>
        <v>14.58</v>
      </c>
      <c r="M2204" s="112">
        <f ca="1">IFERROR(__xludf.DUMMYFUNCTION("""COMPUTED_VALUE"""),43427.7055555555)</f>
        <v>43427.705555555498</v>
      </c>
      <c r="N2204" s="111">
        <f ca="1">IFERROR(__xludf.DUMMYFUNCTION("""COMPUTED_VALUE"""),25.29)</f>
        <v>25.29</v>
      </c>
      <c r="O2204" s="112">
        <f ca="1">IFERROR(__xludf.DUMMYFUNCTION("""COMPUTED_VALUE"""),43508.7055555555)</f>
        <v>43508.705555555498</v>
      </c>
      <c r="P2204" s="111">
        <f ca="1">IFERROR(__xludf.DUMMYFUNCTION("""COMPUTED_VALUE"""),44.3)</f>
        <v>44.3</v>
      </c>
      <c r="Q2204" s="112">
        <f ca="1">IFERROR(__xludf.DUMMYFUNCTION("""COMPUTED_VALUE"""),43507.7055555555)</f>
        <v>43507.705555555498</v>
      </c>
      <c r="R2204" s="111">
        <f ca="1">IFERROR(__xludf.DUMMYFUNCTION("""COMPUTED_VALUE"""),50.2)</f>
        <v>50.2</v>
      </c>
      <c r="S2204" s="112">
        <f ca="1">IFERROR(__xludf.DUMMYFUNCTION("""COMPUTED_VALUE"""),43521.7055555555)</f>
        <v>43521.705555555498</v>
      </c>
      <c r="T2204" s="111">
        <f ca="1">IFERROR(__xludf.DUMMYFUNCTION("""COMPUTED_VALUE"""),36.69)</f>
        <v>36.69</v>
      </c>
    </row>
    <row r="2205" spans="1:20" x14ac:dyDescent="0.3">
      <c r="A2205" s="112">
        <f ca="1">IFERROR(__xludf.DUMMYFUNCTION("""COMPUTED_VALUE"""),43517.7055555555)</f>
        <v>43517.705555555498</v>
      </c>
      <c r="B2205" s="111">
        <f ca="1">IFERROR(__xludf.DUMMYFUNCTION("""COMPUTED_VALUE"""),36.19)</f>
        <v>36.19</v>
      </c>
      <c r="C2205" s="112">
        <f ca="1">IFERROR(__xludf.DUMMYFUNCTION("""COMPUTED_VALUE"""),43525.7055555555)</f>
        <v>43525.705555555498</v>
      </c>
      <c r="D2205" s="111">
        <f ca="1">IFERROR(__xludf.DUMMYFUNCTION("""COMPUTED_VALUE"""),34.84)</f>
        <v>34.840000000000003</v>
      </c>
      <c r="E2205" s="112">
        <f ca="1">IFERROR(__xludf.DUMMYFUNCTION("""COMPUTED_VALUE"""),43530.7055555555)</f>
        <v>43530.705555555498</v>
      </c>
      <c r="F2205" s="111">
        <f ca="1">IFERROR(__xludf.DUMMYFUNCTION("""COMPUTED_VALUE"""),11.5)</f>
        <v>11.5</v>
      </c>
      <c r="G2205" s="112">
        <f ca="1">IFERROR(__xludf.DUMMYFUNCTION("""COMPUTED_VALUE"""),43524.7055555555)</f>
        <v>43524.705555555498</v>
      </c>
      <c r="H2205" s="111">
        <f ca="1">IFERROR(__xludf.DUMMYFUNCTION("""COMPUTED_VALUE"""),27.06)</f>
        <v>27.06</v>
      </c>
      <c r="K2205" s="112">
        <f ca="1">IFERROR(__xludf.DUMMYFUNCTION("""COMPUTED_VALUE"""),43973.7055555555)</f>
        <v>43973.705555555498</v>
      </c>
      <c r="L2205" s="111">
        <f ca="1">IFERROR(__xludf.DUMMYFUNCTION("""COMPUTED_VALUE"""),14.42)</f>
        <v>14.42</v>
      </c>
      <c r="M2205" s="112">
        <f ca="1">IFERROR(__xludf.DUMMYFUNCTION("""COMPUTED_VALUE"""),43430.7055555555)</f>
        <v>43430.705555555498</v>
      </c>
      <c r="N2205" s="111">
        <f ca="1">IFERROR(__xludf.DUMMYFUNCTION("""COMPUTED_VALUE"""),24.92)</f>
        <v>24.92</v>
      </c>
      <c r="O2205" s="112">
        <f ca="1">IFERROR(__xludf.DUMMYFUNCTION("""COMPUTED_VALUE"""),43509.7055555555)</f>
        <v>43509.705555555498</v>
      </c>
      <c r="P2205" s="111">
        <f ca="1">IFERROR(__xludf.DUMMYFUNCTION("""COMPUTED_VALUE"""),45.49)</f>
        <v>45.49</v>
      </c>
      <c r="Q2205" s="112">
        <f ca="1">IFERROR(__xludf.DUMMYFUNCTION("""COMPUTED_VALUE"""),43508.7055555555)</f>
        <v>43508.705555555498</v>
      </c>
      <c r="R2205" s="111">
        <f ca="1">IFERROR(__xludf.DUMMYFUNCTION("""COMPUTED_VALUE"""),53.29)</f>
        <v>53.29</v>
      </c>
      <c r="S2205" s="112">
        <f ca="1">IFERROR(__xludf.DUMMYFUNCTION("""COMPUTED_VALUE"""),43522.7055555555)</f>
        <v>43522.705555555498</v>
      </c>
      <c r="T2205" s="111">
        <f ca="1">IFERROR(__xludf.DUMMYFUNCTION("""COMPUTED_VALUE"""),36.69)</f>
        <v>36.69</v>
      </c>
    </row>
    <row r="2206" spans="1:20" x14ac:dyDescent="0.3">
      <c r="A2206" s="112">
        <f ca="1">IFERROR(__xludf.DUMMYFUNCTION("""COMPUTED_VALUE"""),43518.7055555555)</f>
        <v>43518.705555555498</v>
      </c>
      <c r="B2206" s="111">
        <f ca="1">IFERROR(__xludf.DUMMYFUNCTION("""COMPUTED_VALUE"""),37.47)</f>
        <v>37.47</v>
      </c>
      <c r="C2206" s="112">
        <f ca="1">IFERROR(__xludf.DUMMYFUNCTION("""COMPUTED_VALUE"""),43530.7055555555)</f>
        <v>43530.705555555498</v>
      </c>
      <c r="D2206" s="111">
        <f ca="1">IFERROR(__xludf.DUMMYFUNCTION("""COMPUTED_VALUE"""),34.85)</f>
        <v>34.85</v>
      </c>
      <c r="E2206" s="112">
        <f ca="1">IFERROR(__xludf.DUMMYFUNCTION("""COMPUTED_VALUE"""),43531.7055555555)</f>
        <v>43531.705555555498</v>
      </c>
      <c r="F2206" s="111">
        <f ca="1">IFERROR(__xludf.DUMMYFUNCTION("""COMPUTED_VALUE"""),11.7)</f>
        <v>11.7</v>
      </c>
      <c r="G2206" s="112">
        <f ca="1">IFERROR(__xludf.DUMMYFUNCTION("""COMPUTED_VALUE"""),43525.7055555555)</f>
        <v>43525.705555555498</v>
      </c>
      <c r="H2206" s="111">
        <f ca="1">IFERROR(__xludf.DUMMYFUNCTION("""COMPUTED_VALUE"""),26.7)</f>
        <v>26.7</v>
      </c>
      <c r="K2206" s="112">
        <f ca="1">IFERROR(__xludf.DUMMYFUNCTION("""COMPUTED_VALUE"""),43976.7055555555)</f>
        <v>43976.705555555498</v>
      </c>
      <c r="L2206" s="111">
        <f ca="1">IFERROR(__xludf.DUMMYFUNCTION("""COMPUTED_VALUE"""),15.1)</f>
        <v>15.1</v>
      </c>
      <c r="M2206" s="112">
        <f ca="1">IFERROR(__xludf.DUMMYFUNCTION("""COMPUTED_VALUE"""),43431.7055555555)</f>
        <v>43431.705555555498</v>
      </c>
      <c r="N2206" s="111">
        <f ca="1">IFERROR(__xludf.DUMMYFUNCTION("""COMPUTED_VALUE"""),25.94)</f>
        <v>25.94</v>
      </c>
      <c r="O2206" s="112">
        <f ca="1">IFERROR(__xludf.DUMMYFUNCTION("""COMPUTED_VALUE"""),43510.7055555555)</f>
        <v>43510.705555555498</v>
      </c>
      <c r="P2206" s="111">
        <f ca="1">IFERROR(__xludf.DUMMYFUNCTION("""COMPUTED_VALUE"""),45.66)</f>
        <v>45.66</v>
      </c>
      <c r="Q2206" s="112">
        <f ca="1">IFERROR(__xludf.DUMMYFUNCTION("""COMPUTED_VALUE"""),43509.7055555555)</f>
        <v>43509.705555555498</v>
      </c>
      <c r="R2206" s="111">
        <f ca="1">IFERROR(__xludf.DUMMYFUNCTION("""COMPUTED_VALUE"""),52.08)</f>
        <v>52.08</v>
      </c>
      <c r="S2206" s="112">
        <f ca="1">IFERROR(__xludf.DUMMYFUNCTION("""COMPUTED_VALUE"""),43523.7055555555)</f>
        <v>43523.705555555498</v>
      </c>
      <c r="T2206" s="111">
        <f ca="1">IFERROR(__xludf.DUMMYFUNCTION("""COMPUTED_VALUE"""),36.4)</f>
        <v>36.4</v>
      </c>
    </row>
    <row r="2207" spans="1:20" x14ac:dyDescent="0.3">
      <c r="A2207" s="112">
        <f ca="1">IFERROR(__xludf.DUMMYFUNCTION("""COMPUTED_VALUE"""),43521.7055555555)</f>
        <v>43521.705555555498</v>
      </c>
      <c r="B2207" s="111">
        <f ca="1">IFERROR(__xludf.DUMMYFUNCTION("""COMPUTED_VALUE"""),36.94)</f>
        <v>36.94</v>
      </c>
      <c r="C2207" s="112">
        <f ca="1">IFERROR(__xludf.DUMMYFUNCTION("""COMPUTED_VALUE"""),43531.7055555555)</f>
        <v>43531.705555555498</v>
      </c>
      <c r="D2207" s="111">
        <f ca="1">IFERROR(__xludf.DUMMYFUNCTION("""COMPUTED_VALUE"""),35.33)</f>
        <v>35.33</v>
      </c>
      <c r="E2207" s="112">
        <f ca="1">IFERROR(__xludf.DUMMYFUNCTION("""COMPUTED_VALUE"""),43532.7055555555)</f>
        <v>43532.705555555498</v>
      </c>
      <c r="F2207" s="111">
        <f ca="1">IFERROR(__xludf.DUMMYFUNCTION("""COMPUTED_VALUE"""),11.91)</f>
        <v>11.91</v>
      </c>
      <c r="G2207" s="112">
        <f ca="1">IFERROR(__xludf.DUMMYFUNCTION("""COMPUTED_VALUE"""),43530.7055555555)</f>
        <v>43530.705555555498</v>
      </c>
      <c r="H2207" s="111">
        <f ca="1">IFERROR(__xludf.DUMMYFUNCTION("""COMPUTED_VALUE"""),26.76)</f>
        <v>26.76</v>
      </c>
      <c r="K2207" s="112">
        <f ca="1">IFERROR(__xludf.DUMMYFUNCTION("""COMPUTED_VALUE"""),43977.7055555555)</f>
        <v>43977.705555555498</v>
      </c>
      <c r="L2207" s="111">
        <f ca="1">IFERROR(__xludf.DUMMYFUNCTION("""COMPUTED_VALUE"""),16.12)</f>
        <v>16.12</v>
      </c>
      <c r="M2207" s="112">
        <f ca="1">IFERROR(__xludf.DUMMYFUNCTION("""COMPUTED_VALUE"""),43432.7055555555)</f>
        <v>43432.705555555498</v>
      </c>
      <c r="N2207" s="111">
        <f ca="1">IFERROR(__xludf.DUMMYFUNCTION("""COMPUTED_VALUE"""),26.47)</f>
        <v>26.47</v>
      </c>
      <c r="O2207" s="112">
        <f ca="1">IFERROR(__xludf.DUMMYFUNCTION("""COMPUTED_VALUE"""),43511.7055555555)</f>
        <v>43511.705555555498</v>
      </c>
      <c r="P2207" s="111">
        <f ca="1">IFERROR(__xludf.DUMMYFUNCTION("""COMPUTED_VALUE"""),45.88)</f>
        <v>45.88</v>
      </c>
      <c r="Q2207" s="112">
        <f ca="1">IFERROR(__xludf.DUMMYFUNCTION("""COMPUTED_VALUE"""),43510.7055555555)</f>
        <v>43510.705555555498</v>
      </c>
      <c r="R2207" s="111">
        <f ca="1">IFERROR(__xludf.DUMMYFUNCTION("""COMPUTED_VALUE"""),54.74)</f>
        <v>54.74</v>
      </c>
      <c r="S2207" s="112">
        <f ca="1">IFERROR(__xludf.DUMMYFUNCTION("""COMPUTED_VALUE"""),43524.7055555555)</f>
        <v>43524.705555555498</v>
      </c>
      <c r="T2207" s="111">
        <f ca="1">IFERROR(__xludf.DUMMYFUNCTION("""COMPUTED_VALUE"""),35.77)</f>
        <v>35.770000000000003</v>
      </c>
    </row>
    <row r="2208" spans="1:20" x14ac:dyDescent="0.3">
      <c r="A2208" s="112">
        <f ca="1">IFERROR(__xludf.DUMMYFUNCTION("""COMPUTED_VALUE"""),43522.7055555555)</f>
        <v>43522.705555555498</v>
      </c>
      <c r="B2208" s="111">
        <f ca="1">IFERROR(__xludf.DUMMYFUNCTION("""COMPUTED_VALUE"""),36.8)</f>
        <v>36.799999999999997</v>
      </c>
      <c r="C2208" s="112">
        <f ca="1">IFERROR(__xludf.DUMMYFUNCTION("""COMPUTED_VALUE"""),43532.7055555555)</f>
        <v>43532.705555555498</v>
      </c>
      <c r="D2208" s="111">
        <f ca="1">IFERROR(__xludf.DUMMYFUNCTION("""COMPUTED_VALUE"""),35.75)</f>
        <v>35.75</v>
      </c>
      <c r="E2208" s="112">
        <f ca="1">IFERROR(__xludf.DUMMYFUNCTION("""COMPUTED_VALUE"""),43535.7055555555)</f>
        <v>43535.705555555498</v>
      </c>
      <c r="F2208" s="111">
        <f ca="1">IFERROR(__xludf.DUMMYFUNCTION("""COMPUTED_VALUE"""),12.25)</f>
        <v>12.25</v>
      </c>
      <c r="G2208" s="112">
        <f ca="1">IFERROR(__xludf.DUMMYFUNCTION("""COMPUTED_VALUE"""),43531.7055555555)</f>
        <v>43531.705555555498</v>
      </c>
      <c r="H2208" s="111">
        <f ca="1">IFERROR(__xludf.DUMMYFUNCTION("""COMPUTED_VALUE"""),26.77)</f>
        <v>26.77</v>
      </c>
      <c r="K2208" s="112">
        <f ca="1">IFERROR(__xludf.DUMMYFUNCTION("""COMPUTED_VALUE"""),43978.7055555555)</f>
        <v>43978.705555555498</v>
      </c>
      <c r="L2208" s="111">
        <f ca="1">IFERROR(__xludf.DUMMYFUNCTION("""COMPUTED_VALUE"""),16.85)</f>
        <v>16.850000000000001</v>
      </c>
      <c r="M2208" s="112">
        <f ca="1">IFERROR(__xludf.DUMMYFUNCTION("""COMPUTED_VALUE"""),43433.7055555555)</f>
        <v>43433.705555555498</v>
      </c>
      <c r="N2208" s="111">
        <f ca="1">IFERROR(__xludf.DUMMYFUNCTION("""COMPUTED_VALUE"""),26.8)</f>
        <v>26.8</v>
      </c>
      <c r="O2208" s="112">
        <f ca="1">IFERROR(__xludf.DUMMYFUNCTION("""COMPUTED_VALUE"""),43515.7055555555)</f>
        <v>43515.705555555498</v>
      </c>
      <c r="P2208" s="111">
        <f ca="1">IFERROR(__xludf.DUMMYFUNCTION("""COMPUTED_VALUE"""),45.49)</f>
        <v>45.49</v>
      </c>
      <c r="Q2208" s="112">
        <f ca="1">IFERROR(__xludf.DUMMYFUNCTION("""COMPUTED_VALUE"""),43511.7055555555)</f>
        <v>43511.705555555498</v>
      </c>
      <c r="R2208" s="111">
        <f ca="1">IFERROR(__xludf.DUMMYFUNCTION("""COMPUTED_VALUE"""),54.81)</f>
        <v>54.81</v>
      </c>
      <c r="S2208" s="112">
        <f ca="1">IFERROR(__xludf.DUMMYFUNCTION("""COMPUTED_VALUE"""),43525.7055555555)</f>
        <v>43525.705555555498</v>
      </c>
      <c r="T2208" s="111">
        <f ca="1">IFERROR(__xludf.DUMMYFUNCTION("""COMPUTED_VALUE"""),35.81)</f>
        <v>35.81</v>
      </c>
    </row>
    <row r="2209" spans="1:20" x14ac:dyDescent="0.3">
      <c r="A2209" s="112">
        <f ca="1">IFERROR(__xludf.DUMMYFUNCTION("""COMPUTED_VALUE"""),43523.7055555555)</f>
        <v>43523.705555555498</v>
      </c>
      <c r="B2209" s="111">
        <f ca="1">IFERROR(__xludf.DUMMYFUNCTION("""COMPUTED_VALUE"""),39.76)</f>
        <v>39.76</v>
      </c>
      <c r="C2209" s="112">
        <f ca="1">IFERROR(__xludf.DUMMYFUNCTION("""COMPUTED_VALUE"""),43535.7055555555)</f>
        <v>43535.705555555498</v>
      </c>
      <c r="D2209" s="111">
        <f ca="1">IFERROR(__xludf.DUMMYFUNCTION("""COMPUTED_VALUE"""),36.92)</f>
        <v>36.92</v>
      </c>
      <c r="E2209" s="112">
        <f ca="1">IFERROR(__xludf.DUMMYFUNCTION("""COMPUTED_VALUE"""),43536.7055555555)</f>
        <v>43536.705555555498</v>
      </c>
      <c r="F2209" s="111">
        <f ca="1">IFERROR(__xludf.DUMMYFUNCTION("""COMPUTED_VALUE"""),12.29)</f>
        <v>12.29</v>
      </c>
      <c r="G2209" s="112">
        <f ca="1">IFERROR(__xludf.DUMMYFUNCTION("""COMPUTED_VALUE"""),43532.7055555555)</f>
        <v>43532.705555555498</v>
      </c>
      <c r="H2209" s="111">
        <f ca="1">IFERROR(__xludf.DUMMYFUNCTION("""COMPUTED_VALUE"""),26.67)</f>
        <v>26.67</v>
      </c>
      <c r="K2209" s="112">
        <f ca="1">IFERROR(__xludf.DUMMYFUNCTION("""COMPUTED_VALUE"""),43979.7055555555)</f>
        <v>43979.705555555498</v>
      </c>
      <c r="L2209" s="111">
        <f ca="1">IFERROR(__xludf.DUMMYFUNCTION("""COMPUTED_VALUE"""),16.32)</f>
        <v>16.32</v>
      </c>
      <c r="M2209" s="112">
        <f ca="1">IFERROR(__xludf.DUMMYFUNCTION("""COMPUTED_VALUE"""),43434.7055555555)</f>
        <v>43434.705555555498</v>
      </c>
      <c r="N2209" s="111">
        <f ca="1">IFERROR(__xludf.DUMMYFUNCTION("""COMPUTED_VALUE"""),26.49)</f>
        <v>26.49</v>
      </c>
      <c r="O2209" s="112">
        <f ca="1">IFERROR(__xludf.DUMMYFUNCTION("""COMPUTED_VALUE"""),43516.7055555555)</f>
        <v>43516.705555555498</v>
      </c>
      <c r="P2209" s="111">
        <f ca="1">IFERROR(__xludf.DUMMYFUNCTION("""COMPUTED_VALUE"""),45.8)</f>
        <v>45.8</v>
      </c>
      <c r="Q2209" s="112">
        <f ca="1">IFERROR(__xludf.DUMMYFUNCTION("""COMPUTED_VALUE"""),43515.7055555555)</f>
        <v>43515.705555555498</v>
      </c>
      <c r="R2209" s="111">
        <f ca="1">IFERROR(__xludf.DUMMYFUNCTION("""COMPUTED_VALUE"""),54.5)</f>
        <v>54.5</v>
      </c>
      <c r="S2209" s="112">
        <f ca="1">IFERROR(__xludf.DUMMYFUNCTION("""COMPUTED_VALUE"""),43530.7055555555)</f>
        <v>43530.705555555498</v>
      </c>
      <c r="T2209" s="111">
        <f ca="1">IFERROR(__xludf.DUMMYFUNCTION("""COMPUTED_VALUE"""),35.94)</f>
        <v>35.94</v>
      </c>
    </row>
    <row r="2210" spans="1:20" x14ac:dyDescent="0.3">
      <c r="A2210" s="112">
        <f ca="1">IFERROR(__xludf.DUMMYFUNCTION("""COMPUTED_VALUE"""),43524.7055555555)</f>
        <v>43524.705555555498</v>
      </c>
      <c r="B2210" s="111">
        <f ca="1">IFERROR(__xludf.DUMMYFUNCTION("""COMPUTED_VALUE"""),36.57)</f>
        <v>36.57</v>
      </c>
      <c r="C2210" s="112">
        <f ca="1">IFERROR(__xludf.DUMMYFUNCTION("""COMPUTED_VALUE"""),43536.7055555555)</f>
        <v>43536.705555555498</v>
      </c>
      <c r="D2210" s="111">
        <f ca="1">IFERROR(__xludf.DUMMYFUNCTION("""COMPUTED_VALUE"""),37)</f>
        <v>37</v>
      </c>
      <c r="E2210" s="112">
        <f ca="1">IFERROR(__xludf.DUMMYFUNCTION("""COMPUTED_VALUE"""),43537.7055555555)</f>
        <v>43537.705555555498</v>
      </c>
      <c r="F2210" s="111">
        <f ca="1">IFERROR(__xludf.DUMMYFUNCTION("""COMPUTED_VALUE"""),12.36)</f>
        <v>12.36</v>
      </c>
      <c r="G2210" s="112">
        <f ca="1">IFERROR(__xludf.DUMMYFUNCTION("""COMPUTED_VALUE"""),43535.7055555555)</f>
        <v>43535.705555555498</v>
      </c>
      <c r="H2210" s="111">
        <f ca="1">IFERROR(__xludf.DUMMYFUNCTION("""COMPUTED_VALUE"""),27.75)</f>
        <v>27.75</v>
      </c>
      <c r="K2210" s="112">
        <f ca="1">IFERROR(__xludf.DUMMYFUNCTION("""COMPUTED_VALUE"""),43980.7055555555)</f>
        <v>43980.705555555498</v>
      </c>
      <c r="L2210" s="111">
        <f ca="1">IFERROR(__xludf.DUMMYFUNCTION("""COMPUTED_VALUE"""),16.09)</f>
        <v>16.09</v>
      </c>
      <c r="M2210" s="112">
        <f ca="1">IFERROR(__xludf.DUMMYFUNCTION("""COMPUTED_VALUE"""),43437.7055555555)</f>
        <v>43437.705555555498</v>
      </c>
      <c r="N2210" s="111">
        <f ca="1">IFERROR(__xludf.DUMMYFUNCTION("""COMPUTED_VALUE"""),26.03)</f>
        <v>26.03</v>
      </c>
      <c r="O2210" s="112">
        <f ca="1">IFERROR(__xludf.DUMMYFUNCTION("""COMPUTED_VALUE"""),43517.7055555555)</f>
        <v>43517.705555555498</v>
      </c>
      <c r="P2210" s="111">
        <f ca="1">IFERROR(__xludf.DUMMYFUNCTION("""COMPUTED_VALUE"""),45.38)</f>
        <v>45.38</v>
      </c>
      <c r="Q2210" s="112">
        <f ca="1">IFERROR(__xludf.DUMMYFUNCTION("""COMPUTED_VALUE"""),43516.7055555555)</f>
        <v>43516.705555555498</v>
      </c>
      <c r="R2210" s="111">
        <f ca="1">IFERROR(__xludf.DUMMYFUNCTION("""COMPUTED_VALUE"""),52.96)</f>
        <v>52.96</v>
      </c>
      <c r="S2210" s="112">
        <f ca="1">IFERROR(__xludf.DUMMYFUNCTION("""COMPUTED_VALUE"""),43531.7055555555)</f>
        <v>43531.705555555498</v>
      </c>
      <c r="T2210" s="111">
        <f ca="1">IFERROR(__xludf.DUMMYFUNCTION("""COMPUTED_VALUE"""),35.38)</f>
        <v>35.380000000000003</v>
      </c>
    </row>
    <row r="2211" spans="1:20" x14ac:dyDescent="0.3">
      <c r="A2211" s="112">
        <f ca="1">IFERROR(__xludf.DUMMYFUNCTION("""COMPUTED_VALUE"""),43525.7055555555)</f>
        <v>43525.705555555498</v>
      </c>
      <c r="B2211" s="111">
        <f ca="1">IFERROR(__xludf.DUMMYFUNCTION("""COMPUTED_VALUE"""),35.25)</f>
        <v>35.25</v>
      </c>
      <c r="C2211" s="112">
        <f ca="1">IFERROR(__xludf.DUMMYFUNCTION("""COMPUTED_VALUE"""),43537.7055555555)</f>
        <v>43537.705555555498</v>
      </c>
      <c r="D2211" s="111">
        <f ca="1">IFERROR(__xludf.DUMMYFUNCTION("""COMPUTED_VALUE"""),37.4)</f>
        <v>37.4</v>
      </c>
      <c r="E2211" s="112">
        <f ca="1">IFERROR(__xludf.DUMMYFUNCTION("""COMPUTED_VALUE"""),43538.7055555555)</f>
        <v>43538.705555555498</v>
      </c>
      <c r="F2211" s="111">
        <f ca="1">IFERROR(__xludf.DUMMYFUNCTION("""COMPUTED_VALUE"""),12.16)</f>
        <v>12.16</v>
      </c>
      <c r="G2211" s="112">
        <f ca="1">IFERROR(__xludf.DUMMYFUNCTION("""COMPUTED_VALUE"""),43536.7055555555)</f>
        <v>43536.705555555498</v>
      </c>
      <c r="H2211" s="111">
        <f ca="1">IFERROR(__xludf.DUMMYFUNCTION("""COMPUTED_VALUE"""),27.5)</f>
        <v>27.5</v>
      </c>
      <c r="K2211" s="112">
        <f ca="1">IFERROR(__xludf.DUMMYFUNCTION("""COMPUTED_VALUE"""),43983.7055555555)</f>
        <v>43983.705555555498</v>
      </c>
      <c r="L2211" s="111">
        <f ca="1">IFERROR(__xludf.DUMMYFUNCTION("""COMPUTED_VALUE"""),15.93)</f>
        <v>15.93</v>
      </c>
      <c r="M2211" s="112">
        <f ca="1">IFERROR(__xludf.DUMMYFUNCTION("""COMPUTED_VALUE"""),43438.7055555555)</f>
        <v>43438.705555555498</v>
      </c>
      <c r="N2211" s="111">
        <f ca="1">IFERROR(__xludf.DUMMYFUNCTION("""COMPUTED_VALUE"""),25.95)</f>
        <v>25.95</v>
      </c>
      <c r="O2211" s="112">
        <f ca="1">IFERROR(__xludf.DUMMYFUNCTION("""COMPUTED_VALUE"""),43518.7055555555)</f>
        <v>43518.705555555498</v>
      </c>
      <c r="P2211" s="111">
        <f ca="1">IFERROR(__xludf.DUMMYFUNCTION("""COMPUTED_VALUE"""),46.99)</f>
        <v>46.99</v>
      </c>
      <c r="Q2211" s="112">
        <f ca="1">IFERROR(__xludf.DUMMYFUNCTION("""COMPUTED_VALUE"""),43517.7055555555)</f>
        <v>43517.705555555498</v>
      </c>
      <c r="R2211" s="111">
        <f ca="1">IFERROR(__xludf.DUMMYFUNCTION("""COMPUTED_VALUE"""),53.2)</f>
        <v>53.2</v>
      </c>
      <c r="S2211" s="112">
        <f ca="1">IFERROR(__xludf.DUMMYFUNCTION("""COMPUTED_VALUE"""),43532.7055555555)</f>
        <v>43532.705555555498</v>
      </c>
      <c r="T2211" s="111">
        <f ca="1">IFERROR(__xludf.DUMMYFUNCTION("""COMPUTED_VALUE"""),36.25)</f>
        <v>36.25</v>
      </c>
    </row>
    <row r="2212" spans="1:20" x14ac:dyDescent="0.3">
      <c r="A2212" s="112">
        <f ca="1">IFERROR(__xludf.DUMMYFUNCTION("""COMPUTED_VALUE"""),43530.7055555555)</f>
        <v>43530.705555555498</v>
      </c>
      <c r="B2212" s="111">
        <f ca="1">IFERROR(__xludf.DUMMYFUNCTION("""COMPUTED_VALUE"""),34.85)</f>
        <v>34.85</v>
      </c>
      <c r="C2212" s="112">
        <f ca="1">IFERROR(__xludf.DUMMYFUNCTION("""COMPUTED_VALUE"""),43538.7055555555)</f>
        <v>43538.705555555498</v>
      </c>
      <c r="D2212" s="111">
        <f ca="1">IFERROR(__xludf.DUMMYFUNCTION("""COMPUTED_VALUE"""),36.81)</f>
        <v>36.81</v>
      </c>
      <c r="E2212" s="112">
        <f ca="1">IFERROR(__xludf.DUMMYFUNCTION("""COMPUTED_VALUE"""),43539.7055555555)</f>
        <v>43539.705555555498</v>
      </c>
      <c r="F2212" s="111">
        <f ca="1">IFERROR(__xludf.DUMMYFUNCTION("""COMPUTED_VALUE"""),12.19)</f>
        <v>12.19</v>
      </c>
      <c r="G2212" s="112">
        <f ca="1">IFERROR(__xludf.DUMMYFUNCTION("""COMPUTED_VALUE"""),43537.7055555555)</f>
        <v>43537.705555555498</v>
      </c>
      <c r="H2212" s="111">
        <f ca="1">IFERROR(__xludf.DUMMYFUNCTION("""COMPUTED_VALUE"""),28.1)</f>
        <v>28.1</v>
      </c>
      <c r="K2212" s="112">
        <f ca="1">IFERROR(__xludf.DUMMYFUNCTION("""COMPUTED_VALUE"""),43984.7055555555)</f>
        <v>43984.705555555498</v>
      </c>
      <c r="L2212" s="111">
        <f ca="1">IFERROR(__xludf.DUMMYFUNCTION("""COMPUTED_VALUE"""),15.45)</f>
        <v>15.45</v>
      </c>
      <c r="M2212" s="112">
        <f ca="1">IFERROR(__xludf.DUMMYFUNCTION("""COMPUTED_VALUE"""),43439.7055555555)</f>
        <v>43439.705555555498</v>
      </c>
      <c r="N2212" s="111">
        <f ca="1">IFERROR(__xludf.DUMMYFUNCTION("""COMPUTED_VALUE"""),25.94)</f>
        <v>25.94</v>
      </c>
      <c r="O2212" s="112">
        <f ca="1">IFERROR(__xludf.DUMMYFUNCTION("""COMPUTED_VALUE"""),43521.7055555555)</f>
        <v>43521.705555555498</v>
      </c>
      <c r="P2212" s="111">
        <f ca="1">IFERROR(__xludf.DUMMYFUNCTION("""COMPUTED_VALUE"""),47.12)</f>
        <v>47.12</v>
      </c>
      <c r="Q2212" s="112">
        <f ca="1">IFERROR(__xludf.DUMMYFUNCTION("""COMPUTED_VALUE"""),43518.7055555555)</f>
        <v>43518.705555555498</v>
      </c>
      <c r="R2212" s="111">
        <f ca="1">IFERROR(__xludf.DUMMYFUNCTION("""COMPUTED_VALUE"""),53.09)</f>
        <v>53.09</v>
      </c>
      <c r="S2212" s="112">
        <f ca="1">IFERROR(__xludf.DUMMYFUNCTION("""COMPUTED_VALUE"""),43535.7055555555)</f>
        <v>43535.705555555498</v>
      </c>
      <c r="T2212" s="111">
        <f ca="1">IFERROR(__xludf.DUMMYFUNCTION("""COMPUTED_VALUE"""),37.71)</f>
        <v>37.71</v>
      </c>
    </row>
    <row r="2213" spans="1:20" x14ac:dyDescent="0.3">
      <c r="A2213" s="112">
        <f ca="1">IFERROR(__xludf.DUMMYFUNCTION("""COMPUTED_VALUE"""),43531.7055555555)</f>
        <v>43531.705555555498</v>
      </c>
      <c r="B2213" s="111">
        <f ca="1">IFERROR(__xludf.DUMMYFUNCTION("""COMPUTED_VALUE"""),32.82)</f>
        <v>32.82</v>
      </c>
      <c r="C2213" s="112">
        <f ca="1">IFERROR(__xludf.DUMMYFUNCTION("""COMPUTED_VALUE"""),43539.7055555555)</f>
        <v>43539.705555555498</v>
      </c>
      <c r="D2213" s="111">
        <f ca="1">IFERROR(__xludf.DUMMYFUNCTION("""COMPUTED_VALUE"""),36.8)</f>
        <v>36.799999999999997</v>
      </c>
      <c r="E2213" s="112">
        <f ca="1">IFERROR(__xludf.DUMMYFUNCTION("""COMPUTED_VALUE"""),43542.7055555555)</f>
        <v>43542.705555555498</v>
      </c>
      <c r="F2213" s="111">
        <f ca="1">IFERROR(__xludf.DUMMYFUNCTION("""COMPUTED_VALUE"""),12.28)</f>
        <v>12.28</v>
      </c>
      <c r="G2213" s="112">
        <f ca="1">IFERROR(__xludf.DUMMYFUNCTION("""COMPUTED_VALUE"""),43538.7055555555)</f>
        <v>43538.705555555498</v>
      </c>
      <c r="H2213" s="111">
        <f ca="1">IFERROR(__xludf.DUMMYFUNCTION("""COMPUTED_VALUE"""),28.19)</f>
        <v>28.19</v>
      </c>
      <c r="K2213" s="112">
        <f ca="1">IFERROR(__xludf.DUMMYFUNCTION("""COMPUTED_VALUE"""),43985.7055555555)</f>
        <v>43985.705555555498</v>
      </c>
      <c r="L2213" s="111">
        <f ca="1">IFERROR(__xludf.DUMMYFUNCTION("""COMPUTED_VALUE"""),15.6)</f>
        <v>15.6</v>
      </c>
      <c r="M2213" s="112">
        <f ca="1">IFERROR(__xludf.DUMMYFUNCTION("""COMPUTED_VALUE"""),43440.7055555555)</f>
        <v>43440.705555555498</v>
      </c>
      <c r="N2213" s="111">
        <f ca="1">IFERROR(__xludf.DUMMYFUNCTION("""COMPUTED_VALUE"""),26.22)</f>
        <v>26.22</v>
      </c>
      <c r="O2213" s="112">
        <f ca="1">IFERROR(__xludf.DUMMYFUNCTION("""COMPUTED_VALUE"""),43522.7055555555)</f>
        <v>43522.705555555498</v>
      </c>
      <c r="P2213" s="111">
        <f ca="1">IFERROR(__xludf.DUMMYFUNCTION("""COMPUTED_VALUE"""),47.2)</f>
        <v>47.2</v>
      </c>
      <c r="Q2213" s="112">
        <f ca="1">IFERROR(__xludf.DUMMYFUNCTION("""COMPUTED_VALUE"""),43521.7055555555)</f>
        <v>43521.705555555498</v>
      </c>
      <c r="R2213" s="111">
        <f ca="1">IFERROR(__xludf.DUMMYFUNCTION("""COMPUTED_VALUE"""),52.22)</f>
        <v>52.22</v>
      </c>
      <c r="S2213" s="112">
        <f ca="1">IFERROR(__xludf.DUMMYFUNCTION("""COMPUTED_VALUE"""),43536.7055555555)</f>
        <v>43536.705555555498</v>
      </c>
      <c r="T2213" s="111">
        <f ca="1">IFERROR(__xludf.DUMMYFUNCTION("""COMPUTED_VALUE"""),37.31)</f>
        <v>37.31</v>
      </c>
    </row>
    <row r="2214" spans="1:20" x14ac:dyDescent="0.3">
      <c r="A2214" s="112">
        <f ca="1">IFERROR(__xludf.DUMMYFUNCTION("""COMPUTED_VALUE"""),43532.7055555555)</f>
        <v>43532.705555555498</v>
      </c>
      <c r="B2214" s="111">
        <f ca="1">IFERROR(__xludf.DUMMYFUNCTION("""COMPUTED_VALUE"""),34.03)</f>
        <v>34.03</v>
      </c>
      <c r="C2214" s="112">
        <f ca="1">IFERROR(__xludf.DUMMYFUNCTION("""COMPUTED_VALUE"""),43542.7055555555)</f>
        <v>43542.705555555498</v>
      </c>
      <c r="D2214" s="111">
        <f ca="1">IFERROR(__xludf.DUMMYFUNCTION("""COMPUTED_VALUE"""),36.86)</f>
        <v>36.86</v>
      </c>
      <c r="E2214" s="112">
        <f ca="1">IFERROR(__xludf.DUMMYFUNCTION("""COMPUTED_VALUE"""),43543.7055555555)</f>
        <v>43543.705555555498</v>
      </c>
      <c r="F2214" s="111">
        <f ca="1">IFERROR(__xludf.DUMMYFUNCTION("""COMPUTED_VALUE"""),12.09)</f>
        <v>12.09</v>
      </c>
      <c r="G2214" s="112">
        <f ca="1">IFERROR(__xludf.DUMMYFUNCTION("""COMPUTED_VALUE"""),43539.7055555555)</f>
        <v>43539.705555555498</v>
      </c>
      <c r="H2214" s="111">
        <f ca="1">IFERROR(__xludf.DUMMYFUNCTION("""COMPUTED_VALUE"""),28.25)</f>
        <v>28.25</v>
      </c>
      <c r="K2214" s="112">
        <f ca="1">IFERROR(__xludf.DUMMYFUNCTION("""COMPUTED_VALUE"""),43986.7055555555)</f>
        <v>43986.705555555498</v>
      </c>
      <c r="L2214" s="111">
        <f ca="1">IFERROR(__xludf.DUMMYFUNCTION("""COMPUTED_VALUE"""),15.13)</f>
        <v>15.13</v>
      </c>
      <c r="M2214" s="112">
        <f ca="1">IFERROR(__xludf.DUMMYFUNCTION("""COMPUTED_VALUE"""),43441.7055555555)</f>
        <v>43441.705555555498</v>
      </c>
      <c r="N2214" s="111">
        <f ca="1">IFERROR(__xludf.DUMMYFUNCTION("""COMPUTED_VALUE"""),26.1)</f>
        <v>26.1</v>
      </c>
      <c r="O2214" s="112">
        <f ca="1">IFERROR(__xludf.DUMMYFUNCTION("""COMPUTED_VALUE"""),43523.7055555555)</f>
        <v>43523.705555555498</v>
      </c>
      <c r="P2214" s="111">
        <f ca="1">IFERROR(__xludf.DUMMYFUNCTION("""COMPUTED_VALUE"""),46.83)</f>
        <v>46.83</v>
      </c>
      <c r="Q2214" s="112">
        <f ca="1">IFERROR(__xludf.DUMMYFUNCTION("""COMPUTED_VALUE"""),43522.7055555555)</f>
        <v>43522.705555555498</v>
      </c>
      <c r="R2214" s="111">
        <f ca="1">IFERROR(__xludf.DUMMYFUNCTION("""COMPUTED_VALUE"""),52.5)</f>
        <v>52.5</v>
      </c>
      <c r="S2214" s="112">
        <f ca="1">IFERROR(__xludf.DUMMYFUNCTION("""COMPUTED_VALUE"""),43537.7055555555)</f>
        <v>43537.705555555498</v>
      </c>
      <c r="T2214" s="111">
        <f ca="1">IFERROR(__xludf.DUMMYFUNCTION("""COMPUTED_VALUE"""),36.66)</f>
        <v>36.659999999999997</v>
      </c>
    </row>
    <row r="2215" spans="1:20" x14ac:dyDescent="0.3">
      <c r="A2215" s="112">
        <f ca="1">IFERROR(__xludf.DUMMYFUNCTION("""COMPUTED_VALUE"""),43535.7055555555)</f>
        <v>43535.705555555498</v>
      </c>
      <c r="B2215" s="111">
        <f ca="1">IFERROR(__xludf.DUMMYFUNCTION("""COMPUTED_VALUE"""),34.98)</f>
        <v>34.979999999999997</v>
      </c>
      <c r="C2215" s="112">
        <f ca="1">IFERROR(__xludf.DUMMYFUNCTION("""COMPUTED_VALUE"""),43543.7055555555)</f>
        <v>43543.705555555498</v>
      </c>
      <c r="D2215" s="111">
        <f ca="1">IFERROR(__xludf.DUMMYFUNCTION("""COMPUTED_VALUE"""),36)</f>
        <v>36</v>
      </c>
      <c r="E2215" s="112">
        <f ca="1">IFERROR(__xludf.DUMMYFUNCTION("""COMPUTED_VALUE"""),43544.7055555555)</f>
        <v>43544.705555555498</v>
      </c>
      <c r="F2215" s="111">
        <f ca="1">IFERROR(__xludf.DUMMYFUNCTION("""COMPUTED_VALUE"""),11.88)</f>
        <v>11.88</v>
      </c>
      <c r="G2215" s="112">
        <f ca="1">IFERROR(__xludf.DUMMYFUNCTION("""COMPUTED_VALUE"""),43542.7055555555)</f>
        <v>43542.705555555498</v>
      </c>
      <c r="H2215" s="111">
        <f ca="1">IFERROR(__xludf.DUMMYFUNCTION("""COMPUTED_VALUE"""),28.74)</f>
        <v>28.74</v>
      </c>
      <c r="K2215" s="112">
        <f ca="1">IFERROR(__xludf.DUMMYFUNCTION("""COMPUTED_VALUE"""),43987.7055555555)</f>
        <v>43987.705555555498</v>
      </c>
      <c r="L2215" s="111">
        <f ca="1">IFERROR(__xludf.DUMMYFUNCTION("""COMPUTED_VALUE"""),14.87)</f>
        <v>14.87</v>
      </c>
      <c r="M2215" s="112">
        <f ca="1">IFERROR(__xludf.DUMMYFUNCTION("""COMPUTED_VALUE"""),43444.7055555555)</f>
        <v>43444.705555555498</v>
      </c>
      <c r="N2215" s="111">
        <f ca="1">IFERROR(__xludf.DUMMYFUNCTION("""COMPUTED_VALUE"""),25.59)</f>
        <v>25.59</v>
      </c>
      <c r="O2215" s="112">
        <f ca="1">IFERROR(__xludf.DUMMYFUNCTION("""COMPUTED_VALUE"""),43524.7055555555)</f>
        <v>43524.705555555498</v>
      </c>
      <c r="P2215" s="111">
        <f ca="1">IFERROR(__xludf.DUMMYFUNCTION("""COMPUTED_VALUE"""),47.1)</f>
        <v>47.1</v>
      </c>
      <c r="Q2215" s="112">
        <f ca="1">IFERROR(__xludf.DUMMYFUNCTION("""COMPUTED_VALUE"""),43523.7055555555)</f>
        <v>43523.705555555498</v>
      </c>
      <c r="R2215" s="111">
        <f ca="1">IFERROR(__xludf.DUMMYFUNCTION("""COMPUTED_VALUE"""),51.9)</f>
        <v>51.9</v>
      </c>
      <c r="S2215" s="112">
        <f ca="1">IFERROR(__xludf.DUMMYFUNCTION("""COMPUTED_VALUE"""),43538.7055555555)</f>
        <v>43538.705555555498</v>
      </c>
      <c r="T2215" s="111">
        <f ca="1">IFERROR(__xludf.DUMMYFUNCTION("""COMPUTED_VALUE"""),36.53)</f>
        <v>36.53</v>
      </c>
    </row>
    <row r="2216" spans="1:20" x14ac:dyDescent="0.3">
      <c r="A2216" s="112">
        <f ca="1">IFERROR(__xludf.DUMMYFUNCTION("""COMPUTED_VALUE"""),43536.7055555555)</f>
        <v>43536.705555555498</v>
      </c>
      <c r="B2216" s="111">
        <f ca="1">IFERROR(__xludf.DUMMYFUNCTION("""COMPUTED_VALUE"""),34.5)</f>
        <v>34.5</v>
      </c>
      <c r="C2216" s="112">
        <f ca="1">IFERROR(__xludf.DUMMYFUNCTION("""COMPUTED_VALUE"""),43544.7055555555)</f>
        <v>43544.705555555498</v>
      </c>
      <c r="D2216" s="111">
        <f ca="1">IFERROR(__xludf.DUMMYFUNCTION("""COMPUTED_VALUE"""),35.19)</f>
        <v>35.19</v>
      </c>
      <c r="E2216" s="112">
        <f ca="1">IFERROR(__xludf.DUMMYFUNCTION("""COMPUTED_VALUE"""),43545.7055555555)</f>
        <v>43545.705555555498</v>
      </c>
      <c r="F2216" s="111">
        <f ca="1">IFERROR(__xludf.DUMMYFUNCTION("""COMPUTED_VALUE"""),11.7)</f>
        <v>11.7</v>
      </c>
      <c r="G2216" s="112">
        <f ca="1">IFERROR(__xludf.DUMMYFUNCTION("""COMPUTED_VALUE"""),43543.7055555555)</f>
        <v>43543.705555555498</v>
      </c>
      <c r="H2216" s="111">
        <f ca="1">IFERROR(__xludf.DUMMYFUNCTION("""COMPUTED_VALUE"""),29.2)</f>
        <v>29.2</v>
      </c>
      <c r="K2216" s="112">
        <f ca="1">IFERROR(__xludf.DUMMYFUNCTION("""COMPUTED_VALUE"""),43990.7055555555)</f>
        <v>43990.705555555498</v>
      </c>
      <c r="L2216" s="111">
        <f ca="1">IFERROR(__xludf.DUMMYFUNCTION("""COMPUTED_VALUE"""),15.6)</f>
        <v>15.6</v>
      </c>
      <c r="M2216" s="112">
        <f ca="1">IFERROR(__xludf.DUMMYFUNCTION("""COMPUTED_VALUE"""),43445.7055555555)</f>
        <v>43445.705555555498</v>
      </c>
      <c r="N2216" s="111">
        <f ca="1">IFERROR(__xludf.DUMMYFUNCTION("""COMPUTED_VALUE"""),25.89)</f>
        <v>25.89</v>
      </c>
      <c r="O2216" s="112">
        <f ca="1">IFERROR(__xludf.DUMMYFUNCTION("""COMPUTED_VALUE"""),43525.7055555555)</f>
        <v>43525.705555555498</v>
      </c>
      <c r="P2216" s="111">
        <f ca="1">IFERROR(__xludf.DUMMYFUNCTION("""COMPUTED_VALUE"""),46.74)</f>
        <v>46.74</v>
      </c>
      <c r="Q2216" s="112">
        <f ca="1">IFERROR(__xludf.DUMMYFUNCTION("""COMPUTED_VALUE"""),43524.7055555555)</f>
        <v>43524.705555555498</v>
      </c>
      <c r="R2216" s="111">
        <f ca="1">IFERROR(__xludf.DUMMYFUNCTION("""COMPUTED_VALUE"""),50.6)</f>
        <v>50.6</v>
      </c>
      <c r="S2216" s="112">
        <f ca="1">IFERROR(__xludf.DUMMYFUNCTION("""COMPUTED_VALUE"""),43539.7055555555)</f>
        <v>43539.705555555498</v>
      </c>
      <c r="T2216" s="111">
        <f ca="1">IFERROR(__xludf.DUMMYFUNCTION("""COMPUTED_VALUE"""),36.36)</f>
        <v>36.36</v>
      </c>
    </row>
    <row r="2217" spans="1:20" x14ac:dyDescent="0.3">
      <c r="A2217" s="112">
        <f ca="1">IFERROR(__xludf.DUMMYFUNCTION("""COMPUTED_VALUE"""),43537.7055555555)</f>
        <v>43537.705555555498</v>
      </c>
      <c r="B2217" s="111">
        <f ca="1">IFERROR(__xludf.DUMMYFUNCTION("""COMPUTED_VALUE"""),34.91)</f>
        <v>34.909999999999997</v>
      </c>
      <c r="C2217" s="112">
        <f ca="1">IFERROR(__xludf.DUMMYFUNCTION("""COMPUTED_VALUE"""),43545.7055555555)</f>
        <v>43545.705555555498</v>
      </c>
      <c r="D2217" s="111">
        <f ca="1">IFERROR(__xludf.DUMMYFUNCTION("""COMPUTED_VALUE"""),34.57)</f>
        <v>34.57</v>
      </c>
      <c r="E2217" s="112">
        <f ca="1">IFERROR(__xludf.DUMMYFUNCTION("""COMPUTED_VALUE"""),43546.7055555555)</f>
        <v>43546.705555555498</v>
      </c>
      <c r="F2217" s="111">
        <f ca="1">IFERROR(__xludf.DUMMYFUNCTION("""COMPUTED_VALUE"""),11.36)</f>
        <v>11.36</v>
      </c>
      <c r="G2217" s="112">
        <f ca="1">IFERROR(__xludf.DUMMYFUNCTION("""COMPUTED_VALUE"""),43544.7055555555)</f>
        <v>43544.705555555498</v>
      </c>
      <c r="H2217" s="111">
        <f ca="1">IFERROR(__xludf.DUMMYFUNCTION("""COMPUTED_VALUE"""),28.97)</f>
        <v>28.97</v>
      </c>
      <c r="K2217" s="112">
        <f ca="1">IFERROR(__xludf.DUMMYFUNCTION("""COMPUTED_VALUE"""),43991.7055555555)</f>
        <v>43991.705555555498</v>
      </c>
      <c r="L2217" s="111">
        <f ca="1">IFERROR(__xludf.DUMMYFUNCTION("""COMPUTED_VALUE"""),15.6)</f>
        <v>15.6</v>
      </c>
      <c r="M2217" s="112">
        <f ca="1">IFERROR(__xludf.DUMMYFUNCTION("""COMPUTED_VALUE"""),43446.7055555555)</f>
        <v>43446.705555555498</v>
      </c>
      <c r="N2217" s="111">
        <f ca="1">IFERROR(__xludf.DUMMYFUNCTION("""COMPUTED_VALUE"""),26.06)</f>
        <v>26.06</v>
      </c>
      <c r="O2217" s="112">
        <f ca="1">IFERROR(__xludf.DUMMYFUNCTION("""COMPUTED_VALUE"""),43530.7055555555)</f>
        <v>43530.705555555498</v>
      </c>
      <c r="P2217" s="111">
        <f ca="1">IFERROR(__xludf.DUMMYFUNCTION("""COMPUTED_VALUE"""),48.05)</f>
        <v>48.05</v>
      </c>
      <c r="Q2217" s="112">
        <f ca="1">IFERROR(__xludf.DUMMYFUNCTION("""COMPUTED_VALUE"""),43525.7055555555)</f>
        <v>43525.705555555498</v>
      </c>
      <c r="R2217" s="111">
        <f ca="1">IFERROR(__xludf.DUMMYFUNCTION("""COMPUTED_VALUE"""),51.31)</f>
        <v>51.31</v>
      </c>
      <c r="S2217" s="112">
        <f ca="1">IFERROR(__xludf.DUMMYFUNCTION("""COMPUTED_VALUE"""),43542.7055555555)</f>
        <v>43542.705555555498</v>
      </c>
      <c r="T2217" s="111">
        <f ca="1">IFERROR(__xludf.DUMMYFUNCTION("""COMPUTED_VALUE"""),36.84)</f>
        <v>36.840000000000003</v>
      </c>
    </row>
    <row r="2218" spans="1:20" x14ac:dyDescent="0.3">
      <c r="A2218" s="112">
        <f ca="1">IFERROR(__xludf.DUMMYFUNCTION("""COMPUTED_VALUE"""),43538.7055555555)</f>
        <v>43538.705555555498</v>
      </c>
      <c r="B2218" s="111">
        <f ca="1">IFERROR(__xludf.DUMMYFUNCTION("""COMPUTED_VALUE"""),34.7)</f>
        <v>34.700000000000003</v>
      </c>
      <c r="C2218" s="112">
        <f ca="1">IFERROR(__xludf.DUMMYFUNCTION("""COMPUTED_VALUE"""),43546.7055555555)</f>
        <v>43546.705555555498</v>
      </c>
      <c r="D2218" s="111">
        <f ca="1">IFERROR(__xludf.DUMMYFUNCTION("""COMPUTED_VALUE"""),33.55)</f>
        <v>33.549999999999997</v>
      </c>
      <c r="E2218" s="112">
        <f ca="1">IFERROR(__xludf.DUMMYFUNCTION("""COMPUTED_VALUE"""),43549.7055555555)</f>
        <v>43549.705555555498</v>
      </c>
      <c r="F2218" s="111">
        <f ca="1">IFERROR(__xludf.DUMMYFUNCTION("""COMPUTED_VALUE"""),11.39)</f>
        <v>11.39</v>
      </c>
      <c r="G2218" s="112">
        <f ca="1">IFERROR(__xludf.DUMMYFUNCTION("""COMPUTED_VALUE"""),43545.7055555555)</f>
        <v>43545.705555555498</v>
      </c>
      <c r="H2218" s="111">
        <f ca="1">IFERROR(__xludf.DUMMYFUNCTION("""COMPUTED_VALUE"""),28.56)</f>
        <v>28.56</v>
      </c>
      <c r="K2218" s="112">
        <f ca="1">IFERROR(__xludf.DUMMYFUNCTION("""COMPUTED_VALUE"""),43992.7055555555)</f>
        <v>43992.705555555498</v>
      </c>
      <c r="L2218" s="111">
        <f ca="1">IFERROR(__xludf.DUMMYFUNCTION("""COMPUTED_VALUE"""),16.15)</f>
        <v>16.149999999999999</v>
      </c>
      <c r="M2218" s="112">
        <f ca="1">IFERROR(__xludf.DUMMYFUNCTION("""COMPUTED_VALUE"""),43447.7055555555)</f>
        <v>43447.705555555498</v>
      </c>
      <c r="N2218" s="111">
        <f ca="1">IFERROR(__xludf.DUMMYFUNCTION("""COMPUTED_VALUE"""),26.75)</f>
        <v>26.75</v>
      </c>
      <c r="O2218" s="112">
        <f ca="1">IFERROR(__xludf.DUMMYFUNCTION("""COMPUTED_VALUE"""),43531.7055555555)</f>
        <v>43531.705555555498</v>
      </c>
      <c r="P2218" s="111">
        <f ca="1">IFERROR(__xludf.DUMMYFUNCTION("""COMPUTED_VALUE"""),48.86)</f>
        <v>48.86</v>
      </c>
      <c r="Q2218" s="112">
        <f ca="1">IFERROR(__xludf.DUMMYFUNCTION("""COMPUTED_VALUE"""),43530.7055555555)</f>
        <v>43530.705555555498</v>
      </c>
      <c r="R2218" s="111">
        <f ca="1">IFERROR(__xludf.DUMMYFUNCTION("""COMPUTED_VALUE"""),50.6)</f>
        <v>50.6</v>
      </c>
      <c r="S2218" s="112">
        <f ca="1">IFERROR(__xludf.DUMMYFUNCTION("""COMPUTED_VALUE"""),43543.7055555555)</f>
        <v>43543.705555555498</v>
      </c>
      <c r="T2218" s="111">
        <f ca="1">IFERROR(__xludf.DUMMYFUNCTION("""COMPUTED_VALUE"""),36.73)</f>
        <v>36.729999999999997</v>
      </c>
    </row>
    <row r="2219" spans="1:20" x14ac:dyDescent="0.3">
      <c r="A2219" s="112">
        <f ca="1">IFERROR(__xludf.DUMMYFUNCTION("""COMPUTED_VALUE"""),43539.7055555555)</f>
        <v>43539.705555555498</v>
      </c>
      <c r="B2219" s="111">
        <f ca="1">IFERROR(__xludf.DUMMYFUNCTION("""COMPUTED_VALUE"""),36.05)</f>
        <v>36.049999999999997</v>
      </c>
      <c r="C2219" s="112">
        <f ca="1">IFERROR(__xludf.DUMMYFUNCTION("""COMPUTED_VALUE"""),43549.7055555555)</f>
        <v>43549.705555555498</v>
      </c>
      <c r="D2219" s="111">
        <f ca="1">IFERROR(__xludf.DUMMYFUNCTION("""COMPUTED_VALUE"""),33.6)</f>
        <v>33.6</v>
      </c>
      <c r="E2219" s="112">
        <f ca="1">IFERROR(__xludf.DUMMYFUNCTION("""COMPUTED_VALUE"""),43550.7055555555)</f>
        <v>43550.705555555498</v>
      </c>
      <c r="F2219" s="111">
        <f ca="1">IFERROR(__xludf.DUMMYFUNCTION("""COMPUTED_VALUE"""),11.46)</f>
        <v>11.46</v>
      </c>
      <c r="G2219" s="112">
        <f ca="1">IFERROR(__xludf.DUMMYFUNCTION("""COMPUTED_VALUE"""),43546.7055555555)</f>
        <v>43546.705555555498</v>
      </c>
      <c r="H2219" s="111">
        <f ca="1">IFERROR(__xludf.DUMMYFUNCTION("""COMPUTED_VALUE"""),27)</f>
        <v>27</v>
      </c>
      <c r="K2219" s="112">
        <f ca="1">IFERROR(__xludf.DUMMYFUNCTION("""COMPUTED_VALUE"""),43994.7055555555)</f>
        <v>43994.705555555498</v>
      </c>
      <c r="L2219" s="111">
        <f ca="1">IFERROR(__xludf.DUMMYFUNCTION("""COMPUTED_VALUE"""),15.99)</f>
        <v>15.99</v>
      </c>
      <c r="M2219" s="112">
        <f ca="1">IFERROR(__xludf.DUMMYFUNCTION("""COMPUTED_VALUE"""),43448.7055555555)</f>
        <v>43448.705555555498</v>
      </c>
      <c r="N2219" s="111">
        <f ca="1">IFERROR(__xludf.DUMMYFUNCTION("""COMPUTED_VALUE"""),26.45)</f>
        <v>26.45</v>
      </c>
      <c r="O2219" s="112">
        <f ca="1">IFERROR(__xludf.DUMMYFUNCTION("""COMPUTED_VALUE"""),43532.7055555555)</f>
        <v>43532.705555555498</v>
      </c>
      <c r="P2219" s="111">
        <f ca="1">IFERROR(__xludf.DUMMYFUNCTION("""COMPUTED_VALUE"""),48.85)</f>
        <v>48.85</v>
      </c>
      <c r="Q2219" s="112">
        <f ca="1">IFERROR(__xludf.DUMMYFUNCTION("""COMPUTED_VALUE"""),43531.7055555555)</f>
        <v>43531.705555555498</v>
      </c>
      <c r="R2219" s="111">
        <f ca="1">IFERROR(__xludf.DUMMYFUNCTION("""COMPUTED_VALUE"""),50.43)</f>
        <v>50.43</v>
      </c>
      <c r="S2219" s="112">
        <f ca="1">IFERROR(__xludf.DUMMYFUNCTION("""COMPUTED_VALUE"""),43544.7055555555)</f>
        <v>43544.705555555498</v>
      </c>
      <c r="T2219" s="111">
        <f ca="1">IFERROR(__xludf.DUMMYFUNCTION("""COMPUTED_VALUE"""),36.36)</f>
        <v>36.36</v>
      </c>
    </row>
    <row r="2220" spans="1:20" x14ac:dyDescent="0.3">
      <c r="A2220" s="112">
        <f ca="1">IFERROR(__xludf.DUMMYFUNCTION("""COMPUTED_VALUE"""),43542.7055555555)</f>
        <v>43542.705555555498</v>
      </c>
      <c r="B2220" s="111">
        <f ca="1">IFERROR(__xludf.DUMMYFUNCTION("""COMPUTED_VALUE"""),36.12)</f>
        <v>36.119999999999997</v>
      </c>
      <c r="C2220" s="112">
        <f ca="1">IFERROR(__xludf.DUMMYFUNCTION("""COMPUTED_VALUE"""),43550.7055555555)</f>
        <v>43550.705555555498</v>
      </c>
      <c r="D2220" s="111">
        <f ca="1">IFERROR(__xludf.DUMMYFUNCTION("""COMPUTED_VALUE"""),33.95)</f>
        <v>33.950000000000003</v>
      </c>
      <c r="E2220" s="112">
        <f ca="1">IFERROR(__xludf.DUMMYFUNCTION("""COMPUTED_VALUE"""),43551.7055555555)</f>
        <v>43551.705555555498</v>
      </c>
      <c r="F2220" s="111">
        <f ca="1">IFERROR(__xludf.DUMMYFUNCTION("""COMPUTED_VALUE"""),10.89)</f>
        <v>10.89</v>
      </c>
      <c r="G2220" s="112">
        <f ca="1">IFERROR(__xludf.DUMMYFUNCTION("""COMPUTED_VALUE"""),43549.7055555555)</f>
        <v>43549.705555555498</v>
      </c>
      <c r="H2220" s="111">
        <f ca="1">IFERROR(__xludf.DUMMYFUNCTION("""COMPUTED_VALUE"""),27.34)</f>
        <v>27.34</v>
      </c>
      <c r="K2220" s="112">
        <f ca="1">IFERROR(__xludf.DUMMYFUNCTION("""COMPUTED_VALUE"""),43997.7055555555)</f>
        <v>43997.705555555498</v>
      </c>
      <c r="L2220" s="111">
        <f ca="1">IFERROR(__xludf.DUMMYFUNCTION("""COMPUTED_VALUE"""),16.47)</f>
        <v>16.47</v>
      </c>
      <c r="M2220" s="112">
        <f ca="1">IFERROR(__xludf.DUMMYFUNCTION("""COMPUTED_VALUE"""),43451.7055555555)</f>
        <v>43451.705555555498</v>
      </c>
      <c r="N2220" s="111">
        <f ca="1">IFERROR(__xludf.DUMMYFUNCTION("""COMPUTED_VALUE"""),25.93)</f>
        <v>25.93</v>
      </c>
      <c r="O2220" s="112">
        <f ca="1">IFERROR(__xludf.DUMMYFUNCTION("""COMPUTED_VALUE"""),43535.7055555555)</f>
        <v>43535.705555555498</v>
      </c>
      <c r="P2220" s="111">
        <f ca="1">IFERROR(__xludf.DUMMYFUNCTION("""COMPUTED_VALUE"""),49.88)</f>
        <v>49.88</v>
      </c>
      <c r="Q2220" s="112">
        <f ca="1">IFERROR(__xludf.DUMMYFUNCTION("""COMPUTED_VALUE"""),43532.7055555555)</f>
        <v>43532.705555555498</v>
      </c>
      <c r="R2220" s="111">
        <f ca="1">IFERROR(__xludf.DUMMYFUNCTION("""COMPUTED_VALUE"""),52.2)</f>
        <v>52.2</v>
      </c>
      <c r="S2220" s="112">
        <f ca="1">IFERROR(__xludf.DUMMYFUNCTION("""COMPUTED_VALUE"""),43545.7055555555)</f>
        <v>43545.705555555498</v>
      </c>
      <c r="T2220" s="111">
        <f ca="1">IFERROR(__xludf.DUMMYFUNCTION("""COMPUTED_VALUE"""),35.59)</f>
        <v>35.590000000000003</v>
      </c>
    </row>
    <row r="2221" spans="1:20" x14ac:dyDescent="0.3">
      <c r="A2221" s="112">
        <f ca="1">IFERROR(__xludf.DUMMYFUNCTION("""COMPUTED_VALUE"""),43543.7055555555)</f>
        <v>43543.705555555498</v>
      </c>
      <c r="B2221" s="111">
        <f ca="1">IFERROR(__xludf.DUMMYFUNCTION("""COMPUTED_VALUE"""),36.44)</f>
        <v>36.44</v>
      </c>
      <c r="C2221" s="112">
        <f ca="1">IFERROR(__xludf.DUMMYFUNCTION("""COMPUTED_VALUE"""),43551.7055555555)</f>
        <v>43551.705555555498</v>
      </c>
      <c r="D2221" s="111">
        <f ca="1">IFERROR(__xludf.DUMMYFUNCTION("""COMPUTED_VALUE"""),32.8)</f>
        <v>32.799999999999997</v>
      </c>
      <c r="E2221" s="112">
        <f ca="1">IFERROR(__xludf.DUMMYFUNCTION("""COMPUTED_VALUE"""),43552.7055555555)</f>
        <v>43552.705555555498</v>
      </c>
      <c r="F2221" s="111">
        <f ca="1">IFERROR(__xludf.DUMMYFUNCTION("""COMPUTED_VALUE"""),11.48)</f>
        <v>11.48</v>
      </c>
      <c r="G2221" s="112">
        <f ca="1">IFERROR(__xludf.DUMMYFUNCTION("""COMPUTED_VALUE"""),43550.7055555555)</f>
        <v>43550.705555555498</v>
      </c>
      <c r="H2221" s="111">
        <f ca="1">IFERROR(__xludf.DUMMYFUNCTION("""COMPUTED_VALUE"""),28.63)</f>
        <v>28.63</v>
      </c>
      <c r="K2221" s="112">
        <f ca="1">IFERROR(__xludf.DUMMYFUNCTION("""COMPUTED_VALUE"""),43998.7055555555)</f>
        <v>43998.705555555498</v>
      </c>
      <c r="L2221" s="111">
        <f ca="1">IFERROR(__xludf.DUMMYFUNCTION("""COMPUTED_VALUE"""),16.51)</f>
        <v>16.510000000000002</v>
      </c>
      <c r="M2221" s="112">
        <f ca="1">IFERROR(__xludf.DUMMYFUNCTION("""COMPUTED_VALUE"""),43452.7055555555)</f>
        <v>43452.705555555498</v>
      </c>
      <c r="N2221" s="111">
        <f ca="1">IFERROR(__xludf.DUMMYFUNCTION("""COMPUTED_VALUE"""),26.41)</f>
        <v>26.41</v>
      </c>
      <c r="O2221" s="112">
        <f ca="1">IFERROR(__xludf.DUMMYFUNCTION("""COMPUTED_VALUE"""),43536.7055555555)</f>
        <v>43536.705555555498</v>
      </c>
      <c r="P2221" s="111">
        <f ca="1">IFERROR(__xludf.DUMMYFUNCTION("""COMPUTED_VALUE"""),49.97)</f>
        <v>49.97</v>
      </c>
      <c r="Q2221" s="112">
        <f ca="1">IFERROR(__xludf.DUMMYFUNCTION("""COMPUTED_VALUE"""),43535.7055555555)</f>
        <v>43535.705555555498</v>
      </c>
      <c r="R2221" s="111">
        <f ca="1">IFERROR(__xludf.DUMMYFUNCTION("""COMPUTED_VALUE"""),53.8)</f>
        <v>53.8</v>
      </c>
      <c r="S2221" s="112">
        <f ca="1">IFERROR(__xludf.DUMMYFUNCTION("""COMPUTED_VALUE"""),43546.7055555555)</f>
        <v>43546.705555555498</v>
      </c>
      <c r="T2221" s="111">
        <f ca="1">IFERROR(__xludf.DUMMYFUNCTION("""COMPUTED_VALUE"""),35.25)</f>
        <v>35.25</v>
      </c>
    </row>
    <row r="2222" spans="1:20" x14ac:dyDescent="0.3">
      <c r="A2222" s="112">
        <f ca="1">IFERROR(__xludf.DUMMYFUNCTION("""COMPUTED_VALUE"""),43544.7055555555)</f>
        <v>43544.705555555498</v>
      </c>
      <c r="B2222" s="111">
        <f ca="1">IFERROR(__xludf.DUMMYFUNCTION("""COMPUTED_VALUE"""),35.55)</f>
        <v>35.549999999999997</v>
      </c>
      <c r="C2222" s="112">
        <f ca="1">IFERROR(__xludf.DUMMYFUNCTION("""COMPUTED_VALUE"""),43552.7055555555)</f>
        <v>43552.705555555498</v>
      </c>
      <c r="D2222" s="111">
        <f ca="1">IFERROR(__xludf.DUMMYFUNCTION("""COMPUTED_VALUE"""),34.1)</f>
        <v>34.1</v>
      </c>
      <c r="E2222" s="112">
        <f ca="1">IFERROR(__xludf.DUMMYFUNCTION("""COMPUTED_VALUE"""),43553.7055555555)</f>
        <v>43553.705555555498</v>
      </c>
      <c r="F2222" s="111">
        <f ca="1">IFERROR(__xludf.DUMMYFUNCTION("""COMPUTED_VALUE"""),11.41)</f>
        <v>11.41</v>
      </c>
      <c r="G2222" s="112">
        <f ca="1">IFERROR(__xludf.DUMMYFUNCTION("""COMPUTED_VALUE"""),43551.7055555555)</f>
        <v>43551.705555555498</v>
      </c>
      <c r="H2222" s="111">
        <f ca="1">IFERROR(__xludf.DUMMYFUNCTION("""COMPUTED_VALUE"""),27.34)</f>
        <v>27.34</v>
      </c>
      <c r="K2222" s="112">
        <f ca="1">IFERROR(__xludf.DUMMYFUNCTION("""COMPUTED_VALUE"""),43999.7055555555)</f>
        <v>43999.705555555498</v>
      </c>
      <c r="L2222" s="111">
        <f ca="1">IFERROR(__xludf.DUMMYFUNCTION("""COMPUTED_VALUE"""),16.8)</f>
        <v>16.8</v>
      </c>
      <c r="M2222" s="112">
        <f ca="1">IFERROR(__xludf.DUMMYFUNCTION("""COMPUTED_VALUE"""),43453.7055555555)</f>
        <v>43453.705555555498</v>
      </c>
      <c r="N2222" s="111">
        <f ca="1">IFERROR(__xludf.DUMMYFUNCTION("""COMPUTED_VALUE"""),26.03)</f>
        <v>26.03</v>
      </c>
      <c r="O2222" s="112">
        <f ca="1">IFERROR(__xludf.DUMMYFUNCTION("""COMPUTED_VALUE"""),43537.7055555555)</f>
        <v>43537.705555555498</v>
      </c>
      <c r="P2222" s="111">
        <f ca="1">IFERROR(__xludf.DUMMYFUNCTION("""COMPUTED_VALUE"""),50.7)</f>
        <v>50.7</v>
      </c>
      <c r="Q2222" s="112">
        <f ca="1">IFERROR(__xludf.DUMMYFUNCTION("""COMPUTED_VALUE"""),43536.7055555555)</f>
        <v>43536.705555555498</v>
      </c>
      <c r="R2222" s="111">
        <f ca="1">IFERROR(__xludf.DUMMYFUNCTION("""COMPUTED_VALUE"""),53.34)</f>
        <v>53.34</v>
      </c>
      <c r="S2222" s="112">
        <f ca="1">IFERROR(__xludf.DUMMYFUNCTION("""COMPUTED_VALUE"""),43549.7055555555)</f>
        <v>43549.705555555498</v>
      </c>
      <c r="T2222" s="111">
        <f ca="1">IFERROR(__xludf.DUMMYFUNCTION("""COMPUTED_VALUE"""),34.73)</f>
        <v>34.729999999999997</v>
      </c>
    </row>
    <row r="2223" spans="1:20" x14ac:dyDescent="0.3">
      <c r="A2223" s="112">
        <f ca="1">IFERROR(__xludf.DUMMYFUNCTION("""COMPUTED_VALUE"""),43545.7055555555)</f>
        <v>43545.705555555498</v>
      </c>
      <c r="B2223" s="111">
        <f ca="1">IFERROR(__xludf.DUMMYFUNCTION("""COMPUTED_VALUE"""),34.96)</f>
        <v>34.96</v>
      </c>
      <c r="C2223" s="112">
        <f ca="1">IFERROR(__xludf.DUMMYFUNCTION("""COMPUTED_VALUE"""),43553.7055555555)</f>
        <v>43553.705555555498</v>
      </c>
      <c r="D2223" s="111">
        <f ca="1">IFERROR(__xludf.DUMMYFUNCTION("""COMPUTED_VALUE"""),34.43)</f>
        <v>34.43</v>
      </c>
      <c r="E2223" s="112">
        <f ca="1">IFERROR(__xludf.DUMMYFUNCTION("""COMPUTED_VALUE"""),43556.7055555555)</f>
        <v>43556.705555555498</v>
      </c>
      <c r="F2223" s="111">
        <f ca="1">IFERROR(__xludf.DUMMYFUNCTION("""COMPUTED_VALUE"""),11.41)</f>
        <v>11.41</v>
      </c>
      <c r="G2223" s="112">
        <f ca="1">IFERROR(__xludf.DUMMYFUNCTION("""COMPUTED_VALUE"""),43552.7055555555)</f>
        <v>43552.705555555498</v>
      </c>
      <c r="H2223" s="111">
        <f ca="1">IFERROR(__xludf.DUMMYFUNCTION("""COMPUTED_VALUE"""),28.06)</f>
        <v>28.06</v>
      </c>
      <c r="K2223" s="112">
        <f ca="1">IFERROR(__xludf.DUMMYFUNCTION("""COMPUTED_VALUE"""),44000.7055555555)</f>
        <v>44000.705555555498</v>
      </c>
      <c r="L2223" s="111">
        <f ca="1">IFERROR(__xludf.DUMMYFUNCTION("""COMPUTED_VALUE"""),17.43)</f>
        <v>17.43</v>
      </c>
      <c r="M2223" s="112">
        <f ca="1">IFERROR(__xludf.DUMMYFUNCTION("""COMPUTED_VALUE"""),43454.7055555555)</f>
        <v>43454.705555555498</v>
      </c>
      <c r="N2223" s="111">
        <f ca="1">IFERROR(__xludf.DUMMYFUNCTION("""COMPUTED_VALUE"""),26.17)</f>
        <v>26.17</v>
      </c>
      <c r="O2223" s="112">
        <f ca="1">IFERROR(__xludf.DUMMYFUNCTION("""COMPUTED_VALUE"""),43538.7055555555)</f>
        <v>43538.705555555498</v>
      </c>
      <c r="P2223" s="111">
        <f ca="1">IFERROR(__xludf.DUMMYFUNCTION("""COMPUTED_VALUE"""),50.71)</f>
        <v>50.71</v>
      </c>
      <c r="Q2223" s="112">
        <f ca="1">IFERROR(__xludf.DUMMYFUNCTION("""COMPUTED_VALUE"""),43537.7055555555)</f>
        <v>43537.705555555498</v>
      </c>
      <c r="R2223" s="111">
        <f ca="1">IFERROR(__xludf.DUMMYFUNCTION("""COMPUTED_VALUE"""),54.16)</f>
        <v>54.16</v>
      </c>
      <c r="S2223" s="112">
        <f ca="1">IFERROR(__xludf.DUMMYFUNCTION("""COMPUTED_VALUE"""),43550.7055555555)</f>
        <v>43550.705555555498</v>
      </c>
      <c r="T2223" s="111">
        <f ca="1">IFERROR(__xludf.DUMMYFUNCTION("""COMPUTED_VALUE"""),34.97)</f>
        <v>34.97</v>
      </c>
    </row>
    <row r="2224" spans="1:20" x14ac:dyDescent="0.3">
      <c r="A2224" s="112">
        <f ca="1">IFERROR(__xludf.DUMMYFUNCTION("""COMPUTED_VALUE"""),43546.7055555555)</f>
        <v>43546.705555555498</v>
      </c>
      <c r="B2224" s="111">
        <f ca="1">IFERROR(__xludf.DUMMYFUNCTION("""COMPUTED_VALUE"""),33.36)</f>
        <v>33.36</v>
      </c>
      <c r="C2224" s="112">
        <f ca="1">IFERROR(__xludf.DUMMYFUNCTION("""COMPUTED_VALUE"""),43556.7055555555)</f>
        <v>43556.705555555498</v>
      </c>
      <c r="D2224" s="111">
        <f ca="1">IFERROR(__xludf.DUMMYFUNCTION("""COMPUTED_VALUE"""),34.16)</f>
        <v>34.159999999999997</v>
      </c>
      <c r="E2224" s="112">
        <f ca="1">IFERROR(__xludf.DUMMYFUNCTION("""COMPUTED_VALUE"""),43557.7055555555)</f>
        <v>43557.705555555498</v>
      </c>
      <c r="F2224" s="111">
        <f ca="1">IFERROR(__xludf.DUMMYFUNCTION("""COMPUTED_VALUE"""),11.3)</f>
        <v>11.3</v>
      </c>
      <c r="G2224" s="112">
        <f ca="1">IFERROR(__xludf.DUMMYFUNCTION("""COMPUTED_VALUE"""),43553.7055555555)</f>
        <v>43553.705555555498</v>
      </c>
      <c r="H2224" s="111">
        <f ca="1">IFERROR(__xludf.DUMMYFUNCTION("""COMPUTED_VALUE"""),28.06)</f>
        <v>28.06</v>
      </c>
      <c r="K2224" s="112">
        <f ca="1">IFERROR(__xludf.DUMMYFUNCTION("""COMPUTED_VALUE"""),44001.7055555555)</f>
        <v>44001.705555555498</v>
      </c>
      <c r="L2224" s="111">
        <f ca="1">IFERROR(__xludf.DUMMYFUNCTION("""COMPUTED_VALUE"""),17.86)</f>
        <v>17.86</v>
      </c>
      <c r="M2224" s="112">
        <f ca="1">IFERROR(__xludf.DUMMYFUNCTION("""COMPUTED_VALUE"""),43455.7055555555)</f>
        <v>43455.705555555498</v>
      </c>
      <c r="N2224" s="111">
        <f ca="1">IFERROR(__xludf.DUMMYFUNCTION("""COMPUTED_VALUE"""),25.97)</f>
        <v>25.97</v>
      </c>
      <c r="O2224" s="112">
        <f ca="1">IFERROR(__xludf.DUMMYFUNCTION("""COMPUTED_VALUE"""),43539.7055555555)</f>
        <v>43539.705555555498</v>
      </c>
      <c r="P2224" s="111">
        <f ca="1">IFERROR(__xludf.DUMMYFUNCTION("""COMPUTED_VALUE"""),50.55)</f>
        <v>50.55</v>
      </c>
      <c r="Q2224" s="112">
        <f ca="1">IFERROR(__xludf.DUMMYFUNCTION("""COMPUTED_VALUE"""),43538.7055555555)</f>
        <v>43538.705555555498</v>
      </c>
      <c r="R2224" s="111">
        <f ca="1">IFERROR(__xludf.DUMMYFUNCTION("""COMPUTED_VALUE"""),53.75)</f>
        <v>53.75</v>
      </c>
      <c r="S2224" s="112">
        <f ca="1">IFERROR(__xludf.DUMMYFUNCTION("""COMPUTED_VALUE"""),43551.7055555555)</f>
        <v>43551.705555555498</v>
      </c>
      <c r="T2224" s="111">
        <f ca="1">IFERROR(__xludf.DUMMYFUNCTION("""COMPUTED_VALUE"""),33.89)</f>
        <v>33.89</v>
      </c>
    </row>
    <row r="2225" spans="1:20" x14ac:dyDescent="0.3">
      <c r="A2225" s="112">
        <f ca="1">IFERROR(__xludf.DUMMYFUNCTION("""COMPUTED_VALUE"""),43549.7055555555)</f>
        <v>43549.705555555498</v>
      </c>
      <c r="B2225" s="111">
        <f ca="1">IFERROR(__xludf.DUMMYFUNCTION("""COMPUTED_VALUE"""),34.22)</f>
        <v>34.22</v>
      </c>
      <c r="C2225" s="112">
        <f ca="1">IFERROR(__xludf.DUMMYFUNCTION("""COMPUTED_VALUE"""),43557.7055555555)</f>
        <v>43557.705555555498</v>
      </c>
      <c r="D2225" s="111">
        <f ca="1">IFERROR(__xludf.DUMMYFUNCTION("""COMPUTED_VALUE"""),33.62)</f>
        <v>33.619999999999997</v>
      </c>
      <c r="E2225" s="112">
        <f ca="1">IFERROR(__xludf.DUMMYFUNCTION("""COMPUTED_VALUE"""),43558.7055555555)</f>
        <v>43558.705555555498</v>
      </c>
      <c r="F2225" s="111">
        <f ca="1">IFERROR(__xludf.DUMMYFUNCTION("""COMPUTED_VALUE"""),11.19)</f>
        <v>11.19</v>
      </c>
      <c r="G2225" s="112">
        <f ca="1">IFERROR(__xludf.DUMMYFUNCTION("""COMPUTED_VALUE"""),43556.7055555555)</f>
        <v>43556.705555555498</v>
      </c>
      <c r="H2225" s="111">
        <f ca="1">IFERROR(__xludf.DUMMYFUNCTION("""COMPUTED_VALUE"""),28)</f>
        <v>28</v>
      </c>
      <c r="K2225" s="112">
        <f ca="1">IFERROR(__xludf.DUMMYFUNCTION("""COMPUTED_VALUE"""),44004.7055555555)</f>
        <v>44004.705555555498</v>
      </c>
      <c r="L2225" s="111">
        <f ca="1">IFERROR(__xludf.DUMMYFUNCTION("""COMPUTED_VALUE"""),17.73)</f>
        <v>17.73</v>
      </c>
      <c r="M2225" s="112">
        <f ca="1">IFERROR(__xludf.DUMMYFUNCTION("""COMPUTED_VALUE"""),43460.7055555555)</f>
        <v>43460.705555555498</v>
      </c>
      <c r="N2225" s="111">
        <f ca="1">IFERROR(__xludf.DUMMYFUNCTION("""COMPUTED_VALUE"""),25.21)</f>
        <v>25.21</v>
      </c>
      <c r="O2225" s="112">
        <f ca="1">IFERROR(__xludf.DUMMYFUNCTION("""COMPUTED_VALUE"""),43542.7055555555)</f>
        <v>43542.705555555498</v>
      </c>
      <c r="P2225" s="111">
        <f ca="1">IFERROR(__xludf.DUMMYFUNCTION("""COMPUTED_VALUE"""),50.46)</f>
        <v>50.46</v>
      </c>
      <c r="Q2225" s="112">
        <f ca="1">IFERROR(__xludf.DUMMYFUNCTION("""COMPUTED_VALUE"""),43539.7055555555)</f>
        <v>43539.705555555498</v>
      </c>
      <c r="R2225" s="111">
        <f ca="1">IFERROR(__xludf.DUMMYFUNCTION("""COMPUTED_VALUE"""),54.21)</f>
        <v>54.21</v>
      </c>
      <c r="S2225" s="112">
        <f ca="1">IFERROR(__xludf.DUMMYFUNCTION("""COMPUTED_VALUE"""),43552.7055555555)</f>
        <v>43552.705555555498</v>
      </c>
      <c r="T2225" s="111">
        <f ca="1">IFERROR(__xludf.DUMMYFUNCTION("""COMPUTED_VALUE"""),34.96)</f>
        <v>34.96</v>
      </c>
    </row>
    <row r="2226" spans="1:20" x14ac:dyDescent="0.3">
      <c r="A2226" s="112">
        <f ca="1">IFERROR(__xludf.DUMMYFUNCTION("""COMPUTED_VALUE"""),43550.7055555555)</f>
        <v>43550.705555555498</v>
      </c>
      <c r="B2226" s="111">
        <f ca="1">IFERROR(__xludf.DUMMYFUNCTION("""COMPUTED_VALUE"""),35.71)</f>
        <v>35.71</v>
      </c>
      <c r="C2226" s="112">
        <f ca="1">IFERROR(__xludf.DUMMYFUNCTION("""COMPUTED_VALUE"""),43558.7055555555)</f>
        <v>43558.705555555498</v>
      </c>
      <c r="D2226" s="111">
        <f ca="1">IFERROR(__xludf.DUMMYFUNCTION("""COMPUTED_VALUE"""),33.32)</f>
        <v>33.32</v>
      </c>
      <c r="E2226" s="112">
        <f ca="1">IFERROR(__xludf.DUMMYFUNCTION("""COMPUTED_VALUE"""),43559.7055555555)</f>
        <v>43559.705555555498</v>
      </c>
      <c r="F2226" s="111">
        <f ca="1">IFERROR(__xludf.DUMMYFUNCTION("""COMPUTED_VALUE"""),11.24)</f>
        <v>11.24</v>
      </c>
      <c r="G2226" s="112">
        <f ca="1">IFERROR(__xludf.DUMMYFUNCTION("""COMPUTED_VALUE"""),43557.7055555555)</f>
        <v>43557.705555555498</v>
      </c>
      <c r="H2226" s="111">
        <f ca="1">IFERROR(__xludf.DUMMYFUNCTION("""COMPUTED_VALUE"""),28.29)</f>
        <v>28.29</v>
      </c>
      <c r="K2226" s="112">
        <f ca="1">IFERROR(__xludf.DUMMYFUNCTION("""COMPUTED_VALUE"""),44005.7055555555)</f>
        <v>44005.705555555498</v>
      </c>
      <c r="L2226" s="111">
        <f ca="1">IFERROR(__xludf.DUMMYFUNCTION("""COMPUTED_VALUE"""),17.57)</f>
        <v>17.57</v>
      </c>
      <c r="M2226" s="112">
        <f ca="1">IFERROR(__xludf.DUMMYFUNCTION("""COMPUTED_VALUE"""),43461.7055555555)</f>
        <v>43461.705555555498</v>
      </c>
      <c r="N2226" s="111">
        <f ca="1">IFERROR(__xludf.DUMMYFUNCTION("""COMPUTED_VALUE"""),25.79)</f>
        <v>25.79</v>
      </c>
      <c r="O2226" s="112">
        <f ca="1">IFERROR(__xludf.DUMMYFUNCTION("""COMPUTED_VALUE"""),43543.7055555555)</f>
        <v>43543.705555555498</v>
      </c>
      <c r="P2226" s="111">
        <f ca="1">IFERROR(__xludf.DUMMYFUNCTION("""COMPUTED_VALUE"""),51.9)</f>
        <v>51.9</v>
      </c>
      <c r="Q2226" s="112">
        <f ca="1">IFERROR(__xludf.DUMMYFUNCTION("""COMPUTED_VALUE"""),43542.7055555555)</f>
        <v>43542.705555555498</v>
      </c>
      <c r="R2226" s="111">
        <f ca="1">IFERROR(__xludf.DUMMYFUNCTION("""COMPUTED_VALUE"""),53.8)</f>
        <v>53.8</v>
      </c>
      <c r="S2226" s="112">
        <f ca="1">IFERROR(__xludf.DUMMYFUNCTION("""COMPUTED_VALUE"""),43553.7055555555)</f>
        <v>43553.705555555498</v>
      </c>
      <c r="T2226" s="111">
        <f ca="1">IFERROR(__xludf.DUMMYFUNCTION("""COMPUTED_VALUE"""),36.2)</f>
        <v>36.200000000000003</v>
      </c>
    </row>
    <row r="2227" spans="1:20" x14ac:dyDescent="0.3">
      <c r="A2227" s="112">
        <f ca="1">IFERROR(__xludf.DUMMYFUNCTION("""COMPUTED_VALUE"""),43551.7055555555)</f>
        <v>43551.705555555498</v>
      </c>
      <c r="B2227" s="111">
        <f ca="1">IFERROR(__xludf.DUMMYFUNCTION("""COMPUTED_VALUE"""),33.13)</f>
        <v>33.130000000000003</v>
      </c>
      <c r="C2227" s="112">
        <f ca="1">IFERROR(__xludf.DUMMYFUNCTION("""COMPUTED_VALUE"""),43559.7055555555)</f>
        <v>43559.705555555498</v>
      </c>
      <c r="D2227" s="111">
        <f ca="1">IFERROR(__xludf.DUMMYFUNCTION("""COMPUTED_VALUE"""),33.82)</f>
        <v>33.82</v>
      </c>
      <c r="E2227" s="112">
        <f ca="1">IFERROR(__xludf.DUMMYFUNCTION("""COMPUTED_VALUE"""),43560.7055555555)</f>
        <v>43560.705555555498</v>
      </c>
      <c r="F2227" s="111">
        <f ca="1">IFERROR(__xludf.DUMMYFUNCTION("""COMPUTED_VALUE"""),11.5)</f>
        <v>11.5</v>
      </c>
      <c r="G2227" s="112">
        <f ca="1">IFERROR(__xludf.DUMMYFUNCTION("""COMPUTED_VALUE"""),43558.7055555555)</f>
        <v>43558.705555555498</v>
      </c>
      <c r="H2227" s="111">
        <f ca="1">IFERROR(__xludf.DUMMYFUNCTION("""COMPUTED_VALUE"""),27.54)</f>
        <v>27.54</v>
      </c>
      <c r="K2227" s="112">
        <f ca="1">IFERROR(__xludf.DUMMYFUNCTION("""COMPUTED_VALUE"""),44006.7055555555)</f>
        <v>44006.705555555498</v>
      </c>
      <c r="L2227" s="111">
        <f ca="1">IFERROR(__xludf.DUMMYFUNCTION("""COMPUTED_VALUE"""),17.46)</f>
        <v>17.46</v>
      </c>
      <c r="M2227" s="112">
        <f ca="1">IFERROR(__xludf.DUMMYFUNCTION("""COMPUTED_VALUE"""),43462.7055555555)</f>
        <v>43462.705555555498</v>
      </c>
      <c r="N2227" s="111">
        <f ca="1">IFERROR(__xludf.DUMMYFUNCTION("""COMPUTED_VALUE"""),26.62)</f>
        <v>26.62</v>
      </c>
      <c r="O2227" s="112">
        <f ca="1">IFERROR(__xludf.DUMMYFUNCTION("""COMPUTED_VALUE"""),43544.7055555555)</f>
        <v>43544.705555555498</v>
      </c>
      <c r="P2227" s="111">
        <f ca="1">IFERROR(__xludf.DUMMYFUNCTION("""COMPUTED_VALUE"""),50.56)</f>
        <v>50.56</v>
      </c>
      <c r="Q2227" s="112">
        <f ca="1">IFERROR(__xludf.DUMMYFUNCTION("""COMPUTED_VALUE"""),43543.7055555555)</f>
        <v>43543.705555555498</v>
      </c>
      <c r="R2227" s="111">
        <f ca="1">IFERROR(__xludf.DUMMYFUNCTION("""COMPUTED_VALUE"""),52.65)</f>
        <v>52.65</v>
      </c>
      <c r="S2227" s="112">
        <f ca="1">IFERROR(__xludf.DUMMYFUNCTION("""COMPUTED_VALUE"""),43556.7055555555)</f>
        <v>43556.705555555498</v>
      </c>
      <c r="T2227" s="111">
        <f ca="1">IFERROR(__xludf.DUMMYFUNCTION("""COMPUTED_VALUE"""),36.19)</f>
        <v>36.19</v>
      </c>
    </row>
    <row r="2228" spans="1:20" x14ac:dyDescent="0.3">
      <c r="A2228" s="112">
        <f ca="1">IFERROR(__xludf.DUMMYFUNCTION("""COMPUTED_VALUE"""),43552.7055555555)</f>
        <v>43552.705555555498</v>
      </c>
      <c r="B2228" s="111">
        <f ca="1">IFERROR(__xludf.DUMMYFUNCTION("""COMPUTED_VALUE"""),35.49)</f>
        <v>35.49</v>
      </c>
      <c r="C2228" s="112">
        <f ca="1">IFERROR(__xludf.DUMMYFUNCTION("""COMPUTED_VALUE"""),43560.7055555555)</f>
        <v>43560.705555555498</v>
      </c>
      <c r="D2228" s="111">
        <f ca="1">IFERROR(__xludf.DUMMYFUNCTION("""COMPUTED_VALUE"""),34.55)</f>
        <v>34.549999999999997</v>
      </c>
      <c r="E2228" s="112">
        <f ca="1">IFERROR(__xludf.DUMMYFUNCTION("""COMPUTED_VALUE"""),43563.7055555555)</f>
        <v>43563.705555555498</v>
      </c>
      <c r="F2228" s="111">
        <f ca="1">IFERROR(__xludf.DUMMYFUNCTION("""COMPUTED_VALUE"""),11.49)</f>
        <v>11.49</v>
      </c>
      <c r="G2228" s="112">
        <f ca="1">IFERROR(__xludf.DUMMYFUNCTION("""COMPUTED_VALUE"""),43559.7055555555)</f>
        <v>43559.705555555498</v>
      </c>
      <c r="H2228" s="111">
        <f ca="1">IFERROR(__xludf.DUMMYFUNCTION("""COMPUTED_VALUE"""),28.47)</f>
        <v>28.47</v>
      </c>
      <c r="K2228" s="112">
        <f ca="1">IFERROR(__xludf.DUMMYFUNCTION("""COMPUTED_VALUE"""),44007.7055555555)</f>
        <v>44007.705555555498</v>
      </c>
      <c r="L2228" s="111">
        <f ca="1">IFERROR(__xludf.DUMMYFUNCTION("""COMPUTED_VALUE"""),17.43)</f>
        <v>17.43</v>
      </c>
      <c r="M2228" s="112">
        <f ca="1">IFERROR(__xludf.DUMMYFUNCTION("""COMPUTED_VALUE"""),43467.7055555555)</f>
        <v>43467.705555555498</v>
      </c>
      <c r="N2228" s="111">
        <f ca="1">IFERROR(__xludf.DUMMYFUNCTION("""COMPUTED_VALUE"""),27.82)</f>
        <v>27.82</v>
      </c>
      <c r="O2228" s="112">
        <f ca="1">IFERROR(__xludf.DUMMYFUNCTION("""COMPUTED_VALUE"""),43545.7055555555)</f>
        <v>43545.705555555498</v>
      </c>
      <c r="P2228" s="111">
        <f ca="1">IFERROR(__xludf.DUMMYFUNCTION("""COMPUTED_VALUE"""),50.89)</f>
        <v>50.89</v>
      </c>
      <c r="Q2228" s="112">
        <f ca="1">IFERROR(__xludf.DUMMYFUNCTION("""COMPUTED_VALUE"""),43544.7055555555)</f>
        <v>43544.705555555498</v>
      </c>
      <c r="R2228" s="111">
        <f ca="1">IFERROR(__xludf.DUMMYFUNCTION("""COMPUTED_VALUE"""),51.47)</f>
        <v>51.47</v>
      </c>
      <c r="S2228" s="112">
        <f ca="1">IFERROR(__xludf.DUMMYFUNCTION("""COMPUTED_VALUE"""),43557.7055555555)</f>
        <v>43557.705555555498</v>
      </c>
      <c r="T2228" s="111">
        <f ca="1">IFERROR(__xludf.DUMMYFUNCTION("""COMPUTED_VALUE"""),35.76)</f>
        <v>35.76</v>
      </c>
    </row>
    <row r="2229" spans="1:20" x14ac:dyDescent="0.3">
      <c r="A2229" s="112">
        <f ca="1">IFERROR(__xludf.DUMMYFUNCTION("""COMPUTED_VALUE"""),43553.7055555555)</f>
        <v>43553.705555555498</v>
      </c>
      <c r="B2229" s="111">
        <f ca="1">IFERROR(__xludf.DUMMYFUNCTION("""COMPUTED_VALUE"""),36.28)</f>
        <v>36.28</v>
      </c>
      <c r="C2229" s="112">
        <f ca="1">IFERROR(__xludf.DUMMYFUNCTION("""COMPUTED_VALUE"""),43563.7055555555)</f>
        <v>43563.705555555498</v>
      </c>
      <c r="D2229" s="111">
        <f ca="1">IFERROR(__xludf.DUMMYFUNCTION("""COMPUTED_VALUE"""),34.34)</f>
        <v>34.340000000000003</v>
      </c>
      <c r="E2229" s="112">
        <f ca="1">IFERROR(__xludf.DUMMYFUNCTION("""COMPUTED_VALUE"""),43564.7055555555)</f>
        <v>43564.705555555498</v>
      </c>
      <c r="F2229" s="111">
        <f ca="1">IFERROR(__xludf.DUMMYFUNCTION("""COMPUTED_VALUE"""),11.31)</f>
        <v>11.31</v>
      </c>
      <c r="G2229" s="112">
        <f ca="1">IFERROR(__xludf.DUMMYFUNCTION("""COMPUTED_VALUE"""),43560.7055555555)</f>
        <v>43560.705555555498</v>
      </c>
      <c r="H2229" s="111">
        <f ca="1">IFERROR(__xludf.DUMMYFUNCTION("""COMPUTED_VALUE"""),28.78)</f>
        <v>28.78</v>
      </c>
      <c r="K2229" s="112">
        <f ca="1">IFERROR(__xludf.DUMMYFUNCTION("""COMPUTED_VALUE"""),44008.7055555555)</f>
        <v>44008.705555555498</v>
      </c>
      <c r="L2229" s="111">
        <f ca="1">IFERROR(__xludf.DUMMYFUNCTION("""COMPUTED_VALUE"""),17.34)</f>
        <v>17.34</v>
      </c>
      <c r="M2229" s="112">
        <f ca="1">IFERROR(__xludf.DUMMYFUNCTION("""COMPUTED_VALUE"""),43468.7055555555)</f>
        <v>43468.705555555498</v>
      </c>
      <c r="N2229" s="111">
        <f ca="1">IFERROR(__xludf.DUMMYFUNCTION("""COMPUTED_VALUE"""),28.09)</f>
        <v>28.09</v>
      </c>
      <c r="O2229" s="112">
        <f ca="1">IFERROR(__xludf.DUMMYFUNCTION("""COMPUTED_VALUE"""),43546.7055555555)</f>
        <v>43546.705555555498</v>
      </c>
      <c r="P2229" s="111">
        <f ca="1">IFERROR(__xludf.DUMMYFUNCTION("""COMPUTED_VALUE"""),50.05)</f>
        <v>50.05</v>
      </c>
      <c r="Q2229" s="112">
        <f ca="1">IFERROR(__xludf.DUMMYFUNCTION("""COMPUTED_VALUE"""),43545.7055555555)</f>
        <v>43545.705555555498</v>
      </c>
      <c r="R2229" s="111">
        <f ca="1">IFERROR(__xludf.DUMMYFUNCTION("""COMPUTED_VALUE"""),50.39)</f>
        <v>50.39</v>
      </c>
      <c r="S2229" s="112">
        <f ca="1">IFERROR(__xludf.DUMMYFUNCTION("""COMPUTED_VALUE"""),43558.7055555555)</f>
        <v>43558.705555555498</v>
      </c>
      <c r="T2229" s="111">
        <f ca="1">IFERROR(__xludf.DUMMYFUNCTION("""COMPUTED_VALUE"""),35.7)</f>
        <v>35.700000000000003</v>
      </c>
    </row>
    <row r="2230" spans="1:20" x14ac:dyDescent="0.3">
      <c r="A2230" s="112">
        <f ca="1">IFERROR(__xludf.DUMMYFUNCTION("""COMPUTED_VALUE"""),43556.7055555555)</f>
        <v>43556.705555555498</v>
      </c>
      <c r="B2230" s="111">
        <f ca="1">IFERROR(__xludf.DUMMYFUNCTION("""COMPUTED_VALUE"""),36.84)</f>
        <v>36.840000000000003</v>
      </c>
      <c r="C2230" s="112">
        <f ca="1">IFERROR(__xludf.DUMMYFUNCTION("""COMPUTED_VALUE"""),43564.7055555555)</f>
        <v>43564.705555555498</v>
      </c>
      <c r="D2230" s="111">
        <f ca="1">IFERROR(__xludf.DUMMYFUNCTION("""COMPUTED_VALUE"""),34.15)</f>
        <v>34.15</v>
      </c>
      <c r="E2230" s="112">
        <f ca="1">IFERROR(__xludf.DUMMYFUNCTION("""COMPUTED_VALUE"""),43565.7055555555)</f>
        <v>43565.705555555498</v>
      </c>
      <c r="F2230" s="111">
        <f ca="1">IFERROR(__xludf.DUMMYFUNCTION("""COMPUTED_VALUE"""),11.26)</f>
        <v>11.26</v>
      </c>
      <c r="G2230" s="112">
        <f ca="1">IFERROR(__xludf.DUMMYFUNCTION("""COMPUTED_VALUE"""),43563.7055555555)</f>
        <v>43563.705555555498</v>
      </c>
      <c r="H2230" s="111">
        <f ca="1">IFERROR(__xludf.DUMMYFUNCTION("""COMPUTED_VALUE"""),29.25)</f>
        <v>29.25</v>
      </c>
      <c r="K2230" s="112">
        <f ca="1">IFERROR(__xludf.DUMMYFUNCTION("""COMPUTED_VALUE"""),44011.7055555555)</f>
        <v>44011.705555555498</v>
      </c>
      <c r="L2230" s="111">
        <f ca="1">IFERROR(__xludf.DUMMYFUNCTION("""COMPUTED_VALUE"""),17.61)</f>
        <v>17.61</v>
      </c>
      <c r="M2230" s="112">
        <f ca="1">IFERROR(__xludf.DUMMYFUNCTION("""COMPUTED_VALUE"""),43469.7055555555)</f>
        <v>43469.705555555498</v>
      </c>
      <c r="N2230" s="111">
        <f ca="1">IFERROR(__xludf.DUMMYFUNCTION("""COMPUTED_VALUE"""),27.87)</f>
        <v>27.87</v>
      </c>
      <c r="O2230" s="112">
        <f ca="1">IFERROR(__xludf.DUMMYFUNCTION("""COMPUTED_VALUE"""),43549.7055555555)</f>
        <v>43549.705555555498</v>
      </c>
      <c r="P2230" s="111">
        <f ca="1">IFERROR(__xludf.DUMMYFUNCTION("""COMPUTED_VALUE"""),49.55)</f>
        <v>49.55</v>
      </c>
      <c r="Q2230" s="112">
        <f ca="1">IFERROR(__xludf.DUMMYFUNCTION("""COMPUTED_VALUE"""),43546.7055555555)</f>
        <v>43546.705555555498</v>
      </c>
      <c r="R2230" s="111">
        <f ca="1">IFERROR(__xludf.DUMMYFUNCTION("""COMPUTED_VALUE"""),47.65)</f>
        <v>47.65</v>
      </c>
      <c r="S2230" s="112">
        <f ca="1">IFERROR(__xludf.DUMMYFUNCTION("""COMPUTED_VALUE"""),43559.7055555555)</f>
        <v>43559.705555555498</v>
      </c>
      <c r="T2230" s="111">
        <f ca="1">IFERROR(__xludf.DUMMYFUNCTION("""COMPUTED_VALUE"""),36.36)</f>
        <v>36.36</v>
      </c>
    </row>
    <row r="2231" spans="1:20" x14ac:dyDescent="0.3">
      <c r="A2231" s="112">
        <f ca="1">IFERROR(__xludf.DUMMYFUNCTION("""COMPUTED_VALUE"""),43557.7055555555)</f>
        <v>43557.705555555498</v>
      </c>
      <c r="B2231" s="111">
        <f ca="1">IFERROR(__xludf.DUMMYFUNCTION("""COMPUTED_VALUE"""),35.38)</f>
        <v>35.380000000000003</v>
      </c>
      <c r="C2231" s="112">
        <f ca="1">IFERROR(__xludf.DUMMYFUNCTION("""COMPUTED_VALUE"""),43565.7055555555)</f>
        <v>43565.705555555498</v>
      </c>
      <c r="D2231" s="111">
        <f ca="1">IFERROR(__xludf.DUMMYFUNCTION("""COMPUTED_VALUE"""),34.09)</f>
        <v>34.090000000000003</v>
      </c>
      <c r="E2231" s="112">
        <f ca="1">IFERROR(__xludf.DUMMYFUNCTION("""COMPUTED_VALUE"""),43566.7055555555)</f>
        <v>43566.705555555498</v>
      </c>
      <c r="F2231" s="111">
        <f ca="1">IFERROR(__xludf.DUMMYFUNCTION("""COMPUTED_VALUE"""),11.11)</f>
        <v>11.11</v>
      </c>
      <c r="G2231" s="112">
        <f ca="1">IFERROR(__xludf.DUMMYFUNCTION("""COMPUTED_VALUE"""),43564.7055555555)</f>
        <v>43564.705555555498</v>
      </c>
      <c r="H2231" s="111">
        <f ca="1">IFERROR(__xludf.DUMMYFUNCTION("""COMPUTED_VALUE"""),29.16)</f>
        <v>29.16</v>
      </c>
      <c r="K2231" s="112">
        <f ca="1">IFERROR(__xludf.DUMMYFUNCTION("""COMPUTED_VALUE"""),44012.7055555555)</f>
        <v>44012.705555555498</v>
      </c>
      <c r="L2231" s="111">
        <f ca="1">IFERROR(__xludf.DUMMYFUNCTION("""COMPUTED_VALUE"""),17.92)</f>
        <v>17.920000000000002</v>
      </c>
      <c r="M2231" s="112">
        <f ca="1">IFERROR(__xludf.DUMMYFUNCTION("""COMPUTED_VALUE"""),43472.7055555555)</f>
        <v>43472.705555555498</v>
      </c>
      <c r="N2231" s="111">
        <f ca="1">IFERROR(__xludf.DUMMYFUNCTION("""COMPUTED_VALUE"""),28.2)</f>
        <v>28.2</v>
      </c>
      <c r="O2231" s="112">
        <f ca="1">IFERROR(__xludf.DUMMYFUNCTION("""COMPUTED_VALUE"""),43550.7055555555)</f>
        <v>43550.705555555498</v>
      </c>
      <c r="P2231" s="111">
        <f ca="1">IFERROR(__xludf.DUMMYFUNCTION("""COMPUTED_VALUE"""),50.28)</f>
        <v>50.28</v>
      </c>
      <c r="Q2231" s="112">
        <f ca="1">IFERROR(__xludf.DUMMYFUNCTION("""COMPUTED_VALUE"""),43549.7055555555)</f>
        <v>43549.705555555498</v>
      </c>
      <c r="R2231" s="111">
        <f ca="1">IFERROR(__xludf.DUMMYFUNCTION("""COMPUTED_VALUE"""),47.99)</f>
        <v>47.99</v>
      </c>
      <c r="S2231" s="112">
        <f ca="1">IFERROR(__xludf.DUMMYFUNCTION("""COMPUTED_VALUE"""),43560.7055555555)</f>
        <v>43560.705555555498</v>
      </c>
      <c r="T2231" s="111">
        <f ca="1">IFERROR(__xludf.DUMMYFUNCTION("""COMPUTED_VALUE"""),36.36)</f>
        <v>36.36</v>
      </c>
    </row>
    <row r="2232" spans="1:20" x14ac:dyDescent="0.3">
      <c r="A2232" s="112">
        <f ca="1">IFERROR(__xludf.DUMMYFUNCTION("""COMPUTED_VALUE"""),43558.7055555555)</f>
        <v>43558.705555555498</v>
      </c>
      <c r="B2232" s="111">
        <f ca="1">IFERROR(__xludf.DUMMYFUNCTION("""COMPUTED_VALUE"""),35.07)</f>
        <v>35.07</v>
      </c>
      <c r="C2232" s="112">
        <f ca="1">IFERROR(__xludf.DUMMYFUNCTION("""COMPUTED_VALUE"""),43566.7055555555)</f>
        <v>43566.705555555498</v>
      </c>
      <c r="D2232" s="111">
        <f ca="1">IFERROR(__xludf.DUMMYFUNCTION("""COMPUTED_VALUE"""),33.3)</f>
        <v>33.299999999999997</v>
      </c>
      <c r="E2232" s="112">
        <f ca="1">IFERROR(__xludf.DUMMYFUNCTION("""COMPUTED_VALUE"""),43567.7055555555)</f>
        <v>43567.705555555498</v>
      </c>
      <c r="F2232" s="111">
        <f ca="1">IFERROR(__xludf.DUMMYFUNCTION("""COMPUTED_VALUE"""),11)</f>
        <v>11</v>
      </c>
      <c r="G2232" s="112">
        <f ca="1">IFERROR(__xludf.DUMMYFUNCTION("""COMPUTED_VALUE"""),43565.7055555555)</f>
        <v>43565.705555555498</v>
      </c>
      <c r="H2232" s="111">
        <f ca="1">IFERROR(__xludf.DUMMYFUNCTION("""COMPUTED_VALUE"""),28.78)</f>
        <v>28.78</v>
      </c>
      <c r="K2232" s="112">
        <f ca="1">IFERROR(__xludf.DUMMYFUNCTION("""COMPUTED_VALUE"""),44013.7055555555)</f>
        <v>44013.705555555498</v>
      </c>
      <c r="L2232" s="111">
        <f ca="1">IFERROR(__xludf.DUMMYFUNCTION("""COMPUTED_VALUE"""),18.08)</f>
        <v>18.079999999999998</v>
      </c>
      <c r="M2232" s="112">
        <f ca="1">IFERROR(__xludf.DUMMYFUNCTION("""COMPUTED_VALUE"""),43473.7055555555)</f>
        <v>43473.705555555498</v>
      </c>
      <c r="N2232" s="111">
        <f ca="1">IFERROR(__xludf.DUMMYFUNCTION("""COMPUTED_VALUE"""),28.37)</f>
        <v>28.37</v>
      </c>
      <c r="O2232" s="112">
        <f ca="1">IFERROR(__xludf.DUMMYFUNCTION("""COMPUTED_VALUE"""),43551.7055555555)</f>
        <v>43551.705555555498</v>
      </c>
      <c r="P2232" s="111">
        <f ca="1">IFERROR(__xludf.DUMMYFUNCTION("""COMPUTED_VALUE"""),49.6)</f>
        <v>49.6</v>
      </c>
      <c r="Q2232" s="112">
        <f ca="1">IFERROR(__xludf.DUMMYFUNCTION("""COMPUTED_VALUE"""),43550.7055555555)</f>
        <v>43550.705555555498</v>
      </c>
      <c r="R2232" s="111">
        <f ca="1">IFERROR(__xludf.DUMMYFUNCTION("""COMPUTED_VALUE"""),49.12)</f>
        <v>49.12</v>
      </c>
      <c r="S2232" s="112">
        <f ca="1">IFERROR(__xludf.DUMMYFUNCTION("""COMPUTED_VALUE"""),43563.7055555555)</f>
        <v>43563.705555555498</v>
      </c>
      <c r="T2232" s="111">
        <f ca="1">IFERROR(__xludf.DUMMYFUNCTION("""COMPUTED_VALUE"""),35.38)</f>
        <v>35.380000000000003</v>
      </c>
    </row>
    <row r="2233" spans="1:20" x14ac:dyDescent="0.3">
      <c r="A2233" s="112">
        <f ca="1">IFERROR(__xludf.DUMMYFUNCTION("""COMPUTED_VALUE"""),43559.7055555555)</f>
        <v>43559.705555555498</v>
      </c>
      <c r="B2233" s="111">
        <f ca="1">IFERROR(__xludf.DUMMYFUNCTION("""COMPUTED_VALUE"""),35.76)</f>
        <v>35.76</v>
      </c>
      <c r="C2233" s="112">
        <f ca="1">IFERROR(__xludf.DUMMYFUNCTION("""COMPUTED_VALUE"""),43567.7055555555)</f>
        <v>43567.705555555498</v>
      </c>
      <c r="D2233" s="111">
        <f ca="1">IFERROR(__xludf.DUMMYFUNCTION("""COMPUTED_VALUE"""),32.95)</f>
        <v>32.950000000000003</v>
      </c>
      <c r="E2233" s="112">
        <f ca="1">IFERROR(__xludf.DUMMYFUNCTION("""COMPUTED_VALUE"""),43570.7055555555)</f>
        <v>43570.705555555498</v>
      </c>
      <c r="F2233" s="111">
        <f ca="1">IFERROR(__xludf.DUMMYFUNCTION("""COMPUTED_VALUE"""),10.98)</f>
        <v>10.98</v>
      </c>
      <c r="G2233" s="112">
        <f ca="1">IFERROR(__xludf.DUMMYFUNCTION("""COMPUTED_VALUE"""),43566.7055555555)</f>
        <v>43566.705555555498</v>
      </c>
      <c r="H2233" s="111">
        <f ca="1">IFERROR(__xludf.DUMMYFUNCTION("""COMPUTED_VALUE"""),28)</f>
        <v>28</v>
      </c>
      <c r="K2233" s="112">
        <f ca="1">IFERROR(__xludf.DUMMYFUNCTION("""COMPUTED_VALUE"""),44014.7055555555)</f>
        <v>44014.705555555498</v>
      </c>
      <c r="L2233" s="111">
        <f ca="1">IFERROR(__xludf.DUMMYFUNCTION("""COMPUTED_VALUE"""),17.53)</f>
        <v>17.53</v>
      </c>
      <c r="M2233" s="112">
        <f ca="1">IFERROR(__xludf.DUMMYFUNCTION("""COMPUTED_VALUE"""),43474.7055555555)</f>
        <v>43474.705555555498</v>
      </c>
      <c r="N2233" s="111">
        <f ca="1">IFERROR(__xludf.DUMMYFUNCTION("""COMPUTED_VALUE"""),28.86)</f>
        <v>28.86</v>
      </c>
      <c r="O2233" s="112">
        <f ca="1">IFERROR(__xludf.DUMMYFUNCTION("""COMPUTED_VALUE"""),43552.7055555555)</f>
        <v>43552.705555555498</v>
      </c>
      <c r="P2233" s="111">
        <f ca="1">IFERROR(__xludf.DUMMYFUNCTION("""COMPUTED_VALUE"""),49.3)</f>
        <v>49.3</v>
      </c>
      <c r="Q2233" s="112">
        <f ca="1">IFERROR(__xludf.DUMMYFUNCTION("""COMPUTED_VALUE"""),43551.7055555555)</f>
        <v>43551.705555555498</v>
      </c>
      <c r="R2233" s="111">
        <f ca="1">IFERROR(__xludf.DUMMYFUNCTION("""COMPUTED_VALUE"""),46.4)</f>
        <v>46.4</v>
      </c>
      <c r="S2233" s="112">
        <f ca="1">IFERROR(__xludf.DUMMYFUNCTION("""COMPUTED_VALUE"""),43564.7055555555)</f>
        <v>43564.705555555498</v>
      </c>
      <c r="T2233" s="111">
        <f ca="1">IFERROR(__xludf.DUMMYFUNCTION("""COMPUTED_VALUE"""),35.16)</f>
        <v>35.159999999999997</v>
      </c>
    </row>
    <row r="2234" spans="1:20" x14ac:dyDescent="0.3">
      <c r="A2234" s="112">
        <f ca="1">IFERROR(__xludf.DUMMYFUNCTION("""COMPUTED_VALUE"""),43560.7055555555)</f>
        <v>43560.705555555498</v>
      </c>
      <c r="B2234" s="111">
        <f ca="1">IFERROR(__xludf.DUMMYFUNCTION("""COMPUTED_VALUE"""),35.35)</f>
        <v>35.35</v>
      </c>
      <c r="C2234" s="112">
        <f ca="1">IFERROR(__xludf.DUMMYFUNCTION("""COMPUTED_VALUE"""),43570.7055555555)</f>
        <v>43570.705555555498</v>
      </c>
      <c r="D2234" s="111">
        <f ca="1">IFERROR(__xludf.DUMMYFUNCTION("""COMPUTED_VALUE"""),32.93)</f>
        <v>32.93</v>
      </c>
      <c r="E2234" s="112">
        <f ca="1">IFERROR(__xludf.DUMMYFUNCTION("""COMPUTED_VALUE"""),43571.7055555555)</f>
        <v>43571.705555555498</v>
      </c>
      <c r="F2234" s="111">
        <f ca="1">IFERROR(__xludf.DUMMYFUNCTION("""COMPUTED_VALUE"""),11.08)</f>
        <v>11.08</v>
      </c>
      <c r="G2234" s="112">
        <f ca="1">IFERROR(__xludf.DUMMYFUNCTION("""COMPUTED_VALUE"""),43567.7055555555)</f>
        <v>43567.705555555498</v>
      </c>
      <c r="H2234" s="111">
        <f ca="1">IFERROR(__xludf.DUMMYFUNCTION("""COMPUTED_VALUE"""),25.83)</f>
        <v>25.83</v>
      </c>
      <c r="K2234" s="112">
        <f ca="1">IFERROR(__xludf.DUMMYFUNCTION("""COMPUTED_VALUE"""),44015.7055555555)</f>
        <v>44015.705555555498</v>
      </c>
      <c r="L2234" s="111">
        <f ca="1">IFERROR(__xludf.DUMMYFUNCTION("""COMPUTED_VALUE"""),18.01)</f>
        <v>18.010000000000002</v>
      </c>
      <c r="M2234" s="112">
        <f ca="1">IFERROR(__xludf.DUMMYFUNCTION("""COMPUTED_VALUE"""),43475.7055555555)</f>
        <v>43475.705555555498</v>
      </c>
      <c r="N2234" s="111">
        <f ca="1">IFERROR(__xludf.DUMMYFUNCTION("""COMPUTED_VALUE"""),28.77)</f>
        <v>28.77</v>
      </c>
      <c r="O2234" s="112">
        <f ca="1">IFERROR(__xludf.DUMMYFUNCTION("""COMPUTED_VALUE"""),43553.7055555555)</f>
        <v>43553.705555555498</v>
      </c>
      <c r="P2234" s="111">
        <f ca="1">IFERROR(__xludf.DUMMYFUNCTION("""COMPUTED_VALUE"""),50.93)</f>
        <v>50.93</v>
      </c>
      <c r="Q2234" s="112">
        <f ca="1">IFERROR(__xludf.DUMMYFUNCTION("""COMPUTED_VALUE"""),43552.7055555555)</f>
        <v>43552.705555555498</v>
      </c>
      <c r="R2234" s="111">
        <f ca="1">IFERROR(__xludf.DUMMYFUNCTION("""COMPUTED_VALUE"""),48.02)</f>
        <v>48.02</v>
      </c>
      <c r="S2234" s="112">
        <f ca="1">IFERROR(__xludf.DUMMYFUNCTION("""COMPUTED_VALUE"""),43565.7055555555)</f>
        <v>43565.705555555498</v>
      </c>
      <c r="T2234" s="111">
        <f ca="1">IFERROR(__xludf.DUMMYFUNCTION("""COMPUTED_VALUE"""),35.28)</f>
        <v>35.28</v>
      </c>
    </row>
    <row r="2235" spans="1:20" x14ac:dyDescent="0.3">
      <c r="A2235" s="112">
        <f ca="1">IFERROR(__xludf.DUMMYFUNCTION("""COMPUTED_VALUE"""),43563.7055555555)</f>
        <v>43563.705555555498</v>
      </c>
      <c r="B2235" s="111">
        <f ca="1">IFERROR(__xludf.DUMMYFUNCTION("""COMPUTED_VALUE"""),34.27)</f>
        <v>34.270000000000003</v>
      </c>
      <c r="C2235" s="112">
        <f ca="1">IFERROR(__xludf.DUMMYFUNCTION("""COMPUTED_VALUE"""),43571.7055555555)</f>
        <v>43571.705555555498</v>
      </c>
      <c r="D2235" s="111">
        <f ca="1">IFERROR(__xludf.DUMMYFUNCTION("""COMPUTED_VALUE"""),32.9)</f>
        <v>32.9</v>
      </c>
      <c r="E2235" s="112">
        <f ca="1">IFERROR(__xludf.DUMMYFUNCTION("""COMPUTED_VALUE"""),43572.7055555555)</f>
        <v>43572.705555555498</v>
      </c>
      <c r="F2235" s="111">
        <f ca="1">IFERROR(__xludf.DUMMYFUNCTION("""COMPUTED_VALUE"""),10.92)</f>
        <v>10.92</v>
      </c>
      <c r="G2235" s="112">
        <f ca="1">IFERROR(__xludf.DUMMYFUNCTION("""COMPUTED_VALUE"""),43570.7055555555)</f>
        <v>43570.705555555498</v>
      </c>
      <c r="H2235" s="111">
        <f ca="1">IFERROR(__xludf.DUMMYFUNCTION("""COMPUTED_VALUE"""),25.93)</f>
        <v>25.93</v>
      </c>
      <c r="K2235" s="112">
        <f ca="1">IFERROR(__xludf.DUMMYFUNCTION("""COMPUTED_VALUE"""),44018.7055555555)</f>
        <v>44018.705555555498</v>
      </c>
      <c r="L2235" s="111">
        <f ca="1">IFERROR(__xludf.DUMMYFUNCTION("""COMPUTED_VALUE"""),18)</f>
        <v>18</v>
      </c>
      <c r="M2235" s="112">
        <f ca="1">IFERROR(__xludf.DUMMYFUNCTION("""COMPUTED_VALUE"""),43476.7055555555)</f>
        <v>43476.705555555498</v>
      </c>
      <c r="N2235" s="111">
        <f ca="1">IFERROR(__xludf.DUMMYFUNCTION("""COMPUTED_VALUE"""),28.58)</f>
        <v>28.58</v>
      </c>
      <c r="O2235" s="112">
        <f ca="1">IFERROR(__xludf.DUMMYFUNCTION("""COMPUTED_VALUE"""),43556.7055555555)</f>
        <v>43556.705555555498</v>
      </c>
      <c r="P2235" s="111">
        <f ca="1">IFERROR(__xludf.DUMMYFUNCTION("""COMPUTED_VALUE"""),52.6)</f>
        <v>52.6</v>
      </c>
      <c r="Q2235" s="112">
        <f ca="1">IFERROR(__xludf.DUMMYFUNCTION("""COMPUTED_VALUE"""),43553.7055555555)</f>
        <v>43553.705555555498</v>
      </c>
      <c r="R2235" s="111">
        <f ca="1">IFERROR(__xludf.DUMMYFUNCTION("""COMPUTED_VALUE"""),48.72)</f>
        <v>48.72</v>
      </c>
      <c r="S2235" s="112">
        <f ca="1">IFERROR(__xludf.DUMMYFUNCTION("""COMPUTED_VALUE"""),43566.7055555555)</f>
        <v>43566.705555555498</v>
      </c>
      <c r="T2235" s="111">
        <f ca="1">IFERROR(__xludf.DUMMYFUNCTION("""COMPUTED_VALUE"""),34.63)</f>
        <v>34.630000000000003</v>
      </c>
    </row>
    <row r="2236" spans="1:20" x14ac:dyDescent="0.3">
      <c r="A2236" s="112">
        <f ca="1">IFERROR(__xludf.DUMMYFUNCTION("""COMPUTED_VALUE"""),43564.7055555555)</f>
        <v>43564.705555555498</v>
      </c>
      <c r="B2236" s="111">
        <f ca="1">IFERROR(__xludf.DUMMYFUNCTION("""COMPUTED_VALUE"""),32.9)</f>
        <v>32.9</v>
      </c>
      <c r="C2236" s="112">
        <f ca="1">IFERROR(__xludf.DUMMYFUNCTION("""COMPUTED_VALUE"""),43572.7055555555)</f>
        <v>43572.705555555498</v>
      </c>
      <c r="D2236" s="111">
        <f ca="1">IFERROR(__xludf.DUMMYFUNCTION("""COMPUTED_VALUE"""),32.39)</f>
        <v>32.39</v>
      </c>
      <c r="E2236" s="112">
        <f ca="1">IFERROR(__xludf.DUMMYFUNCTION("""COMPUTED_VALUE"""),43573.7055555555)</f>
        <v>43573.705555555498</v>
      </c>
      <c r="F2236" s="111">
        <f ca="1">IFERROR(__xludf.DUMMYFUNCTION("""COMPUTED_VALUE"""),11.04)</f>
        <v>11.04</v>
      </c>
      <c r="G2236" s="112">
        <f ca="1">IFERROR(__xludf.DUMMYFUNCTION("""COMPUTED_VALUE"""),43571.7055555555)</f>
        <v>43571.705555555498</v>
      </c>
      <c r="H2236" s="111">
        <f ca="1">IFERROR(__xludf.DUMMYFUNCTION("""COMPUTED_VALUE"""),26.72)</f>
        <v>26.72</v>
      </c>
      <c r="K2236" s="112">
        <f ca="1">IFERROR(__xludf.DUMMYFUNCTION("""COMPUTED_VALUE"""),44019.7055555555)</f>
        <v>44019.705555555498</v>
      </c>
      <c r="L2236" s="111">
        <f ca="1">IFERROR(__xludf.DUMMYFUNCTION("""COMPUTED_VALUE"""),18.69)</f>
        <v>18.690000000000001</v>
      </c>
      <c r="M2236" s="112">
        <f ca="1">IFERROR(__xludf.DUMMYFUNCTION("""COMPUTED_VALUE"""),43479.7055555555)</f>
        <v>43479.705555555498</v>
      </c>
      <c r="N2236" s="111">
        <f ca="1">IFERROR(__xludf.DUMMYFUNCTION("""COMPUTED_VALUE"""),28.92)</f>
        <v>28.92</v>
      </c>
      <c r="O2236" s="112">
        <f ca="1">IFERROR(__xludf.DUMMYFUNCTION("""COMPUTED_VALUE"""),43557.7055555555)</f>
        <v>43557.705555555498</v>
      </c>
      <c r="P2236" s="111">
        <f ca="1">IFERROR(__xludf.DUMMYFUNCTION("""COMPUTED_VALUE"""),51.63)</f>
        <v>51.63</v>
      </c>
      <c r="Q2236" s="112">
        <f ca="1">IFERROR(__xludf.DUMMYFUNCTION("""COMPUTED_VALUE"""),43556.7055555555)</f>
        <v>43556.705555555498</v>
      </c>
      <c r="R2236" s="111">
        <f ca="1">IFERROR(__xludf.DUMMYFUNCTION("""COMPUTED_VALUE"""),49.2)</f>
        <v>49.2</v>
      </c>
      <c r="S2236" s="112">
        <f ca="1">IFERROR(__xludf.DUMMYFUNCTION("""COMPUTED_VALUE"""),43567.7055555555)</f>
        <v>43567.705555555498</v>
      </c>
      <c r="T2236" s="111">
        <f ca="1">IFERROR(__xludf.DUMMYFUNCTION("""COMPUTED_VALUE"""),34.35)</f>
        <v>34.35</v>
      </c>
    </row>
    <row r="2237" spans="1:20" x14ac:dyDescent="0.3">
      <c r="A2237" s="112">
        <f ca="1">IFERROR(__xludf.DUMMYFUNCTION("""COMPUTED_VALUE"""),43565.7055555555)</f>
        <v>43565.705555555498</v>
      </c>
      <c r="B2237" s="111">
        <f ca="1">IFERROR(__xludf.DUMMYFUNCTION("""COMPUTED_VALUE"""),33.56)</f>
        <v>33.56</v>
      </c>
      <c r="C2237" s="112">
        <f ca="1">IFERROR(__xludf.DUMMYFUNCTION("""COMPUTED_VALUE"""),43573.7055555555)</f>
        <v>43573.705555555498</v>
      </c>
      <c r="D2237" s="111">
        <f ca="1">IFERROR(__xludf.DUMMYFUNCTION("""COMPUTED_VALUE"""),32.83)</f>
        <v>32.83</v>
      </c>
      <c r="E2237" s="112">
        <f ca="1">IFERROR(__xludf.DUMMYFUNCTION("""COMPUTED_VALUE"""),43577.7055555555)</f>
        <v>43577.705555555498</v>
      </c>
      <c r="F2237" s="111">
        <f ca="1">IFERROR(__xludf.DUMMYFUNCTION("""COMPUTED_VALUE"""),11)</f>
        <v>11</v>
      </c>
      <c r="G2237" s="112">
        <f ca="1">IFERROR(__xludf.DUMMYFUNCTION("""COMPUTED_VALUE"""),43572.7055555555)</f>
        <v>43572.705555555498</v>
      </c>
      <c r="H2237" s="111">
        <f ca="1">IFERROR(__xludf.DUMMYFUNCTION("""COMPUTED_VALUE"""),26.75)</f>
        <v>26.75</v>
      </c>
      <c r="K2237" s="112">
        <f ca="1">IFERROR(__xludf.DUMMYFUNCTION("""COMPUTED_VALUE"""),44020.7055555555)</f>
        <v>44020.705555555498</v>
      </c>
      <c r="L2237" s="111">
        <f ca="1">IFERROR(__xludf.DUMMYFUNCTION("""COMPUTED_VALUE"""),19.18)</f>
        <v>19.18</v>
      </c>
      <c r="M2237" s="112">
        <f ca="1">IFERROR(__xludf.DUMMYFUNCTION("""COMPUTED_VALUE"""),43480.7055555555)</f>
        <v>43480.705555555498</v>
      </c>
      <c r="N2237" s="111">
        <f ca="1">IFERROR(__xludf.DUMMYFUNCTION("""COMPUTED_VALUE"""),28.86)</f>
        <v>28.86</v>
      </c>
      <c r="O2237" s="112">
        <f ca="1">IFERROR(__xludf.DUMMYFUNCTION("""COMPUTED_VALUE"""),43558.7055555555)</f>
        <v>43558.705555555498</v>
      </c>
      <c r="P2237" s="111">
        <f ca="1">IFERROR(__xludf.DUMMYFUNCTION("""COMPUTED_VALUE"""),51.78)</f>
        <v>51.78</v>
      </c>
      <c r="Q2237" s="112">
        <f ca="1">IFERROR(__xludf.DUMMYFUNCTION("""COMPUTED_VALUE"""),43557.7055555555)</f>
        <v>43557.705555555498</v>
      </c>
      <c r="R2237" s="111">
        <f ca="1">IFERROR(__xludf.DUMMYFUNCTION("""COMPUTED_VALUE"""),48.77)</f>
        <v>48.77</v>
      </c>
      <c r="S2237" s="112">
        <f ca="1">IFERROR(__xludf.DUMMYFUNCTION("""COMPUTED_VALUE"""),43570.7055555555)</f>
        <v>43570.705555555498</v>
      </c>
      <c r="T2237" s="111">
        <f ca="1">IFERROR(__xludf.DUMMYFUNCTION("""COMPUTED_VALUE"""),34.13)</f>
        <v>34.130000000000003</v>
      </c>
    </row>
    <row r="2238" spans="1:20" x14ac:dyDescent="0.3">
      <c r="A2238" s="112">
        <f ca="1">IFERROR(__xludf.DUMMYFUNCTION("""COMPUTED_VALUE"""),43566.7055555555)</f>
        <v>43566.705555555498</v>
      </c>
      <c r="B2238" s="111">
        <f ca="1">IFERROR(__xludf.DUMMYFUNCTION("""COMPUTED_VALUE"""),32.67)</f>
        <v>32.67</v>
      </c>
      <c r="C2238" s="112">
        <f ca="1">IFERROR(__xludf.DUMMYFUNCTION("""COMPUTED_VALUE"""),43577.7055555555)</f>
        <v>43577.705555555498</v>
      </c>
      <c r="D2238" s="111">
        <f ca="1">IFERROR(__xludf.DUMMYFUNCTION("""COMPUTED_VALUE"""),32.74)</f>
        <v>32.74</v>
      </c>
      <c r="E2238" s="112">
        <f ca="1">IFERROR(__xludf.DUMMYFUNCTION("""COMPUTED_VALUE"""),43578.7055555555)</f>
        <v>43578.705555555498</v>
      </c>
      <c r="F2238" s="111">
        <f ca="1">IFERROR(__xludf.DUMMYFUNCTION("""COMPUTED_VALUE"""),11.29)</f>
        <v>11.29</v>
      </c>
      <c r="G2238" s="112">
        <f ca="1">IFERROR(__xludf.DUMMYFUNCTION("""COMPUTED_VALUE"""),43573.7055555555)</f>
        <v>43573.705555555498</v>
      </c>
      <c r="H2238" s="111">
        <f ca="1">IFERROR(__xludf.DUMMYFUNCTION("""COMPUTED_VALUE"""),27.6)</f>
        <v>27.6</v>
      </c>
      <c r="K2238" s="112">
        <f ca="1">IFERROR(__xludf.DUMMYFUNCTION("""COMPUTED_VALUE"""),44022.7055555555)</f>
        <v>44022.705555555498</v>
      </c>
      <c r="L2238" s="111">
        <f ca="1">IFERROR(__xludf.DUMMYFUNCTION("""COMPUTED_VALUE"""),20.05)</f>
        <v>20.05</v>
      </c>
      <c r="M2238" s="112">
        <f ca="1">IFERROR(__xludf.DUMMYFUNCTION("""COMPUTED_VALUE"""),43481.7055555555)</f>
        <v>43481.705555555498</v>
      </c>
      <c r="N2238" s="111">
        <f ca="1">IFERROR(__xludf.DUMMYFUNCTION("""COMPUTED_VALUE"""),29)</f>
        <v>29</v>
      </c>
      <c r="O2238" s="112">
        <f ca="1">IFERROR(__xludf.DUMMYFUNCTION("""COMPUTED_VALUE"""),43559.7055555555)</f>
        <v>43559.705555555498</v>
      </c>
      <c r="P2238" s="111">
        <f ca="1">IFERROR(__xludf.DUMMYFUNCTION("""COMPUTED_VALUE"""),52.16)</f>
        <v>52.16</v>
      </c>
      <c r="Q2238" s="112">
        <f ca="1">IFERROR(__xludf.DUMMYFUNCTION("""COMPUTED_VALUE"""),43558.7055555555)</f>
        <v>43558.705555555498</v>
      </c>
      <c r="R2238" s="111">
        <f ca="1">IFERROR(__xludf.DUMMYFUNCTION("""COMPUTED_VALUE"""),48.25)</f>
        <v>48.25</v>
      </c>
      <c r="S2238" s="112">
        <f ca="1">IFERROR(__xludf.DUMMYFUNCTION("""COMPUTED_VALUE"""),43571.7055555555)</f>
        <v>43571.705555555498</v>
      </c>
      <c r="T2238" s="111">
        <f ca="1">IFERROR(__xludf.DUMMYFUNCTION("""COMPUTED_VALUE"""),34.12)</f>
        <v>34.119999999999997</v>
      </c>
    </row>
    <row r="2239" spans="1:20" x14ac:dyDescent="0.3">
      <c r="A2239" s="112">
        <f ca="1">IFERROR(__xludf.DUMMYFUNCTION("""COMPUTED_VALUE"""),43567.7055555555)</f>
        <v>43567.705555555498</v>
      </c>
      <c r="B2239" s="111">
        <f ca="1">IFERROR(__xludf.DUMMYFUNCTION("""COMPUTED_VALUE"""),30.96)</f>
        <v>30.96</v>
      </c>
      <c r="C2239" s="112">
        <f ca="1">IFERROR(__xludf.DUMMYFUNCTION("""COMPUTED_VALUE"""),43578.7055555555)</f>
        <v>43578.705555555498</v>
      </c>
      <c r="D2239" s="111">
        <f ca="1">IFERROR(__xludf.DUMMYFUNCTION("""COMPUTED_VALUE"""),33.16)</f>
        <v>33.159999999999997</v>
      </c>
      <c r="E2239" s="112">
        <f ca="1">IFERROR(__xludf.DUMMYFUNCTION("""COMPUTED_VALUE"""),43579.7055555555)</f>
        <v>43579.705555555498</v>
      </c>
      <c r="F2239" s="111">
        <f ca="1">IFERROR(__xludf.DUMMYFUNCTION("""COMPUTED_VALUE"""),11.29)</f>
        <v>11.29</v>
      </c>
      <c r="G2239" s="112">
        <f ca="1">IFERROR(__xludf.DUMMYFUNCTION("""COMPUTED_VALUE"""),43577.7055555555)</f>
        <v>43577.705555555498</v>
      </c>
      <c r="H2239" s="111">
        <f ca="1">IFERROR(__xludf.DUMMYFUNCTION("""COMPUTED_VALUE"""),27.44)</f>
        <v>27.44</v>
      </c>
      <c r="K2239" s="112">
        <f ca="1">IFERROR(__xludf.DUMMYFUNCTION("""COMPUTED_VALUE"""),44025.7055555555)</f>
        <v>44025.705555555498</v>
      </c>
      <c r="L2239" s="111">
        <f ca="1">IFERROR(__xludf.DUMMYFUNCTION("""COMPUTED_VALUE"""),20.13)</f>
        <v>20.13</v>
      </c>
      <c r="M2239" s="112">
        <f ca="1">IFERROR(__xludf.DUMMYFUNCTION("""COMPUTED_VALUE"""),43482.7055555555)</f>
        <v>43482.705555555498</v>
      </c>
      <c r="N2239" s="111">
        <f ca="1">IFERROR(__xludf.DUMMYFUNCTION("""COMPUTED_VALUE"""),29.1)</f>
        <v>29.1</v>
      </c>
      <c r="O2239" s="112">
        <f ca="1">IFERROR(__xludf.DUMMYFUNCTION("""COMPUTED_VALUE"""),43560.7055555555)</f>
        <v>43560.705555555498</v>
      </c>
      <c r="P2239" s="111">
        <f ca="1">IFERROR(__xludf.DUMMYFUNCTION("""COMPUTED_VALUE"""),51.98)</f>
        <v>51.98</v>
      </c>
      <c r="Q2239" s="112">
        <f ca="1">IFERROR(__xludf.DUMMYFUNCTION("""COMPUTED_VALUE"""),43559.7055555555)</f>
        <v>43559.705555555498</v>
      </c>
      <c r="R2239" s="111">
        <f ca="1">IFERROR(__xludf.DUMMYFUNCTION("""COMPUTED_VALUE"""),48.83)</f>
        <v>48.83</v>
      </c>
      <c r="S2239" s="112">
        <f ca="1">IFERROR(__xludf.DUMMYFUNCTION("""COMPUTED_VALUE"""),43572.7055555555)</f>
        <v>43572.705555555498</v>
      </c>
      <c r="T2239" s="111">
        <f ca="1">IFERROR(__xludf.DUMMYFUNCTION("""COMPUTED_VALUE"""),33.79)</f>
        <v>33.79</v>
      </c>
    </row>
    <row r="2240" spans="1:20" x14ac:dyDescent="0.3">
      <c r="A2240" s="112">
        <f ca="1">IFERROR(__xludf.DUMMYFUNCTION("""COMPUTED_VALUE"""),43570.7055555555)</f>
        <v>43570.705555555498</v>
      </c>
      <c r="B2240" s="111">
        <f ca="1">IFERROR(__xludf.DUMMYFUNCTION("""COMPUTED_VALUE"""),31.45)</f>
        <v>31.45</v>
      </c>
      <c r="C2240" s="112">
        <f ca="1">IFERROR(__xludf.DUMMYFUNCTION("""COMPUTED_VALUE"""),43579.7055555555)</f>
        <v>43579.705555555498</v>
      </c>
      <c r="D2240" s="111">
        <f ca="1">IFERROR(__xludf.DUMMYFUNCTION("""COMPUTED_VALUE"""),33.21)</f>
        <v>33.21</v>
      </c>
      <c r="E2240" s="112">
        <f ca="1">IFERROR(__xludf.DUMMYFUNCTION("""COMPUTED_VALUE"""),43580.7055555555)</f>
        <v>43580.705555555498</v>
      </c>
      <c r="F2240" s="111">
        <f ca="1">IFERROR(__xludf.DUMMYFUNCTION("""COMPUTED_VALUE"""),11.47)</f>
        <v>11.47</v>
      </c>
      <c r="G2240" s="112">
        <f ca="1">IFERROR(__xludf.DUMMYFUNCTION("""COMPUTED_VALUE"""),43578.7055555555)</f>
        <v>43578.705555555498</v>
      </c>
      <c r="H2240" s="111">
        <f ca="1">IFERROR(__xludf.DUMMYFUNCTION("""COMPUTED_VALUE"""),27.68)</f>
        <v>27.68</v>
      </c>
      <c r="K2240" s="112">
        <f ca="1">IFERROR(__xludf.DUMMYFUNCTION("""COMPUTED_VALUE"""),44026.7055555555)</f>
        <v>44026.705555555498</v>
      </c>
      <c r="L2240" s="111">
        <f ca="1">IFERROR(__xludf.DUMMYFUNCTION("""COMPUTED_VALUE"""),20.13)</f>
        <v>20.13</v>
      </c>
      <c r="M2240" s="112">
        <f ca="1">IFERROR(__xludf.DUMMYFUNCTION("""COMPUTED_VALUE"""),43483.7055555555)</f>
        <v>43483.705555555498</v>
      </c>
      <c r="N2240" s="111">
        <f ca="1">IFERROR(__xludf.DUMMYFUNCTION("""COMPUTED_VALUE"""),29.39)</f>
        <v>29.39</v>
      </c>
      <c r="O2240" s="112">
        <f ca="1">IFERROR(__xludf.DUMMYFUNCTION("""COMPUTED_VALUE"""),43563.7055555555)</f>
        <v>43563.705555555498</v>
      </c>
      <c r="P2240" s="111">
        <f ca="1">IFERROR(__xludf.DUMMYFUNCTION("""COMPUTED_VALUE"""),53.39)</f>
        <v>53.39</v>
      </c>
      <c r="Q2240" s="112">
        <f ca="1">IFERROR(__xludf.DUMMYFUNCTION("""COMPUTED_VALUE"""),43560.7055555555)</f>
        <v>43560.705555555498</v>
      </c>
      <c r="R2240" s="111">
        <f ca="1">IFERROR(__xludf.DUMMYFUNCTION("""COMPUTED_VALUE"""),49.11)</f>
        <v>49.11</v>
      </c>
      <c r="S2240" s="112">
        <f ca="1">IFERROR(__xludf.DUMMYFUNCTION("""COMPUTED_VALUE"""),43573.7055555555)</f>
        <v>43573.705555555498</v>
      </c>
      <c r="T2240" s="111">
        <f ca="1">IFERROR(__xludf.DUMMYFUNCTION("""COMPUTED_VALUE"""),35.55)</f>
        <v>35.549999999999997</v>
      </c>
    </row>
    <row r="2241" spans="1:20" x14ac:dyDescent="0.3">
      <c r="A2241" s="112">
        <f ca="1">IFERROR(__xludf.DUMMYFUNCTION("""COMPUTED_VALUE"""),43571.7055555555)</f>
        <v>43571.705555555498</v>
      </c>
      <c r="B2241" s="111">
        <f ca="1">IFERROR(__xludf.DUMMYFUNCTION("""COMPUTED_VALUE"""),31.57)</f>
        <v>31.57</v>
      </c>
      <c r="C2241" s="112">
        <f ca="1">IFERROR(__xludf.DUMMYFUNCTION("""COMPUTED_VALUE"""),43580.7055555555)</f>
        <v>43580.705555555498</v>
      </c>
      <c r="D2241" s="111">
        <f ca="1">IFERROR(__xludf.DUMMYFUNCTION("""COMPUTED_VALUE"""),33.72)</f>
        <v>33.72</v>
      </c>
      <c r="E2241" s="112">
        <f ca="1">IFERROR(__xludf.DUMMYFUNCTION("""COMPUTED_VALUE"""),43581.7055555555)</f>
        <v>43581.705555555498</v>
      </c>
      <c r="F2241" s="111">
        <f ca="1">IFERROR(__xludf.DUMMYFUNCTION("""COMPUTED_VALUE"""),11.45)</f>
        <v>11.45</v>
      </c>
      <c r="G2241" s="112">
        <f ca="1">IFERROR(__xludf.DUMMYFUNCTION("""COMPUTED_VALUE"""),43579.7055555555)</f>
        <v>43579.705555555498</v>
      </c>
      <c r="H2241" s="111">
        <f ca="1">IFERROR(__xludf.DUMMYFUNCTION("""COMPUTED_VALUE"""),27.6)</f>
        <v>27.6</v>
      </c>
      <c r="K2241" s="112">
        <f ca="1">IFERROR(__xludf.DUMMYFUNCTION("""COMPUTED_VALUE"""),44027.7055555555)</f>
        <v>44027.705555555498</v>
      </c>
      <c r="L2241" s="111">
        <f ca="1">IFERROR(__xludf.DUMMYFUNCTION("""COMPUTED_VALUE"""),20.38)</f>
        <v>20.38</v>
      </c>
      <c r="M2241" s="112">
        <f ca="1">IFERROR(__xludf.DUMMYFUNCTION("""COMPUTED_VALUE"""),43486.7055555555)</f>
        <v>43486.705555555498</v>
      </c>
      <c r="N2241" s="111">
        <f ca="1">IFERROR(__xludf.DUMMYFUNCTION("""COMPUTED_VALUE"""),29.06)</f>
        <v>29.06</v>
      </c>
      <c r="O2241" s="112">
        <f ca="1">IFERROR(__xludf.DUMMYFUNCTION("""COMPUTED_VALUE"""),43564.7055555555)</f>
        <v>43564.705555555498</v>
      </c>
      <c r="P2241" s="111">
        <f ca="1">IFERROR(__xludf.DUMMYFUNCTION("""COMPUTED_VALUE"""),52.35)</f>
        <v>52.35</v>
      </c>
      <c r="Q2241" s="112">
        <f ca="1">IFERROR(__xludf.DUMMYFUNCTION("""COMPUTED_VALUE"""),43563.7055555555)</f>
        <v>43563.705555555498</v>
      </c>
      <c r="R2241" s="111">
        <f ca="1">IFERROR(__xludf.DUMMYFUNCTION("""COMPUTED_VALUE"""),49.19)</f>
        <v>49.19</v>
      </c>
      <c r="S2241" s="112">
        <f ca="1">IFERROR(__xludf.DUMMYFUNCTION("""COMPUTED_VALUE"""),43577.7055555555)</f>
        <v>43577.705555555498</v>
      </c>
      <c r="T2241" s="111">
        <f ca="1">IFERROR(__xludf.DUMMYFUNCTION("""COMPUTED_VALUE"""),36.12)</f>
        <v>36.119999999999997</v>
      </c>
    </row>
    <row r="2242" spans="1:20" x14ac:dyDescent="0.3">
      <c r="A2242" s="112">
        <f ca="1">IFERROR(__xludf.DUMMYFUNCTION("""COMPUTED_VALUE"""),43572.7055555555)</f>
        <v>43572.705555555498</v>
      </c>
      <c r="B2242" s="111">
        <f ca="1">IFERROR(__xludf.DUMMYFUNCTION("""COMPUTED_VALUE"""),31.06)</f>
        <v>31.06</v>
      </c>
      <c r="C2242" s="112">
        <f ca="1">IFERROR(__xludf.DUMMYFUNCTION("""COMPUTED_VALUE"""),43581.7055555555)</f>
        <v>43581.705555555498</v>
      </c>
      <c r="D2242" s="111">
        <f ca="1">IFERROR(__xludf.DUMMYFUNCTION("""COMPUTED_VALUE"""),33.8)</f>
        <v>33.799999999999997</v>
      </c>
      <c r="E2242" s="112">
        <f ca="1">IFERROR(__xludf.DUMMYFUNCTION("""COMPUTED_VALUE"""),43584.7055555555)</f>
        <v>43584.705555555498</v>
      </c>
      <c r="F2242" s="111">
        <f ca="1">IFERROR(__xludf.DUMMYFUNCTION("""COMPUTED_VALUE"""),11.24)</f>
        <v>11.24</v>
      </c>
      <c r="G2242" s="112">
        <f ca="1">IFERROR(__xludf.DUMMYFUNCTION("""COMPUTED_VALUE"""),43580.7055555555)</f>
        <v>43580.705555555498</v>
      </c>
      <c r="H2242" s="111">
        <f ca="1">IFERROR(__xludf.DUMMYFUNCTION("""COMPUTED_VALUE"""),27.8)</f>
        <v>27.8</v>
      </c>
      <c r="K2242" s="112">
        <f ca="1">IFERROR(__xludf.DUMMYFUNCTION("""COMPUTED_VALUE"""),44028.7055555555)</f>
        <v>44028.705555555498</v>
      </c>
      <c r="L2242" s="111">
        <f ca="1">IFERROR(__xludf.DUMMYFUNCTION("""COMPUTED_VALUE"""),20.05)</f>
        <v>20.05</v>
      </c>
      <c r="M2242" s="112">
        <f ca="1">IFERROR(__xludf.DUMMYFUNCTION("""COMPUTED_VALUE"""),43487.7055555555)</f>
        <v>43487.705555555498</v>
      </c>
      <c r="N2242" s="111">
        <f ca="1">IFERROR(__xludf.DUMMYFUNCTION("""COMPUTED_VALUE"""),28.93)</f>
        <v>28.93</v>
      </c>
      <c r="O2242" s="112">
        <f ca="1">IFERROR(__xludf.DUMMYFUNCTION("""COMPUTED_VALUE"""),43565.7055555555)</f>
        <v>43565.705555555498</v>
      </c>
      <c r="P2242" s="111">
        <f ca="1">IFERROR(__xludf.DUMMYFUNCTION("""COMPUTED_VALUE"""),51.76)</f>
        <v>51.76</v>
      </c>
      <c r="Q2242" s="112">
        <f ca="1">IFERROR(__xludf.DUMMYFUNCTION("""COMPUTED_VALUE"""),43564.7055555555)</f>
        <v>43564.705555555498</v>
      </c>
      <c r="R2242" s="111">
        <f ca="1">IFERROR(__xludf.DUMMYFUNCTION("""COMPUTED_VALUE"""),48.45)</f>
        <v>48.45</v>
      </c>
      <c r="S2242" s="112">
        <f ca="1">IFERROR(__xludf.DUMMYFUNCTION("""COMPUTED_VALUE"""),43578.7055555555)</f>
        <v>43578.705555555498</v>
      </c>
      <c r="T2242" s="111">
        <f ca="1">IFERROR(__xludf.DUMMYFUNCTION("""COMPUTED_VALUE"""),36.12)</f>
        <v>36.119999999999997</v>
      </c>
    </row>
    <row r="2243" spans="1:20" x14ac:dyDescent="0.3">
      <c r="A2243" s="112">
        <f ca="1">IFERROR(__xludf.DUMMYFUNCTION("""COMPUTED_VALUE"""),43573.7055555555)</f>
        <v>43573.705555555498</v>
      </c>
      <c r="B2243" s="111">
        <f ca="1">IFERROR(__xludf.DUMMYFUNCTION("""COMPUTED_VALUE"""),31.99)</f>
        <v>31.99</v>
      </c>
      <c r="C2243" s="112">
        <f ca="1">IFERROR(__xludf.DUMMYFUNCTION("""COMPUTED_VALUE"""),43584.7055555555)</f>
        <v>43584.705555555498</v>
      </c>
      <c r="D2243" s="111">
        <f ca="1">IFERROR(__xludf.DUMMYFUNCTION("""COMPUTED_VALUE"""),33.53)</f>
        <v>33.53</v>
      </c>
      <c r="E2243" s="112">
        <f ca="1">IFERROR(__xludf.DUMMYFUNCTION("""COMPUTED_VALUE"""),43585.7055555555)</f>
        <v>43585.705555555498</v>
      </c>
      <c r="F2243" s="111">
        <f ca="1">IFERROR(__xludf.DUMMYFUNCTION("""COMPUTED_VALUE"""),11.34)</f>
        <v>11.34</v>
      </c>
      <c r="G2243" s="112">
        <f ca="1">IFERROR(__xludf.DUMMYFUNCTION("""COMPUTED_VALUE"""),43581.7055555555)</f>
        <v>43581.705555555498</v>
      </c>
      <c r="H2243" s="111">
        <f ca="1">IFERROR(__xludf.DUMMYFUNCTION("""COMPUTED_VALUE"""),27.25)</f>
        <v>27.25</v>
      </c>
      <c r="K2243" s="112">
        <f ca="1">IFERROR(__xludf.DUMMYFUNCTION("""COMPUTED_VALUE"""),44029.7055555555)</f>
        <v>44029.705555555498</v>
      </c>
      <c r="L2243" s="111">
        <f ca="1">IFERROR(__xludf.DUMMYFUNCTION("""COMPUTED_VALUE"""),20.51)</f>
        <v>20.51</v>
      </c>
      <c r="M2243" s="112">
        <f ca="1">IFERROR(__xludf.DUMMYFUNCTION("""COMPUTED_VALUE"""),43488.7055555555)</f>
        <v>43488.705555555498</v>
      </c>
      <c r="N2243" s="111">
        <f ca="1">IFERROR(__xludf.DUMMYFUNCTION("""COMPUTED_VALUE"""),29.42)</f>
        <v>29.42</v>
      </c>
      <c r="O2243" s="112">
        <f ca="1">IFERROR(__xludf.DUMMYFUNCTION("""COMPUTED_VALUE"""),43566.7055555555)</f>
        <v>43566.705555555498</v>
      </c>
      <c r="P2243" s="111">
        <f ca="1">IFERROR(__xludf.DUMMYFUNCTION("""COMPUTED_VALUE"""),51.79)</f>
        <v>51.79</v>
      </c>
      <c r="Q2243" s="112">
        <f ca="1">IFERROR(__xludf.DUMMYFUNCTION("""COMPUTED_VALUE"""),43565.7055555555)</f>
        <v>43565.705555555498</v>
      </c>
      <c r="R2243" s="111">
        <f ca="1">IFERROR(__xludf.DUMMYFUNCTION("""COMPUTED_VALUE"""),48.81)</f>
        <v>48.81</v>
      </c>
      <c r="S2243" s="112">
        <f ca="1">IFERROR(__xludf.DUMMYFUNCTION("""COMPUTED_VALUE"""),43579.7055555555)</f>
        <v>43579.705555555498</v>
      </c>
      <c r="T2243" s="111">
        <f ca="1">IFERROR(__xludf.DUMMYFUNCTION("""COMPUTED_VALUE"""),35.82)</f>
        <v>35.82</v>
      </c>
    </row>
    <row r="2244" spans="1:20" x14ac:dyDescent="0.3">
      <c r="A2244" s="112">
        <f ca="1">IFERROR(__xludf.DUMMYFUNCTION("""COMPUTED_VALUE"""),43577.7055555555)</f>
        <v>43577.705555555498</v>
      </c>
      <c r="B2244" s="111">
        <f ca="1">IFERROR(__xludf.DUMMYFUNCTION("""COMPUTED_VALUE"""),32.24)</f>
        <v>32.24</v>
      </c>
      <c r="C2244" s="112">
        <f ca="1">IFERROR(__xludf.DUMMYFUNCTION("""COMPUTED_VALUE"""),43585.7055555555)</f>
        <v>43585.705555555498</v>
      </c>
      <c r="D2244" s="111">
        <f ca="1">IFERROR(__xludf.DUMMYFUNCTION("""COMPUTED_VALUE"""),33.83)</f>
        <v>33.83</v>
      </c>
      <c r="E2244" s="112">
        <f ca="1">IFERROR(__xludf.DUMMYFUNCTION("""COMPUTED_VALUE"""),43587.7055555555)</f>
        <v>43587.705555555498</v>
      </c>
      <c r="F2244" s="111">
        <f ca="1">IFERROR(__xludf.DUMMYFUNCTION("""COMPUTED_VALUE"""),11.38)</f>
        <v>11.38</v>
      </c>
      <c r="G2244" s="112">
        <f ca="1">IFERROR(__xludf.DUMMYFUNCTION("""COMPUTED_VALUE"""),43584.7055555555)</f>
        <v>43584.705555555498</v>
      </c>
      <c r="H2244" s="111">
        <f ca="1">IFERROR(__xludf.DUMMYFUNCTION("""COMPUTED_VALUE"""),27.37)</f>
        <v>27.37</v>
      </c>
      <c r="K2244" s="112">
        <f ca="1">IFERROR(__xludf.DUMMYFUNCTION("""COMPUTED_VALUE"""),44032.7055555555)</f>
        <v>44032.705555555498</v>
      </c>
      <c r="L2244" s="111">
        <f ca="1">IFERROR(__xludf.DUMMYFUNCTION("""COMPUTED_VALUE"""),21.76)</f>
        <v>21.76</v>
      </c>
      <c r="M2244" s="112">
        <f ca="1">IFERROR(__xludf.DUMMYFUNCTION("""COMPUTED_VALUE"""),43489.7055555555)</f>
        <v>43489.705555555498</v>
      </c>
      <c r="N2244" s="111">
        <f ca="1">IFERROR(__xludf.DUMMYFUNCTION("""COMPUTED_VALUE"""),29.72)</f>
        <v>29.72</v>
      </c>
      <c r="O2244" s="112">
        <f ca="1">IFERROR(__xludf.DUMMYFUNCTION("""COMPUTED_VALUE"""),43567.7055555555)</f>
        <v>43567.705555555498</v>
      </c>
      <c r="P2244" s="111">
        <f ca="1">IFERROR(__xludf.DUMMYFUNCTION("""COMPUTED_VALUE"""),51.48)</f>
        <v>51.48</v>
      </c>
      <c r="Q2244" s="112">
        <f ca="1">IFERROR(__xludf.DUMMYFUNCTION("""COMPUTED_VALUE"""),43566.7055555555)</f>
        <v>43566.705555555498</v>
      </c>
      <c r="R2244" s="111">
        <f ca="1">IFERROR(__xludf.DUMMYFUNCTION("""COMPUTED_VALUE"""),48.35)</f>
        <v>48.35</v>
      </c>
      <c r="S2244" s="112">
        <f ca="1">IFERROR(__xludf.DUMMYFUNCTION("""COMPUTED_VALUE"""),43580.7055555555)</f>
        <v>43580.705555555498</v>
      </c>
      <c r="T2244" s="111">
        <f ca="1">IFERROR(__xludf.DUMMYFUNCTION("""COMPUTED_VALUE"""),37.89)</f>
        <v>37.89</v>
      </c>
    </row>
    <row r="2245" spans="1:20" x14ac:dyDescent="0.3">
      <c r="A2245" s="112">
        <f ca="1">IFERROR(__xludf.DUMMYFUNCTION("""COMPUTED_VALUE"""),43578.7055555555)</f>
        <v>43578.705555555498</v>
      </c>
      <c r="B2245" s="111">
        <f ca="1">IFERROR(__xludf.DUMMYFUNCTION("""COMPUTED_VALUE"""),33.33)</f>
        <v>33.33</v>
      </c>
      <c r="C2245" s="112">
        <f ca="1">IFERROR(__xludf.DUMMYFUNCTION("""COMPUTED_VALUE"""),43587.7055555555)</f>
        <v>43587.705555555498</v>
      </c>
      <c r="D2245" s="111">
        <f ca="1">IFERROR(__xludf.DUMMYFUNCTION("""COMPUTED_VALUE"""),34.04)</f>
        <v>34.04</v>
      </c>
      <c r="E2245" s="112">
        <f ca="1">IFERROR(__xludf.DUMMYFUNCTION("""COMPUTED_VALUE"""),43588.7055555555)</f>
        <v>43588.705555555498</v>
      </c>
      <c r="F2245" s="111">
        <f ca="1">IFERROR(__xludf.DUMMYFUNCTION("""COMPUTED_VALUE"""),11.21)</f>
        <v>11.21</v>
      </c>
      <c r="G2245" s="112">
        <f ca="1">IFERROR(__xludf.DUMMYFUNCTION("""COMPUTED_VALUE"""),43585.7055555555)</f>
        <v>43585.705555555498</v>
      </c>
      <c r="H2245" s="111">
        <f ca="1">IFERROR(__xludf.DUMMYFUNCTION("""COMPUTED_VALUE"""),27.11)</f>
        <v>27.11</v>
      </c>
      <c r="K2245" s="112">
        <f ca="1">IFERROR(__xludf.DUMMYFUNCTION("""COMPUTED_VALUE"""),44033.7055555555)</f>
        <v>44033.705555555498</v>
      </c>
      <c r="L2245" s="111">
        <f ca="1">IFERROR(__xludf.DUMMYFUNCTION("""COMPUTED_VALUE"""),21.08)</f>
        <v>21.08</v>
      </c>
      <c r="M2245" s="112">
        <f ca="1">IFERROR(__xludf.DUMMYFUNCTION("""COMPUTED_VALUE"""),43493.7055555555)</f>
        <v>43493.705555555498</v>
      </c>
      <c r="N2245" s="111">
        <f ca="1">IFERROR(__xludf.DUMMYFUNCTION("""COMPUTED_VALUE"""),29.96)</f>
        <v>29.96</v>
      </c>
      <c r="O2245" s="112">
        <f ca="1">IFERROR(__xludf.DUMMYFUNCTION("""COMPUTED_VALUE"""),43570.7055555555)</f>
        <v>43570.705555555498</v>
      </c>
      <c r="P2245" s="111">
        <f ca="1">IFERROR(__xludf.DUMMYFUNCTION("""COMPUTED_VALUE"""),51.33)</f>
        <v>51.33</v>
      </c>
      <c r="Q2245" s="112">
        <f ca="1">IFERROR(__xludf.DUMMYFUNCTION("""COMPUTED_VALUE"""),43567.7055555555)</f>
        <v>43567.705555555498</v>
      </c>
      <c r="R2245" s="111">
        <f ca="1">IFERROR(__xludf.DUMMYFUNCTION("""COMPUTED_VALUE"""),46.73)</f>
        <v>46.73</v>
      </c>
      <c r="S2245" s="112">
        <f ca="1">IFERROR(__xludf.DUMMYFUNCTION("""COMPUTED_VALUE"""),43581.7055555555)</f>
        <v>43581.705555555498</v>
      </c>
      <c r="T2245" s="111">
        <f ca="1">IFERROR(__xludf.DUMMYFUNCTION("""COMPUTED_VALUE"""),38.22)</f>
        <v>38.22</v>
      </c>
    </row>
    <row r="2246" spans="1:20" x14ac:dyDescent="0.3">
      <c r="A2246" s="112">
        <f ca="1">IFERROR(__xludf.DUMMYFUNCTION("""COMPUTED_VALUE"""),43579.7055555555)</f>
        <v>43579.705555555498</v>
      </c>
      <c r="B2246" s="111">
        <f ca="1">IFERROR(__xludf.DUMMYFUNCTION("""COMPUTED_VALUE"""),31.99)</f>
        <v>31.99</v>
      </c>
      <c r="C2246" s="112">
        <f ca="1">IFERROR(__xludf.DUMMYFUNCTION("""COMPUTED_VALUE"""),43588.7055555555)</f>
        <v>43588.705555555498</v>
      </c>
      <c r="D2246" s="111">
        <f ca="1">IFERROR(__xludf.DUMMYFUNCTION("""COMPUTED_VALUE"""),33.71)</f>
        <v>33.71</v>
      </c>
      <c r="E2246" s="112">
        <f ca="1">IFERROR(__xludf.DUMMYFUNCTION("""COMPUTED_VALUE"""),43591.7055555555)</f>
        <v>43591.705555555498</v>
      </c>
      <c r="F2246" s="111">
        <f ca="1">IFERROR(__xludf.DUMMYFUNCTION("""COMPUTED_VALUE"""),10.9)</f>
        <v>10.9</v>
      </c>
      <c r="G2246" s="112">
        <f ca="1">IFERROR(__xludf.DUMMYFUNCTION("""COMPUTED_VALUE"""),43587.7055555555)</f>
        <v>43587.705555555498</v>
      </c>
      <c r="H2246" s="111">
        <f ca="1">IFERROR(__xludf.DUMMYFUNCTION("""COMPUTED_VALUE"""),26.73)</f>
        <v>26.73</v>
      </c>
      <c r="K2246" s="112">
        <f ca="1">IFERROR(__xludf.DUMMYFUNCTION("""COMPUTED_VALUE"""),44034.7055555555)</f>
        <v>44034.705555555498</v>
      </c>
      <c r="L2246" s="111">
        <f ca="1">IFERROR(__xludf.DUMMYFUNCTION("""COMPUTED_VALUE"""),21.17)</f>
        <v>21.17</v>
      </c>
      <c r="M2246" s="112">
        <f ca="1">IFERROR(__xludf.DUMMYFUNCTION("""COMPUTED_VALUE"""),43494.7055555555)</f>
        <v>43494.705555555498</v>
      </c>
      <c r="N2246" s="111">
        <f ca="1">IFERROR(__xludf.DUMMYFUNCTION("""COMPUTED_VALUE"""),29.57)</f>
        <v>29.57</v>
      </c>
      <c r="O2246" s="112">
        <f ca="1">IFERROR(__xludf.DUMMYFUNCTION("""COMPUTED_VALUE"""),43571.7055555555)</f>
        <v>43571.705555555498</v>
      </c>
      <c r="P2246" s="111">
        <f ca="1">IFERROR(__xludf.DUMMYFUNCTION("""COMPUTED_VALUE"""),53.1)</f>
        <v>53.1</v>
      </c>
      <c r="Q2246" s="112">
        <f ca="1">IFERROR(__xludf.DUMMYFUNCTION("""COMPUTED_VALUE"""),43570.7055555555)</f>
        <v>43570.705555555498</v>
      </c>
      <c r="R2246" s="111">
        <f ca="1">IFERROR(__xludf.DUMMYFUNCTION("""COMPUTED_VALUE"""),46.86)</f>
        <v>46.86</v>
      </c>
      <c r="S2246" s="112">
        <f ca="1">IFERROR(__xludf.DUMMYFUNCTION("""COMPUTED_VALUE"""),43584.7055555555)</f>
        <v>43584.705555555498</v>
      </c>
      <c r="T2246" s="111">
        <f ca="1">IFERROR(__xludf.DUMMYFUNCTION("""COMPUTED_VALUE"""),38.47)</f>
        <v>38.47</v>
      </c>
    </row>
    <row r="2247" spans="1:20" x14ac:dyDescent="0.3">
      <c r="A2247" s="112">
        <f ca="1">IFERROR(__xludf.DUMMYFUNCTION("""COMPUTED_VALUE"""),43580.7055555555)</f>
        <v>43580.705555555498</v>
      </c>
      <c r="B2247" s="111">
        <f ca="1">IFERROR(__xludf.DUMMYFUNCTION("""COMPUTED_VALUE"""),32.86)</f>
        <v>32.86</v>
      </c>
      <c r="C2247" s="112">
        <f ca="1">IFERROR(__xludf.DUMMYFUNCTION("""COMPUTED_VALUE"""),43591.7055555555)</f>
        <v>43591.705555555498</v>
      </c>
      <c r="D2247" s="111">
        <f ca="1">IFERROR(__xludf.DUMMYFUNCTION("""COMPUTED_VALUE"""),32.97)</f>
        <v>32.97</v>
      </c>
      <c r="E2247" s="112">
        <f ca="1">IFERROR(__xludf.DUMMYFUNCTION("""COMPUTED_VALUE"""),43592.7055555555)</f>
        <v>43592.705555555498</v>
      </c>
      <c r="F2247" s="111">
        <f ca="1">IFERROR(__xludf.DUMMYFUNCTION("""COMPUTED_VALUE"""),10.9)</f>
        <v>10.9</v>
      </c>
      <c r="G2247" s="112">
        <f ca="1">IFERROR(__xludf.DUMMYFUNCTION("""COMPUTED_VALUE"""),43588.7055555555)</f>
        <v>43588.705555555498</v>
      </c>
      <c r="H2247" s="111">
        <f ca="1">IFERROR(__xludf.DUMMYFUNCTION("""COMPUTED_VALUE"""),26.85)</f>
        <v>26.85</v>
      </c>
      <c r="K2247" s="112">
        <f ca="1">IFERROR(__xludf.DUMMYFUNCTION("""COMPUTED_VALUE"""),44035.7055555555)</f>
        <v>44035.705555555498</v>
      </c>
      <c r="L2247" s="111">
        <f ca="1">IFERROR(__xludf.DUMMYFUNCTION("""COMPUTED_VALUE"""),20.11)</f>
        <v>20.11</v>
      </c>
      <c r="M2247" s="112">
        <f ca="1">IFERROR(__xludf.DUMMYFUNCTION("""COMPUTED_VALUE"""),43495.7055555555)</f>
        <v>43495.705555555498</v>
      </c>
      <c r="N2247" s="111">
        <f ca="1">IFERROR(__xludf.DUMMYFUNCTION("""COMPUTED_VALUE"""),29.5)</f>
        <v>29.5</v>
      </c>
      <c r="O2247" s="112">
        <f ca="1">IFERROR(__xludf.DUMMYFUNCTION("""COMPUTED_VALUE"""),43572.7055555555)</f>
        <v>43572.705555555498</v>
      </c>
      <c r="P2247" s="111">
        <f ca="1">IFERROR(__xludf.DUMMYFUNCTION("""COMPUTED_VALUE"""),52.25)</f>
        <v>52.25</v>
      </c>
      <c r="Q2247" s="112">
        <f ca="1">IFERROR(__xludf.DUMMYFUNCTION("""COMPUTED_VALUE"""),43571.7055555555)</f>
        <v>43571.705555555498</v>
      </c>
      <c r="R2247" s="111">
        <f ca="1">IFERROR(__xludf.DUMMYFUNCTION("""COMPUTED_VALUE"""),47.83)</f>
        <v>47.83</v>
      </c>
      <c r="S2247" s="112">
        <f ca="1">IFERROR(__xludf.DUMMYFUNCTION("""COMPUTED_VALUE"""),43585.7055555555)</f>
        <v>43585.705555555498</v>
      </c>
      <c r="T2247" s="111">
        <f ca="1">IFERROR(__xludf.DUMMYFUNCTION("""COMPUTED_VALUE"""),38.74)</f>
        <v>38.74</v>
      </c>
    </row>
    <row r="2248" spans="1:20" x14ac:dyDescent="0.3">
      <c r="A2248" s="112">
        <f ca="1">IFERROR(__xludf.DUMMYFUNCTION("""COMPUTED_VALUE"""),43581.7055555555)</f>
        <v>43581.705555555498</v>
      </c>
      <c r="B2248" s="111">
        <f ca="1">IFERROR(__xludf.DUMMYFUNCTION("""COMPUTED_VALUE"""),32.88)</f>
        <v>32.880000000000003</v>
      </c>
      <c r="C2248" s="112">
        <f ca="1">IFERROR(__xludf.DUMMYFUNCTION("""COMPUTED_VALUE"""),43592.7055555555)</f>
        <v>43592.705555555498</v>
      </c>
      <c r="D2248" s="111">
        <f ca="1">IFERROR(__xludf.DUMMYFUNCTION("""COMPUTED_VALUE"""),32.6)</f>
        <v>32.6</v>
      </c>
      <c r="E2248" s="112">
        <f ca="1">IFERROR(__xludf.DUMMYFUNCTION("""COMPUTED_VALUE"""),43593.7055555555)</f>
        <v>43593.705555555498</v>
      </c>
      <c r="F2248" s="111">
        <f ca="1">IFERROR(__xludf.DUMMYFUNCTION("""COMPUTED_VALUE"""),10.99)</f>
        <v>10.99</v>
      </c>
      <c r="G2248" s="112">
        <f ca="1">IFERROR(__xludf.DUMMYFUNCTION("""COMPUTED_VALUE"""),43591.7055555555)</f>
        <v>43591.705555555498</v>
      </c>
      <c r="H2248" s="111">
        <f ca="1">IFERROR(__xludf.DUMMYFUNCTION("""COMPUTED_VALUE"""),26.77)</f>
        <v>26.77</v>
      </c>
      <c r="K2248" s="112">
        <f ca="1">IFERROR(__xludf.DUMMYFUNCTION("""COMPUTED_VALUE"""),44036.7055555555)</f>
        <v>44036.705555555498</v>
      </c>
      <c r="L2248" s="111">
        <f ca="1">IFERROR(__xludf.DUMMYFUNCTION("""COMPUTED_VALUE"""),19.92)</f>
        <v>19.920000000000002</v>
      </c>
      <c r="M2248" s="112">
        <f ca="1">IFERROR(__xludf.DUMMYFUNCTION("""COMPUTED_VALUE"""),43496.7055555555)</f>
        <v>43496.705555555498</v>
      </c>
      <c r="N2248" s="111">
        <f ca="1">IFERROR(__xludf.DUMMYFUNCTION("""COMPUTED_VALUE"""),31.17)</f>
        <v>31.17</v>
      </c>
      <c r="O2248" s="112">
        <f ca="1">IFERROR(__xludf.DUMMYFUNCTION("""COMPUTED_VALUE"""),43573.7055555555)</f>
        <v>43573.705555555498</v>
      </c>
      <c r="P2248" s="111">
        <f ca="1">IFERROR(__xludf.DUMMYFUNCTION("""COMPUTED_VALUE"""),52.58)</f>
        <v>52.58</v>
      </c>
      <c r="Q2248" s="112">
        <f ca="1">IFERROR(__xludf.DUMMYFUNCTION("""COMPUTED_VALUE"""),43572.7055555555)</f>
        <v>43572.705555555498</v>
      </c>
      <c r="R2248" s="111">
        <f ca="1">IFERROR(__xludf.DUMMYFUNCTION("""COMPUTED_VALUE"""),47.2)</f>
        <v>47.2</v>
      </c>
      <c r="S2248" s="112">
        <f ca="1">IFERROR(__xludf.DUMMYFUNCTION("""COMPUTED_VALUE"""),43587.7055555555)</f>
        <v>43587.705555555498</v>
      </c>
      <c r="T2248" s="111">
        <f ca="1">IFERROR(__xludf.DUMMYFUNCTION("""COMPUTED_VALUE"""),37.78)</f>
        <v>37.78</v>
      </c>
    </row>
    <row r="2249" spans="1:20" x14ac:dyDescent="0.3">
      <c r="A2249" s="112">
        <f ca="1">IFERROR(__xludf.DUMMYFUNCTION("""COMPUTED_VALUE"""),43584.7055555555)</f>
        <v>43584.705555555498</v>
      </c>
      <c r="B2249" s="111">
        <f ca="1">IFERROR(__xludf.DUMMYFUNCTION("""COMPUTED_VALUE"""),32.68)</f>
        <v>32.68</v>
      </c>
      <c r="C2249" s="112">
        <f ca="1">IFERROR(__xludf.DUMMYFUNCTION("""COMPUTED_VALUE"""),43593.7055555555)</f>
        <v>43593.705555555498</v>
      </c>
      <c r="D2249" s="111">
        <f ca="1">IFERROR(__xludf.DUMMYFUNCTION("""COMPUTED_VALUE"""),32.97)</f>
        <v>32.97</v>
      </c>
      <c r="E2249" s="112">
        <f ca="1">IFERROR(__xludf.DUMMYFUNCTION("""COMPUTED_VALUE"""),43594.7055555555)</f>
        <v>43594.705555555498</v>
      </c>
      <c r="F2249" s="111">
        <f ca="1">IFERROR(__xludf.DUMMYFUNCTION("""COMPUTED_VALUE"""),10.94)</f>
        <v>10.94</v>
      </c>
      <c r="G2249" s="112">
        <f ca="1">IFERROR(__xludf.DUMMYFUNCTION("""COMPUTED_VALUE"""),43592.7055555555)</f>
        <v>43592.705555555498</v>
      </c>
      <c r="H2249" s="111">
        <f ca="1">IFERROR(__xludf.DUMMYFUNCTION("""COMPUTED_VALUE"""),26.35)</f>
        <v>26.35</v>
      </c>
      <c r="K2249" s="112">
        <f ca="1">IFERROR(__xludf.DUMMYFUNCTION("""COMPUTED_VALUE"""),44039.7055555555)</f>
        <v>44039.705555555498</v>
      </c>
      <c r="L2249" s="111">
        <f ca="1">IFERROR(__xludf.DUMMYFUNCTION("""COMPUTED_VALUE"""),19.84)</f>
        <v>19.84</v>
      </c>
      <c r="M2249" s="112">
        <f ca="1">IFERROR(__xludf.DUMMYFUNCTION("""COMPUTED_VALUE"""),43497.7055555555)</f>
        <v>43497.705555555498</v>
      </c>
      <c r="N2249" s="111">
        <f ca="1">IFERROR(__xludf.DUMMYFUNCTION("""COMPUTED_VALUE"""),30.79)</f>
        <v>30.79</v>
      </c>
      <c r="O2249" s="112">
        <f ca="1">IFERROR(__xludf.DUMMYFUNCTION("""COMPUTED_VALUE"""),43577.7055555555)</f>
        <v>43577.705555555498</v>
      </c>
      <c r="P2249" s="111">
        <f ca="1">IFERROR(__xludf.DUMMYFUNCTION("""COMPUTED_VALUE"""),51.3)</f>
        <v>51.3</v>
      </c>
      <c r="Q2249" s="112">
        <f ca="1">IFERROR(__xludf.DUMMYFUNCTION("""COMPUTED_VALUE"""),43573.7055555555)</f>
        <v>43573.705555555498</v>
      </c>
      <c r="R2249" s="111">
        <f ca="1">IFERROR(__xludf.DUMMYFUNCTION("""COMPUTED_VALUE"""),48.85)</f>
        <v>48.85</v>
      </c>
      <c r="S2249" s="112">
        <f ca="1">IFERROR(__xludf.DUMMYFUNCTION("""COMPUTED_VALUE"""),43588.7055555555)</f>
        <v>43588.705555555498</v>
      </c>
      <c r="T2249" s="111">
        <f ca="1">IFERROR(__xludf.DUMMYFUNCTION("""COMPUTED_VALUE"""),37.55)</f>
        <v>37.549999999999997</v>
      </c>
    </row>
    <row r="2250" spans="1:20" x14ac:dyDescent="0.3">
      <c r="A2250" s="112">
        <f ca="1">IFERROR(__xludf.DUMMYFUNCTION("""COMPUTED_VALUE"""),43585.7055555555)</f>
        <v>43585.705555555498</v>
      </c>
      <c r="B2250" s="111">
        <f ca="1">IFERROR(__xludf.DUMMYFUNCTION("""COMPUTED_VALUE"""),32.34)</f>
        <v>32.340000000000003</v>
      </c>
      <c r="C2250" s="112">
        <f ca="1">IFERROR(__xludf.DUMMYFUNCTION("""COMPUTED_VALUE"""),43594.7055555555)</f>
        <v>43594.705555555498</v>
      </c>
      <c r="D2250" s="111">
        <f ca="1">IFERROR(__xludf.DUMMYFUNCTION("""COMPUTED_VALUE"""),32.56)</f>
        <v>32.56</v>
      </c>
      <c r="E2250" s="112">
        <f ca="1">IFERROR(__xludf.DUMMYFUNCTION("""COMPUTED_VALUE"""),43595.7055555555)</f>
        <v>43595.705555555498</v>
      </c>
      <c r="F2250" s="111">
        <f ca="1">IFERROR(__xludf.DUMMYFUNCTION("""COMPUTED_VALUE"""),10.9)</f>
        <v>10.9</v>
      </c>
      <c r="G2250" s="112">
        <f ca="1">IFERROR(__xludf.DUMMYFUNCTION("""COMPUTED_VALUE"""),43593.7055555555)</f>
        <v>43593.705555555498</v>
      </c>
      <c r="H2250" s="111">
        <f ca="1">IFERROR(__xludf.DUMMYFUNCTION("""COMPUTED_VALUE"""),27.37)</f>
        <v>27.37</v>
      </c>
      <c r="K2250" s="112">
        <f ca="1">IFERROR(__xludf.DUMMYFUNCTION("""COMPUTED_VALUE"""),44040.7055555555)</f>
        <v>44040.705555555498</v>
      </c>
      <c r="L2250" s="111">
        <f ca="1">IFERROR(__xludf.DUMMYFUNCTION("""COMPUTED_VALUE"""),20.11)</f>
        <v>20.11</v>
      </c>
      <c r="M2250" s="112">
        <f ca="1">IFERROR(__xludf.DUMMYFUNCTION("""COMPUTED_VALUE"""),43500.7055555555)</f>
        <v>43500.705555555498</v>
      </c>
      <c r="N2250" s="111">
        <f ca="1">IFERROR(__xludf.DUMMYFUNCTION("""COMPUTED_VALUE"""),31.45)</f>
        <v>31.45</v>
      </c>
      <c r="O2250" s="112">
        <f ca="1">IFERROR(__xludf.DUMMYFUNCTION("""COMPUTED_VALUE"""),43578.7055555555)</f>
        <v>43578.705555555498</v>
      </c>
      <c r="P2250" s="111">
        <f ca="1">IFERROR(__xludf.DUMMYFUNCTION("""COMPUTED_VALUE"""),51.92)</f>
        <v>51.92</v>
      </c>
      <c r="Q2250" s="112">
        <f ca="1">IFERROR(__xludf.DUMMYFUNCTION("""COMPUTED_VALUE"""),43577.7055555555)</f>
        <v>43577.705555555498</v>
      </c>
      <c r="R2250" s="111">
        <f ca="1">IFERROR(__xludf.DUMMYFUNCTION("""COMPUTED_VALUE"""),48.34)</f>
        <v>48.34</v>
      </c>
      <c r="S2250" s="112">
        <f ca="1">IFERROR(__xludf.DUMMYFUNCTION("""COMPUTED_VALUE"""),43591.7055555555)</f>
        <v>43591.705555555498</v>
      </c>
      <c r="T2250" s="111">
        <f ca="1">IFERROR(__xludf.DUMMYFUNCTION("""COMPUTED_VALUE"""),37.25)</f>
        <v>37.25</v>
      </c>
    </row>
    <row r="2251" spans="1:20" x14ac:dyDescent="0.3">
      <c r="A2251" s="112">
        <f ca="1">IFERROR(__xludf.DUMMYFUNCTION("""COMPUTED_VALUE"""),43587.7055555555)</f>
        <v>43587.705555555498</v>
      </c>
      <c r="B2251" s="111">
        <f ca="1">IFERROR(__xludf.DUMMYFUNCTION("""COMPUTED_VALUE"""),31.91)</f>
        <v>31.91</v>
      </c>
      <c r="C2251" s="112">
        <f ca="1">IFERROR(__xludf.DUMMYFUNCTION("""COMPUTED_VALUE"""),43595.7055555555)</f>
        <v>43595.705555555498</v>
      </c>
      <c r="D2251" s="111">
        <f ca="1">IFERROR(__xludf.DUMMYFUNCTION("""COMPUTED_VALUE"""),32.41)</f>
        <v>32.409999999999997</v>
      </c>
      <c r="E2251" s="112">
        <f ca="1">IFERROR(__xludf.DUMMYFUNCTION("""COMPUTED_VALUE"""),43598.7055555555)</f>
        <v>43598.705555555498</v>
      </c>
      <c r="F2251" s="111">
        <f ca="1">IFERROR(__xludf.DUMMYFUNCTION("""COMPUTED_VALUE"""),10.71)</f>
        <v>10.71</v>
      </c>
      <c r="G2251" s="112">
        <f ca="1">IFERROR(__xludf.DUMMYFUNCTION("""COMPUTED_VALUE"""),43594.7055555555)</f>
        <v>43594.705555555498</v>
      </c>
      <c r="H2251" s="111">
        <f ca="1">IFERROR(__xludf.DUMMYFUNCTION("""COMPUTED_VALUE"""),26.83)</f>
        <v>26.83</v>
      </c>
      <c r="K2251" s="112">
        <f ca="1">IFERROR(__xludf.DUMMYFUNCTION("""COMPUTED_VALUE"""),44041.7055555555)</f>
        <v>44041.705555555498</v>
      </c>
      <c r="L2251" s="111">
        <f ca="1">IFERROR(__xludf.DUMMYFUNCTION("""COMPUTED_VALUE"""),20.06)</f>
        <v>20.059999999999999</v>
      </c>
      <c r="M2251" s="112">
        <f ca="1">IFERROR(__xludf.DUMMYFUNCTION("""COMPUTED_VALUE"""),43501.7055555555)</f>
        <v>43501.705555555498</v>
      </c>
      <c r="N2251" s="111">
        <f ca="1">IFERROR(__xludf.DUMMYFUNCTION("""COMPUTED_VALUE"""),31.47)</f>
        <v>31.47</v>
      </c>
      <c r="O2251" s="112">
        <f ca="1">IFERROR(__xludf.DUMMYFUNCTION("""COMPUTED_VALUE"""),43579.7055555555)</f>
        <v>43579.705555555498</v>
      </c>
      <c r="P2251" s="111">
        <f ca="1">IFERROR(__xludf.DUMMYFUNCTION("""COMPUTED_VALUE"""),50.36)</f>
        <v>50.36</v>
      </c>
      <c r="Q2251" s="112">
        <f ca="1">IFERROR(__xludf.DUMMYFUNCTION("""COMPUTED_VALUE"""),43578.7055555555)</f>
        <v>43578.705555555498</v>
      </c>
      <c r="R2251" s="111">
        <f ca="1">IFERROR(__xludf.DUMMYFUNCTION("""COMPUTED_VALUE"""),49.31)</f>
        <v>49.31</v>
      </c>
      <c r="S2251" s="112">
        <f ca="1">IFERROR(__xludf.DUMMYFUNCTION("""COMPUTED_VALUE"""),43592.7055555555)</f>
        <v>43592.705555555498</v>
      </c>
      <c r="T2251" s="111">
        <f ca="1">IFERROR(__xludf.DUMMYFUNCTION("""COMPUTED_VALUE"""),37.48)</f>
        <v>37.479999999999997</v>
      </c>
    </row>
    <row r="2252" spans="1:20" x14ac:dyDescent="0.3">
      <c r="A2252" s="112">
        <f ca="1">IFERROR(__xludf.DUMMYFUNCTION("""COMPUTED_VALUE"""),43588.7055555555)</f>
        <v>43588.705555555498</v>
      </c>
      <c r="B2252" s="111">
        <f ca="1">IFERROR(__xludf.DUMMYFUNCTION("""COMPUTED_VALUE"""),31.84)</f>
        <v>31.84</v>
      </c>
      <c r="C2252" s="112">
        <f ca="1">IFERROR(__xludf.DUMMYFUNCTION("""COMPUTED_VALUE"""),43598.7055555555)</f>
        <v>43598.705555555498</v>
      </c>
      <c r="D2252" s="111">
        <f ca="1">IFERROR(__xludf.DUMMYFUNCTION("""COMPUTED_VALUE"""),31.9)</f>
        <v>31.9</v>
      </c>
      <c r="E2252" s="112">
        <f ca="1">IFERROR(__xludf.DUMMYFUNCTION("""COMPUTED_VALUE"""),43599.7055555555)</f>
        <v>43599.705555555498</v>
      </c>
      <c r="F2252" s="111">
        <f ca="1">IFERROR(__xludf.DUMMYFUNCTION("""COMPUTED_VALUE"""),10.73)</f>
        <v>10.73</v>
      </c>
      <c r="G2252" s="112">
        <f ca="1">IFERROR(__xludf.DUMMYFUNCTION("""COMPUTED_VALUE"""),43595.7055555555)</f>
        <v>43595.705555555498</v>
      </c>
      <c r="H2252" s="111">
        <f ca="1">IFERROR(__xludf.DUMMYFUNCTION("""COMPUTED_VALUE"""),26.68)</f>
        <v>26.68</v>
      </c>
      <c r="K2252" s="112">
        <f ca="1">IFERROR(__xludf.DUMMYFUNCTION("""COMPUTED_VALUE"""),44042.7055555555)</f>
        <v>44042.705555555498</v>
      </c>
      <c r="L2252" s="111">
        <f ca="1">IFERROR(__xludf.DUMMYFUNCTION("""COMPUTED_VALUE"""),20.83)</f>
        <v>20.83</v>
      </c>
      <c r="M2252" s="112">
        <f ca="1">IFERROR(__xludf.DUMMYFUNCTION("""COMPUTED_VALUE"""),43502.7055555555)</f>
        <v>43502.705555555498</v>
      </c>
      <c r="N2252" s="111">
        <f ca="1">IFERROR(__xludf.DUMMYFUNCTION("""COMPUTED_VALUE"""),29.99)</f>
        <v>29.99</v>
      </c>
      <c r="O2252" s="112">
        <f ca="1">IFERROR(__xludf.DUMMYFUNCTION("""COMPUTED_VALUE"""),43580.7055555555)</f>
        <v>43580.705555555498</v>
      </c>
      <c r="P2252" s="111">
        <f ca="1">IFERROR(__xludf.DUMMYFUNCTION("""COMPUTED_VALUE"""),50.33)</f>
        <v>50.33</v>
      </c>
      <c r="Q2252" s="112">
        <f ca="1">IFERROR(__xludf.DUMMYFUNCTION("""COMPUTED_VALUE"""),43579.7055555555)</f>
        <v>43579.705555555498</v>
      </c>
      <c r="R2252" s="111">
        <f ca="1">IFERROR(__xludf.DUMMYFUNCTION("""COMPUTED_VALUE"""),48.31)</f>
        <v>48.31</v>
      </c>
      <c r="S2252" s="112">
        <f ca="1">IFERROR(__xludf.DUMMYFUNCTION("""COMPUTED_VALUE"""),43593.7055555555)</f>
        <v>43593.705555555498</v>
      </c>
      <c r="T2252" s="111">
        <f ca="1">IFERROR(__xludf.DUMMYFUNCTION("""COMPUTED_VALUE"""),38.35)</f>
        <v>38.35</v>
      </c>
    </row>
    <row r="2253" spans="1:20" x14ac:dyDescent="0.3">
      <c r="A2253" s="112">
        <f ca="1">IFERROR(__xludf.DUMMYFUNCTION("""COMPUTED_VALUE"""),43591.7055555555)</f>
        <v>43591.705555555498</v>
      </c>
      <c r="B2253" s="111">
        <f ca="1">IFERROR(__xludf.DUMMYFUNCTION("""COMPUTED_VALUE"""),32.26)</f>
        <v>32.26</v>
      </c>
      <c r="C2253" s="112">
        <f ca="1">IFERROR(__xludf.DUMMYFUNCTION("""COMPUTED_VALUE"""),43599.7055555555)</f>
        <v>43599.705555555498</v>
      </c>
      <c r="D2253" s="111">
        <f ca="1">IFERROR(__xludf.DUMMYFUNCTION("""COMPUTED_VALUE"""),31.75)</f>
        <v>31.75</v>
      </c>
      <c r="E2253" s="112">
        <f ca="1">IFERROR(__xludf.DUMMYFUNCTION("""COMPUTED_VALUE"""),43600.7055555555)</f>
        <v>43600.705555555498</v>
      </c>
      <c r="F2253" s="111">
        <f ca="1">IFERROR(__xludf.DUMMYFUNCTION("""COMPUTED_VALUE"""),10.71)</f>
        <v>10.71</v>
      </c>
      <c r="G2253" s="112">
        <f ca="1">IFERROR(__xludf.DUMMYFUNCTION("""COMPUTED_VALUE"""),43598.7055555555)</f>
        <v>43598.705555555498</v>
      </c>
      <c r="H2253" s="111">
        <f ca="1">IFERROR(__xludf.DUMMYFUNCTION("""COMPUTED_VALUE"""),25.9)</f>
        <v>25.9</v>
      </c>
      <c r="K2253" s="112">
        <f ca="1">IFERROR(__xludf.DUMMYFUNCTION("""COMPUTED_VALUE"""),44043.7055555555)</f>
        <v>44043.705555555498</v>
      </c>
      <c r="L2253" s="111">
        <f ca="1">IFERROR(__xludf.DUMMYFUNCTION("""COMPUTED_VALUE"""),20.18)</f>
        <v>20.18</v>
      </c>
      <c r="M2253" s="112">
        <f ca="1">IFERROR(__xludf.DUMMYFUNCTION("""COMPUTED_VALUE"""),43503.7055555555)</f>
        <v>43503.705555555498</v>
      </c>
      <c r="N2253" s="111">
        <f ca="1">IFERROR(__xludf.DUMMYFUNCTION("""COMPUTED_VALUE"""),30.44)</f>
        <v>30.44</v>
      </c>
      <c r="O2253" s="112">
        <f ca="1">IFERROR(__xludf.DUMMYFUNCTION("""COMPUTED_VALUE"""),43581.7055555555)</f>
        <v>43581.705555555498</v>
      </c>
      <c r="P2253" s="111">
        <f ca="1">IFERROR(__xludf.DUMMYFUNCTION("""COMPUTED_VALUE"""),50.42)</f>
        <v>50.42</v>
      </c>
      <c r="Q2253" s="112">
        <f ca="1">IFERROR(__xludf.DUMMYFUNCTION("""COMPUTED_VALUE"""),43580.7055555555)</f>
        <v>43580.705555555498</v>
      </c>
      <c r="R2253" s="111">
        <f ca="1">IFERROR(__xludf.DUMMYFUNCTION("""COMPUTED_VALUE"""),49.1)</f>
        <v>49.1</v>
      </c>
      <c r="S2253" s="112">
        <f ca="1">IFERROR(__xludf.DUMMYFUNCTION("""COMPUTED_VALUE"""),43594.7055555555)</f>
        <v>43594.705555555498</v>
      </c>
      <c r="T2253" s="111">
        <f ca="1">IFERROR(__xludf.DUMMYFUNCTION("""COMPUTED_VALUE"""),37.36)</f>
        <v>37.36</v>
      </c>
    </row>
    <row r="2254" spans="1:20" x14ac:dyDescent="0.3">
      <c r="A2254" s="112">
        <f ca="1">IFERROR(__xludf.DUMMYFUNCTION("""COMPUTED_VALUE"""),43592.7055555555)</f>
        <v>43592.705555555498</v>
      </c>
      <c r="B2254" s="111">
        <f ca="1">IFERROR(__xludf.DUMMYFUNCTION("""COMPUTED_VALUE"""),32.15)</f>
        <v>32.15</v>
      </c>
      <c r="C2254" s="112">
        <f ca="1">IFERROR(__xludf.DUMMYFUNCTION("""COMPUTED_VALUE"""),43600.7055555555)</f>
        <v>43600.705555555498</v>
      </c>
      <c r="D2254" s="111">
        <f ca="1">IFERROR(__xludf.DUMMYFUNCTION("""COMPUTED_VALUE"""),31.85)</f>
        <v>31.85</v>
      </c>
      <c r="E2254" s="112">
        <f ca="1">IFERROR(__xludf.DUMMYFUNCTION("""COMPUTED_VALUE"""),43601.7055555555)</f>
        <v>43601.705555555498</v>
      </c>
      <c r="F2254" s="111">
        <f ca="1">IFERROR(__xludf.DUMMYFUNCTION("""COMPUTED_VALUE"""),10.55)</f>
        <v>10.55</v>
      </c>
      <c r="G2254" s="112">
        <f ca="1">IFERROR(__xludf.DUMMYFUNCTION("""COMPUTED_VALUE"""),43599.7055555555)</f>
        <v>43599.705555555498</v>
      </c>
      <c r="H2254" s="111">
        <f ca="1">IFERROR(__xludf.DUMMYFUNCTION("""COMPUTED_VALUE"""),26)</f>
        <v>26</v>
      </c>
      <c r="K2254" s="112">
        <f ca="1">IFERROR(__xludf.DUMMYFUNCTION("""COMPUTED_VALUE"""),44046.7055555555)</f>
        <v>44046.705555555498</v>
      </c>
      <c r="L2254" s="111">
        <f ca="1">IFERROR(__xludf.DUMMYFUNCTION("""COMPUTED_VALUE"""),20.65)</f>
        <v>20.65</v>
      </c>
      <c r="M2254" s="112">
        <f ca="1">IFERROR(__xludf.DUMMYFUNCTION("""COMPUTED_VALUE"""),43504.7055555555)</f>
        <v>43504.705555555498</v>
      </c>
      <c r="N2254" s="111">
        <f ca="1">IFERROR(__xludf.DUMMYFUNCTION("""COMPUTED_VALUE"""),30.76)</f>
        <v>30.76</v>
      </c>
      <c r="O2254" s="112">
        <f ca="1">IFERROR(__xludf.DUMMYFUNCTION("""COMPUTED_VALUE"""),43584.7055555555)</f>
        <v>43584.705555555498</v>
      </c>
      <c r="P2254" s="111">
        <f ca="1">IFERROR(__xludf.DUMMYFUNCTION("""COMPUTED_VALUE"""),50.25)</f>
        <v>50.25</v>
      </c>
      <c r="Q2254" s="112">
        <f ca="1">IFERROR(__xludf.DUMMYFUNCTION("""COMPUTED_VALUE"""),43581.7055555555)</f>
        <v>43581.705555555498</v>
      </c>
      <c r="R2254" s="111">
        <f ca="1">IFERROR(__xludf.DUMMYFUNCTION("""COMPUTED_VALUE"""),49.35)</f>
        <v>49.35</v>
      </c>
      <c r="S2254" s="112">
        <f ca="1">IFERROR(__xludf.DUMMYFUNCTION("""COMPUTED_VALUE"""),43595.7055555555)</f>
        <v>43595.705555555498</v>
      </c>
      <c r="T2254" s="111">
        <f ca="1">IFERROR(__xludf.DUMMYFUNCTION("""COMPUTED_VALUE"""),37.64)</f>
        <v>37.64</v>
      </c>
    </row>
    <row r="2255" spans="1:20" x14ac:dyDescent="0.3">
      <c r="A2255" s="112">
        <f ca="1">IFERROR(__xludf.DUMMYFUNCTION("""COMPUTED_VALUE"""),43593.7055555555)</f>
        <v>43593.705555555498</v>
      </c>
      <c r="B2255" s="111">
        <f ca="1">IFERROR(__xludf.DUMMYFUNCTION("""COMPUTED_VALUE"""),32.54)</f>
        <v>32.54</v>
      </c>
      <c r="C2255" s="112">
        <f ca="1">IFERROR(__xludf.DUMMYFUNCTION("""COMPUTED_VALUE"""),43601.7055555555)</f>
        <v>43601.705555555498</v>
      </c>
      <c r="D2255" s="111">
        <f ca="1">IFERROR(__xludf.DUMMYFUNCTION("""COMPUTED_VALUE"""),31.44)</f>
        <v>31.44</v>
      </c>
      <c r="E2255" s="112">
        <f ca="1">IFERROR(__xludf.DUMMYFUNCTION("""COMPUTED_VALUE"""),43602.7055555555)</f>
        <v>43602.705555555498</v>
      </c>
      <c r="F2255" s="111">
        <f ca="1">IFERROR(__xludf.DUMMYFUNCTION("""COMPUTED_VALUE"""),10.55)</f>
        <v>10.55</v>
      </c>
      <c r="G2255" s="112">
        <f ca="1">IFERROR(__xludf.DUMMYFUNCTION("""COMPUTED_VALUE"""),43600.7055555555)</f>
        <v>43600.705555555498</v>
      </c>
      <c r="H2255" s="111">
        <f ca="1">IFERROR(__xludf.DUMMYFUNCTION("""COMPUTED_VALUE"""),25.88)</f>
        <v>25.88</v>
      </c>
      <c r="K2255" s="112">
        <f ca="1">IFERROR(__xludf.DUMMYFUNCTION("""COMPUTED_VALUE"""),44047.7055555555)</f>
        <v>44047.705555555498</v>
      </c>
      <c r="L2255" s="111">
        <f ca="1">IFERROR(__xludf.DUMMYFUNCTION("""COMPUTED_VALUE"""),20.63)</f>
        <v>20.63</v>
      </c>
      <c r="M2255" s="112">
        <f ca="1">IFERROR(__xludf.DUMMYFUNCTION("""COMPUTED_VALUE"""),43507.7055555555)</f>
        <v>43507.705555555498</v>
      </c>
      <c r="N2255" s="111">
        <f ca="1">IFERROR(__xludf.DUMMYFUNCTION("""COMPUTED_VALUE"""),30.59)</f>
        <v>30.59</v>
      </c>
      <c r="O2255" s="112">
        <f ca="1">IFERROR(__xludf.DUMMYFUNCTION("""COMPUTED_VALUE"""),43585.7055555555)</f>
        <v>43585.705555555498</v>
      </c>
      <c r="P2255" s="111">
        <f ca="1">IFERROR(__xludf.DUMMYFUNCTION("""COMPUTED_VALUE"""),50.1)</f>
        <v>50.1</v>
      </c>
      <c r="Q2255" s="112">
        <f ca="1">IFERROR(__xludf.DUMMYFUNCTION("""COMPUTED_VALUE"""),43584.7055555555)</f>
        <v>43584.705555555498</v>
      </c>
      <c r="R2255" s="111">
        <f ca="1">IFERROR(__xludf.DUMMYFUNCTION("""COMPUTED_VALUE"""),49.37)</f>
        <v>49.37</v>
      </c>
      <c r="S2255" s="112">
        <f ca="1">IFERROR(__xludf.DUMMYFUNCTION("""COMPUTED_VALUE"""),43598.7055555555)</f>
        <v>43598.705555555498</v>
      </c>
      <c r="T2255" s="111">
        <f ca="1">IFERROR(__xludf.DUMMYFUNCTION("""COMPUTED_VALUE"""),36.77)</f>
        <v>36.770000000000003</v>
      </c>
    </row>
    <row r="2256" spans="1:20" x14ac:dyDescent="0.3">
      <c r="A2256" s="112">
        <f ca="1">IFERROR(__xludf.DUMMYFUNCTION("""COMPUTED_VALUE"""),43594.7055555555)</f>
        <v>43594.705555555498</v>
      </c>
      <c r="B2256" s="111">
        <f ca="1">IFERROR(__xludf.DUMMYFUNCTION("""COMPUTED_VALUE"""),32.19)</f>
        <v>32.19</v>
      </c>
      <c r="C2256" s="112">
        <f ca="1">IFERROR(__xludf.DUMMYFUNCTION("""COMPUTED_VALUE"""),43602.7055555555)</f>
        <v>43602.705555555498</v>
      </c>
      <c r="D2256" s="111">
        <f ca="1">IFERROR(__xludf.DUMMYFUNCTION("""COMPUTED_VALUE"""),31.5)</f>
        <v>31.5</v>
      </c>
      <c r="E2256" s="112">
        <f ca="1">IFERROR(__xludf.DUMMYFUNCTION("""COMPUTED_VALUE"""),43605.7055555555)</f>
        <v>43605.705555555498</v>
      </c>
      <c r="F2256" s="111">
        <f ca="1">IFERROR(__xludf.DUMMYFUNCTION("""COMPUTED_VALUE"""),10.9)</f>
        <v>10.9</v>
      </c>
      <c r="G2256" s="112">
        <f ca="1">IFERROR(__xludf.DUMMYFUNCTION("""COMPUTED_VALUE"""),43601.7055555555)</f>
        <v>43601.705555555498</v>
      </c>
      <c r="H2256" s="111">
        <f ca="1">IFERROR(__xludf.DUMMYFUNCTION("""COMPUTED_VALUE"""),25.27)</f>
        <v>25.27</v>
      </c>
      <c r="K2256" s="112">
        <f ca="1">IFERROR(__xludf.DUMMYFUNCTION("""COMPUTED_VALUE"""),44048.7055555555)</f>
        <v>44048.705555555498</v>
      </c>
      <c r="L2256" s="111">
        <f ca="1">IFERROR(__xludf.DUMMYFUNCTION("""COMPUTED_VALUE"""),20.76)</f>
        <v>20.76</v>
      </c>
      <c r="M2256" s="112">
        <f ca="1">IFERROR(__xludf.DUMMYFUNCTION("""COMPUTED_VALUE"""),43508.7055555555)</f>
        <v>43508.705555555498</v>
      </c>
      <c r="N2256" s="111">
        <f ca="1">IFERROR(__xludf.DUMMYFUNCTION("""COMPUTED_VALUE"""),31.2)</f>
        <v>31.2</v>
      </c>
      <c r="O2256" s="112">
        <f ca="1">IFERROR(__xludf.DUMMYFUNCTION("""COMPUTED_VALUE"""),43587.7055555555)</f>
        <v>43587.705555555498</v>
      </c>
      <c r="P2256" s="111">
        <f ca="1">IFERROR(__xludf.DUMMYFUNCTION("""COMPUTED_VALUE"""),48.94)</f>
        <v>48.94</v>
      </c>
      <c r="Q2256" s="112">
        <f ca="1">IFERROR(__xludf.DUMMYFUNCTION("""COMPUTED_VALUE"""),43585.7055555555)</f>
        <v>43585.705555555498</v>
      </c>
      <c r="R2256" s="111">
        <f ca="1">IFERROR(__xludf.DUMMYFUNCTION("""COMPUTED_VALUE"""),49.68)</f>
        <v>49.68</v>
      </c>
      <c r="S2256" s="112">
        <f ca="1">IFERROR(__xludf.DUMMYFUNCTION("""COMPUTED_VALUE"""),43599.7055555555)</f>
        <v>43599.705555555498</v>
      </c>
      <c r="T2256" s="111">
        <f ca="1">IFERROR(__xludf.DUMMYFUNCTION("""COMPUTED_VALUE"""),36.41)</f>
        <v>36.409999999999997</v>
      </c>
    </row>
    <row r="2257" spans="1:20" x14ac:dyDescent="0.3">
      <c r="A2257" s="112">
        <f ca="1">IFERROR(__xludf.DUMMYFUNCTION("""COMPUTED_VALUE"""),43595.7055555555)</f>
        <v>43595.705555555498</v>
      </c>
      <c r="B2257" s="111">
        <f ca="1">IFERROR(__xludf.DUMMYFUNCTION("""COMPUTED_VALUE"""),31.35)</f>
        <v>31.35</v>
      </c>
      <c r="C2257" s="112">
        <f ca="1">IFERROR(__xludf.DUMMYFUNCTION("""COMPUTED_VALUE"""),43605.7055555555)</f>
        <v>43605.705555555498</v>
      </c>
      <c r="D2257" s="111">
        <f ca="1">IFERROR(__xludf.DUMMYFUNCTION("""COMPUTED_VALUE"""),32.32)</f>
        <v>32.32</v>
      </c>
      <c r="E2257" s="112">
        <f ca="1">IFERROR(__xludf.DUMMYFUNCTION("""COMPUTED_VALUE"""),43606.7055555555)</f>
        <v>43606.705555555498</v>
      </c>
      <c r="F2257" s="111">
        <f ca="1">IFERROR(__xludf.DUMMYFUNCTION("""COMPUTED_VALUE"""),11.23)</f>
        <v>11.23</v>
      </c>
      <c r="G2257" s="112">
        <f ca="1">IFERROR(__xludf.DUMMYFUNCTION("""COMPUTED_VALUE"""),43602.7055555555)</f>
        <v>43602.705555555498</v>
      </c>
      <c r="H2257" s="111">
        <f ca="1">IFERROR(__xludf.DUMMYFUNCTION("""COMPUTED_VALUE"""),24.68)</f>
        <v>24.68</v>
      </c>
      <c r="K2257" s="112">
        <f ca="1">IFERROR(__xludf.DUMMYFUNCTION("""COMPUTED_VALUE"""),44049.7055555555)</f>
        <v>44049.705555555498</v>
      </c>
      <c r="L2257" s="111">
        <f ca="1">IFERROR(__xludf.DUMMYFUNCTION("""COMPUTED_VALUE"""),21.48)</f>
        <v>21.48</v>
      </c>
      <c r="M2257" s="112">
        <f ca="1">IFERROR(__xludf.DUMMYFUNCTION("""COMPUTED_VALUE"""),43509.7055555555)</f>
        <v>43509.705555555498</v>
      </c>
      <c r="N2257" s="111">
        <f ca="1">IFERROR(__xludf.DUMMYFUNCTION("""COMPUTED_VALUE"""),30.72)</f>
        <v>30.72</v>
      </c>
      <c r="O2257" s="112">
        <f ca="1">IFERROR(__xludf.DUMMYFUNCTION("""COMPUTED_VALUE"""),43588.7055555555)</f>
        <v>43588.705555555498</v>
      </c>
      <c r="P2257" s="111">
        <f ca="1">IFERROR(__xludf.DUMMYFUNCTION("""COMPUTED_VALUE"""),50.4)</f>
        <v>50.4</v>
      </c>
      <c r="Q2257" s="112">
        <f ca="1">IFERROR(__xludf.DUMMYFUNCTION("""COMPUTED_VALUE"""),43587.7055555555)</f>
        <v>43587.705555555498</v>
      </c>
      <c r="R2257" s="111">
        <f ca="1">IFERROR(__xludf.DUMMYFUNCTION("""COMPUTED_VALUE"""),49.79)</f>
        <v>49.79</v>
      </c>
      <c r="S2257" s="112">
        <f ca="1">IFERROR(__xludf.DUMMYFUNCTION("""COMPUTED_VALUE"""),43600.7055555555)</f>
        <v>43600.705555555498</v>
      </c>
      <c r="T2257" s="111">
        <f ca="1">IFERROR(__xludf.DUMMYFUNCTION("""COMPUTED_VALUE"""),37.01)</f>
        <v>37.01</v>
      </c>
    </row>
    <row r="2258" spans="1:20" x14ac:dyDescent="0.3">
      <c r="A2258" s="112">
        <f ca="1">IFERROR(__xludf.DUMMYFUNCTION("""COMPUTED_VALUE"""),43598.7055555555)</f>
        <v>43598.705555555498</v>
      </c>
      <c r="B2258" s="111">
        <f ca="1">IFERROR(__xludf.DUMMYFUNCTION("""COMPUTED_VALUE"""),29.77)</f>
        <v>29.77</v>
      </c>
      <c r="C2258" s="112">
        <f ca="1">IFERROR(__xludf.DUMMYFUNCTION("""COMPUTED_VALUE"""),43606.7055555555)</f>
        <v>43606.705555555498</v>
      </c>
      <c r="D2258" s="111">
        <f ca="1">IFERROR(__xludf.DUMMYFUNCTION("""COMPUTED_VALUE"""),33.57)</f>
        <v>33.57</v>
      </c>
      <c r="E2258" s="112">
        <f ca="1">IFERROR(__xludf.DUMMYFUNCTION("""COMPUTED_VALUE"""),43607.7055555555)</f>
        <v>43607.705555555498</v>
      </c>
      <c r="F2258" s="111">
        <f ca="1">IFERROR(__xludf.DUMMYFUNCTION("""COMPUTED_VALUE"""),11.16)</f>
        <v>11.16</v>
      </c>
      <c r="G2258" s="112">
        <f ca="1">IFERROR(__xludf.DUMMYFUNCTION("""COMPUTED_VALUE"""),43605.7055555555)</f>
        <v>43605.705555555498</v>
      </c>
      <c r="H2258" s="111">
        <f ca="1">IFERROR(__xludf.DUMMYFUNCTION("""COMPUTED_VALUE"""),25.52)</f>
        <v>25.52</v>
      </c>
      <c r="K2258" s="112">
        <f ca="1">IFERROR(__xludf.DUMMYFUNCTION("""COMPUTED_VALUE"""),44050.7055555555)</f>
        <v>44050.705555555498</v>
      </c>
      <c r="L2258" s="111">
        <f ca="1">IFERROR(__xludf.DUMMYFUNCTION("""COMPUTED_VALUE"""),21.42)</f>
        <v>21.42</v>
      </c>
      <c r="M2258" s="112">
        <f ca="1">IFERROR(__xludf.DUMMYFUNCTION("""COMPUTED_VALUE"""),43510.7055555555)</f>
        <v>43510.705555555498</v>
      </c>
      <c r="N2258" s="111">
        <f ca="1">IFERROR(__xludf.DUMMYFUNCTION("""COMPUTED_VALUE"""),31.89)</f>
        <v>31.89</v>
      </c>
      <c r="O2258" s="112">
        <f ca="1">IFERROR(__xludf.DUMMYFUNCTION("""COMPUTED_VALUE"""),43591.7055555555)</f>
        <v>43591.705555555498</v>
      </c>
      <c r="P2258" s="111">
        <f ca="1">IFERROR(__xludf.DUMMYFUNCTION("""COMPUTED_VALUE"""),49.66)</f>
        <v>49.66</v>
      </c>
      <c r="Q2258" s="112">
        <f ca="1">IFERROR(__xludf.DUMMYFUNCTION("""COMPUTED_VALUE"""),43588.7055555555)</f>
        <v>43588.705555555498</v>
      </c>
      <c r="R2258" s="111">
        <f ca="1">IFERROR(__xludf.DUMMYFUNCTION("""COMPUTED_VALUE"""),50.08)</f>
        <v>50.08</v>
      </c>
      <c r="S2258" s="112">
        <f ca="1">IFERROR(__xludf.DUMMYFUNCTION("""COMPUTED_VALUE"""),43601.7055555555)</f>
        <v>43601.705555555498</v>
      </c>
      <c r="T2258" s="111">
        <f ca="1">IFERROR(__xludf.DUMMYFUNCTION("""COMPUTED_VALUE"""),36.09)</f>
        <v>36.090000000000003</v>
      </c>
    </row>
    <row r="2259" spans="1:20" x14ac:dyDescent="0.3">
      <c r="A2259" s="112">
        <f ca="1">IFERROR(__xludf.DUMMYFUNCTION("""COMPUTED_VALUE"""),43599.7055555555)</f>
        <v>43599.705555555498</v>
      </c>
      <c r="B2259" s="111">
        <f ca="1">IFERROR(__xludf.DUMMYFUNCTION("""COMPUTED_VALUE"""),31.8)</f>
        <v>31.8</v>
      </c>
      <c r="C2259" s="112">
        <f ca="1">IFERROR(__xludf.DUMMYFUNCTION("""COMPUTED_VALUE"""),43607.7055555555)</f>
        <v>43607.705555555498</v>
      </c>
      <c r="D2259" s="111">
        <f ca="1">IFERROR(__xludf.DUMMYFUNCTION("""COMPUTED_VALUE"""),33.6)</f>
        <v>33.6</v>
      </c>
      <c r="E2259" s="112">
        <f ca="1">IFERROR(__xludf.DUMMYFUNCTION("""COMPUTED_VALUE"""),43608.7055555555)</f>
        <v>43608.705555555498</v>
      </c>
      <c r="F2259" s="111">
        <f ca="1">IFERROR(__xludf.DUMMYFUNCTION("""COMPUTED_VALUE"""),11.12)</f>
        <v>11.12</v>
      </c>
      <c r="G2259" s="112">
        <f ca="1">IFERROR(__xludf.DUMMYFUNCTION("""COMPUTED_VALUE"""),43606.7055555555)</f>
        <v>43606.705555555498</v>
      </c>
      <c r="H2259" s="111">
        <f ca="1">IFERROR(__xludf.DUMMYFUNCTION("""COMPUTED_VALUE"""),26.49)</f>
        <v>26.49</v>
      </c>
      <c r="K2259" s="112">
        <f ca="1">IFERROR(__xludf.DUMMYFUNCTION("""COMPUTED_VALUE"""),44053.7055555555)</f>
        <v>44053.705555555498</v>
      </c>
      <c r="L2259" s="111">
        <f ca="1">IFERROR(__xludf.DUMMYFUNCTION("""COMPUTED_VALUE"""),20.49)</f>
        <v>20.49</v>
      </c>
      <c r="M2259" s="112">
        <f ca="1">IFERROR(__xludf.DUMMYFUNCTION("""COMPUTED_VALUE"""),43511.7055555555)</f>
        <v>43511.705555555498</v>
      </c>
      <c r="N2259" s="111">
        <f ca="1">IFERROR(__xludf.DUMMYFUNCTION("""COMPUTED_VALUE"""),31.68)</f>
        <v>31.68</v>
      </c>
      <c r="O2259" s="112">
        <f ca="1">IFERROR(__xludf.DUMMYFUNCTION("""COMPUTED_VALUE"""),43592.7055555555)</f>
        <v>43592.705555555498</v>
      </c>
      <c r="P2259" s="111">
        <f ca="1">IFERROR(__xludf.DUMMYFUNCTION("""COMPUTED_VALUE"""),49.7)</f>
        <v>49.7</v>
      </c>
      <c r="Q2259" s="112">
        <f ca="1">IFERROR(__xludf.DUMMYFUNCTION("""COMPUTED_VALUE"""),43591.7055555555)</f>
        <v>43591.705555555498</v>
      </c>
      <c r="R2259" s="111">
        <f ca="1">IFERROR(__xludf.DUMMYFUNCTION("""COMPUTED_VALUE"""),49.37)</f>
        <v>49.37</v>
      </c>
      <c r="S2259" s="112">
        <f ca="1">IFERROR(__xludf.DUMMYFUNCTION("""COMPUTED_VALUE"""),43602.7055555555)</f>
        <v>43602.705555555498</v>
      </c>
      <c r="T2259" s="111">
        <f ca="1">IFERROR(__xludf.DUMMYFUNCTION("""COMPUTED_VALUE"""),35.82)</f>
        <v>35.82</v>
      </c>
    </row>
    <row r="2260" spans="1:20" x14ac:dyDescent="0.3">
      <c r="A2260" s="112">
        <f ca="1">IFERROR(__xludf.DUMMYFUNCTION("""COMPUTED_VALUE"""),43600.7055555555)</f>
        <v>43600.705555555498</v>
      </c>
      <c r="B2260" s="111">
        <f ca="1">IFERROR(__xludf.DUMMYFUNCTION("""COMPUTED_VALUE"""),31.64)</f>
        <v>31.64</v>
      </c>
      <c r="C2260" s="112">
        <f ca="1">IFERROR(__xludf.DUMMYFUNCTION("""COMPUTED_VALUE"""),43608.7055555555)</f>
        <v>43608.705555555498</v>
      </c>
      <c r="D2260" s="111">
        <f ca="1">IFERROR(__xludf.DUMMYFUNCTION("""COMPUTED_VALUE"""),33.53)</f>
        <v>33.53</v>
      </c>
      <c r="E2260" s="112">
        <f ca="1">IFERROR(__xludf.DUMMYFUNCTION("""COMPUTED_VALUE"""),43609.7055555555)</f>
        <v>43609.705555555498</v>
      </c>
      <c r="F2260" s="111">
        <f ca="1">IFERROR(__xludf.DUMMYFUNCTION("""COMPUTED_VALUE"""),11)</f>
        <v>11</v>
      </c>
      <c r="G2260" s="112">
        <f ca="1">IFERROR(__xludf.DUMMYFUNCTION("""COMPUTED_VALUE"""),43607.7055555555)</f>
        <v>43607.705555555498</v>
      </c>
      <c r="H2260" s="111">
        <f ca="1">IFERROR(__xludf.DUMMYFUNCTION("""COMPUTED_VALUE"""),26.29)</f>
        <v>26.29</v>
      </c>
      <c r="K2260" s="112">
        <f ca="1">IFERROR(__xludf.DUMMYFUNCTION("""COMPUTED_VALUE"""),44054.7055555555)</f>
        <v>44054.705555555498</v>
      </c>
      <c r="L2260" s="111">
        <f ca="1">IFERROR(__xludf.DUMMYFUNCTION("""COMPUTED_VALUE"""),20.25)</f>
        <v>20.25</v>
      </c>
      <c r="M2260" s="112">
        <f ca="1">IFERROR(__xludf.DUMMYFUNCTION("""COMPUTED_VALUE"""),43515.7055555555)</f>
        <v>43515.705555555498</v>
      </c>
      <c r="N2260" s="111">
        <f ca="1">IFERROR(__xludf.DUMMYFUNCTION("""COMPUTED_VALUE"""),31.22)</f>
        <v>31.22</v>
      </c>
      <c r="O2260" s="112">
        <f ca="1">IFERROR(__xludf.DUMMYFUNCTION("""COMPUTED_VALUE"""),43593.7055555555)</f>
        <v>43593.705555555498</v>
      </c>
      <c r="P2260" s="111">
        <f ca="1">IFERROR(__xludf.DUMMYFUNCTION("""COMPUTED_VALUE"""),49)</f>
        <v>49</v>
      </c>
      <c r="Q2260" s="112">
        <f ca="1">IFERROR(__xludf.DUMMYFUNCTION("""COMPUTED_VALUE"""),43592.7055555555)</f>
        <v>43592.705555555498</v>
      </c>
      <c r="R2260" s="111">
        <f ca="1">IFERROR(__xludf.DUMMYFUNCTION("""COMPUTED_VALUE"""),49.49)</f>
        <v>49.49</v>
      </c>
      <c r="S2260" s="112">
        <f ca="1">IFERROR(__xludf.DUMMYFUNCTION("""COMPUTED_VALUE"""),43605.7055555555)</f>
        <v>43605.705555555498</v>
      </c>
      <c r="T2260" s="111">
        <f ca="1">IFERROR(__xludf.DUMMYFUNCTION("""COMPUTED_VALUE"""),37.16)</f>
        <v>37.159999999999997</v>
      </c>
    </row>
    <row r="2261" spans="1:20" x14ac:dyDescent="0.3">
      <c r="A2261" s="112">
        <f ca="1">IFERROR(__xludf.DUMMYFUNCTION("""COMPUTED_VALUE"""),43601.7055555555)</f>
        <v>43601.705555555498</v>
      </c>
      <c r="B2261" s="111">
        <f ca="1">IFERROR(__xludf.DUMMYFUNCTION("""COMPUTED_VALUE"""),30.69)</f>
        <v>30.69</v>
      </c>
      <c r="C2261" s="112">
        <f ca="1">IFERROR(__xludf.DUMMYFUNCTION("""COMPUTED_VALUE"""),43609.7055555555)</f>
        <v>43609.705555555498</v>
      </c>
      <c r="D2261" s="111">
        <f ca="1">IFERROR(__xludf.DUMMYFUNCTION("""COMPUTED_VALUE"""),33.03)</f>
        <v>33.03</v>
      </c>
      <c r="E2261" s="112">
        <f ca="1">IFERROR(__xludf.DUMMYFUNCTION("""COMPUTED_VALUE"""),43612.7055555555)</f>
        <v>43612.705555555498</v>
      </c>
      <c r="F2261" s="111">
        <f ca="1">IFERROR(__xludf.DUMMYFUNCTION("""COMPUTED_VALUE"""),11.03)</f>
        <v>11.03</v>
      </c>
      <c r="G2261" s="112">
        <f ca="1">IFERROR(__xludf.DUMMYFUNCTION("""COMPUTED_VALUE"""),43608.7055555555)</f>
        <v>43608.705555555498</v>
      </c>
      <c r="H2261" s="111">
        <f ca="1">IFERROR(__xludf.DUMMYFUNCTION("""COMPUTED_VALUE"""),25.84)</f>
        <v>25.84</v>
      </c>
      <c r="K2261" s="112">
        <f ca="1">IFERROR(__xludf.DUMMYFUNCTION("""COMPUTED_VALUE"""),44055.7055555555)</f>
        <v>44055.705555555498</v>
      </c>
      <c r="L2261" s="111">
        <f ca="1">IFERROR(__xludf.DUMMYFUNCTION("""COMPUTED_VALUE"""),20.02)</f>
        <v>20.02</v>
      </c>
      <c r="M2261" s="112">
        <f ca="1">IFERROR(__xludf.DUMMYFUNCTION("""COMPUTED_VALUE"""),43516.7055555555)</f>
        <v>43516.705555555498</v>
      </c>
      <c r="N2261" s="111">
        <f ca="1">IFERROR(__xludf.DUMMYFUNCTION("""COMPUTED_VALUE"""),30.7)</f>
        <v>30.7</v>
      </c>
      <c r="O2261" s="112">
        <f ca="1">IFERROR(__xludf.DUMMYFUNCTION("""COMPUTED_VALUE"""),43594.7055555555)</f>
        <v>43594.705555555498</v>
      </c>
      <c r="P2261" s="111">
        <f ca="1">IFERROR(__xludf.DUMMYFUNCTION("""COMPUTED_VALUE"""),48.54)</f>
        <v>48.54</v>
      </c>
      <c r="Q2261" s="112">
        <f ca="1">IFERROR(__xludf.DUMMYFUNCTION("""COMPUTED_VALUE"""),43593.7055555555)</f>
        <v>43593.705555555498</v>
      </c>
      <c r="R2261" s="111">
        <f ca="1">IFERROR(__xludf.DUMMYFUNCTION("""COMPUTED_VALUE"""),50.59)</f>
        <v>50.59</v>
      </c>
      <c r="S2261" s="112">
        <f ca="1">IFERROR(__xludf.DUMMYFUNCTION("""COMPUTED_VALUE"""),43606.7055555555)</f>
        <v>43606.705555555498</v>
      </c>
      <c r="T2261" s="111">
        <f ca="1">IFERROR(__xludf.DUMMYFUNCTION("""COMPUTED_VALUE"""),38.18)</f>
        <v>38.18</v>
      </c>
    </row>
    <row r="2262" spans="1:20" x14ac:dyDescent="0.3">
      <c r="A2262" s="112">
        <f ca="1">IFERROR(__xludf.DUMMYFUNCTION("""COMPUTED_VALUE"""),43602.7055555555)</f>
        <v>43602.705555555498</v>
      </c>
      <c r="B2262" s="111">
        <f ca="1">IFERROR(__xludf.DUMMYFUNCTION("""COMPUTED_VALUE"""),30.27)</f>
        <v>30.27</v>
      </c>
      <c r="C2262" s="112">
        <f ca="1">IFERROR(__xludf.DUMMYFUNCTION("""COMPUTED_VALUE"""),43612.7055555555)</f>
        <v>43612.705555555498</v>
      </c>
      <c r="D2262" s="111">
        <f ca="1">IFERROR(__xludf.DUMMYFUNCTION("""COMPUTED_VALUE"""),33.15)</f>
        <v>33.15</v>
      </c>
      <c r="E2262" s="112">
        <f ca="1">IFERROR(__xludf.DUMMYFUNCTION("""COMPUTED_VALUE"""),43613.7055555555)</f>
        <v>43613.705555555498</v>
      </c>
      <c r="F2262" s="111">
        <f ca="1">IFERROR(__xludf.DUMMYFUNCTION("""COMPUTED_VALUE"""),11.3)</f>
        <v>11.3</v>
      </c>
      <c r="G2262" s="112">
        <f ca="1">IFERROR(__xludf.DUMMYFUNCTION("""COMPUTED_VALUE"""),43609.7055555555)</f>
        <v>43609.705555555498</v>
      </c>
      <c r="H2262" s="111">
        <f ca="1">IFERROR(__xludf.DUMMYFUNCTION("""COMPUTED_VALUE"""),26.09)</f>
        <v>26.09</v>
      </c>
      <c r="K2262" s="112">
        <f ca="1">IFERROR(__xludf.DUMMYFUNCTION("""COMPUTED_VALUE"""),44056.7055555555)</f>
        <v>44056.705555555498</v>
      </c>
      <c r="L2262" s="111">
        <f ca="1">IFERROR(__xludf.DUMMYFUNCTION("""COMPUTED_VALUE"""),20.12)</f>
        <v>20.12</v>
      </c>
      <c r="M2262" s="112">
        <f ca="1">IFERROR(__xludf.DUMMYFUNCTION("""COMPUTED_VALUE"""),43517.7055555555)</f>
        <v>43517.705555555498</v>
      </c>
      <c r="N2262" s="111">
        <f ca="1">IFERROR(__xludf.DUMMYFUNCTION("""COMPUTED_VALUE"""),30.97)</f>
        <v>30.97</v>
      </c>
      <c r="O2262" s="112">
        <f ca="1">IFERROR(__xludf.DUMMYFUNCTION("""COMPUTED_VALUE"""),43595.7055555555)</f>
        <v>43595.705555555498</v>
      </c>
      <c r="P2262" s="111">
        <f ca="1">IFERROR(__xludf.DUMMYFUNCTION("""COMPUTED_VALUE"""),49.46)</f>
        <v>49.46</v>
      </c>
      <c r="Q2262" s="112">
        <f ca="1">IFERROR(__xludf.DUMMYFUNCTION("""COMPUTED_VALUE"""),43594.7055555555)</f>
        <v>43594.705555555498</v>
      </c>
      <c r="R2262" s="111">
        <f ca="1">IFERROR(__xludf.DUMMYFUNCTION("""COMPUTED_VALUE"""),51.03)</f>
        <v>51.03</v>
      </c>
      <c r="S2262" s="112">
        <f ca="1">IFERROR(__xludf.DUMMYFUNCTION("""COMPUTED_VALUE"""),43607.7055555555)</f>
        <v>43607.705555555498</v>
      </c>
      <c r="T2262" s="111">
        <f ca="1">IFERROR(__xludf.DUMMYFUNCTION("""COMPUTED_VALUE"""),37.67)</f>
        <v>37.67</v>
      </c>
    </row>
    <row r="2263" spans="1:20" x14ac:dyDescent="0.3">
      <c r="A2263" s="112">
        <f ca="1">IFERROR(__xludf.DUMMYFUNCTION("""COMPUTED_VALUE"""),43605.7055555555)</f>
        <v>43605.705555555498</v>
      </c>
      <c r="B2263" s="111">
        <f ca="1">IFERROR(__xludf.DUMMYFUNCTION("""COMPUTED_VALUE"""),31.66)</f>
        <v>31.66</v>
      </c>
      <c r="C2263" s="112">
        <f ca="1">IFERROR(__xludf.DUMMYFUNCTION("""COMPUTED_VALUE"""),43613.7055555555)</f>
        <v>43613.705555555498</v>
      </c>
      <c r="D2263" s="111">
        <f ca="1">IFERROR(__xludf.DUMMYFUNCTION("""COMPUTED_VALUE"""),34.08)</f>
        <v>34.08</v>
      </c>
      <c r="E2263" s="112">
        <f ca="1">IFERROR(__xludf.DUMMYFUNCTION("""COMPUTED_VALUE"""),43614.7055555555)</f>
        <v>43614.705555555498</v>
      </c>
      <c r="F2263" s="111">
        <f ca="1">IFERROR(__xludf.DUMMYFUNCTION("""COMPUTED_VALUE"""),11.58)</f>
        <v>11.58</v>
      </c>
      <c r="G2263" s="112">
        <f ca="1">IFERROR(__xludf.DUMMYFUNCTION("""COMPUTED_VALUE"""),43612.7055555555)</f>
        <v>43612.705555555498</v>
      </c>
      <c r="H2263" s="111">
        <f ca="1">IFERROR(__xludf.DUMMYFUNCTION("""COMPUTED_VALUE"""),26.24)</f>
        <v>26.24</v>
      </c>
      <c r="K2263" s="112">
        <f ca="1">IFERROR(__xludf.DUMMYFUNCTION("""COMPUTED_VALUE"""),44057.7055555555)</f>
        <v>44057.705555555498</v>
      </c>
      <c r="L2263" s="111">
        <f ca="1">IFERROR(__xludf.DUMMYFUNCTION("""COMPUTED_VALUE"""),20.45)</f>
        <v>20.45</v>
      </c>
      <c r="M2263" s="112">
        <f ca="1">IFERROR(__xludf.DUMMYFUNCTION("""COMPUTED_VALUE"""),43518.7055555555)</f>
        <v>43518.705555555498</v>
      </c>
      <c r="N2263" s="111">
        <f ca="1">IFERROR(__xludf.DUMMYFUNCTION("""COMPUTED_VALUE"""),30.72)</f>
        <v>30.72</v>
      </c>
      <c r="O2263" s="112">
        <f ca="1">IFERROR(__xludf.DUMMYFUNCTION("""COMPUTED_VALUE"""),43598.7055555555)</f>
        <v>43598.705555555498</v>
      </c>
      <c r="P2263" s="111">
        <f ca="1">IFERROR(__xludf.DUMMYFUNCTION("""COMPUTED_VALUE"""),47.43)</f>
        <v>47.43</v>
      </c>
      <c r="Q2263" s="112">
        <f ca="1">IFERROR(__xludf.DUMMYFUNCTION("""COMPUTED_VALUE"""),43595.7055555555)</f>
        <v>43595.705555555498</v>
      </c>
      <c r="R2263" s="111">
        <f ca="1">IFERROR(__xludf.DUMMYFUNCTION("""COMPUTED_VALUE"""),50.16)</f>
        <v>50.16</v>
      </c>
      <c r="S2263" s="112">
        <f ca="1">IFERROR(__xludf.DUMMYFUNCTION("""COMPUTED_VALUE"""),43608.7055555555)</f>
        <v>43608.705555555498</v>
      </c>
      <c r="T2263" s="111">
        <f ca="1">IFERROR(__xludf.DUMMYFUNCTION("""COMPUTED_VALUE"""),37.55)</f>
        <v>37.549999999999997</v>
      </c>
    </row>
    <row r="2264" spans="1:20" x14ac:dyDescent="0.3">
      <c r="A2264" s="112">
        <f ca="1">IFERROR(__xludf.DUMMYFUNCTION("""COMPUTED_VALUE"""),43606.7055555555)</f>
        <v>43606.705555555498</v>
      </c>
      <c r="B2264" s="111">
        <f ca="1">IFERROR(__xludf.DUMMYFUNCTION("""COMPUTED_VALUE"""),33.23)</f>
        <v>33.229999999999997</v>
      </c>
      <c r="C2264" s="112">
        <f ca="1">IFERROR(__xludf.DUMMYFUNCTION("""COMPUTED_VALUE"""),43614.7055555555)</f>
        <v>43614.705555555498</v>
      </c>
      <c r="D2264" s="111">
        <f ca="1">IFERROR(__xludf.DUMMYFUNCTION("""COMPUTED_VALUE"""),34.72)</f>
        <v>34.72</v>
      </c>
      <c r="E2264" s="112">
        <f ca="1">IFERROR(__xludf.DUMMYFUNCTION("""COMPUTED_VALUE"""),43615.7055555555)</f>
        <v>43615.705555555498</v>
      </c>
      <c r="F2264" s="111">
        <f ca="1">IFERROR(__xludf.DUMMYFUNCTION("""COMPUTED_VALUE"""),11.74)</f>
        <v>11.74</v>
      </c>
      <c r="G2264" s="112">
        <f ca="1">IFERROR(__xludf.DUMMYFUNCTION("""COMPUTED_VALUE"""),43613.7055555555)</f>
        <v>43613.705555555498</v>
      </c>
      <c r="H2264" s="111">
        <f ca="1">IFERROR(__xludf.DUMMYFUNCTION("""COMPUTED_VALUE"""),26.8)</f>
        <v>26.8</v>
      </c>
      <c r="K2264" s="112">
        <f ca="1">IFERROR(__xludf.DUMMYFUNCTION("""COMPUTED_VALUE"""),44060.7055555555)</f>
        <v>44060.705555555498</v>
      </c>
      <c r="L2264" s="111">
        <f ca="1">IFERROR(__xludf.DUMMYFUNCTION("""COMPUTED_VALUE"""),20.42)</f>
        <v>20.420000000000002</v>
      </c>
      <c r="M2264" s="112">
        <f ca="1">IFERROR(__xludf.DUMMYFUNCTION("""COMPUTED_VALUE"""),43521.7055555555)</f>
        <v>43521.705555555498</v>
      </c>
      <c r="N2264" s="111">
        <f ca="1">IFERROR(__xludf.DUMMYFUNCTION("""COMPUTED_VALUE"""),30.41)</f>
        <v>30.41</v>
      </c>
      <c r="O2264" s="112">
        <f ca="1">IFERROR(__xludf.DUMMYFUNCTION("""COMPUTED_VALUE"""),43599.7055555555)</f>
        <v>43599.705555555498</v>
      </c>
      <c r="P2264" s="111">
        <f ca="1">IFERROR(__xludf.DUMMYFUNCTION("""COMPUTED_VALUE"""),47.59)</f>
        <v>47.59</v>
      </c>
      <c r="Q2264" s="112">
        <f ca="1">IFERROR(__xludf.DUMMYFUNCTION("""COMPUTED_VALUE"""),43598.7055555555)</f>
        <v>43598.705555555498</v>
      </c>
      <c r="R2264" s="111">
        <f ca="1">IFERROR(__xludf.DUMMYFUNCTION("""COMPUTED_VALUE"""),48.37)</f>
        <v>48.37</v>
      </c>
      <c r="S2264" s="112">
        <f ca="1">IFERROR(__xludf.DUMMYFUNCTION("""COMPUTED_VALUE"""),43609.7055555555)</f>
        <v>43609.705555555498</v>
      </c>
      <c r="T2264" s="111">
        <f ca="1">IFERROR(__xludf.DUMMYFUNCTION("""COMPUTED_VALUE"""),37.27)</f>
        <v>37.270000000000003</v>
      </c>
    </row>
    <row r="2265" spans="1:20" x14ac:dyDescent="0.3">
      <c r="A2265" s="112">
        <f ca="1">IFERROR(__xludf.DUMMYFUNCTION("""COMPUTED_VALUE"""),43607.7055555555)</f>
        <v>43607.705555555498</v>
      </c>
      <c r="B2265" s="111">
        <f ca="1">IFERROR(__xludf.DUMMYFUNCTION("""COMPUTED_VALUE"""),32.63)</f>
        <v>32.630000000000003</v>
      </c>
      <c r="C2265" s="112">
        <f ca="1">IFERROR(__xludf.DUMMYFUNCTION("""COMPUTED_VALUE"""),43615.7055555555)</f>
        <v>43615.705555555498</v>
      </c>
      <c r="D2265" s="111">
        <f ca="1">IFERROR(__xludf.DUMMYFUNCTION("""COMPUTED_VALUE"""),35.08)</f>
        <v>35.08</v>
      </c>
      <c r="E2265" s="112">
        <f ca="1">IFERROR(__xludf.DUMMYFUNCTION("""COMPUTED_VALUE"""),43616.7055555555)</f>
        <v>43616.705555555498</v>
      </c>
      <c r="F2265" s="111">
        <f ca="1">IFERROR(__xludf.DUMMYFUNCTION("""COMPUTED_VALUE"""),11.8)</f>
        <v>11.8</v>
      </c>
      <c r="G2265" s="112">
        <f ca="1">IFERROR(__xludf.DUMMYFUNCTION("""COMPUTED_VALUE"""),43614.7055555555)</f>
        <v>43614.705555555498</v>
      </c>
      <c r="H2265" s="111">
        <f ca="1">IFERROR(__xludf.DUMMYFUNCTION("""COMPUTED_VALUE"""),26.5)</f>
        <v>26.5</v>
      </c>
      <c r="K2265" s="112">
        <f ca="1">IFERROR(__xludf.DUMMYFUNCTION("""COMPUTED_VALUE"""),44061.7055555555)</f>
        <v>44061.705555555498</v>
      </c>
      <c r="L2265" s="111">
        <f ca="1">IFERROR(__xludf.DUMMYFUNCTION("""COMPUTED_VALUE"""),22.38)</f>
        <v>22.38</v>
      </c>
      <c r="M2265" s="112">
        <f ca="1">IFERROR(__xludf.DUMMYFUNCTION("""COMPUTED_VALUE"""),43522.7055555555)</f>
        <v>43522.705555555498</v>
      </c>
      <c r="N2265" s="111">
        <f ca="1">IFERROR(__xludf.DUMMYFUNCTION("""COMPUTED_VALUE"""),30.95)</f>
        <v>30.95</v>
      </c>
      <c r="O2265" s="112">
        <f ca="1">IFERROR(__xludf.DUMMYFUNCTION("""COMPUTED_VALUE"""),43600.7055555555)</f>
        <v>43600.705555555498</v>
      </c>
      <c r="P2265" s="111">
        <f ca="1">IFERROR(__xludf.DUMMYFUNCTION("""COMPUTED_VALUE"""),47.95)</f>
        <v>47.95</v>
      </c>
      <c r="Q2265" s="112">
        <f ca="1">IFERROR(__xludf.DUMMYFUNCTION("""COMPUTED_VALUE"""),43599.7055555555)</f>
        <v>43599.705555555498</v>
      </c>
      <c r="R2265" s="111">
        <f ca="1">IFERROR(__xludf.DUMMYFUNCTION("""COMPUTED_VALUE"""),47.9)</f>
        <v>47.9</v>
      </c>
      <c r="S2265" s="112">
        <f ca="1">IFERROR(__xludf.DUMMYFUNCTION("""COMPUTED_VALUE"""),43612.7055555555)</f>
        <v>43612.705555555498</v>
      </c>
      <c r="T2265" s="111">
        <f ca="1">IFERROR(__xludf.DUMMYFUNCTION("""COMPUTED_VALUE"""),37.8)</f>
        <v>37.799999999999997</v>
      </c>
    </row>
    <row r="2266" spans="1:20" x14ac:dyDescent="0.3">
      <c r="A2266" s="112">
        <f ca="1">IFERROR(__xludf.DUMMYFUNCTION("""COMPUTED_VALUE"""),43608.7055555555)</f>
        <v>43608.705555555498</v>
      </c>
      <c r="B2266" s="111">
        <f ca="1">IFERROR(__xludf.DUMMYFUNCTION("""COMPUTED_VALUE"""),32.39)</f>
        <v>32.39</v>
      </c>
      <c r="C2266" s="112">
        <f ca="1">IFERROR(__xludf.DUMMYFUNCTION("""COMPUTED_VALUE"""),43616.7055555555)</f>
        <v>43616.705555555498</v>
      </c>
      <c r="D2266" s="111">
        <f ca="1">IFERROR(__xludf.DUMMYFUNCTION("""COMPUTED_VALUE"""),35)</f>
        <v>35</v>
      </c>
      <c r="E2266" s="112">
        <f ca="1">IFERROR(__xludf.DUMMYFUNCTION("""COMPUTED_VALUE"""),43619.7055555555)</f>
        <v>43619.705555555498</v>
      </c>
      <c r="F2266" s="111">
        <f ca="1">IFERROR(__xludf.DUMMYFUNCTION("""COMPUTED_VALUE"""),11.83)</f>
        <v>11.83</v>
      </c>
      <c r="G2266" s="112">
        <f ca="1">IFERROR(__xludf.DUMMYFUNCTION("""COMPUTED_VALUE"""),43615.7055555555)</f>
        <v>43615.705555555498</v>
      </c>
      <c r="H2266" s="111">
        <f ca="1">IFERROR(__xludf.DUMMYFUNCTION("""COMPUTED_VALUE"""),26.15)</f>
        <v>26.15</v>
      </c>
      <c r="K2266" s="112">
        <f ca="1">IFERROR(__xludf.DUMMYFUNCTION("""COMPUTED_VALUE"""),44062.7055555555)</f>
        <v>44062.705555555498</v>
      </c>
      <c r="L2266" s="111">
        <f ca="1">IFERROR(__xludf.DUMMYFUNCTION("""COMPUTED_VALUE"""),22.43)</f>
        <v>22.43</v>
      </c>
      <c r="M2266" s="112">
        <f ca="1">IFERROR(__xludf.DUMMYFUNCTION("""COMPUTED_VALUE"""),43523.7055555555)</f>
        <v>43523.705555555498</v>
      </c>
      <c r="N2266" s="111">
        <f ca="1">IFERROR(__xludf.DUMMYFUNCTION("""COMPUTED_VALUE"""),30.61)</f>
        <v>30.61</v>
      </c>
      <c r="O2266" s="112">
        <f ca="1">IFERROR(__xludf.DUMMYFUNCTION("""COMPUTED_VALUE"""),43601.7055555555)</f>
        <v>43601.705555555498</v>
      </c>
      <c r="P2266" s="111">
        <f ca="1">IFERROR(__xludf.DUMMYFUNCTION("""COMPUTED_VALUE"""),46.4)</f>
        <v>46.4</v>
      </c>
      <c r="Q2266" s="112">
        <f ca="1">IFERROR(__xludf.DUMMYFUNCTION("""COMPUTED_VALUE"""),43600.7055555555)</f>
        <v>43600.705555555498</v>
      </c>
      <c r="R2266" s="111">
        <f ca="1">IFERROR(__xludf.DUMMYFUNCTION("""COMPUTED_VALUE"""),47.11)</f>
        <v>47.11</v>
      </c>
      <c r="S2266" s="112">
        <f ca="1">IFERROR(__xludf.DUMMYFUNCTION("""COMPUTED_VALUE"""),43613.7055555555)</f>
        <v>43613.705555555498</v>
      </c>
      <c r="T2266" s="111">
        <f ca="1">IFERROR(__xludf.DUMMYFUNCTION("""COMPUTED_VALUE"""),39.15)</f>
        <v>39.15</v>
      </c>
    </row>
    <row r="2267" spans="1:20" x14ac:dyDescent="0.3">
      <c r="A2267" s="112">
        <f ca="1">IFERROR(__xludf.DUMMYFUNCTION("""COMPUTED_VALUE"""),43609.7055555555)</f>
        <v>43609.705555555498</v>
      </c>
      <c r="B2267" s="111">
        <f ca="1">IFERROR(__xludf.DUMMYFUNCTION("""COMPUTED_VALUE"""),32.66)</f>
        <v>32.659999999999997</v>
      </c>
      <c r="C2267" s="112">
        <f ca="1">IFERROR(__xludf.DUMMYFUNCTION("""COMPUTED_VALUE"""),43619.7055555555)</f>
        <v>43619.705555555498</v>
      </c>
      <c r="D2267" s="111">
        <f ca="1">IFERROR(__xludf.DUMMYFUNCTION("""COMPUTED_VALUE"""),35.08)</f>
        <v>35.08</v>
      </c>
      <c r="E2267" s="112">
        <f ca="1">IFERROR(__xludf.DUMMYFUNCTION("""COMPUTED_VALUE"""),43620.7055555555)</f>
        <v>43620.705555555498</v>
      </c>
      <c r="F2267" s="111">
        <f ca="1">IFERROR(__xludf.DUMMYFUNCTION("""COMPUTED_VALUE"""),11.86)</f>
        <v>11.86</v>
      </c>
      <c r="G2267" s="112">
        <f ca="1">IFERROR(__xludf.DUMMYFUNCTION("""COMPUTED_VALUE"""),43616.7055555555)</f>
        <v>43616.705555555498</v>
      </c>
      <c r="H2267" s="111">
        <f ca="1">IFERROR(__xludf.DUMMYFUNCTION("""COMPUTED_VALUE"""),25.55)</f>
        <v>25.55</v>
      </c>
      <c r="K2267" s="112">
        <f ca="1">IFERROR(__xludf.DUMMYFUNCTION("""COMPUTED_VALUE"""),44063.7055555555)</f>
        <v>44063.705555555498</v>
      </c>
      <c r="L2267" s="111">
        <f ca="1">IFERROR(__xludf.DUMMYFUNCTION("""COMPUTED_VALUE"""),21.84)</f>
        <v>21.84</v>
      </c>
      <c r="M2267" s="112">
        <f ca="1">IFERROR(__xludf.DUMMYFUNCTION("""COMPUTED_VALUE"""),43524.7055555555)</f>
        <v>43524.705555555498</v>
      </c>
      <c r="N2267" s="111">
        <f ca="1">IFERROR(__xludf.DUMMYFUNCTION("""COMPUTED_VALUE"""),29.8)</f>
        <v>29.8</v>
      </c>
      <c r="O2267" s="112">
        <f ca="1">IFERROR(__xludf.DUMMYFUNCTION("""COMPUTED_VALUE"""),43602.7055555555)</f>
        <v>43602.705555555498</v>
      </c>
      <c r="P2267" s="111">
        <f ca="1">IFERROR(__xludf.DUMMYFUNCTION("""COMPUTED_VALUE"""),47.72)</f>
        <v>47.72</v>
      </c>
      <c r="Q2267" s="112">
        <f ca="1">IFERROR(__xludf.DUMMYFUNCTION("""COMPUTED_VALUE"""),43601.7055555555)</f>
        <v>43601.705555555498</v>
      </c>
      <c r="R2267" s="111">
        <f ca="1">IFERROR(__xludf.DUMMYFUNCTION("""COMPUTED_VALUE"""),45.64)</f>
        <v>45.64</v>
      </c>
      <c r="S2267" s="112">
        <f ca="1">IFERROR(__xludf.DUMMYFUNCTION("""COMPUTED_VALUE"""),43614.7055555555)</f>
        <v>43614.705555555498</v>
      </c>
      <c r="T2267" s="111">
        <f ca="1">IFERROR(__xludf.DUMMYFUNCTION("""COMPUTED_VALUE"""),39.18)</f>
        <v>39.18</v>
      </c>
    </row>
    <row r="2268" spans="1:20" x14ac:dyDescent="0.3">
      <c r="A2268" s="112">
        <f ca="1">IFERROR(__xludf.DUMMYFUNCTION("""COMPUTED_VALUE"""),43612.7055555555)</f>
        <v>43612.705555555498</v>
      </c>
      <c r="B2268" s="111">
        <f ca="1">IFERROR(__xludf.DUMMYFUNCTION("""COMPUTED_VALUE"""),33.02)</f>
        <v>33.020000000000003</v>
      </c>
      <c r="C2268" s="112">
        <f ca="1">IFERROR(__xludf.DUMMYFUNCTION("""COMPUTED_VALUE"""),43620.7055555555)</f>
        <v>43620.705555555498</v>
      </c>
      <c r="D2268" s="111">
        <f ca="1">IFERROR(__xludf.DUMMYFUNCTION("""COMPUTED_VALUE"""),35.02)</f>
        <v>35.020000000000003</v>
      </c>
      <c r="E2268" s="112">
        <f ca="1">IFERROR(__xludf.DUMMYFUNCTION("""COMPUTED_VALUE"""),43621.7055555555)</f>
        <v>43621.705555555498</v>
      </c>
      <c r="F2268" s="111">
        <f ca="1">IFERROR(__xludf.DUMMYFUNCTION("""COMPUTED_VALUE"""),11.57)</f>
        <v>11.57</v>
      </c>
      <c r="G2268" s="112">
        <f ca="1">IFERROR(__xludf.DUMMYFUNCTION("""COMPUTED_VALUE"""),43619.7055555555)</f>
        <v>43619.705555555498</v>
      </c>
      <c r="H2268" s="111">
        <f ca="1">IFERROR(__xludf.DUMMYFUNCTION("""COMPUTED_VALUE"""),25.99)</f>
        <v>25.99</v>
      </c>
      <c r="K2268" s="112">
        <f ca="1">IFERROR(__xludf.DUMMYFUNCTION("""COMPUTED_VALUE"""),44064.7055555555)</f>
        <v>44064.705555555498</v>
      </c>
      <c r="L2268" s="111">
        <f ca="1">IFERROR(__xludf.DUMMYFUNCTION("""COMPUTED_VALUE"""),21.84)</f>
        <v>21.84</v>
      </c>
      <c r="M2268" s="112">
        <f ca="1">IFERROR(__xludf.DUMMYFUNCTION("""COMPUTED_VALUE"""),43525.7055555555)</f>
        <v>43525.705555555498</v>
      </c>
      <c r="N2268" s="111">
        <f ca="1">IFERROR(__xludf.DUMMYFUNCTION("""COMPUTED_VALUE"""),29.3)</f>
        <v>29.3</v>
      </c>
      <c r="O2268" s="112">
        <f ca="1">IFERROR(__xludf.DUMMYFUNCTION("""COMPUTED_VALUE"""),43605.7055555555)</f>
        <v>43605.705555555498</v>
      </c>
      <c r="P2268" s="111">
        <f ca="1">IFERROR(__xludf.DUMMYFUNCTION("""COMPUTED_VALUE"""),46.75)</f>
        <v>46.75</v>
      </c>
      <c r="Q2268" s="112">
        <f ca="1">IFERROR(__xludf.DUMMYFUNCTION("""COMPUTED_VALUE"""),43602.7055555555)</f>
        <v>43602.705555555498</v>
      </c>
      <c r="R2268" s="111">
        <f ca="1">IFERROR(__xludf.DUMMYFUNCTION("""COMPUTED_VALUE"""),44.85)</f>
        <v>44.85</v>
      </c>
      <c r="S2268" s="112">
        <f ca="1">IFERROR(__xludf.DUMMYFUNCTION("""COMPUTED_VALUE"""),43615.7055555555)</f>
        <v>43615.705555555498</v>
      </c>
      <c r="T2268" s="111">
        <f ca="1">IFERROR(__xludf.DUMMYFUNCTION("""COMPUTED_VALUE"""),39.95)</f>
        <v>39.950000000000003</v>
      </c>
    </row>
    <row r="2269" spans="1:20" x14ac:dyDescent="0.3">
      <c r="A2269" s="112">
        <f ca="1">IFERROR(__xludf.DUMMYFUNCTION("""COMPUTED_VALUE"""),43613.7055555555)</f>
        <v>43613.705555555498</v>
      </c>
      <c r="B2269" s="111">
        <f ca="1">IFERROR(__xludf.DUMMYFUNCTION("""COMPUTED_VALUE"""),33.08)</f>
        <v>33.08</v>
      </c>
      <c r="C2269" s="112">
        <f ca="1">IFERROR(__xludf.DUMMYFUNCTION("""COMPUTED_VALUE"""),43621.7055555555)</f>
        <v>43621.705555555498</v>
      </c>
      <c r="D2269" s="111">
        <f ca="1">IFERROR(__xludf.DUMMYFUNCTION("""COMPUTED_VALUE"""),34.34)</f>
        <v>34.340000000000003</v>
      </c>
      <c r="E2269" s="112">
        <f ca="1">IFERROR(__xludf.DUMMYFUNCTION("""COMPUTED_VALUE"""),43622.7055555555)</f>
        <v>43622.705555555498</v>
      </c>
      <c r="F2269" s="111">
        <f ca="1">IFERROR(__xludf.DUMMYFUNCTION("""COMPUTED_VALUE"""),11.7)</f>
        <v>11.7</v>
      </c>
      <c r="G2269" s="112">
        <f ca="1">IFERROR(__xludf.DUMMYFUNCTION("""COMPUTED_VALUE"""),43620.7055555555)</f>
        <v>43620.705555555498</v>
      </c>
      <c r="H2269" s="111">
        <f ca="1">IFERROR(__xludf.DUMMYFUNCTION("""COMPUTED_VALUE"""),26.2)</f>
        <v>26.2</v>
      </c>
      <c r="K2269" s="112">
        <f ca="1">IFERROR(__xludf.DUMMYFUNCTION("""COMPUTED_VALUE"""),44067.7055555555)</f>
        <v>44067.705555555498</v>
      </c>
      <c r="L2269" s="111">
        <f ca="1">IFERROR(__xludf.DUMMYFUNCTION("""COMPUTED_VALUE"""),21.78)</f>
        <v>21.78</v>
      </c>
      <c r="M2269" s="112">
        <f ca="1">IFERROR(__xludf.DUMMYFUNCTION("""COMPUTED_VALUE"""),43530.7055555555)</f>
        <v>43530.705555555498</v>
      </c>
      <c r="N2269" s="111">
        <f ca="1">IFERROR(__xludf.DUMMYFUNCTION("""COMPUTED_VALUE"""),29.07)</f>
        <v>29.07</v>
      </c>
      <c r="O2269" s="112">
        <f ca="1">IFERROR(__xludf.DUMMYFUNCTION("""COMPUTED_VALUE"""),43606.7055555555)</f>
        <v>43606.705555555498</v>
      </c>
      <c r="P2269" s="111">
        <f ca="1">IFERROR(__xludf.DUMMYFUNCTION("""COMPUTED_VALUE"""),47.41)</f>
        <v>47.41</v>
      </c>
      <c r="Q2269" s="112">
        <f ca="1">IFERROR(__xludf.DUMMYFUNCTION("""COMPUTED_VALUE"""),43605.7055555555)</f>
        <v>43605.705555555498</v>
      </c>
      <c r="R2269" s="111">
        <f ca="1">IFERROR(__xludf.DUMMYFUNCTION("""COMPUTED_VALUE"""),46.57)</f>
        <v>46.57</v>
      </c>
      <c r="S2269" s="112">
        <f ca="1">IFERROR(__xludf.DUMMYFUNCTION("""COMPUTED_VALUE"""),43616.7055555555)</f>
        <v>43616.705555555498</v>
      </c>
      <c r="T2269" s="111">
        <f ca="1">IFERROR(__xludf.DUMMYFUNCTION("""COMPUTED_VALUE"""),40.04)</f>
        <v>40.04</v>
      </c>
    </row>
    <row r="2270" spans="1:20" x14ac:dyDescent="0.3">
      <c r="A2270" s="112">
        <f ca="1">IFERROR(__xludf.DUMMYFUNCTION("""COMPUTED_VALUE"""),43614.7055555555)</f>
        <v>43614.705555555498</v>
      </c>
      <c r="B2270" s="111">
        <f ca="1">IFERROR(__xludf.DUMMYFUNCTION("""COMPUTED_VALUE"""),33.27)</f>
        <v>33.270000000000003</v>
      </c>
      <c r="C2270" s="112">
        <f ca="1">IFERROR(__xludf.DUMMYFUNCTION("""COMPUTED_VALUE"""),43622.7055555555)</f>
        <v>43622.705555555498</v>
      </c>
      <c r="D2270" s="111">
        <f ca="1">IFERROR(__xludf.DUMMYFUNCTION("""COMPUTED_VALUE"""),34.7)</f>
        <v>34.700000000000003</v>
      </c>
      <c r="E2270" s="112">
        <f ca="1">IFERROR(__xludf.DUMMYFUNCTION("""COMPUTED_VALUE"""),43623.7055555555)</f>
        <v>43623.705555555498</v>
      </c>
      <c r="F2270" s="111">
        <f ca="1">IFERROR(__xludf.DUMMYFUNCTION("""COMPUTED_VALUE"""),11.81)</f>
        <v>11.81</v>
      </c>
      <c r="G2270" s="112">
        <f ca="1">IFERROR(__xludf.DUMMYFUNCTION("""COMPUTED_VALUE"""),43621.7055555555)</f>
        <v>43621.705555555498</v>
      </c>
      <c r="H2270" s="111">
        <f ca="1">IFERROR(__xludf.DUMMYFUNCTION("""COMPUTED_VALUE"""),25.86)</f>
        <v>25.86</v>
      </c>
      <c r="K2270" s="112">
        <f ca="1">IFERROR(__xludf.DUMMYFUNCTION("""COMPUTED_VALUE"""),44068.7055555555)</f>
        <v>44068.705555555498</v>
      </c>
      <c r="L2270" s="111">
        <f ca="1">IFERROR(__xludf.DUMMYFUNCTION("""COMPUTED_VALUE"""),22.01)</f>
        <v>22.01</v>
      </c>
      <c r="M2270" s="112">
        <f ca="1">IFERROR(__xludf.DUMMYFUNCTION("""COMPUTED_VALUE"""),43531.7055555555)</f>
        <v>43531.705555555498</v>
      </c>
      <c r="N2270" s="111">
        <f ca="1">IFERROR(__xludf.DUMMYFUNCTION("""COMPUTED_VALUE"""),29.28)</f>
        <v>29.28</v>
      </c>
      <c r="O2270" s="112">
        <f ca="1">IFERROR(__xludf.DUMMYFUNCTION("""COMPUTED_VALUE"""),43607.7055555555)</f>
        <v>43607.705555555498</v>
      </c>
      <c r="P2270" s="111">
        <f ca="1">IFERROR(__xludf.DUMMYFUNCTION("""COMPUTED_VALUE"""),47.46)</f>
        <v>47.46</v>
      </c>
      <c r="Q2270" s="112">
        <f ca="1">IFERROR(__xludf.DUMMYFUNCTION("""COMPUTED_VALUE"""),43606.7055555555)</f>
        <v>43606.705555555498</v>
      </c>
      <c r="R2270" s="111">
        <f ca="1">IFERROR(__xludf.DUMMYFUNCTION("""COMPUTED_VALUE"""),49.23)</f>
        <v>49.23</v>
      </c>
      <c r="S2270" s="112">
        <f ca="1">IFERROR(__xludf.DUMMYFUNCTION("""COMPUTED_VALUE"""),43619.7055555555)</f>
        <v>43619.705555555498</v>
      </c>
      <c r="T2270" s="111">
        <f ca="1">IFERROR(__xludf.DUMMYFUNCTION("""COMPUTED_VALUE"""),39.91)</f>
        <v>39.909999999999997</v>
      </c>
    </row>
    <row r="2271" spans="1:20" x14ac:dyDescent="0.3">
      <c r="A2271" s="112">
        <f ca="1">IFERROR(__xludf.DUMMYFUNCTION("""COMPUTED_VALUE"""),43615.7055555555)</f>
        <v>43615.705555555498</v>
      </c>
      <c r="B2271" s="111">
        <f ca="1">IFERROR(__xludf.DUMMYFUNCTION("""COMPUTED_VALUE"""),33.55)</f>
        <v>33.549999999999997</v>
      </c>
      <c r="C2271" s="112">
        <f ca="1">IFERROR(__xludf.DUMMYFUNCTION("""COMPUTED_VALUE"""),43623.7055555555)</f>
        <v>43623.705555555498</v>
      </c>
      <c r="D2271" s="111">
        <f ca="1">IFERROR(__xludf.DUMMYFUNCTION("""COMPUTED_VALUE"""),35.07)</f>
        <v>35.07</v>
      </c>
      <c r="E2271" s="112">
        <f ca="1">IFERROR(__xludf.DUMMYFUNCTION("""COMPUTED_VALUE"""),43626.7055555555)</f>
        <v>43626.705555555498</v>
      </c>
      <c r="F2271" s="111">
        <f ca="1">IFERROR(__xludf.DUMMYFUNCTION("""COMPUTED_VALUE"""),11.63)</f>
        <v>11.63</v>
      </c>
      <c r="G2271" s="112">
        <f ca="1">IFERROR(__xludf.DUMMYFUNCTION("""COMPUTED_VALUE"""),43622.7055555555)</f>
        <v>43622.705555555498</v>
      </c>
      <c r="H2271" s="111">
        <f ca="1">IFERROR(__xludf.DUMMYFUNCTION("""COMPUTED_VALUE"""),26.28)</f>
        <v>26.28</v>
      </c>
      <c r="K2271" s="112">
        <f ca="1">IFERROR(__xludf.DUMMYFUNCTION("""COMPUTED_VALUE"""),44069.7055555555)</f>
        <v>44069.705555555498</v>
      </c>
      <c r="L2271" s="111">
        <f ca="1">IFERROR(__xludf.DUMMYFUNCTION("""COMPUTED_VALUE"""),22.54)</f>
        <v>22.54</v>
      </c>
      <c r="M2271" s="112">
        <f ca="1">IFERROR(__xludf.DUMMYFUNCTION("""COMPUTED_VALUE"""),43532.7055555555)</f>
        <v>43532.705555555498</v>
      </c>
      <c r="N2271" s="111">
        <f ca="1">IFERROR(__xludf.DUMMYFUNCTION("""COMPUTED_VALUE"""),29.68)</f>
        <v>29.68</v>
      </c>
      <c r="O2271" s="112">
        <f ca="1">IFERROR(__xludf.DUMMYFUNCTION("""COMPUTED_VALUE"""),43608.7055555555)</f>
        <v>43608.705555555498</v>
      </c>
      <c r="P2271" s="111">
        <f ca="1">IFERROR(__xludf.DUMMYFUNCTION("""COMPUTED_VALUE"""),47.82)</f>
        <v>47.82</v>
      </c>
      <c r="Q2271" s="112">
        <f ca="1">IFERROR(__xludf.DUMMYFUNCTION("""COMPUTED_VALUE"""),43607.7055555555)</f>
        <v>43607.705555555498</v>
      </c>
      <c r="R2271" s="111">
        <f ca="1">IFERROR(__xludf.DUMMYFUNCTION("""COMPUTED_VALUE"""),48.82)</f>
        <v>48.82</v>
      </c>
      <c r="S2271" s="112">
        <f ca="1">IFERROR(__xludf.DUMMYFUNCTION("""COMPUTED_VALUE"""),43620.7055555555)</f>
        <v>43620.705555555498</v>
      </c>
      <c r="T2271" s="111">
        <f ca="1">IFERROR(__xludf.DUMMYFUNCTION("""COMPUTED_VALUE"""),39.33)</f>
        <v>39.33</v>
      </c>
    </row>
    <row r="2272" spans="1:20" x14ac:dyDescent="0.3">
      <c r="A2272" s="112">
        <f ca="1">IFERROR(__xludf.DUMMYFUNCTION("""COMPUTED_VALUE"""),43616.7055555555)</f>
        <v>43616.705555555498</v>
      </c>
      <c r="B2272" s="111">
        <f ca="1">IFERROR(__xludf.DUMMYFUNCTION("""COMPUTED_VALUE"""),34.03)</f>
        <v>34.03</v>
      </c>
      <c r="C2272" s="112">
        <f ca="1">IFERROR(__xludf.DUMMYFUNCTION("""COMPUTED_VALUE"""),43626.7055555555)</f>
        <v>43626.705555555498</v>
      </c>
      <c r="D2272" s="111">
        <f ca="1">IFERROR(__xludf.DUMMYFUNCTION("""COMPUTED_VALUE"""),34.63)</f>
        <v>34.630000000000003</v>
      </c>
      <c r="E2272" s="112">
        <f ca="1">IFERROR(__xludf.DUMMYFUNCTION("""COMPUTED_VALUE"""),43627.7055555555)</f>
        <v>43627.705555555498</v>
      </c>
      <c r="F2272" s="111">
        <f ca="1">IFERROR(__xludf.DUMMYFUNCTION("""COMPUTED_VALUE"""),11.66)</f>
        <v>11.66</v>
      </c>
      <c r="G2272" s="112">
        <f ca="1">IFERROR(__xludf.DUMMYFUNCTION("""COMPUTED_VALUE"""),43623.7055555555)</f>
        <v>43623.705555555498</v>
      </c>
      <c r="H2272" s="111">
        <f ca="1">IFERROR(__xludf.DUMMYFUNCTION("""COMPUTED_VALUE"""),26.76)</f>
        <v>26.76</v>
      </c>
      <c r="K2272" s="112">
        <f ca="1">IFERROR(__xludf.DUMMYFUNCTION("""COMPUTED_VALUE"""),44070.7055555555)</f>
        <v>44070.705555555498</v>
      </c>
      <c r="L2272" s="111">
        <f ca="1">IFERROR(__xludf.DUMMYFUNCTION("""COMPUTED_VALUE"""),23)</f>
        <v>23</v>
      </c>
      <c r="M2272" s="112">
        <f ca="1">IFERROR(__xludf.DUMMYFUNCTION("""COMPUTED_VALUE"""),43535.7055555555)</f>
        <v>43535.705555555498</v>
      </c>
      <c r="N2272" s="111">
        <f ca="1">IFERROR(__xludf.DUMMYFUNCTION("""COMPUTED_VALUE"""),30.89)</f>
        <v>30.89</v>
      </c>
      <c r="O2272" s="112">
        <f ca="1">IFERROR(__xludf.DUMMYFUNCTION("""COMPUTED_VALUE"""),43609.7055555555)</f>
        <v>43609.705555555498</v>
      </c>
      <c r="P2272" s="111">
        <f ca="1">IFERROR(__xludf.DUMMYFUNCTION("""COMPUTED_VALUE"""),48.31)</f>
        <v>48.31</v>
      </c>
      <c r="Q2272" s="112">
        <f ca="1">IFERROR(__xludf.DUMMYFUNCTION("""COMPUTED_VALUE"""),43608.7055555555)</f>
        <v>43608.705555555498</v>
      </c>
      <c r="R2272" s="111">
        <f ca="1">IFERROR(__xludf.DUMMYFUNCTION("""COMPUTED_VALUE"""),48.9)</f>
        <v>48.9</v>
      </c>
      <c r="S2272" s="112">
        <f ca="1">IFERROR(__xludf.DUMMYFUNCTION("""COMPUTED_VALUE"""),43621.7055555555)</f>
        <v>43621.705555555498</v>
      </c>
      <c r="T2272" s="111">
        <f ca="1">IFERROR(__xludf.DUMMYFUNCTION("""COMPUTED_VALUE"""),38.79)</f>
        <v>38.79</v>
      </c>
    </row>
    <row r="2273" spans="1:20" x14ac:dyDescent="0.3">
      <c r="A2273" s="112">
        <f ca="1">IFERROR(__xludf.DUMMYFUNCTION("""COMPUTED_VALUE"""),43619.7055555555)</f>
        <v>43619.705555555498</v>
      </c>
      <c r="B2273" s="111">
        <f ca="1">IFERROR(__xludf.DUMMYFUNCTION("""COMPUTED_VALUE"""),34.39)</f>
        <v>34.39</v>
      </c>
      <c r="C2273" s="112">
        <f ca="1">IFERROR(__xludf.DUMMYFUNCTION("""COMPUTED_VALUE"""),43627.7055555555)</f>
        <v>43627.705555555498</v>
      </c>
      <c r="D2273" s="111">
        <f ca="1">IFERROR(__xludf.DUMMYFUNCTION("""COMPUTED_VALUE"""),34.8)</f>
        <v>34.799999999999997</v>
      </c>
      <c r="E2273" s="112">
        <f ca="1">IFERROR(__xludf.DUMMYFUNCTION("""COMPUTED_VALUE"""),43628.7055555555)</f>
        <v>43628.705555555498</v>
      </c>
      <c r="F2273" s="111">
        <f ca="1">IFERROR(__xludf.DUMMYFUNCTION("""COMPUTED_VALUE"""),11.6)</f>
        <v>11.6</v>
      </c>
      <c r="G2273" s="112">
        <f ca="1">IFERROR(__xludf.DUMMYFUNCTION("""COMPUTED_VALUE"""),43626.7055555555)</f>
        <v>43626.705555555498</v>
      </c>
      <c r="H2273" s="111">
        <f ca="1">IFERROR(__xludf.DUMMYFUNCTION("""COMPUTED_VALUE"""),26.65)</f>
        <v>26.65</v>
      </c>
      <c r="K2273" s="112">
        <f ca="1">IFERROR(__xludf.DUMMYFUNCTION("""COMPUTED_VALUE"""),44071.7055555555)</f>
        <v>44071.705555555498</v>
      </c>
      <c r="L2273" s="111">
        <f ca="1">IFERROR(__xludf.DUMMYFUNCTION("""COMPUTED_VALUE"""),23.65)</f>
        <v>23.65</v>
      </c>
      <c r="M2273" s="112">
        <f ca="1">IFERROR(__xludf.DUMMYFUNCTION("""COMPUTED_VALUE"""),43536.7055555555)</f>
        <v>43536.705555555498</v>
      </c>
      <c r="N2273" s="111">
        <f ca="1">IFERROR(__xludf.DUMMYFUNCTION("""COMPUTED_VALUE"""),30.98)</f>
        <v>30.98</v>
      </c>
      <c r="O2273" s="112">
        <f ca="1">IFERROR(__xludf.DUMMYFUNCTION("""COMPUTED_VALUE"""),43612.7055555555)</f>
        <v>43612.705555555498</v>
      </c>
      <c r="P2273" s="111">
        <f ca="1">IFERROR(__xludf.DUMMYFUNCTION("""COMPUTED_VALUE"""),50.19)</f>
        <v>50.19</v>
      </c>
      <c r="Q2273" s="112">
        <f ca="1">IFERROR(__xludf.DUMMYFUNCTION("""COMPUTED_VALUE"""),43609.7055555555)</f>
        <v>43609.705555555498</v>
      </c>
      <c r="R2273" s="111">
        <f ca="1">IFERROR(__xludf.DUMMYFUNCTION("""COMPUTED_VALUE"""),49.62)</f>
        <v>49.62</v>
      </c>
      <c r="S2273" s="112">
        <f ca="1">IFERROR(__xludf.DUMMYFUNCTION("""COMPUTED_VALUE"""),43622.7055555555)</f>
        <v>43622.705555555498</v>
      </c>
      <c r="T2273" s="111">
        <f ca="1">IFERROR(__xludf.DUMMYFUNCTION("""COMPUTED_VALUE"""),39.18)</f>
        <v>39.18</v>
      </c>
    </row>
    <row r="2274" spans="1:20" x14ac:dyDescent="0.3">
      <c r="A2274" s="112">
        <f ca="1">IFERROR(__xludf.DUMMYFUNCTION("""COMPUTED_VALUE"""),43620.7055555555)</f>
        <v>43620.705555555498</v>
      </c>
      <c r="B2274" s="111">
        <f ca="1">IFERROR(__xludf.DUMMYFUNCTION("""COMPUTED_VALUE"""),34.81)</f>
        <v>34.81</v>
      </c>
      <c r="C2274" s="112">
        <f ca="1">IFERROR(__xludf.DUMMYFUNCTION("""COMPUTED_VALUE"""),43628.7055555555)</f>
        <v>43628.705555555498</v>
      </c>
      <c r="D2274" s="111">
        <f ca="1">IFERROR(__xludf.DUMMYFUNCTION("""COMPUTED_VALUE"""),34.6)</f>
        <v>34.6</v>
      </c>
      <c r="E2274" s="112">
        <f ca="1">IFERROR(__xludf.DUMMYFUNCTION("""COMPUTED_VALUE"""),43629.7055555555)</f>
        <v>43629.705555555498</v>
      </c>
      <c r="F2274" s="111">
        <f ca="1">IFERROR(__xludf.DUMMYFUNCTION("""COMPUTED_VALUE"""),11.45)</f>
        <v>11.45</v>
      </c>
      <c r="G2274" s="112">
        <f ca="1">IFERROR(__xludf.DUMMYFUNCTION("""COMPUTED_VALUE"""),43627.7055555555)</f>
        <v>43627.705555555498</v>
      </c>
      <c r="H2274" s="111">
        <f ca="1">IFERROR(__xludf.DUMMYFUNCTION("""COMPUTED_VALUE"""),27.16)</f>
        <v>27.16</v>
      </c>
      <c r="K2274" s="112">
        <f ca="1">IFERROR(__xludf.DUMMYFUNCTION("""COMPUTED_VALUE"""),44074.7055555555)</f>
        <v>44074.705555555498</v>
      </c>
      <c r="L2274" s="111">
        <f ca="1">IFERROR(__xludf.DUMMYFUNCTION("""COMPUTED_VALUE"""),23.31)</f>
        <v>23.31</v>
      </c>
      <c r="M2274" s="112">
        <f ca="1">IFERROR(__xludf.DUMMYFUNCTION("""COMPUTED_VALUE"""),43537.7055555555)</f>
        <v>43537.705555555498</v>
      </c>
      <c r="N2274" s="111">
        <f ca="1">IFERROR(__xludf.DUMMYFUNCTION("""COMPUTED_VALUE"""),31.27)</f>
        <v>31.27</v>
      </c>
      <c r="O2274" s="112">
        <f ca="1">IFERROR(__xludf.DUMMYFUNCTION("""COMPUTED_VALUE"""),43613.7055555555)</f>
        <v>43613.705555555498</v>
      </c>
      <c r="P2274" s="111">
        <f ca="1">IFERROR(__xludf.DUMMYFUNCTION("""COMPUTED_VALUE"""),50.25)</f>
        <v>50.25</v>
      </c>
      <c r="Q2274" s="112">
        <f ca="1">IFERROR(__xludf.DUMMYFUNCTION("""COMPUTED_VALUE"""),43612.7055555555)</f>
        <v>43612.705555555498</v>
      </c>
      <c r="R2274" s="111">
        <f ca="1">IFERROR(__xludf.DUMMYFUNCTION("""COMPUTED_VALUE"""),50.59)</f>
        <v>50.59</v>
      </c>
      <c r="S2274" s="112">
        <f ca="1">IFERROR(__xludf.DUMMYFUNCTION("""COMPUTED_VALUE"""),43623.7055555555)</f>
        <v>43623.705555555498</v>
      </c>
      <c r="T2274" s="111">
        <f ca="1">IFERROR(__xludf.DUMMYFUNCTION("""COMPUTED_VALUE"""),40.33)</f>
        <v>40.33</v>
      </c>
    </row>
    <row r="2275" spans="1:20" x14ac:dyDescent="0.3">
      <c r="A2275" s="112">
        <f ca="1">IFERROR(__xludf.DUMMYFUNCTION("""COMPUTED_VALUE"""),43621.7055555555)</f>
        <v>43621.705555555498</v>
      </c>
      <c r="B2275" s="111">
        <f ca="1">IFERROR(__xludf.DUMMYFUNCTION("""COMPUTED_VALUE"""),34.38)</f>
        <v>34.380000000000003</v>
      </c>
      <c r="C2275" s="112">
        <f ca="1">IFERROR(__xludf.DUMMYFUNCTION("""COMPUTED_VALUE"""),43629.7055555555)</f>
        <v>43629.705555555498</v>
      </c>
      <c r="D2275" s="111">
        <f ca="1">IFERROR(__xludf.DUMMYFUNCTION("""COMPUTED_VALUE"""),33.98)</f>
        <v>33.979999999999997</v>
      </c>
      <c r="E2275" s="112">
        <f ca="1">IFERROR(__xludf.DUMMYFUNCTION("""COMPUTED_VALUE"""),43630.7055555555)</f>
        <v>43630.705555555498</v>
      </c>
      <c r="F2275" s="111">
        <f ca="1">IFERROR(__xludf.DUMMYFUNCTION("""COMPUTED_VALUE"""),11.41)</f>
        <v>11.41</v>
      </c>
      <c r="G2275" s="112">
        <f ca="1">IFERROR(__xludf.DUMMYFUNCTION("""COMPUTED_VALUE"""),43628.7055555555)</f>
        <v>43628.705555555498</v>
      </c>
      <c r="H2275" s="111">
        <f ca="1">IFERROR(__xludf.DUMMYFUNCTION("""COMPUTED_VALUE"""),26.85)</f>
        <v>26.85</v>
      </c>
      <c r="K2275" s="112">
        <f ca="1">IFERROR(__xludf.DUMMYFUNCTION("""COMPUTED_VALUE"""),44075.7055555555)</f>
        <v>44075.705555555498</v>
      </c>
      <c r="L2275" s="111">
        <f ca="1">IFERROR(__xludf.DUMMYFUNCTION("""COMPUTED_VALUE"""),23.84)</f>
        <v>23.84</v>
      </c>
      <c r="M2275" s="112">
        <f ca="1">IFERROR(__xludf.DUMMYFUNCTION("""COMPUTED_VALUE"""),43538.7055555555)</f>
        <v>43538.705555555498</v>
      </c>
      <c r="N2275" s="111">
        <f ca="1">IFERROR(__xludf.DUMMYFUNCTION("""COMPUTED_VALUE"""),31.34)</f>
        <v>31.34</v>
      </c>
      <c r="O2275" s="112">
        <f ca="1">IFERROR(__xludf.DUMMYFUNCTION("""COMPUTED_VALUE"""),43614.7055555555)</f>
        <v>43614.705555555498</v>
      </c>
      <c r="P2275" s="111">
        <f ca="1">IFERROR(__xludf.DUMMYFUNCTION("""COMPUTED_VALUE"""),49.7)</f>
        <v>49.7</v>
      </c>
      <c r="Q2275" s="112">
        <f ca="1">IFERROR(__xludf.DUMMYFUNCTION("""COMPUTED_VALUE"""),43613.7055555555)</f>
        <v>43613.705555555498</v>
      </c>
      <c r="R2275" s="111">
        <f ca="1">IFERROR(__xludf.DUMMYFUNCTION("""COMPUTED_VALUE"""),51.25)</f>
        <v>51.25</v>
      </c>
      <c r="S2275" s="112">
        <f ca="1">IFERROR(__xludf.DUMMYFUNCTION("""COMPUTED_VALUE"""),43626.7055555555)</f>
        <v>43626.705555555498</v>
      </c>
      <c r="T2275" s="111">
        <f ca="1">IFERROR(__xludf.DUMMYFUNCTION("""COMPUTED_VALUE"""),40.7)</f>
        <v>40.700000000000003</v>
      </c>
    </row>
    <row r="2276" spans="1:20" x14ac:dyDescent="0.3">
      <c r="A2276" s="112">
        <f ca="1">IFERROR(__xludf.DUMMYFUNCTION("""COMPUTED_VALUE"""),43622.7055555555)</f>
        <v>43622.705555555498</v>
      </c>
      <c r="B2276" s="111">
        <f ca="1">IFERROR(__xludf.DUMMYFUNCTION("""COMPUTED_VALUE"""),35.65)</f>
        <v>35.65</v>
      </c>
      <c r="C2276" s="112">
        <f ca="1">IFERROR(__xludf.DUMMYFUNCTION("""COMPUTED_VALUE"""),43630.7055555555)</f>
        <v>43630.705555555498</v>
      </c>
      <c r="D2276" s="111">
        <f ca="1">IFERROR(__xludf.DUMMYFUNCTION("""COMPUTED_VALUE"""),33.99)</f>
        <v>33.99</v>
      </c>
      <c r="E2276" s="112">
        <f ca="1">IFERROR(__xludf.DUMMYFUNCTION("""COMPUTED_VALUE"""),43633.7055555555)</f>
        <v>43633.705555555498</v>
      </c>
      <c r="F2276" s="111">
        <f ca="1">IFERROR(__xludf.DUMMYFUNCTION("""COMPUTED_VALUE"""),11.4)</f>
        <v>11.4</v>
      </c>
      <c r="G2276" s="112">
        <f ca="1">IFERROR(__xludf.DUMMYFUNCTION("""COMPUTED_VALUE"""),43629.7055555555)</f>
        <v>43629.705555555498</v>
      </c>
      <c r="H2276" s="111">
        <f ca="1">IFERROR(__xludf.DUMMYFUNCTION("""COMPUTED_VALUE"""),27.18)</f>
        <v>27.18</v>
      </c>
      <c r="K2276" s="112">
        <f ca="1">IFERROR(__xludf.DUMMYFUNCTION("""COMPUTED_VALUE"""),44076.7055555555)</f>
        <v>44076.705555555498</v>
      </c>
      <c r="L2276" s="111">
        <f ca="1">IFERROR(__xludf.DUMMYFUNCTION("""COMPUTED_VALUE"""),23.38)</f>
        <v>23.38</v>
      </c>
      <c r="M2276" s="112">
        <f ca="1">IFERROR(__xludf.DUMMYFUNCTION("""COMPUTED_VALUE"""),43539.7055555555)</f>
        <v>43539.705555555498</v>
      </c>
      <c r="N2276" s="111">
        <f ca="1">IFERROR(__xludf.DUMMYFUNCTION("""COMPUTED_VALUE"""),31.47)</f>
        <v>31.47</v>
      </c>
      <c r="O2276" s="112">
        <f ca="1">IFERROR(__xludf.DUMMYFUNCTION("""COMPUTED_VALUE"""),43615.7055555555)</f>
        <v>43615.705555555498</v>
      </c>
      <c r="P2276" s="111">
        <f ca="1">IFERROR(__xludf.DUMMYFUNCTION("""COMPUTED_VALUE"""),50.01)</f>
        <v>50.01</v>
      </c>
      <c r="Q2276" s="112">
        <f ca="1">IFERROR(__xludf.DUMMYFUNCTION("""COMPUTED_VALUE"""),43614.7055555555)</f>
        <v>43614.705555555498</v>
      </c>
      <c r="R2276" s="111">
        <f ca="1">IFERROR(__xludf.DUMMYFUNCTION("""COMPUTED_VALUE"""),51.2)</f>
        <v>51.2</v>
      </c>
      <c r="S2276" s="112">
        <f ca="1">IFERROR(__xludf.DUMMYFUNCTION("""COMPUTED_VALUE"""),43627.7055555555)</f>
        <v>43627.705555555498</v>
      </c>
      <c r="T2276" s="111">
        <f ca="1">IFERROR(__xludf.DUMMYFUNCTION("""COMPUTED_VALUE"""),41.15)</f>
        <v>41.15</v>
      </c>
    </row>
    <row r="2277" spans="1:20" x14ac:dyDescent="0.3">
      <c r="A2277" s="112">
        <f ca="1">IFERROR(__xludf.DUMMYFUNCTION("""COMPUTED_VALUE"""),43623.7055555555)</f>
        <v>43623.705555555498</v>
      </c>
      <c r="B2277" s="111">
        <f ca="1">IFERROR(__xludf.DUMMYFUNCTION("""COMPUTED_VALUE"""),35.57)</f>
        <v>35.57</v>
      </c>
      <c r="C2277" s="112">
        <f ca="1">IFERROR(__xludf.DUMMYFUNCTION("""COMPUTED_VALUE"""),43633.7055555555)</f>
        <v>43633.705555555498</v>
      </c>
      <c r="D2277" s="111">
        <f ca="1">IFERROR(__xludf.DUMMYFUNCTION("""COMPUTED_VALUE"""),33.95)</f>
        <v>33.950000000000003</v>
      </c>
      <c r="E2277" s="112">
        <f ca="1">IFERROR(__xludf.DUMMYFUNCTION("""COMPUTED_VALUE"""),43634.7055555555)</f>
        <v>43634.705555555498</v>
      </c>
      <c r="F2277" s="111">
        <f ca="1">IFERROR(__xludf.DUMMYFUNCTION("""COMPUTED_VALUE"""),11.62)</f>
        <v>11.62</v>
      </c>
      <c r="G2277" s="112">
        <f ca="1">IFERROR(__xludf.DUMMYFUNCTION("""COMPUTED_VALUE"""),43630.7055555555)</f>
        <v>43630.705555555498</v>
      </c>
      <c r="H2277" s="111">
        <f ca="1">IFERROR(__xludf.DUMMYFUNCTION("""COMPUTED_VALUE"""),27.06)</f>
        <v>27.06</v>
      </c>
      <c r="K2277" s="112">
        <f ca="1">IFERROR(__xludf.DUMMYFUNCTION("""COMPUTED_VALUE"""),44077.7055555555)</f>
        <v>44077.705555555498</v>
      </c>
      <c r="L2277" s="111">
        <f ca="1">IFERROR(__xludf.DUMMYFUNCTION("""COMPUTED_VALUE"""),22.13)</f>
        <v>22.13</v>
      </c>
      <c r="M2277" s="112">
        <f ca="1">IFERROR(__xludf.DUMMYFUNCTION("""COMPUTED_VALUE"""),43542.7055555555)</f>
        <v>43542.705555555498</v>
      </c>
      <c r="N2277" s="111">
        <f ca="1">IFERROR(__xludf.DUMMYFUNCTION("""COMPUTED_VALUE"""),31.64)</f>
        <v>31.64</v>
      </c>
      <c r="O2277" s="112">
        <f ca="1">IFERROR(__xludf.DUMMYFUNCTION("""COMPUTED_VALUE"""),43616.7055555555)</f>
        <v>43616.705555555498</v>
      </c>
      <c r="P2277" s="111">
        <f ca="1">IFERROR(__xludf.DUMMYFUNCTION("""COMPUTED_VALUE"""),49)</f>
        <v>49</v>
      </c>
      <c r="Q2277" s="112">
        <f ca="1">IFERROR(__xludf.DUMMYFUNCTION("""COMPUTED_VALUE"""),43615.7055555555)</f>
        <v>43615.705555555498</v>
      </c>
      <c r="R2277" s="111">
        <f ca="1">IFERROR(__xludf.DUMMYFUNCTION("""COMPUTED_VALUE"""),51.95)</f>
        <v>51.95</v>
      </c>
      <c r="S2277" s="112">
        <f ca="1">IFERROR(__xludf.DUMMYFUNCTION("""COMPUTED_VALUE"""),43628.7055555555)</f>
        <v>43628.705555555498</v>
      </c>
      <c r="T2277" s="111">
        <f ca="1">IFERROR(__xludf.DUMMYFUNCTION("""COMPUTED_VALUE"""),41.27)</f>
        <v>41.27</v>
      </c>
    </row>
    <row r="2278" spans="1:20" x14ac:dyDescent="0.3">
      <c r="A2278" s="112">
        <f ca="1">IFERROR(__xludf.DUMMYFUNCTION("""COMPUTED_VALUE"""),43626.7055555555)</f>
        <v>43626.705555555498</v>
      </c>
      <c r="B2278" s="111">
        <f ca="1">IFERROR(__xludf.DUMMYFUNCTION("""COMPUTED_VALUE"""),35.03)</f>
        <v>35.03</v>
      </c>
      <c r="C2278" s="112">
        <f ca="1">IFERROR(__xludf.DUMMYFUNCTION("""COMPUTED_VALUE"""),43634.7055555555)</f>
        <v>43634.705555555498</v>
      </c>
      <c r="D2278" s="111">
        <f ca="1">IFERROR(__xludf.DUMMYFUNCTION("""COMPUTED_VALUE"""),34.83)</f>
        <v>34.83</v>
      </c>
      <c r="E2278" s="112">
        <f ca="1">IFERROR(__xludf.DUMMYFUNCTION("""COMPUTED_VALUE"""),43635.7055555555)</f>
        <v>43635.705555555498</v>
      </c>
      <c r="F2278" s="111">
        <f ca="1">IFERROR(__xludf.DUMMYFUNCTION("""COMPUTED_VALUE"""),11.79)</f>
        <v>11.79</v>
      </c>
      <c r="G2278" s="112">
        <f ca="1">IFERROR(__xludf.DUMMYFUNCTION("""COMPUTED_VALUE"""),43633.7055555555)</f>
        <v>43633.705555555498</v>
      </c>
      <c r="H2278" s="111">
        <f ca="1">IFERROR(__xludf.DUMMYFUNCTION("""COMPUTED_VALUE"""),27.11)</f>
        <v>27.11</v>
      </c>
      <c r="K2278" s="112">
        <f ca="1">IFERROR(__xludf.DUMMYFUNCTION("""COMPUTED_VALUE"""),44078.7055555555)</f>
        <v>44078.705555555498</v>
      </c>
      <c r="L2278" s="111">
        <f ca="1">IFERROR(__xludf.DUMMYFUNCTION("""COMPUTED_VALUE"""),22.2)</f>
        <v>22.2</v>
      </c>
      <c r="M2278" s="112">
        <f ca="1">IFERROR(__xludf.DUMMYFUNCTION("""COMPUTED_VALUE"""),43543.7055555555)</f>
        <v>43543.705555555498</v>
      </c>
      <c r="N2278" s="111">
        <f ca="1">IFERROR(__xludf.DUMMYFUNCTION("""COMPUTED_VALUE"""),30.96)</f>
        <v>30.96</v>
      </c>
      <c r="O2278" s="112">
        <f ca="1">IFERROR(__xludf.DUMMYFUNCTION("""COMPUTED_VALUE"""),43619.7055555555)</f>
        <v>43619.705555555498</v>
      </c>
      <c r="P2278" s="111">
        <f ca="1">IFERROR(__xludf.DUMMYFUNCTION("""COMPUTED_VALUE"""),48.83)</f>
        <v>48.83</v>
      </c>
      <c r="Q2278" s="112">
        <f ca="1">IFERROR(__xludf.DUMMYFUNCTION("""COMPUTED_VALUE"""),43616.7055555555)</f>
        <v>43616.705555555498</v>
      </c>
      <c r="R2278" s="111">
        <f ca="1">IFERROR(__xludf.DUMMYFUNCTION("""COMPUTED_VALUE"""),51.85)</f>
        <v>51.85</v>
      </c>
      <c r="S2278" s="112">
        <f ca="1">IFERROR(__xludf.DUMMYFUNCTION("""COMPUTED_VALUE"""),43629.7055555555)</f>
        <v>43629.705555555498</v>
      </c>
      <c r="T2278" s="111">
        <f ca="1">IFERROR(__xludf.DUMMYFUNCTION("""COMPUTED_VALUE"""),41.59)</f>
        <v>41.59</v>
      </c>
    </row>
    <row r="2279" spans="1:20" x14ac:dyDescent="0.3">
      <c r="A2279" s="112">
        <f ca="1">IFERROR(__xludf.DUMMYFUNCTION("""COMPUTED_VALUE"""),43627.7055555555)</f>
        <v>43627.705555555498</v>
      </c>
      <c r="B2279" s="111">
        <f ca="1">IFERROR(__xludf.DUMMYFUNCTION("""COMPUTED_VALUE"""),36.08)</f>
        <v>36.08</v>
      </c>
      <c r="C2279" s="112">
        <f ca="1">IFERROR(__xludf.DUMMYFUNCTION("""COMPUTED_VALUE"""),43635.7055555555)</f>
        <v>43635.705555555498</v>
      </c>
      <c r="D2279" s="111">
        <f ca="1">IFERROR(__xludf.DUMMYFUNCTION("""COMPUTED_VALUE"""),35.38)</f>
        <v>35.380000000000003</v>
      </c>
      <c r="E2279" s="112">
        <f ca="1">IFERROR(__xludf.DUMMYFUNCTION("""COMPUTED_VALUE"""),43637.7055555555)</f>
        <v>43637.705555555498</v>
      </c>
      <c r="F2279" s="111">
        <f ca="1">IFERROR(__xludf.DUMMYFUNCTION("""COMPUTED_VALUE"""),12)</f>
        <v>12</v>
      </c>
      <c r="G2279" s="112">
        <f ca="1">IFERROR(__xludf.DUMMYFUNCTION("""COMPUTED_VALUE"""),43634.7055555555)</f>
        <v>43634.705555555498</v>
      </c>
      <c r="H2279" s="111">
        <f ca="1">IFERROR(__xludf.DUMMYFUNCTION("""COMPUTED_VALUE"""),27.45)</f>
        <v>27.45</v>
      </c>
      <c r="K2279" s="112">
        <f ca="1">IFERROR(__xludf.DUMMYFUNCTION("""COMPUTED_VALUE"""),44082.7055555555)</f>
        <v>44082.705555555498</v>
      </c>
      <c r="L2279" s="111">
        <f ca="1">IFERROR(__xludf.DUMMYFUNCTION("""COMPUTED_VALUE"""),21.93)</f>
        <v>21.93</v>
      </c>
      <c r="M2279" s="112">
        <f ca="1">IFERROR(__xludf.DUMMYFUNCTION("""COMPUTED_VALUE"""),43544.7055555555)</f>
        <v>43544.705555555498</v>
      </c>
      <c r="N2279" s="111">
        <f ca="1">IFERROR(__xludf.DUMMYFUNCTION("""COMPUTED_VALUE"""),30.12)</f>
        <v>30.12</v>
      </c>
      <c r="O2279" s="112">
        <f ca="1">IFERROR(__xludf.DUMMYFUNCTION("""COMPUTED_VALUE"""),43620.7055555555)</f>
        <v>43620.705555555498</v>
      </c>
      <c r="P2279" s="111">
        <f ca="1">IFERROR(__xludf.DUMMYFUNCTION("""COMPUTED_VALUE"""),49.11)</f>
        <v>49.11</v>
      </c>
      <c r="Q2279" s="112">
        <f ca="1">IFERROR(__xludf.DUMMYFUNCTION("""COMPUTED_VALUE"""),43619.7055555555)</f>
        <v>43619.705555555498</v>
      </c>
      <c r="R2279" s="111">
        <f ca="1">IFERROR(__xludf.DUMMYFUNCTION("""COMPUTED_VALUE"""),52.09)</f>
        <v>52.09</v>
      </c>
      <c r="S2279" s="112">
        <f ca="1">IFERROR(__xludf.DUMMYFUNCTION("""COMPUTED_VALUE"""),43630.7055555555)</f>
        <v>43630.705555555498</v>
      </c>
      <c r="T2279" s="111">
        <f ca="1">IFERROR(__xludf.DUMMYFUNCTION("""COMPUTED_VALUE"""),41.67)</f>
        <v>41.67</v>
      </c>
    </row>
    <row r="2280" spans="1:20" x14ac:dyDescent="0.3">
      <c r="A2280" s="112">
        <f ca="1">IFERROR(__xludf.DUMMYFUNCTION("""COMPUTED_VALUE"""),43628.7055555555)</f>
        <v>43628.705555555498</v>
      </c>
      <c r="B2280" s="111">
        <f ca="1">IFERROR(__xludf.DUMMYFUNCTION("""COMPUTED_VALUE"""),35.66)</f>
        <v>35.659999999999997</v>
      </c>
      <c r="C2280" s="112">
        <f ca="1">IFERROR(__xludf.DUMMYFUNCTION("""COMPUTED_VALUE"""),43637.7055555555)</f>
        <v>43637.705555555498</v>
      </c>
      <c r="D2280" s="111">
        <f ca="1">IFERROR(__xludf.DUMMYFUNCTION("""COMPUTED_VALUE"""),36.18)</f>
        <v>36.18</v>
      </c>
      <c r="E2280" s="112">
        <f ca="1">IFERROR(__xludf.DUMMYFUNCTION("""COMPUTED_VALUE"""),43640.7055555555)</f>
        <v>43640.705555555498</v>
      </c>
      <c r="F2280" s="111">
        <f ca="1">IFERROR(__xludf.DUMMYFUNCTION("""COMPUTED_VALUE"""),12.05)</f>
        <v>12.05</v>
      </c>
      <c r="G2280" s="112">
        <f ca="1">IFERROR(__xludf.DUMMYFUNCTION("""COMPUTED_VALUE"""),43635.7055555555)</f>
        <v>43635.705555555498</v>
      </c>
      <c r="H2280" s="111">
        <f ca="1">IFERROR(__xludf.DUMMYFUNCTION("""COMPUTED_VALUE"""),27.52)</f>
        <v>27.52</v>
      </c>
      <c r="K2280" s="112">
        <f ca="1">IFERROR(__xludf.DUMMYFUNCTION("""COMPUTED_VALUE"""),44083.7055555555)</f>
        <v>44083.705555555498</v>
      </c>
      <c r="L2280" s="111">
        <f ca="1">IFERROR(__xludf.DUMMYFUNCTION("""COMPUTED_VALUE"""),22.81)</f>
        <v>22.81</v>
      </c>
      <c r="M2280" s="112">
        <f ca="1">IFERROR(__xludf.DUMMYFUNCTION("""COMPUTED_VALUE"""),43545.7055555555)</f>
        <v>43545.705555555498</v>
      </c>
      <c r="N2280" s="111">
        <f ca="1">IFERROR(__xludf.DUMMYFUNCTION("""COMPUTED_VALUE"""),29.46)</f>
        <v>29.46</v>
      </c>
      <c r="O2280" s="112">
        <f ca="1">IFERROR(__xludf.DUMMYFUNCTION("""COMPUTED_VALUE"""),43621.7055555555)</f>
        <v>43621.705555555498</v>
      </c>
      <c r="P2280" s="111">
        <f ca="1">IFERROR(__xludf.DUMMYFUNCTION("""COMPUTED_VALUE"""),48.39)</f>
        <v>48.39</v>
      </c>
      <c r="Q2280" s="112">
        <f ca="1">IFERROR(__xludf.DUMMYFUNCTION("""COMPUTED_VALUE"""),43620.7055555555)</f>
        <v>43620.705555555498</v>
      </c>
      <c r="R2280" s="111">
        <f ca="1">IFERROR(__xludf.DUMMYFUNCTION("""COMPUTED_VALUE"""),52.94)</f>
        <v>52.94</v>
      </c>
      <c r="S2280" s="112">
        <f ca="1">IFERROR(__xludf.DUMMYFUNCTION("""COMPUTED_VALUE"""),43633.7055555555)</f>
        <v>43633.705555555498</v>
      </c>
      <c r="T2280" s="111">
        <f ca="1">IFERROR(__xludf.DUMMYFUNCTION("""COMPUTED_VALUE"""),42.05)</f>
        <v>42.05</v>
      </c>
    </row>
    <row r="2281" spans="1:20" x14ac:dyDescent="0.3">
      <c r="A2281" s="112">
        <f ca="1">IFERROR(__xludf.DUMMYFUNCTION("""COMPUTED_VALUE"""),43629.7055555555)</f>
        <v>43629.705555555498</v>
      </c>
      <c r="B2281" s="111">
        <f ca="1">IFERROR(__xludf.DUMMYFUNCTION("""COMPUTED_VALUE"""),34.92)</f>
        <v>34.92</v>
      </c>
      <c r="C2281" s="112">
        <f ca="1">IFERROR(__xludf.DUMMYFUNCTION("""COMPUTED_VALUE"""),43640.7055555555)</f>
        <v>43640.705555555498</v>
      </c>
      <c r="D2281" s="111">
        <f ca="1">IFERROR(__xludf.DUMMYFUNCTION("""COMPUTED_VALUE"""),36.1)</f>
        <v>36.1</v>
      </c>
      <c r="E2281" s="112">
        <f ca="1">IFERROR(__xludf.DUMMYFUNCTION("""COMPUTED_VALUE"""),43641.7055555555)</f>
        <v>43641.705555555498</v>
      </c>
      <c r="F2281" s="111">
        <f ca="1">IFERROR(__xludf.DUMMYFUNCTION("""COMPUTED_VALUE"""),11.98)</f>
        <v>11.98</v>
      </c>
      <c r="G2281" s="112">
        <f ca="1">IFERROR(__xludf.DUMMYFUNCTION("""COMPUTED_VALUE"""),43637.7055555555)</f>
        <v>43637.705555555498</v>
      </c>
      <c r="H2281" s="111">
        <f ca="1">IFERROR(__xludf.DUMMYFUNCTION("""COMPUTED_VALUE"""),28.28)</f>
        <v>28.28</v>
      </c>
      <c r="K2281" s="112">
        <f ca="1">IFERROR(__xludf.DUMMYFUNCTION("""COMPUTED_VALUE"""),44084.7055555555)</f>
        <v>44084.705555555498</v>
      </c>
      <c r="L2281" s="111">
        <f ca="1">IFERROR(__xludf.DUMMYFUNCTION("""COMPUTED_VALUE"""),22.07)</f>
        <v>22.07</v>
      </c>
      <c r="M2281" s="112">
        <f ca="1">IFERROR(__xludf.DUMMYFUNCTION("""COMPUTED_VALUE"""),43546.7055555555)</f>
        <v>43546.705555555498</v>
      </c>
      <c r="N2281" s="111">
        <f ca="1">IFERROR(__xludf.DUMMYFUNCTION("""COMPUTED_VALUE"""),28.42)</f>
        <v>28.42</v>
      </c>
      <c r="O2281" s="112">
        <f ca="1">IFERROR(__xludf.DUMMYFUNCTION("""COMPUTED_VALUE"""),43622.7055555555)</f>
        <v>43622.705555555498</v>
      </c>
      <c r="P2281" s="111">
        <f ca="1">IFERROR(__xludf.DUMMYFUNCTION("""COMPUTED_VALUE"""),48.8)</f>
        <v>48.8</v>
      </c>
      <c r="Q2281" s="112">
        <f ca="1">IFERROR(__xludf.DUMMYFUNCTION("""COMPUTED_VALUE"""),43621.7055555555)</f>
        <v>43621.705555555498</v>
      </c>
      <c r="R2281" s="111">
        <f ca="1">IFERROR(__xludf.DUMMYFUNCTION("""COMPUTED_VALUE"""),51.48)</f>
        <v>51.48</v>
      </c>
      <c r="S2281" s="112">
        <f ca="1">IFERROR(__xludf.DUMMYFUNCTION("""COMPUTED_VALUE"""),43634.7055555555)</f>
        <v>43634.705555555498</v>
      </c>
      <c r="T2281" s="111">
        <f ca="1">IFERROR(__xludf.DUMMYFUNCTION("""COMPUTED_VALUE"""),42.27)</f>
        <v>42.27</v>
      </c>
    </row>
    <row r="2282" spans="1:20" x14ac:dyDescent="0.3">
      <c r="A2282" s="112">
        <f ca="1">IFERROR(__xludf.DUMMYFUNCTION("""COMPUTED_VALUE"""),43630.7055555555)</f>
        <v>43630.705555555498</v>
      </c>
      <c r="B2282" s="111">
        <f ca="1">IFERROR(__xludf.DUMMYFUNCTION("""COMPUTED_VALUE"""),34.91)</f>
        <v>34.909999999999997</v>
      </c>
      <c r="C2282" s="112">
        <f ca="1">IFERROR(__xludf.DUMMYFUNCTION("""COMPUTED_VALUE"""),43641.7055555555)</f>
        <v>43641.705555555498</v>
      </c>
      <c r="D2282" s="111">
        <f ca="1">IFERROR(__xludf.DUMMYFUNCTION("""COMPUTED_VALUE"""),35.65)</f>
        <v>35.65</v>
      </c>
      <c r="E2282" s="112">
        <f ca="1">IFERROR(__xludf.DUMMYFUNCTION("""COMPUTED_VALUE"""),43642.7055555555)</f>
        <v>43642.705555555498</v>
      </c>
      <c r="F2282" s="111">
        <f ca="1">IFERROR(__xludf.DUMMYFUNCTION("""COMPUTED_VALUE"""),12.36)</f>
        <v>12.36</v>
      </c>
      <c r="G2282" s="112">
        <f ca="1">IFERROR(__xludf.DUMMYFUNCTION("""COMPUTED_VALUE"""),43640.7055555555)</f>
        <v>43640.705555555498</v>
      </c>
      <c r="H2282" s="111">
        <f ca="1">IFERROR(__xludf.DUMMYFUNCTION("""COMPUTED_VALUE"""),28.25)</f>
        <v>28.25</v>
      </c>
      <c r="K2282" s="112">
        <f ca="1">IFERROR(__xludf.DUMMYFUNCTION("""COMPUTED_VALUE"""),44085.7055555555)</f>
        <v>44085.705555555498</v>
      </c>
      <c r="L2282" s="111">
        <f ca="1">IFERROR(__xludf.DUMMYFUNCTION("""COMPUTED_VALUE"""),21.9)</f>
        <v>21.9</v>
      </c>
      <c r="M2282" s="112">
        <f ca="1">IFERROR(__xludf.DUMMYFUNCTION("""COMPUTED_VALUE"""),43549.7055555555)</f>
        <v>43549.705555555498</v>
      </c>
      <c r="N2282" s="111">
        <f ca="1">IFERROR(__xludf.DUMMYFUNCTION("""COMPUTED_VALUE"""),28.48)</f>
        <v>28.48</v>
      </c>
      <c r="O2282" s="112">
        <f ca="1">IFERROR(__xludf.DUMMYFUNCTION("""COMPUTED_VALUE"""),43623.7055555555)</f>
        <v>43623.705555555498</v>
      </c>
      <c r="P2282" s="111">
        <f ca="1">IFERROR(__xludf.DUMMYFUNCTION("""COMPUTED_VALUE"""),48.66)</f>
        <v>48.66</v>
      </c>
      <c r="Q2282" s="112">
        <f ca="1">IFERROR(__xludf.DUMMYFUNCTION("""COMPUTED_VALUE"""),43622.7055555555)</f>
        <v>43622.705555555498</v>
      </c>
      <c r="R2282" s="111">
        <f ca="1">IFERROR(__xludf.DUMMYFUNCTION("""COMPUTED_VALUE"""),52.79)</f>
        <v>52.79</v>
      </c>
      <c r="S2282" s="112">
        <f ca="1">IFERROR(__xludf.DUMMYFUNCTION("""COMPUTED_VALUE"""),43635.7055555555)</f>
        <v>43635.705555555498</v>
      </c>
      <c r="T2282" s="111">
        <f ca="1">IFERROR(__xludf.DUMMYFUNCTION("""COMPUTED_VALUE"""),43.5)</f>
        <v>43.5</v>
      </c>
    </row>
    <row r="2283" spans="1:20" x14ac:dyDescent="0.3">
      <c r="A2283" s="112">
        <f ca="1">IFERROR(__xludf.DUMMYFUNCTION("""COMPUTED_VALUE"""),43633.7055555555)</f>
        <v>43633.705555555498</v>
      </c>
      <c r="B2283" s="111">
        <f ca="1">IFERROR(__xludf.DUMMYFUNCTION("""COMPUTED_VALUE"""),34.05)</f>
        <v>34.049999999999997</v>
      </c>
      <c r="C2283" s="112">
        <f ca="1">IFERROR(__xludf.DUMMYFUNCTION("""COMPUTED_VALUE"""),43642.7055555555)</f>
        <v>43642.705555555498</v>
      </c>
      <c r="D2283" s="111">
        <f ca="1">IFERROR(__xludf.DUMMYFUNCTION("""COMPUTED_VALUE"""),36.5)</f>
        <v>36.5</v>
      </c>
      <c r="E2283" s="112">
        <f ca="1">IFERROR(__xludf.DUMMYFUNCTION("""COMPUTED_VALUE"""),43643.7055555555)</f>
        <v>43643.705555555498</v>
      </c>
      <c r="F2283" s="111">
        <f ca="1">IFERROR(__xludf.DUMMYFUNCTION("""COMPUTED_VALUE"""),12.32)</f>
        <v>12.32</v>
      </c>
      <c r="G2283" s="112">
        <f ca="1">IFERROR(__xludf.DUMMYFUNCTION("""COMPUTED_VALUE"""),43641.7055555555)</f>
        <v>43641.705555555498</v>
      </c>
      <c r="H2283" s="111">
        <f ca="1">IFERROR(__xludf.DUMMYFUNCTION("""COMPUTED_VALUE"""),27.51)</f>
        <v>27.51</v>
      </c>
      <c r="K2283" s="112">
        <f ca="1">IFERROR(__xludf.DUMMYFUNCTION("""COMPUTED_VALUE"""),44088.7055555555)</f>
        <v>44088.705555555498</v>
      </c>
      <c r="L2283" s="111">
        <f ca="1">IFERROR(__xludf.DUMMYFUNCTION("""COMPUTED_VALUE"""),22.58)</f>
        <v>22.58</v>
      </c>
      <c r="M2283" s="112">
        <f ca="1">IFERROR(__xludf.DUMMYFUNCTION("""COMPUTED_VALUE"""),43550.7055555555)</f>
        <v>43550.705555555498</v>
      </c>
      <c r="N2283" s="111">
        <f ca="1">IFERROR(__xludf.DUMMYFUNCTION("""COMPUTED_VALUE"""),28.66)</f>
        <v>28.66</v>
      </c>
      <c r="O2283" s="112">
        <f ca="1">IFERROR(__xludf.DUMMYFUNCTION("""COMPUTED_VALUE"""),43626.7055555555)</f>
        <v>43626.705555555498</v>
      </c>
      <c r="P2283" s="111">
        <f ca="1">IFERROR(__xludf.DUMMYFUNCTION("""COMPUTED_VALUE"""),48.34)</f>
        <v>48.34</v>
      </c>
      <c r="Q2283" s="112">
        <f ca="1">IFERROR(__xludf.DUMMYFUNCTION("""COMPUTED_VALUE"""),43623.7055555555)</f>
        <v>43623.705555555498</v>
      </c>
      <c r="R2283" s="111">
        <f ca="1">IFERROR(__xludf.DUMMYFUNCTION("""COMPUTED_VALUE"""),52.36)</f>
        <v>52.36</v>
      </c>
      <c r="S2283" s="112">
        <f ca="1">IFERROR(__xludf.DUMMYFUNCTION("""COMPUTED_VALUE"""),43637.7055555555)</f>
        <v>43637.705555555498</v>
      </c>
      <c r="T2283" s="111">
        <f ca="1">IFERROR(__xludf.DUMMYFUNCTION("""COMPUTED_VALUE"""),42.71)</f>
        <v>42.71</v>
      </c>
    </row>
    <row r="2284" spans="1:20" x14ac:dyDescent="0.3">
      <c r="A2284" s="112">
        <f ca="1">IFERROR(__xludf.DUMMYFUNCTION("""COMPUTED_VALUE"""),43634.7055555555)</f>
        <v>43634.705555555498</v>
      </c>
      <c r="B2284" s="111">
        <f ca="1">IFERROR(__xludf.DUMMYFUNCTION("""COMPUTED_VALUE"""),34.07)</f>
        <v>34.07</v>
      </c>
      <c r="C2284" s="112">
        <f ca="1">IFERROR(__xludf.DUMMYFUNCTION("""COMPUTED_VALUE"""),43643.7055555555)</f>
        <v>43643.705555555498</v>
      </c>
      <c r="D2284" s="111">
        <f ca="1">IFERROR(__xludf.DUMMYFUNCTION("""COMPUTED_VALUE"""),36.25)</f>
        <v>36.25</v>
      </c>
      <c r="E2284" s="112">
        <f ca="1">IFERROR(__xludf.DUMMYFUNCTION("""COMPUTED_VALUE"""),43644.7055555555)</f>
        <v>43644.705555555498</v>
      </c>
      <c r="F2284" s="111">
        <f ca="1">IFERROR(__xludf.DUMMYFUNCTION("""COMPUTED_VALUE"""),12.28)</f>
        <v>12.28</v>
      </c>
      <c r="G2284" s="112">
        <f ca="1">IFERROR(__xludf.DUMMYFUNCTION("""COMPUTED_VALUE"""),43642.7055555555)</f>
        <v>43642.705555555498</v>
      </c>
      <c r="H2284" s="111">
        <f ca="1">IFERROR(__xludf.DUMMYFUNCTION("""COMPUTED_VALUE"""),27.67)</f>
        <v>27.67</v>
      </c>
      <c r="K2284" s="112">
        <f ca="1">IFERROR(__xludf.DUMMYFUNCTION("""COMPUTED_VALUE"""),44089.7055555555)</f>
        <v>44089.705555555498</v>
      </c>
      <c r="L2284" s="111">
        <f ca="1">IFERROR(__xludf.DUMMYFUNCTION("""COMPUTED_VALUE"""),22.4)</f>
        <v>22.4</v>
      </c>
      <c r="M2284" s="112">
        <f ca="1">IFERROR(__xludf.DUMMYFUNCTION("""COMPUTED_VALUE"""),43551.7055555555)</f>
        <v>43551.705555555498</v>
      </c>
      <c r="N2284" s="111">
        <f ca="1">IFERROR(__xludf.DUMMYFUNCTION("""COMPUTED_VALUE"""),27.67)</f>
        <v>27.67</v>
      </c>
      <c r="O2284" s="112">
        <f ca="1">IFERROR(__xludf.DUMMYFUNCTION("""COMPUTED_VALUE"""),43627.7055555555)</f>
        <v>43627.705555555498</v>
      </c>
      <c r="P2284" s="111">
        <f ca="1">IFERROR(__xludf.DUMMYFUNCTION("""COMPUTED_VALUE"""),51.43)</f>
        <v>51.43</v>
      </c>
      <c r="Q2284" s="112">
        <f ca="1">IFERROR(__xludf.DUMMYFUNCTION("""COMPUTED_VALUE"""),43626.7055555555)</f>
        <v>43626.705555555498</v>
      </c>
      <c r="R2284" s="111">
        <f ca="1">IFERROR(__xludf.DUMMYFUNCTION("""COMPUTED_VALUE"""),51.87)</f>
        <v>51.87</v>
      </c>
      <c r="S2284" s="112">
        <f ca="1">IFERROR(__xludf.DUMMYFUNCTION("""COMPUTED_VALUE"""),43640.7055555555)</f>
        <v>43640.705555555498</v>
      </c>
      <c r="T2284" s="111">
        <f ca="1">IFERROR(__xludf.DUMMYFUNCTION("""COMPUTED_VALUE"""),43.09)</f>
        <v>43.09</v>
      </c>
    </row>
    <row r="2285" spans="1:20" x14ac:dyDescent="0.3">
      <c r="A2285" s="112">
        <f ca="1">IFERROR(__xludf.DUMMYFUNCTION("""COMPUTED_VALUE"""),43635.7055555555)</f>
        <v>43635.705555555498</v>
      </c>
      <c r="B2285" s="111">
        <f ca="1">IFERROR(__xludf.DUMMYFUNCTION("""COMPUTED_VALUE"""),34.92)</f>
        <v>34.92</v>
      </c>
      <c r="C2285" s="112">
        <f ca="1">IFERROR(__xludf.DUMMYFUNCTION("""COMPUTED_VALUE"""),43644.7055555555)</f>
        <v>43644.705555555498</v>
      </c>
      <c r="D2285" s="111">
        <f ca="1">IFERROR(__xludf.DUMMYFUNCTION("""COMPUTED_VALUE"""),36.26)</f>
        <v>36.26</v>
      </c>
      <c r="E2285" s="112">
        <f ca="1">IFERROR(__xludf.DUMMYFUNCTION("""COMPUTED_VALUE"""),43647.7055555555)</f>
        <v>43647.705555555498</v>
      </c>
      <c r="F2285" s="111">
        <f ca="1">IFERROR(__xludf.DUMMYFUNCTION("""COMPUTED_VALUE"""),12.3)</f>
        <v>12.3</v>
      </c>
      <c r="G2285" s="112">
        <f ca="1">IFERROR(__xludf.DUMMYFUNCTION("""COMPUTED_VALUE"""),43643.7055555555)</f>
        <v>43643.705555555498</v>
      </c>
      <c r="H2285" s="111">
        <f ca="1">IFERROR(__xludf.DUMMYFUNCTION("""COMPUTED_VALUE"""),27.23)</f>
        <v>27.23</v>
      </c>
      <c r="K2285" s="112">
        <f ca="1">IFERROR(__xludf.DUMMYFUNCTION("""COMPUTED_VALUE"""),44090.7055555555)</f>
        <v>44090.705555555498</v>
      </c>
      <c r="L2285" s="111">
        <f ca="1">IFERROR(__xludf.DUMMYFUNCTION("""COMPUTED_VALUE"""),22.3)</f>
        <v>22.3</v>
      </c>
      <c r="M2285" s="112">
        <f ca="1">IFERROR(__xludf.DUMMYFUNCTION("""COMPUTED_VALUE"""),43552.7055555555)</f>
        <v>43552.705555555498</v>
      </c>
      <c r="N2285" s="111">
        <f ca="1">IFERROR(__xludf.DUMMYFUNCTION("""COMPUTED_VALUE"""),29.08)</f>
        <v>29.08</v>
      </c>
      <c r="O2285" s="112">
        <f ca="1">IFERROR(__xludf.DUMMYFUNCTION("""COMPUTED_VALUE"""),43628.7055555555)</f>
        <v>43628.705555555498</v>
      </c>
      <c r="P2285" s="111">
        <f ca="1">IFERROR(__xludf.DUMMYFUNCTION("""COMPUTED_VALUE"""),51.49)</f>
        <v>51.49</v>
      </c>
      <c r="Q2285" s="112">
        <f ca="1">IFERROR(__xludf.DUMMYFUNCTION("""COMPUTED_VALUE"""),43627.7055555555)</f>
        <v>43627.705555555498</v>
      </c>
      <c r="R2285" s="111">
        <f ca="1">IFERROR(__xludf.DUMMYFUNCTION("""COMPUTED_VALUE"""),52.9)</f>
        <v>52.9</v>
      </c>
      <c r="S2285" s="112">
        <f ca="1">IFERROR(__xludf.DUMMYFUNCTION("""COMPUTED_VALUE"""),43641.7055555555)</f>
        <v>43641.705555555498</v>
      </c>
      <c r="T2285" s="111">
        <f ca="1">IFERROR(__xludf.DUMMYFUNCTION("""COMPUTED_VALUE"""),42.03)</f>
        <v>42.03</v>
      </c>
    </row>
    <row r="2286" spans="1:20" x14ac:dyDescent="0.3">
      <c r="A2286" s="112">
        <f ca="1">IFERROR(__xludf.DUMMYFUNCTION("""COMPUTED_VALUE"""),43637.7055555555)</f>
        <v>43637.705555555498</v>
      </c>
      <c r="B2286" s="111">
        <f ca="1">IFERROR(__xludf.DUMMYFUNCTION("""COMPUTED_VALUE"""),34.35)</f>
        <v>34.35</v>
      </c>
      <c r="C2286" s="112">
        <f ca="1">IFERROR(__xludf.DUMMYFUNCTION("""COMPUTED_VALUE"""),43647.7055555555)</f>
        <v>43647.705555555498</v>
      </c>
      <c r="D2286" s="111">
        <f ca="1">IFERROR(__xludf.DUMMYFUNCTION("""COMPUTED_VALUE"""),36.08)</f>
        <v>36.08</v>
      </c>
      <c r="E2286" s="112">
        <f ca="1">IFERROR(__xludf.DUMMYFUNCTION("""COMPUTED_VALUE"""),43648.7055555555)</f>
        <v>43648.705555555498</v>
      </c>
      <c r="F2286" s="111">
        <f ca="1">IFERROR(__xludf.DUMMYFUNCTION("""COMPUTED_VALUE"""),12.17)</f>
        <v>12.17</v>
      </c>
      <c r="G2286" s="112">
        <f ca="1">IFERROR(__xludf.DUMMYFUNCTION("""COMPUTED_VALUE"""),43644.7055555555)</f>
        <v>43644.705555555498</v>
      </c>
      <c r="H2286" s="111">
        <f ca="1">IFERROR(__xludf.DUMMYFUNCTION("""COMPUTED_VALUE"""),27.41)</f>
        <v>27.41</v>
      </c>
      <c r="K2286" s="112">
        <f ca="1">IFERROR(__xludf.DUMMYFUNCTION("""COMPUTED_VALUE"""),44091.7055555555)</f>
        <v>44091.705555555498</v>
      </c>
      <c r="L2286" s="111">
        <f ca="1">IFERROR(__xludf.DUMMYFUNCTION("""COMPUTED_VALUE"""),21.78)</f>
        <v>21.78</v>
      </c>
      <c r="M2286" s="112">
        <f ca="1">IFERROR(__xludf.DUMMYFUNCTION("""COMPUTED_VALUE"""),43553.7055555555)</f>
        <v>43553.705555555498</v>
      </c>
      <c r="N2286" s="111">
        <f ca="1">IFERROR(__xludf.DUMMYFUNCTION("""COMPUTED_VALUE"""),29.57)</f>
        <v>29.57</v>
      </c>
      <c r="O2286" s="112">
        <f ca="1">IFERROR(__xludf.DUMMYFUNCTION("""COMPUTED_VALUE"""),43629.7055555555)</f>
        <v>43629.705555555498</v>
      </c>
      <c r="P2286" s="111">
        <f ca="1">IFERROR(__xludf.DUMMYFUNCTION("""COMPUTED_VALUE"""),51.85)</f>
        <v>51.85</v>
      </c>
      <c r="Q2286" s="112">
        <f ca="1">IFERROR(__xludf.DUMMYFUNCTION("""COMPUTED_VALUE"""),43628.7055555555)</f>
        <v>43628.705555555498</v>
      </c>
      <c r="R2286" s="111">
        <f ca="1">IFERROR(__xludf.DUMMYFUNCTION("""COMPUTED_VALUE"""),52.26)</f>
        <v>52.26</v>
      </c>
      <c r="S2286" s="112">
        <f ca="1">IFERROR(__xludf.DUMMYFUNCTION("""COMPUTED_VALUE"""),43642.7055555555)</f>
        <v>43642.705555555498</v>
      </c>
      <c r="T2286" s="111">
        <f ca="1">IFERROR(__xludf.DUMMYFUNCTION("""COMPUTED_VALUE"""),42.4)</f>
        <v>42.4</v>
      </c>
    </row>
    <row r="2287" spans="1:20" x14ac:dyDescent="0.3">
      <c r="A2287" s="112">
        <f ca="1">IFERROR(__xludf.DUMMYFUNCTION("""COMPUTED_VALUE"""),43640.7055555555)</f>
        <v>43640.705555555498</v>
      </c>
      <c r="B2287" s="111">
        <f ca="1">IFERROR(__xludf.DUMMYFUNCTION("""COMPUTED_VALUE"""),33.95)</f>
        <v>33.950000000000003</v>
      </c>
      <c r="C2287" s="112">
        <f ca="1">IFERROR(__xludf.DUMMYFUNCTION("""COMPUTED_VALUE"""),43648.7055555555)</f>
        <v>43648.705555555498</v>
      </c>
      <c r="D2287" s="111">
        <f ca="1">IFERROR(__xludf.DUMMYFUNCTION("""COMPUTED_VALUE"""),35.95)</f>
        <v>35.950000000000003</v>
      </c>
      <c r="E2287" s="112">
        <f ca="1">IFERROR(__xludf.DUMMYFUNCTION("""COMPUTED_VALUE"""),43649.7055555555)</f>
        <v>43649.705555555498</v>
      </c>
      <c r="F2287" s="111">
        <f ca="1">IFERROR(__xludf.DUMMYFUNCTION("""COMPUTED_VALUE"""),12.36)</f>
        <v>12.36</v>
      </c>
      <c r="G2287" s="112">
        <f ca="1">IFERROR(__xludf.DUMMYFUNCTION("""COMPUTED_VALUE"""),43647.7055555555)</f>
        <v>43647.705555555498</v>
      </c>
      <c r="H2287" s="111">
        <f ca="1">IFERROR(__xludf.DUMMYFUNCTION("""COMPUTED_VALUE"""),27.26)</f>
        <v>27.26</v>
      </c>
      <c r="K2287" s="112">
        <f ca="1">IFERROR(__xludf.DUMMYFUNCTION("""COMPUTED_VALUE"""),44092.7055555555)</f>
        <v>44092.705555555498</v>
      </c>
      <c r="L2287" s="111">
        <f ca="1">IFERROR(__xludf.DUMMYFUNCTION("""COMPUTED_VALUE"""),21.8)</f>
        <v>21.8</v>
      </c>
      <c r="M2287" s="112">
        <f ca="1">IFERROR(__xludf.DUMMYFUNCTION("""COMPUTED_VALUE"""),43556.7055555555)</f>
        <v>43556.705555555498</v>
      </c>
      <c r="N2287" s="111">
        <f ca="1">IFERROR(__xludf.DUMMYFUNCTION("""COMPUTED_VALUE"""),29.81)</f>
        <v>29.81</v>
      </c>
      <c r="O2287" s="112">
        <f ca="1">IFERROR(__xludf.DUMMYFUNCTION("""COMPUTED_VALUE"""),43630.7055555555)</f>
        <v>43630.705555555498</v>
      </c>
      <c r="P2287" s="111">
        <f ca="1">IFERROR(__xludf.DUMMYFUNCTION("""COMPUTED_VALUE"""),51.4)</f>
        <v>51.4</v>
      </c>
      <c r="Q2287" s="112">
        <f ca="1">IFERROR(__xludf.DUMMYFUNCTION("""COMPUTED_VALUE"""),43629.7055555555)</f>
        <v>43629.705555555498</v>
      </c>
      <c r="R2287" s="111">
        <f ca="1">IFERROR(__xludf.DUMMYFUNCTION("""COMPUTED_VALUE"""),51.43)</f>
        <v>51.43</v>
      </c>
      <c r="S2287" s="112">
        <f ca="1">IFERROR(__xludf.DUMMYFUNCTION("""COMPUTED_VALUE"""),43643.7055555555)</f>
        <v>43643.705555555498</v>
      </c>
      <c r="T2287" s="111">
        <f ca="1">IFERROR(__xludf.DUMMYFUNCTION("""COMPUTED_VALUE"""),42.6)</f>
        <v>42.6</v>
      </c>
    </row>
    <row r="2288" spans="1:20" x14ac:dyDescent="0.3">
      <c r="A2288" s="112">
        <f ca="1">IFERROR(__xludf.DUMMYFUNCTION("""COMPUTED_VALUE"""),43641.7055555555)</f>
        <v>43641.705555555498</v>
      </c>
      <c r="B2288" s="111">
        <f ca="1">IFERROR(__xludf.DUMMYFUNCTION("""COMPUTED_VALUE"""),32.66)</f>
        <v>32.659999999999997</v>
      </c>
      <c r="C2288" s="112">
        <f ca="1">IFERROR(__xludf.DUMMYFUNCTION("""COMPUTED_VALUE"""),43649.7055555555)</f>
        <v>43649.705555555498</v>
      </c>
      <c r="D2288" s="111">
        <f ca="1">IFERROR(__xludf.DUMMYFUNCTION("""COMPUTED_VALUE"""),36.57)</f>
        <v>36.57</v>
      </c>
      <c r="E2288" s="112">
        <f ca="1">IFERROR(__xludf.DUMMYFUNCTION("""COMPUTED_VALUE"""),43650.7055555555)</f>
        <v>43650.705555555498</v>
      </c>
      <c r="F2288" s="111">
        <f ca="1">IFERROR(__xludf.DUMMYFUNCTION("""COMPUTED_VALUE"""),12.52)</f>
        <v>12.52</v>
      </c>
      <c r="G2288" s="112">
        <f ca="1">IFERROR(__xludf.DUMMYFUNCTION("""COMPUTED_VALUE"""),43648.7055555555)</f>
        <v>43648.705555555498</v>
      </c>
      <c r="H2288" s="111">
        <f ca="1">IFERROR(__xludf.DUMMYFUNCTION("""COMPUTED_VALUE"""),26.82)</f>
        <v>26.82</v>
      </c>
      <c r="K2288" s="112">
        <f ca="1">IFERROR(__xludf.DUMMYFUNCTION("""COMPUTED_VALUE"""),44095.7055555555)</f>
        <v>44095.705555555498</v>
      </c>
      <c r="L2288" s="111">
        <f ca="1">IFERROR(__xludf.DUMMYFUNCTION("""COMPUTED_VALUE"""),22.18)</f>
        <v>22.18</v>
      </c>
      <c r="M2288" s="112">
        <f ca="1">IFERROR(__xludf.DUMMYFUNCTION("""COMPUTED_VALUE"""),43557.7055555555)</f>
        <v>43557.705555555498</v>
      </c>
      <c r="N2288" s="111">
        <f ca="1">IFERROR(__xludf.DUMMYFUNCTION("""COMPUTED_VALUE"""),29.41)</f>
        <v>29.41</v>
      </c>
      <c r="O2288" s="112">
        <f ca="1">IFERROR(__xludf.DUMMYFUNCTION("""COMPUTED_VALUE"""),43633.7055555555)</f>
        <v>43633.705555555498</v>
      </c>
      <c r="P2288" s="111">
        <f ca="1">IFERROR(__xludf.DUMMYFUNCTION("""COMPUTED_VALUE"""),50.2)</f>
        <v>50.2</v>
      </c>
      <c r="Q2288" s="112">
        <f ca="1">IFERROR(__xludf.DUMMYFUNCTION("""COMPUTED_VALUE"""),43630.7055555555)</f>
        <v>43630.705555555498</v>
      </c>
      <c r="R2288" s="111">
        <f ca="1">IFERROR(__xludf.DUMMYFUNCTION("""COMPUTED_VALUE"""),50.52)</f>
        <v>50.52</v>
      </c>
      <c r="S2288" s="112">
        <f ca="1">IFERROR(__xludf.DUMMYFUNCTION("""COMPUTED_VALUE"""),43644.7055555555)</f>
        <v>43644.705555555498</v>
      </c>
      <c r="T2288" s="111">
        <f ca="1">IFERROR(__xludf.DUMMYFUNCTION("""COMPUTED_VALUE"""),42.87)</f>
        <v>42.87</v>
      </c>
    </row>
    <row r="2289" spans="1:20" x14ac:dyDescent="0.3">
      <c r="A2289" s="112">
        <f ca="1">IFERROR(__xludf.DUMMYFUNCTION("""COMPUTED_VALUE"""),43642.7055555555)</f>
        <v>43642.705555555498</v>
      </c>
      <c r="B2289" s="111">
        <f ca="1">IFERROR(__xludf.DUMMYFUNCTION("""COMPUTED_VALUE"""),33.51)</f>
        <v>33.51</v>
      </c>
      <c r="C2289" s="112">
        <f ca="1">IFERROR(__xludf.DUMMYFUNCTION("""COMPUTED_VALUE"""),43650.7055555555)</f>
        <v>43650.705555555498</v>
      </c>
      <c r="D2289" s="111">
        <f ca="1">IFERROR(__xludf.DUMMYFUNCTION("""COMPUTED_VALUE"""),36.99)</f>
        <v>36.99</v>
      </c>
      <c r="E2289" s="112">
        <f ca="1">IFERROR(__xludf.DUMMYFUNCTION("""COMPUTED_VALUE"""),43651.7055555555)</f>
        <v>43651.705555555498</v>
      </c>
      <c r="F2289" s="111">
        <f ca="1">IFERROR(__xludf.DUMMYFUNCTION("""COMPUTED_VALUE"""),12.64)</f>
        <v>12.64</v>
      </c>
      <c r="G2289" s="112">
        <f ca="1">IFERROR(__xludf.DUMMYFUNCTION("""COMPUTED_VALUE"""),43649.7055555555)</f>
        <v>43649.705555555498</v>
      </c>
      <c r="H2289" s="111">
        <f ca="1">IFERROR(__xludf.DUMMYFUNCTION("""COMPUTED_VALUE"""),27.13)</f>
        <v>27.13</v>
      </c>
      <c r="K2289" s="112">
        <f ca="1">IFERROR(__xludf.DUMMYFUNCTION("""COMPUTED_VALUE"""),44096.7055555555)</f>
        <v>44096.705555555498</v>
      </c>
      <c r="L2289" s="111">
        <f ca="1">IFERROR(__xludf.DUMMYFUNCTION("""COMPUTED_VALUE"""),22.38)</f>
        <v>22.38</v>
      </c>
      <c r="M2289" s="112">
        <f ca="1">IFERROR(__xludf.DUMMYFUNCTION("""COMPUTED_VALUE"""),43558.7055555555)</f>
        <v>43558.705555555498</v>
      </c>
      <c r="N2289" s="111">
        <f ca="1">IFERROR(__xludf.DUMMYFUNCTION("""COMPUTED_VALUE"""),29.08)</f>
        <v>29.08</v>
      </c>
      <c r="O2289" s="112">
        <f ca="1">IFERROR(__xludf.DUMMYFUNCTION("""COMPUTED_VALUE"""),43634.7055555555)</f>
        <v>43634.705555555498</v>
      </c>
      <c r="P2289" s="111">
        <f ca="1">IFERROR(__xludf.DUMMYFUNCTION("""COMPUTED_VALUE"""),52)</f>
        <v>52</v>
      </c>
      <c r="Q2289" s="112">
        <f ca="1">IFERROR(__xludf.DUMMYFUNCTION("""COMPUTED_VALUE"""),43633.7055555555)</f>
        <v>43633.705555555498</v>
      </c>
      <c r="R2289" s="111">
        <f ca="1">IFERROR(__xludf.DUMMYFUNCTION("""COMPUTED_VALUE"""),50.47)</f>
        <v>50.47</v>
      </c>
      <c r="S2289" s="112">
        <f ca="1">IFERROR(__xludf.DUMMYFUNCTION("""COMPUTED_VALUE"""),43647.7055555555)</f>
        <v>43647.705555555498</v>
      </c>
      <c r="T2289" s="111">
        <f ca="1">IFERROR(__xludf.DUMMYFUNCTION("""COMPUTED_VALUE"""),42.21)</f>
        <v>42.21</v>
      </c>
    </row>
    <row r="2290" spans="1:20" x14ac:dyDescent="0.3">
      <c r="A2290" s="112">
        <f ca="1">IFERROR(__xludf.DUMMYFUNCTION("""COMPUTED_VALUE"""),43643.7055555555)</f>
        <v>43643.705555555498</v>
      </c>
      <c r="B2290" s="111">
        <f ca="1">IFERROR(__xludf.DUMMYFUNCTION("""COMPUTED_VALUE"""),33.72)</f>
        <v>33.72</v>
      </c>
      <c r="C2290" s="112">
        <f ca="1">IFERROR(__xludf.DUMMYFUNCTION("""COMPUTED_VALUE"""),43651.7055555555)</f>
        <v>43651.705555555498</v>
      </c>
      <c r="D2290" s="111">
        <f ca="1">IFERROR(__xludf.DUMMYFUNCTION("""COMPUTED_VALUE"""),37.4)</f>
        <v>37.4</v>
      </c>
      <c r="E2290" s="112">
        <f ca="1">IFERROR(__xludf.DUMMYFUNCTION("""COMPUTED_VALUE"""),43654.7055555555)</f>
        <v>43654.705555555498</v>
      </c>
      <c r="F2290" s="111">
        <f ca="1">IFERROR(__xludf.DUMMYFUNCTION("""COMPUTED_VALUE"""),12.65)</f>
        <v>12.65</v>
      </c>
      <c r="G2290" s="112">
        <f ca="1">IFERROR(__xludf.DUMMYFUNCTION("""COMPUTED_VALUE"""),43650.7055555555)</f>
        <v>43650.705555555498</v>
      </c>
      <c r="H2290" s="111">
        <f ca="1">IFERROR(__xludf.DUMMYFUNCTION("""COMPUTED_VALUE"""),27.39)</f>
        <v>27.39</v>
      </c>
      <c r="K2290" s="112">
        <f ca="1">IFERROR(__xludf.DUMMYFUNCTION("""COMPUTED_VALUE"""),44097.7055555555)</f>
        <v>44097.705555555498</v>
      </c>
      <c r="L2290" s="111">
        <f ca="1">IFERROR(__xludf.DUMMYFUNCTION("""COMPUTED_VALUE"""),21.63)</f>
        <v>21.63</v>
      </c>
      <c r="M2290" s="112">
        <f ca="1">IFERROR(__xludf.DUMMYFUNCTION("""COMPUTED_VALUE"""),43559.7055555555)</f>
        <v>43559.705555555498</v>
      </c>
      <c r="N2290" s="111">
        <f ca="1">IFERROR(__xludf.DUMMYFUNCTION("""COMPUTED_VALUE"""),29.83)</f>
        <v>29.83</v>
      </c>
      <c r="O2290" s="112">
        <f ca="1">IFERROR(__xludf.DUMMYFUNCTION("""COMPUTED_VALUE"""),43635.7055555555)</f>
        <v>43635.705555555498</v>
      </c>
      <c r="P2290" s="111">
        <f ca="1">IFERROR(__xludf.DUMMYFUNCTION("""COMPUTED_VALUE"""),52.3)</f>
        <v>52.3</v>
      </c>
      <c r="Q2290" s="112">
        <f ca="1">IFERROR(__xludf.DUMMYFUNCTION("""COMPUTED_VALUE"""),43634.7055555555)</f>
        <v>43634.705555555498</v>
      </c>
      <c r="R2290" s="111">
        <f ca="1">IFERROR(__xludf.DUMMYFUNCTION("""COMPUTED_VALUE"""),51.65)</f>
        <v>51.65</v>
      </c>
      <c r="S2290" s="112">
        <f ca="1">IFERROR(__xludf.DUMMYFUNCTION("""COMPUTED_VALUE"""),43648.7055555555)</f>
        <v>43648.705555555498</v>
      </c>
      <c r="T2290" s="111">
        <f ca="1">IFERROR(__xludf.DUMMYFUNCTION("""COMPUTED_VALUE"""),42.47)</f>
        <v>42.47</v>
      </c>
    </row>
    <row r="2291" spans="1:20" x14ac:dyDescent="0.3">
      <c r="A2291" s="112">
        <f ca="1">IFERROR(__xludf.DUMMYFUNCTION("""COMPUTED_VALUE"""),43644.7055555555)</f>
        <v>43644.705555555498</v>
      </c>
      <c r="B2291" s="111">
        <f ca="1">IFERROR(__xludf.DUMMYFUNCTION("""COMPUTED_VALUE"""),34.86)</f>
        <v>34.86</v>
      </c>
      <c r="C2291" s="112">
        <f ca="1">IFERROR(__xludf.DUMMYFUNCTION("""COMPUTED_VALUE"""),43654.7055555555)</f>
        <v>43654.705555555498</v>
      </c>
      <c r="D2291" s="111">
        <f ca="1">IFERROR(__xludf.DUMMYFUNCTION("""COMPUTED_VALUE"""),37.3)</f>
        <v>37.299999999999997</v>
      </c>
      <c r="E2291" s="112">
        <f ca="1">IFERROR(__xludf.DUMMYFUNCTION("""COMPUTED_VALUE"""),43656.7055555555)</f>
        <v>43656.705555555498</v>
      </c>
      <c r="F2291" s="111">
        <f ca="1">IFERROR(__xludf.DUMMYFUNCTION("""COMPUTED_VALUE"""),12.7)</f>
        <v>12.7</v>
      </c>
      <c r="G2291" s="112">
        <f ca="1">IFERROR(__xludf.DUMMYFUNCTION("""COMPUTED_VALUE"""),43651.7055555555)</f>
        <v>43651.705555555498</v>
      </c>
      <c r="H2291" s="111">
        <f ca="1">IFERROR(__xludf.DUMMYFUNCTION("""COMPUTED_VALUE"""),27.4)</f>
        <v>27.4</v>
      </c>
      <c r="K2291" s="112">
        <f ca="1">IFERROR(__xludf.DUMMYFUNCTION("""COMPUTED_VALUE"""),44098.7055555555)</f>
        <v>44098.705555555498</v>
      </c>
      <c r="L2291" s="111">
        <f ca="1">IFERROR(__xludf.DUMMYFUNCTION("""COMPUTED_VALUE"""),22.33)</f>
        <v>22.33</v>
      </c>
      <c r="M2291" s="112">
        <f ca="1">IFERROR(__xludf.DUMMYFUNCTION("""COMPUTED_VALUE"""),43560.7055555555)</f>
        <v>43560.705555555498</v>
      </c>
      <c r="N2291" s="111">
        <f ca="1">IFERROR(__xludf.DUMMYFUNCTION("""COMPUTED_VALUE"""),30.08)</f>
        <v>30.08</v>
      </c>
      <c r="O2291" s="112">
        <f ca="1">IFERROR(__xludf.DUMMYFUNCTION("""COMPUTED_VALUE"""),43637.7055555555)</f>
        <v>43637.705555555498</v>
      </c>
      <c r="P2291" s="111">
        <f ca="1">IFERROR(__xludf.DUMMYFUNCTION("""COMPUTED_VALUE"""),52.44)</f>
        <v>52.44</v>
      </c>
      <c r="Q2291" s="112">
        <f ca="1">IFERROR(__xludf.DUMMYFUNCTION("""COMPUTED_VALUE"""),43635.7055555555)</f>
        <v>43635.705555555498</v>
      </c>
      <c r="R2291" s="111">
        <f ca="1">IFERROR(__xludf.DUMMYFUNCTION("""COMPUTED_VALUE"""),52.5)</f>
        <v>52.5</v>
      </c>
      <c r="S2291" s="112">
        <f ca="1">IFERROR(__xludf.DUMMYFUNCTION("""COMPUTED_VALUE"""),43649.7055555555)</f>
        <v>43649.705555555498</v>
      </c>
      <c r="T2291" s="111">
        <f ca="1">IFERROR(__xludf.DUMMYFUNCTION("""COMPUTED_VALUE"""),42.83)</f>
        <v>42.83</v>
      </c>
    </row>
    <row r="2292" spans="1:20" x14ac:dyDescent="0.3">
      <c r="A2292" s="112">
        <f ca="1">IFERROR(__xludf.DUMMYFUNCTION("""COMPUTED_VALUE"""),43647.7055555555)</f>
        <v>43647.705555555498</v>
      </c>
      <c r="B2292" s="111">
        <f ca="1">IFERROR(__xludf.DUMMYFUNCTION("""COMPUTED_VALUE"""),35.07)</f>
        <v>35.07</v>
      </c>
      <c r="C2292" s="112">
        <f ca="1">IFERROR(__xludf.DUMMYFUNCTION("""COMPUTED_VALUE"""),43656.7055555555)</f>
        <v>43656.705555555498</v>
      </c>
      <c r="D2292" s="111">
        <f ca="1">IFERROR(__xludf.DUMMYFUNCTION("""COMPUTED_VALUE"""),37.2)</f>
        <v>37.200000000000003</v>
      </c>
      <c r="E2292" s="112">
        <f ca="1">IFERROR(__xludf.DUMMYFUNCTION("""COMPUTED_VALUE"""),43657.7055555555)</f>
        <v>43657.705555555498</v>
      </c>
      <c r="F2292" s="111">
        <f ca="1">IFERROR(__xludf.DUMMYFUNCTION("""COMPUTED_VALUE"""),12.57)</f>
        <v>12.57</v>
      </c>
      <c r="G2292" s="112">
        <f ca="1">IFERROR(__xludf.DUMMYFUNCTION("""COMPUTED_VALUE"""),43654.7055555555)</f>
        <v>43654.705555555498</v>
      </c>
      <c r="H2292" s="111">
        <f ca="1">IFERROR(__xludf.DUMMYFUNCTION("""COMPUTED_VALUE"""),27.65)</f>
        <v>27.65</v>
      </c>
      <c r="K2292" s="112">
        <f ca="1">IFERROR(__xludf.DUMMYFUNCTION("""COMPUTED_VALUE"""),44099.7055555555)</f>
        <v>44099.705555555498</v>
      </c>
      <c r="L2292" s="111">
        <f ca="1">IFERROR(__xludf.DUMMYFUNCTION("""COMPUTED_VALUE"""),22.66)</f>
        <v>22.66</v>
      </c>
      <c r="M2292" s="112">
        <f ca="1">IFERROR(__xludf.DUMMYFUNCTION("""COMPUTED_VALUE"""),43563.7055555555)</f>
        <v>43563.705555555498</v>
      </c>
      <c r="N2292" s="111">
        <f ca="1">IFERROR(__xludf.DUMMYFUNCTION("""COMPUTED_VALUE"""),30.12)</f>
        <v>30.12</v>
      </c>
      <c r="O2292" s="112">
        <f ca="1">IFERROR(__xludf.DUMMYFUNCTION("""COMPUTED_VALUE"""),43640.7055555555)</f>
        <v>43640.705555555498</v>
      </c>
      <c r="P2292" s="111">
        <f ca="1">IFERROR(__xludf.DUMMYFUNCTION("""COMPUTED_VALUE"""),52.4)</f>
        <v>52.4</v>
      </c>
      <c r="Q2292" s="112">
        <f ca="1">IFERROR(__xludf.DUMMYFUNCTION("""COMPUTED_VALUE"""),43637.7055555555)</f>
        <v>43637.705555555498</v>
      </c>
      <c r="R2292" s="111">
        <f ca="1">IFERROR(__xludf.DUMMYFUNCTION("""COMPUTED_VALUE"""),52.91)</f>
        <v>52.91</v>
      </c>
      <c r="S2292" s="112">
        <f ca="1">IFERROR(__xludf.DUMMYFUNCTION("""COMPUTED_VALUE"""),43650.7055555555)</f>
        <v>43650.705555555498</v>
      </c>
      <c r="T2292" s="111">
        <f ca="1">IFERROR(__xludf.DUMMYFUNCTION("""COMPUTED_VALUE"""),43.36)</f>
        <v>43.36</v>
      </c>
    </row>
    <row r="2293" spans="1:20" x14ac:dyDescent="0.3">
      <c r="A2293" s="112">
        <f ca="1">IFERROR(__xludf.DUMMYFUNCTION("""COMPUTED_VALUE"""),43648.7055555555)</f>
        <v>43648.705555555498</v>
      </c>
      <c r="B2293" s="111">
        <f ca="1">IFERROR(__xludf.DUMMYFUNCTION("""COMPUTED_VALUE"""),34.19)</f>
        <v>34.19</v>
      </c>
      <c r="C2293" s="112">
        <f ca="1">IFERROR(__xludf.DUMMYFUNCTION("""COMPUTED_VALUE"""),43657.7055555555)</f>
        <v>43657.705555555498</v>
      </c>
      <c r="D2293" s="111">
        <f ca="1">IFERROR(__xludf.DUMMYFUNCTION("""COMPUTED_VALUE"""),37.15)</f>
        <v>37.15</v>
      </c>
      <c r="E2293" s="112">
        <f ca="1">IFERROR(__xludf.DUMMYFUNCTION("""COMPUTED_VALUE"""),43658.7055555555)</f>
        <v>43658.705555555498</v>
      </c>
      <c r="F2293" s="111">
        <f ca="1">IFERROR(__xludf.DUMMYFUNCTION("""COMPUTED_VALUE"""),12.38)</f>
        <v>12.38</v>
      </c>
      <c r="G2293" s="112">
        <f ca="1">IFERROR(__xludf.DUMMYFUNCTION("""COMPUTED_VALUE"""),43656.7055555555)</f>
        <v>43656.705555555498</v>
      </c>
      <c r="H2293" s="111">
        <f ca="1">IFERROR(__xludf.DUMMYFUNCTION("""COMPUTED_VALUE"""),28.07)</f>
        <v>28.07</v>
      </c>
      <c r="K2293" s="112">
        <f ca="1">IFERROR(__xludf.DUMMYFUNCTION("""COMPUTED_VALUE"""),44102.7055555555)</f>
        <v>44102.705555555498</v>
      </c>
      <c r="L2293" s="111">
        <f ca="1">IFERROR(__xludf.DUMMYFUNCTION("""COMPUTED_VALUE"""),21.87)</f>
        <v>21.87</v>
      </c>
      <c r="M2293" s="112">
        <f ca="1">IFERROR(__xludf.DUMMYFUNCTION("""COMPUTED_VALUE"""),43564.7055555555)</f>
        <v>43564.705555555498</v>
      </c>
      <c r="N2293" s="111">
        <f ca="1">IFERROR(__xludf.DUMMYFUNCTION("""COMPUTED_VALUE"""),30.01)</f>
        <v>30.01</v>
      </c>
      <c r="O2293" s="112">
        <f ca="1">IFERROR(__xludf.DUMMYFUNCTION("""COMPUTED_VALUE"""),43641.7055555555)</f>
        <v>43641.705555555498</v>
      </c>
      <c r="P2293" s="111">
        <f ca="1">IFERROR(__xludf.DUMMYFUNCTION("""COMPUTED_VALUE"""),51.38)</f>
        <v>51.38</v>
      </c>
      <c r="Q2293" s="112">
        <f ca="1">IFERROR(__xludf.DUMMYFUNCTION("""COMPUTED_VALUE"""),43640.7055555555)</f>
        <v>43640.705555555498</v>
      </c>
      <c r="R2293" s="111">
        <f ca="1">IFERROR(__xludf.DUMMYFUNCTION("""COMPUTED_VALUE"""),53.04)</f>
        <v>53.04</v>
      </c>
      <c r="S2293" s="112">
        <f ca="1">IFERROR(__xludf.DUMMYFUNCTION("""COMPUTED_VALUE"""),43651.7055555555)</f>
        <v>43651.705555555498</v>
      </c>
      <c r="T2293" s="111">
        <f ca="1">IFERROR(__xludf.DUMMYFUNCTION("""COMPUTED_VALUE"""),44.09)</f>
        <v>44.09</v>
      </c>
    </row>
    <row r="2294" spans="1:20" x14ac:dyDescent="0.3">
      <c r="A2294" s="112">
        <f ca="1">IFERROR(__xludf.DUMMYFUNCTION("""COMPUTED_VALUE"""),43649.7055555555)</f>
        <v>43649.705555555498</v>
      </c>
      <c r="B2294" s="111">
        <f ca="1">IFERROR(__xludf.DUMMYFUNCTION("""COMPUTED_VALUE"""),34.81)</f>
        <v>34.81</v>
      </c>
      <c r="C2294" s="112">
        <f ca="1">IFERROR(__xludf.DUMMYFUNCTION("""COMPUTED_VALUE"""),43658.7055555555)</f>
        <v>43658.705555555498</v>
      </c>
      <c r="D2294" s="111">
        <f ca="1">IFERROR(__xludf.DUMMYFUNCTION("""COMPUTED_VALUE"""),36.46)</f>
        <v>36.46</v>
      </c>
      <c r="E2294" s="112">
        <f ca="1">IFERROR(__xludf.DUMMYFUNCTION("""COMPUTED_VALUE"""),43661.7055555555)</f>
        <v>43661.705555555498</v>
      </c>
      <c r="F2294" s="111">
        <f ca="1">IFERROR(__xludf.DUMMYFUNCTION("""COMPUTED_VALUE"""),12.33)</f>
        <v>12.33</v>
      </c>
      <c r="G2294" s="112">
        <f ca="1">IFERROR(__xludf.DUMMYFUNCTION("""COMPUTED_VALUE"""),43657.7055555555)</f>
        <v>43657.705555555498</v>
      </c>
      <c r="H2294" s="111">
        <f ca="1">IFERROR(__xludf.DUMMYFUNCTION("""COMPUTED_VALUE"""),28.4)</f>
        <v>28.4</v>
      </c>
      <c r="K2294" s="112">
        <f ca="1">IFERROR(__xludf.DUMMYFUNCTION("""COMPUTED_VALUE"""),44103.7055555555)</f>
        <v>44103.705555555498</v>
      </c>
      <c r="L2294" s="111">
        <f ca="1">IFERROR(__xludf.DUMMYFUNCTION("""COMPUTED_VALUE"""),21.88)</f>
        <v>21.88</v>
      </c>
      <c r="M2294" s="112">
        <f ca="1">IFERROR(__xludf.DUMMYFUNCTION("""COMPUTED_VALUE"""),43565.7055555555)</f>
        <v>43565.705555555498</v>
      </c>
      <c r="N2294" s="111">
        <f ca="1">IFERROR(__xludf.DUMMYFUNCTION("""COMPUTED_VALUE"""),29.58)</f>
        <v>29.58</v>
      </c>
      <c r="O2294" s="112">
        <f ca="1">IFERROR(__xludf.DUMMYFUNCTION("""COMPUTED_VALUE"""),43642.7055555555)</f>
        <v>43642.705555555498</v>
      </c>
      <c r="P2294" s="111">
        <f ca="1">IFERROR(__xludf.DUMMYFUNCTION("""COMPUTED_VALUE"""),51.58)</f>
        <v>51.58</v>
      </c>
      <c r="Q2294" s="112">
        <f ca="1">IFERROR(__xludf.DUMMYFUNCTION("""COMPUTED_VALUE"""),43641.7055555555)</f>
        <v>43641.705555555498</v>
      </c>
      <c r="R2294" s="111">
        <f ca="1">IFERROR(__xludf.DUMMYFUNCTION("""COMPUTED_VALUE"""),52.55)</f>
        <v>52.55</v>
      </c>
      <c r="S2294" s="112">
        <f ca="1">IFERROR(__xludf.DUMMYFUNCTION("""COMPUTED_VALUE"""),43654.7055555555)</f>
        <v>43654.705555555498</v>
      </c>
      <c r="T2294" s="111">
        <f ca="1">IFERROR(__xludf.DUMMYFUNCTION("""COMPUTED_VALUE"""),43.7)</f>
        <v>43.7</v>
      </c>
    </row>
    <row r="2295" spans="1:20" x14ac:dyDescent="0.3">
      <c r="A2295" s="112">
        <f ca="1">IFERROR(__xludf.DUMMYFUNCTION("""COMPUTED_VALUE"""),43650.7055555555)</f>
        <v>43650.705555555498</v>
      </c>
      <c r="B2295" s="111">
        <f ca="1">IFERROR(__xludf.DUMMYFUNCTION("""COMPUTED_VALUE"""),35.81)</f>
        <v>35.81</v>
      </c>
      <c r="C2295" s="112">
        <f ca="1">IFERROR(__xludf.DUMMYFUNCTION("""COMPUTED_VALUE"""),43661.7055555555)</f>
        <v>43661.705555555498</v>
      </c>
      <c r="D2295" s="111">
        <f ca="1">IFERROR(__xludf.DUMMYFUNCTION("""COMPUTED_VALUE"""),36.36)</f>
        <v>36.36</v>
      </c>
      <c r="E2295" s="112">
        <f ca="1">IFERROR(__xludf.DUMMYFUNCTION("""COMPUTED_VALUE"""),43662.7055555555)</f>
        <v>43662.705555555498</v>
      </c>
      <c r="F2295" s="111">
        <f ca="1">IFERROR(__xludf.DUMMYFUNCTION("""COMPUTED_VALUE"""),12.28)</f>
        <v>12.28</v>
      </c>
      <c r="G2295" s="112">
        <f ca="1">IFERROR(__xludf.DUMMYFUNCTION("""COMPUTED_VALUE"""),43658.7055555555)</f>
        <v>43658.705555555498</v>
      </c>
      <c r="H2295" s="111">
        <f ca="1">IFERROR(__xludf.DUMMYFUNCTION("""COMPUTED_VALUE"""),28.53)</f>
        <v>28.53</v>
      </c>
      <c r="K2295" s="112">
        <f ca="1">IFERROR(__xludf.DUMMYFUNCTION("""COMPUTED_VALUE"""),44104.7055555555)</f>
        <v>44104.705555555498</v>
      </c>
      <c r="L2295" s="111">
        <f ca="1">IFERROR(__xludf.DUMMYFUNCTION("""COMPUTED_VALUE"""),22.31)</f>
        <v>22.31</v>
      </c>
      <c r="M2295" s="112">
        <f ca="1">IFERROR(__xludf.DUMMYFUNCTION("""COMPUTED_VALUE"""),43566.7055555555)</f>
        <v>43566.705555555498</v>
      </c>
      <c r="N2295" s="111">
        <f ca="1">IFERROR(__xludf.DUMMYFUNCTION("""COMPUTED_VALUE"""),29.11)</f>
        <v>29.11</v>
      </c>
      <c r="O2295" s="112">
        <f ca="1">IFERROR(__xludf.DUMMYFUNCTION("""COMPUTED_VALUE"""),43643.7055555555)</f>
        <v>43643.705555555498</v>
      </c>
      <c r="P2295" s="111">
        <f ca="1">IFERROR(__xludf.DUMMYFUNCTION("""COMPUTED_VALUE"""),51.7)</f>
        <v>51.7</v>
      </c>
      <c r="Q2295" s="112">
        <f ca="1">IFERROR(__xludf.DUMMYFUNCTION("""COMPUTED_VALUE"""),43642.7055555555)</f>
        <v>43642.705555555498</v>
      </c>
      <c r="R2295" s="111">
        <f ca="1">IFERROR(__xludf.DUMMYFUNCTION("""COMPUTED_VALUE"""),53.69)</f>
        <v>53.69</v>
      </c>
      <c r="S2295" s="112">
        <f ca="1">IFERROR(__xludf.DUMMYFUNCTION("""COMPUTED_VALUE"""),43656.7055555555)</f>
        <v>43656.705555555498</v>
      </c>
      <c r="T2295" s="111">
        <f ca="1">IFERROR(__xludf.DUMMYFUNCTION("""COMPUTED_VALUE"""),44.4)</f>
        <v>44.4</v>
      </c>
    </row>
    <row r="2296" spans="1:20" x14ac:dyDescent="0.3">
      <c r="A2296" s="112">
        <f ca="1">IFERROR(__xludf.DUMMYFUNCTION("""COMPUTED_VALUE"""),43651.7055555555)</f>
        <v>43651.705555555498</v>
      </c>
      <c r="B2296" s="111">
        <f ca="1">IFERROR(__xludf.DUMMYFUNCTION("""COMPUTED_VALUE"""),35.75)</f>
        <v>35.75</v>
      </c>
      <c r="C2296" s="112">
        <f ca="1">IFERROR(__xludf.DUMMYFUNCTION("""COMPUTED_VALUE"""),43662.7055555555)</f>
        <v>43662.705555555498</v>
      </c>
      <c r="D2296" s="111">
        <f ca="1">IFERROR(__xludf.DUMMYFUNCTION("""COMPUTED_VALUE"""),36.5)</f>
        <v>36.5</v>
      </c>
      <c r="E2296" s="112">
        <f ca="1">IFERROR(__xludf.DUMMYFUNCTION("""COMPUTED_VALUE"""),43663.7055555555)</f>
        <v>43663.705555555498</v>
      </c>
      <c r="F2296" s="111">
        <f ca="1">IFERROR(__xludf.DUMMYFUNCTION("""COMPUTED_VALUE"""),12.31)</f>
        <v>12.31</v>
      </c>
      <c r="G2296" s="112">
        <f ca="1">IFERROR(__xludf.DUMMYFUNCTION("""COMPUTED_VALUE"""),43661.7055555555)</f>
        <v>43661.705555555498</v>
      </c>
      <c r="H2296" s="111">
        <f ca="1">IFERROR(__xludf.DUMMYFUNCTION("""COMPUTED_VALUE"""),28.18)</f>
        <v>28.18</v>
      </c>
      <c r="K2296" s="112">
        <f ca="1">IFERROR(__xludf.DUMMYFUNCTION("""COMPUTED_VALUE"""),44105.7055555555)</f>
        <v>44105.705555555498</v>
      </c>
      <c r="L2296" s="111">
        <f ca="1">IFERROR(__xludf.DUMMYFUNCTION("""COMPUTED_VALUE"""),22.98)</f>
        <v>22.98</v>
      </c>
      <c r="M2296" s="112">
        <f ca="1">IFERROR(__xludf.DUMMYFUNCTION("""COMPUTED_VALUE"""),43567.7055555555)</f>
        <v>43567.705555555498</v>
      </c>
      <c r="N2296" s="111">
        <f ca="1">IFERROR(__xludf.DUMMYFUNCTION("""COMPUTED_VALUE"""),28.84)</f>
        <v>28.84</v>
      </c>
      <c r="O2296" s="112">
        <f ca="1">IFERROR(__xludf.DUMMYFUNCTION("""COMPUTED_VALUE"""),43644.7055555555)</f>
        <v>43644.705555555498</v>
      </c>
      <c r="P2296" s="111">
        <f ca="1">IFERROR(__xludf.DUMMYFUNCTION("""COMPUTED_VALUE"""),51.82)</f>
        <v>51.82</v>
      </c>
      <c r="Q2296" s="112">
        <f ca="1">IFERROR(__xludf.DUMMYFUNCTION("""COMPUTED_VALUE"""),43643.7055555555)</f>
        <v>43643.705555555498</v>
      </c>
      <c r="R2296" s="111">
        <f ca="1">IFERROR(__xludf.DUMMYFUNCTION("""COMPUTED_VALUE"""),53.8)</f>
        <v>53.8</v>
      </c>
      <c r="S2296" s="112">
        <f ca="1">IFERROR(__xludf.DUMMYFUNCTION("""COMPUTED_VALUE"""),43657.7055555555)</f>
        <v>43657.705555555498</v>
      </c>
      <c r="T2296" s="111">
        <f ca="1">IFERROR(__xludf.DUMMYFUNCTION("""COMPUTED_VALUE"""),44.05)</f>
        <v>44.05</v>
      </c>
    </row>
    <row r="2297" spans="1:20" x14ac:dyDescent="0.3">
      <c r="A2297" s="112">
        <f ca="1">IFERROR(__xludf.DUMMYFUNCTION("""COMPUTED_VALUE"""),43654.7055555555)</f>
        <v>43654.705555555498</v>
      </c>
      <c r="B2297" s="111">
        <f ca="1">IFERROR(__xludf.DUMMYFUNCTION("""COMPUTED_VALUE"""),35.37)</f>
        <v>35.369999999999997</v>
      </c>
      <c r="C2297" s="112">
        <f ca="1">IFERROR(__xludf.DUMMYFUNCTION("""COMPUTED_VALUE"""),43663.7055555555)</f>
        <v>43663.705555555498</v>
      </c>
      <c r="D2297" s="111">
        <f ca="1">IFERROR(__xludf.DUMMYFUNCTION("""COMPUTED_VALUE"""),36.4)</f>
        <v>36.4</v>
      </c>
      <c r="E2297" s="112">
        <f ca="1">IFERROR(__xludf.DUMMYFUNCTION("""COMPUTED_VALUE"""),43664.7055555555)</f>
        <v>43664.705555555498</v>
      </c>
      <c r="F2297" s="111">
        <f ca="1">IFERROR(__xludf.DUMMYFUNCTION("""COMPUTED_VALUE"""),12.58)</f>
        <v>12.58</v>
      </c>
      <c r="G2297" s="112">
        <f ca="1">IFERROR(__xludf.DUMMYFUNCTION("""COMPUTED_VALUE"""),43662.7055555555)</f>
        <v>43662.705555555498</v>
      </c>
      <c r="H2297" s="111">
        <f ca="1">IFERROR(__xludf.DUMMYFUNCTION("""COMPUTED_VALUE"""),27.83)</f>
        <v>27.83</v>
      </c>
      <c r="K2297" s="112">
        <f ca="1">IFERROR(__xludf.DUMMYFUNCTION("""COMPUTED_VALUE"""),44106.7055555555)</f>
        <v>44106.705555555498</v>
      </c>
      <c r="L2297" s="111">
        <f ca="1">IFERROR(__xludf.DUMMYFUNCTION("""COMPUTED_VALUE"""),22.02)</f>
        <v>22.02</v>
      </c>
      <c r="M2297" s="112">
        <f ca="1">IFERROR(__xludf.DUMMYFUNCTION("""COMPUTED_VALUE"""),43570.7055555555)</f>
        <v>43570.705555555498</v>
      </c>
      <c r="N2297" s="111">
        <f ca="1">IFERROR(__xludf.DUMMYFUNCTION("""COMPUTED_VALUE"""),28.78)</f>
        <v>28.78</v>
      </c>
      <c r="O2297" s="112">
        <f ca="1">IFERROR(__xludf.DUMMYFUNCTION("""COMPUTED_VALUE"""),43647.7055555555)</f>
        <v>43647.705555555498</v>
      </c>
      <c r="P2297" s="111">
        <f ca="1">IFERROR(__xludf.DUMMYFUNCTION("""COMPUTED_VALUE"""),53.65)</f>
        <v>53.65</v>
      </c>
      <c r="Q2297" s="112">
        <f ca="1">IFERROR(__xludf.DUMMYFUNCTION("""COMPUTED_VALUE"""),43644.7055555555)</f>
        <v>43644.705555555498</v>
      </c>
      <c r="R2297" s="111">
        <f ca="1">IFERROR(__xludf.DUMMYFUNCTION("""COMPUTED_VALUE"""),53.94)</f>
        <v>53.94</v>
      </c>
      <c r="S2297" s="112">
        <f ca="1">IFERROR(__xludf.DUMMYFUNCTION("""COMPUTED_VALUE"""),43658.7055555555)</f>
        <v>43658.705555555498</v>
      </c>
      <c r="T2297" s="111">
        <f ca="1">IFERROR(__xludf.DUMMYFUNCTION("""COMPUTED_VALUE"""),43.22)</f>
        <v>43.22</v>
      </c>
    </row>
    <row r="2298" spans="1:20" x14ac:dyDescent="0.3">
      <c r="A2298" s="112">
        <f ca="1">IFERROR(__xludf.DUMMYFUNCTION("""COMPUTED_VALUE"""),43656.7055555555)</f>
        <v>43656.705555555498</v>
      </c>
      <c r="B2298" s="111">
        <f ca="1">IFERROR(__xludf.DUMMYFUNCTION("""COMPUTED_VALUE"""),35.9)</f>
        <v>35.9</v>
      </c>
      <c r="C2298" s="112">
        <f ca="1">IFERROR(__xludf.DUMMYFUNCTION("""COMPUTED_VALUE"""),43664.7055555555)</f>
        <v>43664.705555555498</v>
      </c>
      <c r="D2298" s="111">
        <f ca="1">IFERROR(__xludf.DUMMYFUNCTION("""COMPUTED_VALUE"""),37.37)</f>
        <v>37.369999999999997</v>
      </c>
      <c r="E2298" s="112">
        <f ca="1">IFERROR(__xludf.DUMMYFUNCTION("""COMPUTED_VALUE"""),43665.7055555555)</f>
        <v>43665.705555555498</v>
      </c>
      <c r="F2298" s="111">
        <f ca="1">IFERROR(__xludf.DUMMYFUNCTION("""COMPUTED_VALUE"""),12.43)</f>
        <v>12.43</v>
      </c>
      <c r="G2298" s="112">
        <f ca="1">IFERROR(__xludf.DUMMYFUNCTION("""COMPUTED_VALUE"""),43663.7055555555)</f>
        <v>43663.705555555498</v>
      </c>
      <c r="H2298" s="111">
        <f ca="1">IFERROR(__xludf.DUMMYFUNCTION("""COMPUTED_VALUE"""),27.68)</f>
        <v>27.68</v>
      </c>
      <c r="K2298" s="112">
        <f ca="1">IFERROR(__xludf.DUMMYFUNCTION("""COMPUTED_VALUE"""),44109.7055555555)</f>
        <v>44109.705555555498</v>
      </c>
      <c r="L2298" s="111">
        <f ca="1">IFERROR(__xludf.DUMMYFUNCTION("""COMPUTED_VALUE"""),22.54)</f>
        <v>22.54</v>
      </c>
      <c r="M2298" s="112">
        <f ca="1">IFERROR(__xludf.DUMMYFUNCTION("""COMPUTED_VALUE"""),43571.7055555555)</f>
        <v>43571.705555555498</v>
      </c>
      <c r="N2298" s="111">
        <f ca="1">IFERROR(__xludf.DUMMYFUNCTION("""COMPUTED_VALUE"""),28.73)</f>
        <v>28.73</v>
      </c>
      <c r="O2298" s="112">
        <f ca="1">IFERROR(__xludf.DUMMYFUNCTION("""COMPUTED_VALUE"""),43648.7055555555)</f>
        <v>43648.705555555498</v>
      </c>
      <c r="P2298" s="111">
        <f ca="1">IFERROR(__xludf.DUMMYFUNCTION("""COMPUTED_VALUE"""),51.39)</f>
        <v>51.39</v>
      </c>
      <c r="Q2298" s="112">
        <f ca="1">IFERROR(__xludf.DUMMYFUNCTION("""COMPUTED_VALUE"""),43647.7055555555)</f>
        <v>43647.705555555498</v>
      </c>
      <c r="R2298" s="111">
        <f ca="1">IFERROR(__xludf.DUMMYFUNCTION("""COMPUTED_VALUE"""),53.88)</f>
        <v>53.88</v>
      </c>
      <c r="S2298" s="112">
        <f ca="1">IFERROR(__xludf.DUMMYFUNCTION("""COMPUTED_VALUE"""),43661.7055555555)</f>
        <v>43661.705555555498</v>
      </c>
      <c r="T2298" s="111">
        <f ca="1">IFERROR(__xludf.DUMMYFUNCTION("""COMPUTED_VALUE"""),43.49)</f>
        <v>43.49</v>
      </c>
    </row>
    <row r="2299" spans="1:20" x14ac:dyDescent="0.3">
      <c r="A2299" s="112">
        <f ca="1">IFERROR(__xludf.DUMMYFUNCTION("""COMPUTED_VALUE"""),43657.7055555555)</f>
        <v>43657.705555555498</v>
      </c>
      <c r="B2299" s="111">
        <f ca="1">IFERROR(__xludf.DUMMYFUNCTION("""COMPUTED_VALUE"""),38.54)</f>
        <v>38.54</v>
      </c>
      <c r="C2299" s="112">
        <f ca="1">IFERROR(__xludf.DUMMYFUNCTION("""COMPUTED_VALUE"""),43665.7055555555)</f>
        <v>43665.705555555498</v>
      </c>
      <c r="D2299" s="111">
        <f ca="1">IFERROR(__xludf.DUMMYFUNCTION("""COMPUTED_VALUE"""),36.4)</f>
        <v>36.4</v>
      </c>
      <c r="E2299" s="112">
        <f ca="1">IFERROR(__xludf.DUMMYFUNCTION("""COMPUTED_VALUE"""),43668.7055555555)</f>
        <v>43668.705555555498</v>
      </c>
      <c r="F2299" s="111">
        <f ca="1">IFERROR(__xludf.DUMMYFUNCTION("""COMPUTED_VALUE"""),12.62)</f>
        <v>12.62</v>
      </c>
      <c r="G2299" s="112">
        <f ca="1">IFERROR(__xludf.DUMMYFUNCTION("""COMPUTED_VALUE"""),43664.7055555555)</f>
        <v>43664.705555555498</v>
      </c>
      <c r="H2299" s="111">
        <f ca="1">IFERROR(__xludf.DUMMYFUNCTION("""COMPUTED_VALUE"""),27.51)</f>
        <v>27.51</v>
      </c>
      <c r="K2299" s="112">
        <f ca="1">IFERROR(__xludf.DUMMYFUNCTION("""COMPUTED_VALUE"""),44110.7055555555)</f>
        <v>44110.705555555498</v>
      </c>
      <c r="L2299" s="111">
        <f ca="1">IFERROR(__xludf.DUMMYFUNCTION("""COMPUTED_VALUE"""),22.33)</f>
        <v>22.33</v>
      </c>
      <c r="M2299" s="112">
        <f ca="1">IFERROR(__xludf.DUMMYFUNCTION("""COMPUTED_VALUE"""),43572.7055555555)</f>
        <v>43572.705555555498</v>
      </c>
      <c r="N2299" s="111">
        <f ca="1">IFERROR(__xludf.DUMMYFUNCTION("""COMPUTED_VALUE"""),28.33)</f>
        <v>28.33</v>
      </c>
      <c r="O2299" s="112">
        <f ca="1">IFERROR(__xludf.DUMMYFUNCTION("""COMPUTED_VALUE"""),43649.7055555555)</f>
        <v>43649.705555555498</v>
      </c>
      <c r="P2299" s="111">
        <f ca="1">IFERROR(__xludf.DUMMYFUNCTION("""COMPUTED_VALUE"""),51.29)</f>
        <v>51.29</v>
      </c>
      <c r="Q2299" s="112">
        <f ca="1">IFERROR(__xludf.DUMMYFUNCTION("""COMPUTED_VALUE"""),43648.7055555555)</f>
        <v>43648.705555555498</v>
      </c>
      <c r="R2299" s="111">
        <f ca="1">IFERROR(__xludf.DUMMYFUNCTION("""COMPUTED_VALUE"""),53.19)</f>
        <v>53.19</v>
      </c>
      <c r="S2299" s="112">
        <f ca="1">IFERROR(__xludf.DUMMYFUNCTION("""COMPUTED_VALUE"""),43662.7055555555)</f>
        <v>43662.705555555498</v>
      </c>
      <c r="T2299" s="111">
        <f ca="1">IFERROR(__xludf.DUMMYFUNCTION("""COMPUTED_VALUE"""),43.63)</f>
        <v>43.63</v>
      </c>
    </row>
    <row r="2300" spans="1:20" x14ac:dyDescent="0.3">
      <c r="A2300" s="112">
        <f ca="1">IFERROR(__xludf.DUMMYFUNCTION("""COMPUTED_VALUE"""),43658.7055555555)</f>
        <v>43658.705555555498</v>
      </c>
      <c r="B2300" s="111">
        <f ca="1">IFERROR(__xludf.DUMMYFUNCTION("""COMPUTED_VALUE"""),38.96)</f>
        <v>38.96</v>
      </c>
      <c r="C2300" s="112">
        <f ca="1">IFERROR(__xludf.DUMMYFUNCTION("""COMPUTED_VALUE"""),43668.7055555555)</f>
        <v>43668.705555555498</v>
      </c>
      <c r="D2300" s="111">
        <f ca="1">IFERROR(__xludf.DUMMYFUNCTION("""COMPUTED_VALUE"""),37.02)</f>
        <v>37.020000000000003</v>
      </c>
      <c r="E2300" s="112">
        <f ca="1">IFERROR(__xludf.DUMMYFUNCTION("""COMPUTED_VALUE"""),43669.7055555555)</f>
        <v>43669.705555555498</v>
      </c>
      <c r="F2300" s="111">
        <f ca="1">IFERROR(__xludf.DUMMYFUNCTION("""COMPUTED_VALUE"""),12.69)</f>
        <v>12.69</v>
      </c>
      <c r="G2300" s="112">
        <f ca="1">IFERROR(__xludf.DUMMYFUNCTION("""COMPUTED_VALUE"""),43665.7055555555)</f>
        <v>43665.705555555498</v>
      </c>
      <c r="H2300" s="111">
        <f ca="1">IFERROR(__xludf.DUMMYFUNCTION("""COMPUTED_VALUE"""),27.44)</f>
        <v>27.44</v>
      </c>
      <c r="K2300" s="112">
        <f ca="1">IFERROR(__xludf.DUMMYFUNCTION("""COMPUTED_VALUE"""),44111.7055555555)</f>
        <v>44111.705555555498</v>
      </c>
      <c r="L2300" s="111">
        <f ca="1">IFERROR(__xludf.DUMMYFUNCTION("""COMPUTED_VALUE"""),22.24)</f>
        <v>22.24</v>
      </c>
      <c r="M2300" s="112">
        <f ca="1">IFERROR(__xludf.DUMMYFUNCTION("""COMPUTED_VALUE"""),43573.7055555555)</f>
        <v>43573.705555555498</v>
      </c>
      <c r="N2300" s="111">
        <f ca="1">IFERROR(__xludf.DUMMYFUNCTION("""COMPUTED_VALUE"""),28.72)</f>
        <v>28.72</v>
      </c>
      <c r="O2300" s="112">
        <f ca="1">IFERROR(__xludf.DUMMYFUNCTION("""COMPUTED_VALUE"""),43650.7055555555)</f>
        <v>43650.705555555498</v>
      </c>
      <c r="P2300" s="111">
        <f ca="1">IFERROR(__xludf.DUMMYFUNCTION("""COMPUTED_VALUE"""),51.67)</f>
        <v>51.67</v>
      </c>
      <c r="Q2300" s="112">
        <f ca="1">IFERROR(__xludf.DUMMYFUNCTION("""COMPUTED_VALUE"""),43649.7055555555)</f>
        <v>43649.705555555498</v>
      </c>
      <c r="R2300" s="111">
        <f ca="1">IFERROR(__xludf.DUMMYFUNCTION("""COMPUTED_VALUE"""),54.3)</f>
        <v>54.3</v>
      </c>
      <c r="S2300" s="112">
        <f ca="1">IFERROR(__xludf.DUMMYFUNCTION("""COMPUTED_VALUE"""),43663.7055555555)</f>
        <v>43663.705555555498</v>
      </c>
      <c r="T2300" s="111">
        <f ca="1">IFERROR(__xludf.DUMMYFUNCTION("""COMPUTED_VALUE"""),43.86)</f>
        <v>43.86</v>
      </c>
    </row>
    <row r="2301" spans="1:20" x14ac:dyDescent="0.3">
      <c r="A2301" s="112">
        <f ca="1">IFERROR(__xludf.DUMMYFUNCTION("""COMPUTED_VALUE"""),43661.7055555555)</f>
        <v>43661.705555555498</v>
      </c>
      <c r="B2301" s="111">
        <f ca="1">IFERROR(__xludf.DUMMYFUNCTION("""COMPUTED_VALUE"""),37.09)</f>
        <v>37.090000000000003</v>
      </c>
      <c r="C2301" s="112">
        <f ca="1">IFERROR(__xludf.DUMMYFUNCTION("""COMPUTED_VALUE"""),43669.7055555555)</f>
        <v>43669.705555555498</v>
      </c>
      <c r="D2301" s="111">
        <f ca="1">IFERROR(__xludf.DUMMYFUNCTION("""COMPUTED_VALUE"""),37.38)</f>
        <v>37.380000000000003</v>
      </c>
      <c r="E2301" s="112">
        <f ca="1">IFERROR(__xludf.DUMMYFUNCTION("""COMPUTED_VALUE"""),43670.7055555555)</f>
        <v>43670.705555555498</v>
      </c>
      <c r="F2301" s="111">
        <f ca="1">IFERROR(__xludf.DUMMYFUNCTION("""COMPUTED_VALUE"""),12.67)</f>
        <v>12.67</v>
      </c>
      <c r="G2301" s="112">
        <f ca="1">IFERROR(__xludf.DUMMYFUNCTION("""COMPUTED_VALUE"""),43668.7055555555)</f>
        <v>43668.705555555498</v>
      </c>
      <c r="H2301" s="111">
        <f ca="1">IFERROR(__xludf.DUMMYFUNCTION("""COMPUTED_VALUE"""),27.49)</f>
        <v>27.49</v>
      </c>
      <c r="K2301" s="112">
        <f ca="1">IFERROR(__xludf.DUMMYFUNCTION("""COMPUTED_VALUE"""),44112.7055555555)</f>
        <v>44112.705555555498</v>
      </c>
      <c r="L2301" s="111">
        <f ca="1">IFERROR(__xludf.DUMMYFUNCTION("""COMPUTED_VALUE"""),22.97)</f>
        <v>22.97</v>
      </c>
      <c r="M2301" s="112">
        <f ca="1">IFERROR(__xludf.DUMMYFUNCTION("""COMPUTED_VALUE"""),43577.7055555555)</f>
        <v>43577.705555555498</v>
      </c>
      <c r="N2301" s="111">
        <f ca="1">IFERROR(__xludf.DUMMYFUNCTION("""COMPUTED_VALUE"""),28.96)</f>
        <v>28.96</v>
      </c>
      <c r="O2301" s="112">
        <f ca="1">IFERROR(__xludf.DUMMYFUNCTION("""COMPUTED_VALUE"""),43651.7055555555)</f>
        <v>43651.705555555498</v>
      </c>
      <c r="P2301" s="111">
        <f ca="1">IFERROR(__xludf.DUMMYFUNCTION("""COMPUTED_VALUE"""),50.36)</f>
        <v>50.36</v>
      </c>
      <c r="Q2301" s="112">
        <f ca="1">IFERROR(__xludf.DUMMYFUNCTION("""COMPUTED_VALUE"""),43650.7055555555)</f>
        <v>43650.705555555498</v>
      </c>
      <c r="R2301" s="111">
        <f ca="1">IFERROR(__xludf.DUMMYFUNCTION("""COMPUTED_VALUE"""),55.18)</f>
        <v>55.18</v>
      </c>
      <c r="S2301" s="112">
        <f ca="1">IFERROR(__xludf.DUMMYFUNCTION("""COMPUTED_VALUE"""),43664.7055555555)</f>
        <v>43664.705555555498</v>
      </c>
      <c r="T2301" s="111">
        <f ca="1">IFERROR(__xludf.DUMMYFUNCTION("""COMPUTED_VALUE"""),44.18)</f>
        <v>44.18</v>
      </c>
    </row>
    <row r="2302" spans="1:20" x14ac:dyDescent="0.3">
      <c r="A2302" s="112">
        <f ca="1">IFERROR(__xludf.DUMMYFUNCTION("""COMPUTED_VALUE"""),43662.7055555555)</f>
        <v>43662.705555555498</v>
      </c>
      <c r="B2302" s="111">
        <f ca="1">IFERROR(__xludf.DUMMYFUNCTION("""COMPUTED_VALUE"""),38.37)</f>
        <v>38.369999999999997</v>
      </c>
      <c r="C2302" s="112">
        <f ca="1">IFERROR(__xludf.DUMMYFUNCTION("""COMPUTED_VALUE"""),43670.7055555555)</f>
        <v>43670.705555555498</v>
      </c>
      <c r="D2302" s="111">
        <f ca="1">IFERROR(__xludf.DUMMYFUNCTION("""COMPUTED_VALUE"""),37.35)</f>
        <v>37.35</v>
      </c>
      <c r="E2302" s="112">
        <f ca="1">IFERROR(__xludf.DUMMYFUNCTION("""COMPUTED_VALUE"""),43671.7055555555)</f>
        <v>43671.705555555498</v>
      </c>
      <c r="F2302" s="111">
        <f ca="1">IFERROR(__xludf.DUMMYFUNCTION("""COMPUTED_VALUE"""),12.29)</f>
        <v>12.29</v>
      </c>
      <c r="G2302" s="112">
        <f ca="1">IFERROR(__xludf.DUMMYFUNCTION("""COMPUTED_VALUE"""),43669.7055555555)</f>
        <v>43669.705555555498</v>
      </c>
      <c r="H2302" s="111">
        <f ca="1">IFERROR(__xludf.DUMMYFUNCTION("""COMPUTED_VALUE"""),27.52)</f>
        <v>27.52</v>
      </c>
      <c r="K2302" s="112">
        <f ca="1">IFERROR(__xludf.DUMMYFUNCTION("""COMPUTED_VALUE"""),44113.7055555555)</f>
        <v>44113.705555555498</v>
      </c>
      <c r="L2302" s="111">
        <f ca="1">IFERROR(__xludf.DUMMYFUNCTION("""COMPUTED_VALUE"""),24.54)</f>
        <v>24.54</v>
      </c>
      <c r="M2302" s="112">
        <f ca="1">IFERROR(__xludf.DUMMYFUNCTION("""COMPUTED_VALUE"""),43578.7055555555)</f>
        <v>43578.705555555498</v>
      </c>
      <c r="N2302" s="111">
        <f ca="1">IFERROR(__xludf.DUMMYFUNCTION("""COMPUTED_VALUE"""),29.66)</f>
        <v>29.66</v>
      </c>
      <c r="O2302" s="112">
        <f ca="1">IFERROR(__xludf.DUMMYFUNCTION("""COMPUTED_VALUE"""),43654.7055555555)</f>
        <v>43654.705555555498</v>
      </c>
      <c r="P2302" s="111">
        <f ca="1">IFERROR(__xludf.DUMMYFUNCTION("""COMPUTED_VALUE"""),50.95)</f>
        <v>50.95</v>
      </c>
      <c r="Q2302" s="112">
        <f ca="1">IFERROR(__xludf.DUMMYFUNCTION("""COMPUTED_VALUE"""),43651.7055555555)</f>
        <v>43651.705555555498</v>
      </c>
      <c r="R2302" s="111">
        <f ca="1">IFERROR(__xludf.DUMMYFUNCTION("""COMPUTED_VALUE"""),55)</f>
        <v>55</v>
      </c>
      <c r="S2302" s="112">
        <f ca="1">IFERROR(__xludf.DUMMYFUNCTION("""COMPUTED_VALUE"""),43665.7055555555)</f>
        <v>43665.705555555498</v>
      </c>
      <c r="T2302" s="111">
        <f ca="1">IFERROR(__xludf.DUMMYFUNCTION("""COMPUTED_VALUE"""),42.86)</f>
        <v>42.86</v>
      </c>
    </row>
    <row r="2303" spans="1:20" x14ac:dyDescent="0.3">
      <c r="A2303" s="112">
        <f ca="1">IFERROR(__xludf.DUMMYFUNCTION("""COMPUTED_VALUE"""),43663.7055555555)</f>
        <v>43663.705555555498</v>
      </c>
      <c r="B2303" s="111">
        <f ca="1">IFERROR(__xludf.DUMMYFUNCTION("""COMPUTED_VALUE"""),39.9)</f>
        <v>39.9</v>
      </c>
      <c r="C2303" s="112">
        <f ca="1">IFERROR(__xludf.DUMMYFUNCTION("""COMPUTED_VALUE"""),43671.7055555555)</f>
        <v>43671.705555555498</v>
      </c>
      <c r="D2303" s="111">
        <f ca="1">IFERROR(__xludf.DUMMYFUNCTION("""COMPUTED_VALUE"""),36.2)</f>
        <v>36.200000000000003</v>
      </c>
      <c r="E2303" s="112">
        <f ca="1">IFERROR(__xludf.DUMMYFUNCTION("""COMPUTED_VALUE"""),43672.7055555555)</f>
        <v>43672.705555555498</v>
      </c>
      <c r="F2303" s="111">
        <f ca="1">IFERROR(__xludf.DUMMYFUNCTION("""COMPUTED_VALUE"""),12.39)</f>
        <v>12.39</v>
      </c>
      <c r="G2303" s="112">
        <f ca="1">IFERROR(__xludf.DUMMYFUNCTION("""COMPUTED_VALUE"""),43670.7055555555)</f>
        <v>43670.705555555498</v>
      </c>
      <c r="H2303" s="111">
        <f ca="1">IFERROR(__xludf.DUMMYFUNCTION("""COMPUTED_VALUE"""),27.35)</f>
        <v>27.35</v>
      </c>
      <c r="K2303" s="112">
        <f ca="1">IFERROR(__xludf.DUMMYFUNCTION("""COMPUTED_VALUE"""),44117.7055555555)</f>
        <v>44117.705555555498</v>
      </c>
      <c r="L2303" s="111">
        <f ca="1">IFERROR(__xludf.DUMMYFUNCTION("""COMPUTED_VALUE"""),26.01)</f>
        <v>26.01</v>
      </c>
      <c r="M2303" s="112">
        <f ca="1">IFERROR(__xludf.DUMMYFUNCTION("""COMPUTED_VALUE"""),43579.7055555555)</f>
        <v>43579.705555555498</v>
      </c>
      <c r="N2303" s="111">
        <f ca="1">IFERROR(__xludf.DUMMYFUNCTION("""COMPUTED_VALUE"""),29.46)</f>
        <v>29.46</v>
      </c>
      <c r="O2303" s="112">
        <f ca="1">IFERROR(__xludf.DUMMYFUNCTION("""COMPUTED_VALUE"""),43656.7055555555)</f>
        <v>43656.705555555498</v>
      </c>
      <c r="P2303" s="111">
        <f ca="1">IFERROR(__xludf.DUMMYFUNCTION("""COMPUTED_VALUE"""),52.13)</f>
        <v>52.13</v>
      </c>
      <c r="Q2303" s="112">
        <f ca="1">IFERROR(__xludf.DUMMYFUNCTION("""COMPUTED_VALUE"""),43654.7055555555)</f>
        <v>43654.705555555498</v>
      </c>
      <c r="R2303" s="111">
        <f ca="1">IFERROR(__xludf.DUMMYFUNCTION("""COMPUTED_VALUE"""),54.95)</f>
        <v>54.95</v>
      </c>
      <c r="S2303" s="112">
        <f ca="1">IFERROR(__xludf.DUMMYFUNCTION("""COMPUTED_VALUE"""),43668.7055555555)</f>
        <v>43668.705555555498</v>
      </c>
      <c r="T2303" s="111">
        <f ca="1">IFERROR(__xludf.DUMMYFUNCTION("""COMPUTED_VALUE"""),43.23)</f>
        <v>43.23</v>
      </c>
    </row>
    <row r="2304" spans="1:20" x14ac:dyDescent="0.3">
      <c r="A2304" s="112">
        <f ca="1">IFERROR(__xludf.DUMMYFUNCTION("""COMPUTED_VALUE"""),43664.7055555555)</f>
        <v>43664.705555555498</v>
      </c>
      <c r="B2304" s="111">
        <f ca="1">IFERROR(__xludf.DUMMYFUNCTION("""COMPUTED_VALUE"""),40.14)</f>
        <v>40.14</v>
      </c>
      <c r="C2304" s="112">
        <f ca="1">IFERROR(__xludf.DUMMYFUNCTION("""COMPUTED_VALUE"""),43672.7055555555)</f>
        <v>43672.705555555498</v>
      </c>
      <c r="D2304" s="111">
        <f ca="1">IFERROR(__xludf.DUMMYFUNCTION("""COMPUTED_VALUE"""),36.85)</f>
        <v>36.85</v>
      </c>
      <c r="E2304" s="112">
        <f ca="1">IFERROR(__xludf.DUMMYFUNCTION("""COMPUTED_VALUE"""),43675.7055555555)</f>
        <v>43675.705555555498</v>
      </c>
      <c r="F2304" s="111">
        <f ca="1">IFERROR(__xludf.DUMMYFUNCTION("""COMPUTED_VALUE"""),12.37)</f>
        <v>12.37</v>
      </c>
      <c r="G2304" s="112">
        <f ca="1">IFERROR(__xludf.DUMMYFUNCTION("""COMPUTED_VALUE"""),43671.7055555555)</f>
        <v>43671.705555555498</v>
      </c>
      <c r="H2304" s="111">
        <f ca="1">IFERROR(__xludf.DUMMYFUNCTION("""COMPUTED_VALUE"""),26.89)</f>
        <v>26.89</v>
      </c>
      <c r="K2304" s="112">
        <f ca="1">IFERROR(__xludf.DUMMYFUNCTION("""COMPUTED_VALUE"""),44118.7055555555)</f>
        <v>44118.705555555498</v>
      </c>
      <c r="L2304" s="111">
        <f ca="1">IFERROR(__xludf.DUMMYFUNCTION("""COMPUTED_VALUE"""),25.69)</f>
        <v>25.69</v>
      </c>
      <c r="M2304" s="112">
        <f ca="1">IFERROR(__xludf.DUMMYFUNCTION("""COMPUTED_VALUE"""),43580.7055555555)</f>
        <v>43580.705555555498</v>
      </c>
      <c r="N2304" s="111">
        <f ca="1">IFERROR(__xludf.DUMMYFUNCTION("""COMPUTED_VALUE"""),29.81)</f>
        <v>29.81</v>
      </c>
      <c r="O2304" s="112">
        <f ca="1">IFERROR(__xludf.DUMMYFUNCTION("""COMPUTED_VALUE"""),43657.7055555555)</f>
        <v>43657.705555555498</v>
      </c>
      <c r="P2304" s="111">
        <f ca="1">IFERROR(__xludf.DUMMYFUNCTION("""COMPUTED_VALUE"""),52.05)</f>
        <v>52.05</v>
      </c>
      <c r="Q2304" s="112">
        <f ca="1">IFERROR(__xludf.DUMMYFUNCTION("""COMPUTED_VALUE"""),43656.7055555555)</f>
        <v>43656.705555555498</v>
      </c>
      <c r="R2304" s="111">
        <f ca="1">IFERROR(__xludf.DUMMYFUNCTION("""COMPUTED_VALUE"""),54.26)</f>
        <v>54.26</v>
      </c>
      <c r="S2304" s="112">
        <f ca="1">IFERROR(__xludf.DUMMYFUNCTION("""COMPUTED_VALUE"""),43669.7055555555)</f>
        <v>43669.705555555498</v>
      </c>
      <c r="T2304" s="111">
        <f ca="1">IFERROR(__xludf.DUMMYFUNCTION("""COMPUTED_VALUE"""),42.32)</f>
        <v>42.32</v>
      </c>
    </row>
    <row r="2305" spans="1:20" x14ac:dyDescent="0.3">
      <c r="A2305" s="112">
        <f ca="1">IFERROR(__xludf.DUMMYFUNCTION("""COMPUTED_VALUE"""),43665.7055555555)</f>
        <v>43665.705555555498</v>
      </c>
      <c r="B2305" s="111">
        <f ca="1">IFERROR(__xludf.DUMMYFUNCTION("""COMPUTED_VALUE"""),38.97)</f>
        <v>38.97</v>
      </c>
      <c r="C2305" s="112">
        <f ca="1">IFERROR(__xludf.DUMMYFUNCTION("""COMPUTED_VALUE"""),43675.7055555555)</f>
        <v>43675.705555555498</v>
      </c>
      <c r="D2305" s="111">
        <f ca="1">IFERROR(__xludf.DUMMYFUNCTION("""COMPUTED_VALUE"""),37)</f>
        <v>37</v>
      </c>
      <c r="E2305" s="112">
        <f ca="1">IFERROR(__xludf.DUMMYFUNCTION("""COMPUTED_VALUE"""),43676.7055555555)</f>
        <v>43676.705555555498</v>
      </c>
      <c r="F2305" s="111">
        <f ca="1">IFERROR(__xludf.DUMMYFUNCTION("""COMPUTED_VALUE"""),12.17)</f>
        <v>12.17</v>
      </c>
      <c r="G2305" s="112">
        <f ca="1">IFERROR(__xludf.DUMMYFUNCTION("""COMPUTED_VALUE"""),43672.7055555555)</f>
        <v>43672.705555555498</v>
      </c>
      <c r="H2305" s="111">
        <f ca="1">IFERROR(__xludf.DUMMYFUNCTION("""COMPUTED_VALUE"""),26.14)</f>
        <v>26.14</v>
      </c>
      <c r="K2305" s="112">
        <f ca="1">IFERROR(__xludf.DUMMYFUNCTION("""COMPUTED_VALUE"""),44119.7055555555)</f>
        <v>44119.705555555498</v>
      </c>
      <c r="L2305" s="111">
        <f ca="1">IFERROR(__xludf.DUMMYFUNCTION("""COMPUTED_VALUE"""),25.52)</f>
        <v>25.52</v>
      </c>
      <c r="M2305" s="112">
        <f ca="1">IFERROR(__xludf.DUMMYFUNCTION("""COMPUTED_VALUE"""),43581.7055555555)</f>
        <v>43581.705555555498</v>
      </c>
      <c r="N2305" s="111">
        <f ca="1">IFERROR(__xludf.DUMMYFUNCTION("""COMPUTED_VALUE"""),29.72)</f>
        <v>29.72</v>
      </c>
      <c r="O2305" s="112">
        <f ca="1">IFERROR(__xludf.DUMMYFUNCTION("""COMPUTED_VALUE"""),43658.7055555555)</f>
        <v>43658.705555555498</v>
      </c>
      <c r="P2305" s="111">
        <f ca="1">IFERROR(__xludf.DUMMYFUNCTION("""COMPUTED_VALUE"""),51.81)</f>
        <v>51.81</v>
      </c>
      <c r="Q2305" s="112">
        <f ca="1">IFERROR(__xludf.DUMMYFUNCTION("""COMPUTED_VALUE"""),43657.7055555555)</f>
        <v>43657.705555555498</v>
      </c>
      <c r="R2305" s="111">
        <f ca="1">IFERROR(__xludf.DUMMYFUNCTION("""COMPUTED_VALUE"""),53.2)</f>
        <v>53.2</v>
      </c>
      <c r="S2305" s="112">
        <f ca="1">IFERROR(__xludf.DUMMYFUNCTION("""COMPUTED_VALUE"""),43670.7055555555)</f>
        <v>43670.705555555498</v>
      </c>
      <c r="T2305" s="111">
        <f ca="1">IFERROR(__xludf.DUMMYFUNCTION("""COMPUTED_VALUE"""),42.47)</f>
        <v>42.47</v>
      </c>
    </row>
    <row r="2306" spans="1:20" x14ac:dyDescent="0.3">
      <c r="A2306" s="112">
        <f ca="1">IFERROR(__xludf.DUMMYFUNCTION("""COMPUTED_VALUE"""),43668.7055555555)</f>
        <v>43668.705555555498</v>
      </c>
      <c r="B2306" s="111">
        <f ca="1">IFERROR(__xludf.DUMMYFUNCTION("""COMPUTED_VALUE"""),38.2)</f>
        <v>38.200000000000003</v>
      </c>
      <c r="C2306" s="112">
        <f ca="1">IFERROR(__xludf.DUMMYFUNCTION("""COMPUTED_VALUE"""),43676.7055555555)</f>
        <v>43676.705555555498</v>
      </c>
      <c r="D2306" s="111">
        <f ca="1">IFERROR(__xludf.DUMMYFUNCTION("""COMPUTED_VALUE"""),35.77)</f>
        <v>35.770000000000003</v>
      </c>
      <c r="E2306" s="112">
        <f ca="1">IFERROR(__xludf.DUMMYFUNCTION("""COMPUTED_VALUE"""),43677.7055555555)</f>
        <v>43677.705555555498</v>
      </c>
      <c r="F2306" s="111">
        <f ca="1">IFERROR(__xludf.DUMMYFUNCTION("""COMPUTED_VALUE"""),11.88)</f>
        <v>11.88</v>
      </c>
      <c r="G2306" s="112">
        <f ca="1">IFERROR(__xludf.DUMMYFUNCTION("""COMPUTED_VALUE"""),43675.7055555555)</f>
        <v>43675.705555555498</v>
      </c>
      <c r="H2306" s="111">
        <f ca="1">IFERROR(__xludf.DUMMYFUNCTION("""COMPUTED_VALUE"""),26.38)</f>
        <v>26.38</v>
      </c>
      <c r="K2306" s="112">
        <f ca="1">IFERROR(__xludf.DUMMYFUNCTION("""COMPUTED_VALUE"""),44120.7055555555)</f>
        <v>44120.705555555498</v>
      </c>
      <c r="L2306" s="111">
        <f ca="1">IFERROR(__xludf.DUMMYFUNCTION("""COMPUTED_VALUE"""),25.81)</f>
        <v>25.81</v>
      </c>
      <c r="M2306" s="112">
        <f ca="1">IFERROR(__xludf.DUMMYFUNCTION("""COMPUTED_VALUE"""),43584.7055555555)</f>
        <v>43584.705555555498</v>
      </c>
      <c r="N2306" s="111">
        <f ca="1">IFERROR(__xludf.DUMMYFUNCTION("""COMPUTED_VALUE"""),29.33)</f>
        <v>29.33</v>
      </c>
      <c r="O2306" s="112">
        <f ca="1">IFERROR(__xludf.DUMMYFUNCTION("""COMPUTED_VALUE"""),43661.7055555555)</f>
        <v>43661.705555555498</v>
      </c>
      <c r="P2306" s="111">
        <f ca="1">IFERROR(__xludf.DUMMYFUNCTION("""COMPUTED_VALUE"""),52.69)</f>
        <v>52.69</v>
      </c>
      <c r="Q2306" s="112">
        <f ca="1">IFERROR(__xludf.DUMMYFUNCTION("""COMPUTED_VALUE"""),43658.7055555555)</f>
        <v>43658.705555555498</v>
      </c>
      <c r="R2306" s="111">
        <f ca="1">IFERROR(__xludf.DUMMYFUNCTION("""COMPUTED_VALUE"""),52)</f>
        <v>52</v>
      </c>
      <c r="S2306" s="112">
        <f ca="1">IFERROR(__xludf.DUMMYFUNCTION("""COMPUTED_VALUE"""),43671.7055555555)</f>
        <v>43671.705555555498</v>
      </c>
      <c r="T2306" s="111">
        <f ca="1">IFERROR(__xludf.DUMMYFUNCTION("""COMPUTED_VALUE"""),41.91)</f>
        <v>41.91</v>
      </c>
    </row>
    <row r="2307" spans="1:20" x14ac:dyDescent="0.3">
      <c r="A2307" s="112">
        <f ca="1">IFERROR(__xludf.DUMMYFUNCTION("""COMPUTED_VALUE"""),43669.7055555555)</f>
        <v>43669.705555555498</v>
      </c>
      <c r="B2307" s="111">
        <f ca="1">IFERROR(__xludf.DUMMYFUNCTION("""COMPUTED_VALUE"""),37.92)</f>
        <v>37.92</v>
      </c>
      <c r="C2307" s="112">
        <f ca="1">IFERROR(__xludf.DUMMYFUNCTION("""COMPUTED_VALUE"""),43677.7055555555)</f>
        <v>43677.705555555498</v>
      </c>
      <c r="D2307" s="111">
        <f ca="1">IFERROR(__xludf.DUMMYFUNCTION("""COMPUTED_VALUE"""),34.82)</f>
        <v>34.82</v>
      </c>
      <c r="E2307" s="112">
        <f ca="1">IFERROR(__xludf.DUMMYFUNCTION("""COMPUTED_VALUE"""),43678.7055555555)</f>
        <v>43678.705555555498</v>
      </c>
      <c r="F2307" s="111">
        <f ca="1">IFERROR(__xludf.DUMMYFUNCTION("""COMPUTED_VALUE"""),11.95)</f>
        <v>11.95</v>
      </c>
      <c r="G2307" s="112">
        <f ca="1">IFERROR(__xludf.DUMMYFUNCTION("""COMPUTED_VALUE"""),43676.7055555555)</f>
        <v>43676.705555555498</v>
      </c>
      <c r="H2307" s="111">
        <f ca="1">IFERROR(__xludf.DUMMYFUNCTION("""COMPUTED_VALUE"""),26.24)</f>
        <v>26.24</v>
      </c>
      <c r="K2307" s="112">
        <f ca="1">IFERROR(__xludf.DUMMYFUNCTION("""COMPUTED_VALUE"""),44123.7055555555)</f>
        <v>44123.705555555498</v>
      </c>
      <c r="L2307" s="111">
        <f ca="1">IFERROR(__xludf.DUMMYFUNCTION("""COMPUTED_VALUE"""),25.7)</f>
        <v>25.7</v>
      </c>
      <c r="M2307" s="112">
        <f ca="1">IFERROR(__xludf.DUMMYFUNCTION("""COMPUTED_VALUE"""),43585.7055555555)</f>
        <v>43585.705555555498</v>
      </c>
      <c r="N2307" s="111">
        <f ca="1">IFERROR(__xludf.DUMMYFUNCTION("""COMPUTED_VALUE"""),29.4)</f>
        <v>29.4</v>
      </c>
      <c r="O2307" s="112">
        <f ca="1">IFERROR(__xludf.DUMMYFUNCTION("""COMPUTED_VALUE"""),43662.7055555555)</f>
        <v>43662.705555555498</v>
      </c>
      <c r="P2307" s="111">
        <f ca="1">IFERROR(__xludf.DUMMYFUNCTION("""COMPUTED_VALUE"""),53.05)</f>
        <v>53.05</v>
      </c>
      <c r="Q2307" s="112">
        <f ca="1">IFERROR(__xludf.DUMMYFUNCTION("""COMPUTED_VALUE"""),43661.7055555555)</f>
        <v>43661.705555555498</v>
      </c>
      <c r="R2307" s="111">
        <f ca="1">IFERROR(__xludf.DUMMYFUNCTION("""COMPUTED_VALUE"""),51.69)</f>
        <v>51.69</v>
      </c>
      <c r="S2307" s="112">
        <f ca="1">IFERROR(__xludf.DUMMYFUNCTION("""COMPUTED_VALUE"""),43672.7055555555)</f>
        <v>43672.705555555498</v>
      </c>
      <c r="T2307" s="111">
        <f ca="1">IFERROR(__xludf.DUMMYFUNCTION("""COMPUTED_VALUE"""),43.06)</f>
        <v>43.06</v>
      </c>
    </row>
    <row r="2308" spans="1:20" x14ac:dyDescent="0.3">
      <c r="A2308" s="112">
        <f ca="1">IFERROR(__xludf.DUMMYFUNCTION("""COMPUTED_VALUE"""),43670.7055555555)</f>
        <v>43670.705555555498</v>
      </c>
      <c r="B2308" s="111">
        <f ca="1">IFERROR(__xludf.DUMMYFUNCTION("""COMPUTED_VALUE"""),38.05)</f>
        <v>38.049999999999997</v>
      </c>
      <c r="C2308" s="112">
        <f ca="1">IFERROR(__xludf.DUMMYFUNCTION("""COMPUTED_VALUE"""),43678.7055555555)</f>
        <v>43678.705555555498</v>
      </c>
      <c r="D2308" s="111">
        <f ca="1">IFERROR(__xludf.DUMMYFUNCTION("""COMPUTED_VALUE"""),34.88)</f>
        <v>34.880000000000003</v>
      </c>
      <c r="E2308" s="112">
        <f ca="1">IFERROR(__xludf.DUMMYFUNCTION("""COMPUTED_VALUE"""),43679.7055555555)</f>
        <v>43679.705555555498</v>
      </c>
      <c r="F2308" s="111">
        <f ca="1">IFERROR(__xludf.DUMMYFUNCTION("""COMPUTED_VALUE"""),11.87)</f>
        <v>11.87</v>
      </c>
      <c r="G2308" s="112">
        <f ca="1">IFERROR(__xludf.DUMMYFUNCTION("""COMPUTED_VALUE"""),43677.7055555555)</f>
        <v>43677.705555555498</v>
      </c>
      <c r="H2308" s="111">
        <f ca="1">IFERROR(__xludf.DUMMYFUNCTION("""COMPUTED_VALUE"""),26.08)</f>
        <v>26.08</v>
      </c>
      <c r="K2308" s="112">
        <f ca="1">IFERROR(__xludf.DUMMYFUNCTION("""COMPUTED_VALUE"""),44124.7055555555)</f>
        <v>44124.705555555498</v>
      </c>
      <c r="L2308" s="111">
        <f ca="1">IFERROR(__xludf.DUMMYFUNCTION("""COMPUTED_VALUE"""),26.05)</f>
        <v>26.05</v>
      </c>
      <c r="M2308" s="112">
        <f ca="1">IFERROR(__xludf.DUMMYFUNCTION("""COMPUTED_VALUE"""),43587.7055555555)</f>
        <v>43587.705555555498</v>
      </c>
      <c r="N2308" s="111">
        <f ca="1">IFERROR(__xludf.DUMMYFUNCTION("""COMPUTED_VALUE"""),29.42)</f>
        <v>29.42</v>
      </c>
      <c r="O2308" s="112">
        <f ca="1">IFERROR(__xludf.DUMMYFUNCTION("""COMPUTED_VALUE"""),43663.7055555555)</f>
        <v>43663.705555555498</v>
      </c>
      <c r="P2308" s="111">
        <f ca="1">IFERROR(__xludf.DUMMYFUNCTION("""COMPUTED_VALUE"""),52.69)</f>
        <v>52.69</v>
      </c>
      <c r="Q2308" s="112">
        <f ca="1">IFERROR(__xludf.DUMMYFUNCTION("""COMPUTED_VALUE"""),43662.7055555555)</f>
        <v>43662.705555555498</v>
      </c>
      <c r="R2308" s="111">
        <f ca="1">IFERROR(__xludf.DUMMYFUNCTION("""COMPUTED_VALUE"""),51.77)</f>
        <v>51.77</v>
      </c>
      <c r="S2308" s="112">
        <f ca="1">IFERROR(__xludf.DUMMYFUNCTION("""COMPUTED_VALUE"""),43675.7055555555)</f>
        <v>43675.705555555498</v>
      </c>
      <c r="T2308" s="111">
        <f ca="1">IFERROR(__xludf.DUMMYFUNCTION("""COMPUTED_VALUE"""),44.04)</f>
        <v>44.04</v>
      </c>
    </row>
    <row r="2309" spans="1:20" x14ac:dyDescent="0.3">
      <c r="A2309" s="112">
        <f ca="1">IFERROR(__xludf.DUMMYFUNCTION("""COMPUTED_VALUE"""),43671.7055555555)</f>
        <v>43671.705555555498</v>
      </c>
      <c r="B2309" s="111">
        <f ca="1">IFERROR(__xludf.DUMMYFUNCTION("""COMPUTED_VALUE"""),37.3)</f>
        <v>37.299999999999997</v>
      </c>
      <c r="C2309" s="112">
        <f ca="1">IFERROR(__xludf.DUMMYFUNCTION("""COMPUTED_VALUE"""),43679.7055555555)</f>
        <v>43679.705555555498</v>
      </c>
      <c r="D2309" s="111">
        <f ca="1">IFERROR(__xludf.DUMMYFUNCTION("""COMPUTED_VALUE"""),34.93)</f>
        <v>34.93</v>
      </c>
      <c r="E2309" s="112">
        <f ca="1">IFERROR(__xludf.DUMMYFUNCTION("""COMPUTED_VALUE"""),43682.7055555555)</f>
        <v>43682.705555555498</v>
      </c>
      <c r="F2309" s="111">
        <f ca="1">IFERROR(__xludf.DUMMYFUNCTION("""COMPUTED_VALUE"""),11.68)</f>
        <v>11.68</v>
      </c>
      <c r="G2309" s="112">
        <f ca="1">IFERROR(__xludf.DUMMYFUNCTION("""COMPUTED_VALUE"""),43678.7055555555)</f>
        <v>43678.705555555498</v>
      </c>
      <c r="H2309" s="111">
        <f ca="1">IFERROR(__xludf.DUMMYFUNCTION("""COMPUTED_VALUE"""),26.25)</f>
        <v>26.25</v>
      </c>
      <c r="K2309" s="112">
        <f ca="1">IFERROR(__xludf.DUMMYFUNCTION("""COMPUTED_VALUE"""),44125.7055555555)</f>
        <v>44125.705555555498</v>
      </c>
      <c r="L2309" s="111">
        <f ca="1">IFERROR(__xludf.DUMMYFUNCTION("""COMPUTED_VALUE"""),26.23)</f>
        <v>26.23</v>
      </c>
      <c r="M2309" s="112">
        <f ca="1">IFERROR(__xludf.DUMMYFUNCTION("""COMPUTED_VALUE"""),43588.7055555555)</f>
        <v>43588.705555555498</v>
      </c>
      <c r="N2309" s="111">
        <f ca="1">IFERROR(__xludf.DUMMYFUNCTION("""COMPUTED_VALUE"""),29.72)</f>
        <v>29.72</v>
      </c>
      <c r="O2309" s="112">
        <f ca="1">IFERROR(__xludf.DUMMYFUNCTION("""COMPUTED_VALUE"""),43664.7055555555)</f>
        <v>43664.705555555498</v>
      </c>
      <c r="P2309" s="111">
        <f ca="1">IFERROR(__xludf.DUMMYFUNCTION("""COMPUTED_VALUE"""),52.59)</f>
        <v>52.59</v>
      </c>
      <c r="Q2309" s="112">
        <f ca="1">IFERROR(__xludf.DUMMYFUNCTION("""COMPUTED_VALUE"""),43663.7055555555)</f>
        <v>43663.705555555498</v>
      </c>
      <c r="R2309" s="111">
        <f ca="1">IFERROR(__xludf.DUMMYFUNCTION("""COMPUTED_VALUE"""),51.78)</f>
        <v>51.78</v>
      </c>
      <c r="S2309" s="112">
        <f ca="1">IFERROR(__xludf.DUMMYFUNCTION("""COMPUTED_VALUE"""),43676.7055555555)</f>
        <v>43676.705555555498</v>
      </c>
      <c r="T2309" s="111">
        <f ca="1">IFERROR(__xludf.DUMMYFUNCTION("""COMPUTED_VALUE"""),44.15)</f>
        <v>44.15</v>
      </c>
    </row>
    <row r="2310" spans="1:20" x14ac:dyDescent="0.3">
      <c r="A2310" s="112">
        <f ca="1">IFERROR(__xludf.DUMMYFUNCTION("""COMPUTED_VALUE"""),43672.7055555555)</f>
        <v>43672.705555555498</v>
      </c>
      <c r="B2310" s="111">
        <f ca="1">IFERROR(__xludf.DUMMYFUNCTION("""COMPUTED_VALUE"""),38.07)</f>
        <v>38.07</v>
      </c>
      <c r="C2310" s="112">
        <f ca="1">IFERROR(__xludf.DUMMYFUNCTION("""COMPUTED_VALUE"""),43682.7055555555)</f>
        <v>43682.705555555498</v>
      </c>
      <c r="D2310" s="111">
        <f ca="1">IFERROR(__xludf.DUMMYFUNCTION("""COMPUTED_VALUE"""),34.45)</f>
        <v>34.450000000000003</v>
      </c>
      <c r="E2310" s="112">
        <f ca="1">IFERROR(__xludf.DUMMYFUNCTION("""COMPUTED_VALUE"""),43683.7055555555)</f>
        <v>43683.705555555498</v>
      </c>
      <c r="F2310" s="111">
        <f ca="1">IFERROR(__xludf.DUMMYFUNCTION("""COMPUTED_VALUE"""),12.06)</f>
        <v>12.06</v>
      </c>
      <c r="G2310" s="112">
        <f ca="1">IFERROR(__xludf.DUMMYFUNCTION("""COMPUTED_VALUE"""),43679.7055555555)</f>
        <v>43679.705555555498</v>
      </c>
      <c r="H2310" s="111">
        <f ca="1">IFERROR(__xludf.DUMMYFUNCTION("""COMPUTED_VALUE"""),26.52)</f>
        <v>26.52</v>
      </c>
      <c r="K2310" s="112">
        <f ca="1">IFERROR(__xludf.DUMMYFUNCTION("""COMPUTED_VALUE"""),44126.7055555555)</f>
        <v>44126.705555555498</v>
      </c>
      <c r="L2310" s="111">
        <f ca="1">IFERROR(__xludf.DUMMYFUNCTION("""COMPUTED_VALUE"""),26.11)</f>
        <v>26.11</v>
      </c>
      <c r="M2310" s="112">
        <f ca="1">IFERROR(__xludf.DUMMYFUNCTION("""COMPUTED_VALUE"""),43591.7055555555)</f>
        <v>43591.705555555498</v>
      </c>
      <c r="N2310" s="111">
        <f ca="1">IFERROR(__xludf.DUMMYFUNCTION("""COMPUTED_VALUE"""),28.92)</f>
        <v>28.92</v>
      </c>
      <c r="O2310" s="112">
        <f ca="1">IFERROR(__xludf.DUMMYFUNCTION("""COMPUTED_VALUE"""),43665.7055555555)</f>
        <v>43665.705555555498</v>
      </c>
      <c r="P2310" s="111">
        <f ca="1">IFERROR(__xludf.DUMMYFUNCTION("""COMPUTED_VALUE"""),52.72)</f>
        <v>52.72</v>
      </c>
      <c r="Q2310" s="112">
        <f ca="1">IFERROR(__xludf.DUMMYFUNCTION("""COMPUTED_VALUE"""),43664.7055555555)</f>
        <v>43664.705555555498</v>
      </c>
      <c r="R2310" s="111">
        <f ca="1">IFERROR(__xludf.DUMMYFUNCTION("""COMPUTED_VALUE"""),52.66)</f>
        <v>52.66</v>
      </c>
      <c r="S2310" s="112">
        <f ca="1">IFERROR(__xludf.DUMMYFUNCTION("""COMPUTED_VALUE"""),43677.7055555555)</f>
        <v>43677.705555555498</v>
      </c>
      <c r="T2310" s="111">
        <f ca="1">IFERROR(__xludf.DUMMYFUNCTION("""COMPUTED_VALUE"""),43.15)</f>
        <v>43.15</v>
      </c>
    </row>
    <row r="2311" spans="1:20" x14ac:dyDescent="0.3">
      <c r="A2311" s="112">
        <f ca="1">IFERROR(__xludf.DUMMYFUNCTION("""COMPUTED_VALUE"""),43675.7055555555)</f>
        <v>43675.705555555498</v>
      </c>
      <c r="B2311" s="111">
        <f ca="1">IFERROR(__xludf.DUMMYFUNCTION("""COMPUTED_VALUE"""),37.95)</f>
        <v>37.950000000000003</v>
      </c>
      <c r="C2311" s="112">
        <f ca="1">IFERROR(__xludf.DUMMYFUNCTION("""COMPUTED_VALUE"""),43683.7055555555)</f>
        <v>43683.705555555498</v>
      </c>
      <c r="D2311" s="111">
        <f ca="1">IFERROR(__xludf.DUMMYFUNCTION("""COMPUTED_VALUE"""),35.49)</f>
        <v>35.49</v>
      </c>
      <c r="E2311" s="112">
        <f ca="1">IFERROR(__xludf.DUMMYFUNCTION("""COMPUTED_VALUE"""),43684.7055555555)</f>
        <v>43684.705555555498</v>
      </c>
      <c r="F2311" s="111">
        <f ca="1">IFERROR(__xludf.DUMMYFUNCTION("""COMPUTED_VALUE"""),12.37)</f>
        <v>12.37</v>
      </c>
      <c r="G2311" s="112">
        <f ca="1">IFERROR(__xludf.DUMMYFUNCTION("""COMPUTED_VALUE"""),43682.7055555555)</f>
        <v>43682.705555555498</v>
      </c>
      <c r="H2311" s="111">
        <f ca="1">IFERROR(__xludf.DUMMYFUNCTION("""COMPUTED_VALUE"""),25.55)</f>
        <v>25.55</v>
      </c>
      <c r="K2311" s="112">
        <f ca="1">IFERROR(__xludf.DUMMYFUNCTION("""COMPUTED_VALUE"""),44127.7055555555)</f>
        <v>44127.705555555498</v>
      </c>
      <c r="L2311" s="111">
        <f ca="1">IFERROR(__xludf.DUMMYFUNCTION("""COMPUTED_VALUE"""),25.93)</f>
        <v>25.93</v>
      </c>
      <c r="M2311" s="112">
        <f ca="1">IFERROR(__xludf.DUMMYFUNCTION("""COMPUTED_VALUE"""),43592.7055555555)</f>
        <v>43592.705555555498</v>
      </c>
      <c r="N2311" s="111">
        <f ca="1">IFERROR(__xludf.DUMMYFUNCTION("""COMPUTED_VALUE"""),28.74)</f>
        <v>28.74</v>
      </c>
      <c r="O2311" s="112">
        <f ca="1">IFERROR(__xludf.DUMMYFUNCTION("""COMPUTED_VALUE"""),43668.7055555555)</f>
        <v>43668.705555555498</v>
      </c>
      <c r="P2311" s="111">
        <f ca="1">IFERROR(__xludf.DUMMYFUNCTION("""COMPUTED_VALUE"""),52.45)</f>
        <v>52.45</v>
      </c>
      <c r="Q2311" s="112">
        <f ca="1">IFERROR(__xludf.DUMMYFUNCTION("""COMPUTED_VALUE"""),43665.7055555555)</f>
        <v>43665.705555555498</v>
      </c>
      <c r="R2311" s="111">
        <f ca="1">IFERROR(__xludf.DUMMYFUNCTION("""COMPUTED_VALUE"""),52)</f>
        <v>52</v>
      </c>
      <c r="S2311" s="112">
        <f ca="1">IFERROR(__xludf.DUMMYFUNCTION("""COMPUTED_VALUE"""),43678.7055555555)</f>
        <v>43678.705555555498</v>
      </c>
      <c r="T2311" s="111">
        <f ca="1">IFERROR(__xludf.DUMMYFUNCTION("""COMPUTED_VALUE"""),44.38)</f>
        <v>44.38</v>
      </c>
    </row>
    <row r="2312" spans="1:20" x14ac:dyDescent="0.3">
      <c r="A2312" s="112">
        <f ca="1">IFERROR(__xludf.DUMMYFUNCTION("""COMPUTED_VALUE"""),43676.7055555555)</f>
        <v>43676.705555555498</v>
      </c>
      <c r="B2312" s="111">
        <f ca="1">IFERROR(__xludf.DUMMYFUNCTION("""COMPUTED_VALUE"""),38.52)</f>
        <v>38.520000000000003</v>
      </c>
      <c r="C2312" s="112">
        <f ca="1">IFERROR(__xludf.DUMMYFUNCTION("""COMPUTED_VALUE"""),43684.7055555555)</f>
        <v>43684.705555555498</v>
      </c>
      <c r="D2312" s="111">
        <f ca="1">IFERROR(__xludf.DUMMYFUNCTION("""COMPUTED_VALUE"""),36.8)</f>
        <v>36.799999999999997</v>
      </c>
      <c r="E2312" s="112">
        <f ca="1">IFERROR(__xludf.DUMMYFUNCTION("""COMPUTED_VALUE"""),43685.7055555555)</f>
        <v>43685.705555555498</v>
      </c>
      <c r="F2312" s="111">
        <f ca="1">IFERROR(__xludf.DUMMYFUNCTION("""COMPUTED_VALUE"""),12.5)</f>
        <v>12.5</v>
      </c>
      <c r="G2312" s="112">
        <f ca="1">IFERROR(__xludf.DUMMYFUNCTION("""COMPUTED_VALUE"""),43683.7055555555)</f>
        <v>43683.705555555498</v>
      </c>
      <c r="H2312" s="111">
        <f ca="1">IFERROR(__xludf.DUMMYFUNCTION("""COMPUTED_VALUE"""),25.88)</f>
        <v>25.88</v>
      </c>
      <c r="K2312" s="112">
        <f ca="1">IFERROR(__xludf.DUMMYFUNCTION("""COMPUTED_VALUE"""),44130.7055555555)</f>
        <v>44130.705555555498</v>
      </c>
      <c r="L2312" s="111">
        <f ca="1">IFERROR(__xludf.DUMMYFUNCTION("""COMPUTED_VALUE"""),25.48)</f>
        <v>25.48</v>
      </c>
      <c r="M2312" s="112">
        <f ca="1">IFERROR(__xludf.DUMMYFUNCTION("""COMPUTED_VALUE"""),43593.7055555555)</f>
        <v>43593.705555555498</v>
      </c>
      <c r="N2312" s="111">
        <f ca="1">IFERROR(__xludf.DUMMYFUNCTION("""COMPUTED_VALUE"""),29.33)</f>
        <v>29.33</v>
      </c>
      <c r="O2312" s="112">
        <f ca="1">IFERROR(__xludf.DUMMYFUNCTION("""COMPUTED_VALUE"""),43669.7055555555)</f>
        <v>43669.705555555498</v>
      </c>
      <c r="P2312" s="111">
        <f ca="1">IFERROR(__xludf.DUMMYFUNCTION("""COMPUTED_VALUE"""),51.76)</f>
        <v>51.76</v>
      </c>
      <c r="Q2312" s="112">
        <f ca="1">IFERROR(__xludf.DUMMYFUNCTION("""COMPUTED_VALUE"""),43668.7055555555)</f>
        <v>43668.705555555498</v>
      </c>
      <c r="R2312" s="111">
        <f ca="1">IFERROR(__xludf.DUMMYFUNCTION("""COMPUTED_VALUE"""),52.01)</f>
        <v>52.01</v>
      </c>
      <c r="S2312" s="112">
        <f ca="1">IFERROR(__xludf.DUMMYFUNCTION("""COMPUTED_VALUE"""),43679.7055555555)</f>
        <v>43679.705555555498</v>
      </c>
      <c r="T2312" s="111">
        <f ca="1">IFERROR(__xludf.DUMMYFUNCTION("""COMPUTED_VALUE"""),45.18)</f>
        <v>45.18</v>
      </c>
    </row>
    <row r="2313" spans="1:20" x14ac:dyDescent="0.3">
      <c r="A2313" s="112">
        <f ca="1">IFERROR(__xludf.DUMMYFUNCTION("""COMPUTED_VALUE"""),43677.7055555555)</f>
        <v>43677.705555555498</v>
      </c>
      <c r="B2313" s="111">
        <f ca="1">IFERROR(__xludf.DUMMYFUNCTION("""COMPUTED_VALUE"""),38.95)</f>
        <v>38.950000000000003</v>
      </c>
      <c r="C2313" s="112">
        <f ca="1">IFERROR(__xludf.DUMMYFUNCTION("""COMPUTED_VALUE"""),43685.7055555555)</f>
        <v>43685.705555555498</v>
      </c>
      <c r="D2313" s="111">
        <f ca="1">IFERROR(__xludf.DUMMYFUNCTION("""COMPUTED_VALUE"""),37)</f>
        <v>37</v>
      </c>
      <c r="E2313" s="112">
        <f ca="1">IFERROR(__xludf.DUMMYFUNCTION("""COMPUTED_VALUE"""),43686.7055555555)</f>
        <v>43686.705555555498</v>
      </c>
      <c r="F2313" s="111">
        <f ca="1">IFERROR(__xludf.DUMMYFUNCTION("""COMPUTED_VALUE"""),12.44)</f>
        <v>12.44</v>
      </c>
      <c r="G2313" s="112">
        <f ca="1">IFERROR(__xludf.DUMMYFUNCTION("""COMPUTED_VALUE"""),43684.7055555555)</f>
        <v>43684.705555555498</v>
      </c>
      <c r="H2313" s="111">
        <f ca="1">IFERROR(__xludf.DUMMYFUNCTION("""COMPUTED_VALUE"""),25.6)</f>
        <v>25.6</v>
      </c>
      <c r="K2313" s="112">
        <f ca="1">IFERROR(__xludf.DUMMYFUNCTION("""COMPUTED_VALUE"""),44131.7055555555)</f>
        <v>44131.705555555498</v>
      </c>
      <c r="L2313" s="111">
        <f ca="1">IFERROR(__xludf.DUMMYFUNCTION("""COMPUTED_VALUE"""),25.46)</f>
        <v>25.46</v>
      </c>
      <c r="M2313" s="112">
        <f ca="1">IFERROR(__xludf.DUMMYFUNCTION("""COMPUTED_VALUE"""),43594.7055555555)</f>
        <v>43594.705555555498</v>
      </c>
      <c r="N2313" s="111">
        <f ca="1">IFERROR(__xludf.DUMMYFUNCTION("""COMPUTED_VALUE"""),28.82)</f>
        <v>28.82</v>
      </c>
      <c r="O2313" s="112">
        <f ca="1">IFERROR(__xludf.DUMMYFUNCTION("""COMPUTED_VALUE"""),43670.7055555555)</f>
        <v>43670.705555555498</v>
      </c>
      <c r="P2313" s="111">
        <f ca="1">IFERROR(__xludf.DUMMYFUNCTION("""COMPUTED_VALUE"""),50.65)</f>
        <v>50.65</v>
      </c>
      <c r="Q2313" s="112">
        <f ca="1">IFERROR(__xludf.DUMMYFUNCTION("""COMPUTED_VALUE"""),43669.7055555555)</f>
        <v>43669.705555555498</v>
      </c>
      <c r="R2313" s="111">
        <f ca="1">IFERROR(__xludf.DUMMYFUNCTION("""COMPUTED_VALUE"""),51.4)</f>
        <v>51.4</v>
      </c>
      <c r="S2313" s="112">
        <f ca="1">IFERROR(__xludf.DUMMYFUNCTION("""COMPUTED_VALUE"""),43682.7055555555)</f>
        <v>43682.705555555498</v>
      </c>
      <c r="T2313" s="111">
        <f ca="1">IFERROR(__xludf.DUMMYFUNCTION("""COMPUTED_VALUE"""),44.21)</f>
        <v>44.21</v>
      </c>
    </row>
    <row r="2314" spans="1:20" x14ac:dyDescent="0.3">
      <c r="A2314" s="112">
        <f ca="1">IFERROR(__xludf.DUMMYFUNCTION("""COMPUTED_VALUE"""),43678.7055555555)</f>
        <v>43678.705555555498</v>
      </c>
      <c r="B2314" s="111">
        <f ca="1">IFERROR(__xludf.DUMMYFUNCTION("""COMPUTED_VALUE"""),41.64)</f>
        <v>41.64</v>
      </c>
      <c r="C2314" s="112">
        <f ca="1">IFERROR(__xludf.DUMMYFUNCTION("""COMPUTED_VALUE"""),43686.7055555555)</f>
        <v>43686.705555555498</v>
      </c>
      <c r="D2314" s="111">
        <f ca="1">IFERROR(__xludf.DUMMYFUNCTION("""COMPUTED_VALUE"""),36.72)</f>
        <v>36.72</v>
      </c>
      <c r="E2314" s="112">
        <f ca="1">IFERROR(__xludf.DUMMYFUNCTION("""COMPUTED_VALUE"""),43689.7055555555)</f>
        <v>43689.705555555498</v>
      </c>
      <c r="F2314" s="111">
        <f ca="1">IFERROR(__xludf.DUMMYFUNCTION("""COMPUTED_VALUE"""),12)</f>
        <v>12</v>
      </c>
      <c r="G2314" s="112">
        <f ca="1">IFERROR(__xludf.DUMMYFUNCTION("""COMPUTED_VALUE"""),43685.7055555555)</f>
        <v>43685.705555555498</v>
      </c>
      <c r="H2314" s="111">
        <f ca="1">IFERROR(__xludf.DUMMYFUNCTION("""COMPUTED_VALUE"""),26.35)</f>
        <v>26.35</v>
      </c>
      <c r="K2314" s="112">
        <f ca="1">IFERROR(__xludf.DUMMYFUNCTION("""COMPUTED_VALUE"""),44132.7055555555)</f>
        <v>44132.705555555498</v>
      </c>
      <c r="L2314" s="111">
        <f ca="1">IFERROR(__xludf.DUMMYFUNCTION("""COMPUTED_VALUE"""),24.64)</f>
        <v>24.64</v>
      </c>
      <c r="M2314" s="112">
        <f ca="1">IFERROR(__xludf.DUMMYFUNCTION("""COMPUTED_VALUE"""),43595.7055555555)</f>
        <v>43595.705555555498</v>
      </c>
      <c r="N2314" s="111">
        <f ca="1">IFERROR(__xludf.DUMMYFUNCTION("""COMPUTED_VALUE"""),28.56)</f>
        <v>28.56</v>
      </c>
      <c r="O2314" s="112">
        <f ca="1">IFERROR(__xludf.DUMMYFUNCTION("""COMPUTED_VALUE"""),43671.7055555555)</f>
        <v>43671.705555555498</v>
      </c>
      <c r="P2314" s="111">
        <f ca="1">IFERROR(__xludf.DUMMYFUNCTION("""COMPUTED_VALUE"""),50.49)</f>
        <v>50.49</v>
      </c>
      <c r="Q2314" s="112">
        <f ca="1">IFERROR(__xludf.DUMMYFUNCTION("""COMPUTED_VALUE"""),43670.7055555555)</f>
        <v>43670.705555555498</v>
      </c>
      <c r="R2314" s="111">
        <f ca="1">IFERROR(__xludf.DUMMYFUNCTION("""COMPUTED_VALUE"""),52.33)</f>
        <v>52.33</v>
      </c>
      <c r="S2314" s="112">
        <f ca="1">IFERROR(__xludf.DUMMYFUNCTION("""COMPUTED_VALUE"""),43683.7055555555)</f>
        <v>43683.705555555498</v>
      </c>
      <c r="T2314" s="111">
        <f ca="1">IFERROR(__xludf.DUMMYFUNCTION("""COMPUTED_VALUE"""),45.82)</f>
        <v>45.82</v>
      </c>
    </row>
    <row r="2315" spans="1:20" x14ac:dyDescent="0.3">
      <c r="A2315" s="112">
        <f ca="1">IFERROR(__xludf.DUMMYFUNCTION("""COMPUTED_VALUE"""),43679.7055555555)</f>
        <v>43679.705555555498</v>
      </c>
      <c r="B2315" s="111">
        <f ca="1">IFERROR(__xludf.DUMMYFUNCTION("""COMPUTED_VALUE"""),42.47)</f>
        <v>42.47</v>
      </c>
      <c r="C2315" s="112">
        <f ca="1">IFERROR(__xludf.DUMMYFUNCTION("""COMPUTED_VALUE"""),43689.7055555555)</f>
        <v>43689.705555555498</v>
      </c>
      <c r="D2315" s="111">
        <f ca="1">IFERROR(__xludf.DUMMYFUNCTION("""COMPUTED_VALUE"""),35.2)</f>
        <v>35.200000000000003</v>
      </c>
      <c r="E2315" s="112">
        <f ca="1">IFERROR(__xludf.DUMMYFUNCTION("""COMPUTED_VALUE"""),43690.7055555555)</f>
        <v>43690.705555555498</v>
      </c>
      <c r="F2315" s="111">
        <f ca="1">IFERROR(__xludf.DUMMYFUNCTION("""COMPUTED_VALUE"""),12.3)</f>
        <v>12.3</v>
      </c>
      <c r="G2315" s="112">
        <f ca="1">IFERROR(__xludf.DUMMYFUNCTION("""COMPUTED_VALUE"""),43686.7055555555)</f>
        <v>43686.705555555498</v>
      </c>
      <c r="H2315" s="111">
        <f ca="1">IFERROR(__xludf.DUMMYFUNCTION("""COMPUTED_VALUE"""),26.28)</f>
        <v>26.28</v>
      </c>
      <c r="K2315" s="112">
        <f ca="1">IFERROR(__xludf.DUMMYFUNCTION("""COMPUTED_VALUE"""),44133.7055555555)</f>
        <v>44133.705555555498</v>
      </c>
      <c r="L2315" s="111">
        <f ca="1">IFERROR(__xludf.DUMMYFUNCTION("""COMPUTED_VALUE"""),25.37)</f>
        <v>25.37</v>
      </c>
      <c r="M2315" s="112">
        <f ca="1">IFERROR(__xludf.DUMMYFUNCTION("""COMPUTED_VALUE"""),43598.7055555555)</f>
        <v>43598.705555555498</v>
      </c>
      <c r="N2315" s="111">
        <f ca="1">IFERROR(__xludf.DUMMYFUNCTION("""COMPUTED_VALUE"""),27.85)</f>
        <v>27.85</v>
      </c>
      <c r="O2315" s="112">
        <f ca="1">IFERROR(__xludf.DUMMYFUNCTION("""COMPUTED_VALUE"""),43672.7055555555)</f>
        <v>43672.705555555498</v>
      </c>
      <c r="P2315" s="111">
        <f ca="1">IFERROR(__xludf.DUMMYFUNCTION("""COMPUTED_VALUE"""),50.23)</f>
        <v>50.23</v>
      </c>
      <c r="Q2315" s="112">
        <f ca="1">IFERROR(__xludf.DUMMYFUNCTION("""COMPUTED_VALUE"""),43671.7055555555)</f>
        <v>43671.705555555498</v>
      </c>
      <c r="R2315" s="111">
        <f ca="1">IFERROR(__xludf.DUMMYFUNCTION("""COMPUTED_VALUE"""),50.12)</f>
        <v>50.12</v>
      </c>
      <c r="S2315" s="112">
        <f ca="1">IFERROR(__xludf.DUMMYFUNCTION("""COMPUTED_VALUE"""),43684.7055555555)</f>
        <v>43684.705555555498</v>
      </c>
      <c r="T2315" s="111">
        <f ca="1">IFERROR(__xludf.DUMMYFUNCTION("""COMPUTED_VALUE"""),45.5)</f>
        <v>45.5</v>
      </c>
    </row>
    <row r="2316" spans="1:20" x14ac:dyDescent="0.3">
      <c r="A2316" s="112">
        <f ca="1">IFERROR(__xludf.DUMMYFUNCTION("""COMPUTED_VALUE"""),43682.7055555555)</f>
        <v>43682.705555555498</v>
      </c>
      <c r="B2316" s="111">
        <f ca="1">IFERROR(__xludf.DUMMYFUNCTION("""COMPUTED_VALUE"""),41.97)</f>
        <v>41.97</v>
      </c>
      <c r="C2316" s="112">
        <f ca="1">IFERROR(__xludf.DUMMYFUNCTION("""COMPUTED_VALUE"""),43690.7055555555)</f>
        <v>43690.705555555498</v>
      </c>
      <c r="D2316" s="111">
        <f ca="1">IFERROR(__xludf.DUMMYFUNCTION("""COMPUTED_VALUE"""),35.89)</f>
        <v>35.89</v>
      </c>
      <c r="E2316" s="112">
        <f ca="1">IFERROR(__xludf.DUMMYFUNCTION("""COMPUTED_VALUE"""),43691.7055555555)</f>
        <v>43691.705555555498</v>
      </c>
      <c r="F2316" s="111">
        <f ca="1">IFERROR(__xludf.DUMMYFUNCTION("""COMPUTED_VALUE"""),12.14)</f>
        <v>12.14</v>
      </c>
      <c r="G2316" s="112">
        <f ca="1">IFERROR(__xludf.DUMMYFUNCTION("""COMPUTED_VALUE"""),43689.7055555555)</f>
        <v>43689.705555555498</v>
      </c>
      <c r="H2316" s="111">
        <f ca="1">IFERROR(__xludf.DUMMYFUNCTION("""COMPUTED_VALUE"""),25.65)</f>
        <v>25.65</v>
      </c>
      <c r="K2316" s="112">
        <f ca="1">IFERROR(__xludf.DUMMYFUNCTION("""COMPUTED_VALUE"""),44134.7055555555)</f>
        <v>44134.705555555498</v>
      </c>
      <c r="L2316" s="111">
        <f ca="1">IFERROR(__xludf.DUMMYFUNCTION("""COMPUTED_VALUE"""),24.64)</f>
        <v>24.64</v>
      </c>
      <c r="M2316" s="112">
        <f ca="1">IFERROR(__xludf.DUMMYFUNCTION("""COMPUTED_VALUE"""),43599.7055555555)</f>
        <v>43599.705555555498</v>
      </c>
      <c r="N2316" s="111">
        <f ca="1">IFERROR(__xludf.DUMMYFUNCTION("""COMPUTED_VALUE"""),27.77)</f>
        <v>27.77</v>
      </c>
      <c r="O2316" s="112">
        <f ca="1">IFERROR(__xludf.DUMMYFUNCTION("""COMPUTED_VALUE"""),43675.7055555555)</f>
        <v>43675.705555555498</v>
      </c>
      <c r="P2316" s="111">
        <f ca="1">IFERROR(__xludf.DUMMYFUNCTION("""COMPUTED_VALUE"""),50.26)</f>
        <v>50.26</v>
      </c>
      <c r="Q2316" s="112">
        <f ca="1">IFERROR(__xludf.DUMMYFUNCTION("""COMPUTED_VALUE"""),43672.7055555555)</f>
        <v>43672.705555555498</v>
      </c>
      <c r="R2316" s="111">
        <f ca="1">IFERROR(__xludf.DUMMYFUNCTION("""COMPUTED_VALUE"""),50)</f>
        <v>50</v>
      </c>
      <c r="S2316" s="112">
        <f ca="1">IFERROR(__xludf.DUMMYFUNCTION("""COMPUTED_VALUE"""),43685.7055555555)</f>
        <v>43685.705555555498</v>
      </c>
      <c r="T2316" s="111">
        <f ca="1">IFERROR(__xludf.DUMMYFUNCTION("""COMPUTED_VALUE"""),45.93)</f>
        <v>45.93</v>
      </c>
    </row>
    <row r="2317" spans="1:20" x14ac:dyDescent="0.3">
      <c r="A2317" s="112">
        <f ca="1">IFERROR(__xludf.DUMMYFUNCTION("""COMPUTED_VALUE"""),43683.7055555555)</f>
        <v>43683.705555555498</v>
      </c>
      <c r="B2317" s="111">
        <f ca="1">IFERROR(__xludf.DUMMYFUNCTION("""COMPUTED_VALUE"""),42.16)</f>
        <v>42.16</v>
      </c>
      <c r="C2317" s="112">
        <f ca="1">IFERROR(__xludf.DUMMYFUNCTION("""COMPUTED_VALUE"""),43691.7055555555)</f>
        <v>43691.705555555498</v>
      </c>
      <c r="D2317" s="111">
        <f ca="1">IFERROR(__xludf.DUMMYFUNCTION("""COMPUTED_VALUE"""),35.1)</f>
        <v>35.1</v>
      </c>
      <c r="E2317" s="112">
        <f ca="1">IFERROR(__xludf.DUMMYFUNCTION("""COMPUTED_VALUE"""),43692.7055555555)</f>
        <v>43692.705555555498</v>
      </c>
      <c r="F2317" s="111">
        <f ca="1">IFERROR(__xludf.DUMMYFUNCTION("""COMPUTED_VALUE"""),12.19)</f>
        <v>12.19</v>
      </c>
      <c r="G2317" s="112">
        <f ca="1">IFERROR(__xludf.DUMMYFUNCTION("""COMPUTED_VALUE"""),43690.7055555555)</f>
        <v>43690.705555555498</v>
      </c>
      <c r="H2317" s="111">
        <f ca="1">IFERROR(__xludf.DUMMYFUNCTION("""COMPUTED_VALUE"""),25.79)</f>
        <v>25.79</v>
      </c>
      <c r="K2317" s="112">
        <f ca="1">IFERROR(__xludf.DUMMYFUNCTION("""COMPUTED_VALUE"""),44138.7055555555)</f>
        <v>44138.705555555498</v>
      </c>
      <c r="L2317" s="111">
        <f ca="1">IFERROR(__xludf.DUMMYFUNCTION("""COMPUTED_VALUE"""),25)</f>
        <v>25</v>
      </c>
      <c r="M2317" s="112">
        <f ca="1">IFERROR(__xludf.DUMMYFUNCTION("""COMPUTED_VALUE"""),43600.7055555555)</f>
        <v>43600.705555555498</v>
      </c>
      <c r="N2317" s="111">
        <f ca="1">IFERROR(__xludf.DUMMYFUNCTION("""COMPUTED_VALUE"""),27.47)</f>
        <v>27.47</v>
      </c>
      <c r="O2317" s="112">
        <f ca="1">IFERROR(__xludf.DUMMYFUNCTION("""COMPUTED_VALUE"""),43676.7055555555)</f>
        <v>43676.705555555498</v>
      </c>
      <c r="P2317" s="111">
        <f ca="1">IFERROR(__xludf.DUMMYFUNCTION("""COMPUTED_VALUE"""),50.01)</f>
        <v>50.01</v>
      </c>
      <c r="Q2317" s="112">
        <f ca="1">IFERROR(__xludf.DUMMYFUNCTION("""COMPUTED_VALUE"""),43675.7055555555)</f>
        <v>43675.705555555498</v>
      </c>
      <c r="R2317" s="111">
        <f ca="1">IFERROR(__xludf.DUMMYFUNCTION("""COMPUTED_VALUE"""),50.45)</f>
        <v>50.45</v>
      </c>
      <c r="S2317" s="112">
        <f ca="1">IFERROR(__xludf.DUMMYFUNCTION("""COMPUTED_VALUE"""),43686.7055555555)</f>
        <v>43686.705555555498</v>
      </c>
      <c r="T2317" s="111">
        <f ca="1">IFERROR(__xludf.DUMMYFUNCTION("""COMPUTED_VALUE"""),45.87)</f>
        <v>45.87</v>
      </c>
    </row>
    <row r="2318" spans="1:20" x14ac:dyDescent="0.3">
      <c r="A2318" s="112">
        <f ca="1">IFERROR(__xludf.DUMMYFUNCTION("""COMPUTED_VALUE"""),43684.7055555555)</f>
        <v>43684.705555555498</v>
      </c>
      <c r="B2318" s="111">
        <f ca="1">IFERROR(__xludf.DUMMYFUNCTION("""COMPUTED_VALUE"""),41.29)</f>
        <v>41.29</v>
      </c>
      <c r="C2318" s="112">
        <f ca="1">IFERROR(__xludf.DUMMYFUNCTION("""COMPUTED_VALUE"""),43692.7055555555)</f>
        <v>43692.705555555498</v>
      </c>
      <c r="D2318" s="111">
        <f ca="1">IFERROR(__xludf.DUMMYFUNCTION("""COMPUTED_VALUE"""),35)</f>
        <v>35</v>
      </c>
      <c r="E2318" s="112">
        <f ca="1">IFERROR(__xludf.DUMMYFUNCTION("""COMPUTED_VALUE"""),43693.7055555555)</f>
        <v>43693.705555555498</v>
      </c>
      <c r="F2318" s="111">
        <f ca="1">IFERROR(__xludf.DUMMYFUNCTION("""COMPUTED_VALUE"""),11.91)</f>
        <v>11.91</v>
      </c>
      <c r="G2318" s="112">
        <f ca="1">IFERROR(__xludf.DUMMYFUNCTION("""COMPUTED_VALUE"""),43691.7055555555)</f>
        <v>43691.705555555498</v>
      </c>
      <c r="H2318" s="111">
        <f ca="1">IFERROR(__xludf.DUMMYFUNCTION("""COMPUTED_VALUE"""),24.92)</f>
        <v>24.92</v>
      </c>
      <c r="K2318" s="112">
        <f ca="1">IFERROR(__xludf.DUMMYFUNCTION("""COMPUTED_VALUE"""),44139.7055555555)</f>
        <v>44139.705555555498</v>
      </c>
      <c r="L2318" s="111">
        <f ca="1">IFERROR(__xludf.DUMMYFUNCTION("""COMPUTED_VALUE"""),26.2)</f>
        <v>26.2</v>
      </c>
      <c r="M2318" s="112">
        <f ca="1">IFERROR(__xludf.DUMMYFUNCTION("""COMPUTED_VALUE"""),43601.7055555555)</f>
        <v>43601.705555555498</v>
      </c>
      <c r="N2318" s="111">
        <f ca="1">IFERROR(__xludf.DUMMYFUNCTION("""COMPUTED_VALUE"""),27.15)</f>
        <v>27.15</v>
      </c>
      <c r="O2318" s="112">
        <f ca="1">IFERROR(__xludf.DUMMYFUNCTION("""COMPUTED_VALUE"""),43677.7055555555)</f>
        <v>43677.705555555498</v>
      </c>
      <c r="P2318" s="111">
        <f ca="1">IFERROR(__xludf.DUMMYFUNCTION("""COMPUTED_VALUE"""),49.81)</f>
        <v>49.81</v>
      </c>
      <c r="Q2318" s="112">
        <f ca="1">IFERROR(__xludf.DUMMYFUNCTION("""COMPUTED_VALUE"""),43676.7055555555)</f>
        <v>43676.705555555498</v>
      </c>
      <c r="R2318" s="111">
        <f ca="1">IFERROR(__xludf.DUMMYFUNCTION("""COMPUTED_VALUE"""),49.94)</f>
        <v>49.94</v>
      </c>
      <c r="S2318" s="112">
        <f ca="1">IFERROR(__xludf.DUMMYFUNCTION("""COMPUTED_VALUE"""),43689.7055555555)</f>
        <v>43689.705555555498</v>
      </c>
      <c r="T2318" s="111">
        <f ca="1">IFERROR(__xludf.DUMMYFUNCTION("""COMPUTED_VALUE"""),45.27)</f>
        <v>45.27</v>
      </c>
    </row>
    <row r="2319" spans="1:20" x14ac:dyDescent="0.3">
      <c r="A2319" s="112">
        <f ca="1">IFERROR(__xludf.DUMMYFUNCTION("""COMPUTED_VALUE"""),43685.7055555555)</f>
        <v>43685.705555555498</v>
      </c>
      <c r="B2319" s="111">
        <f ca="1">IFERROR(__xludf.DUMMYFUNCTION("""COMPUTED_VALUE"""),42.87)</f>
        <v>42.87</v>
      </c>
      <c r="C2319" s="112">
        <f ca="1">IFERROR(__xludf.DUMMYFUNCTION("""COMPUTED_VALUE"""),43693.7055555555)</f>
        <v>43693.705555555498</v>
      </c>
      <c r="D2319" s="111">
        <f ca="1">IFERROR(__xludf.DUMMYFUNCTION("""COMPUTED_VALUE"""),34.35)</f>
        <v>34.35</v>
      </c>
      <c r="E2319" s="112">
        <f ca="1">IFERROR(__xludf.DUMMYFUNCTION("""COMPUTED_VALUE"""),43696.7055555555)</f>
        <v>43696.705555555498</v>
      </c>
      <c r="F2319" s="111">
        <f ca="1">IFERROR(__xludf.DUMMYFUNCTION("""COMPUTED_VALUE"""),11.7)</f>
        <v>11.7</v>
      </c>
      <c r="G2319" s="112">
        <f ca="1">IFERROR(__xludf.DUMMYFUNCTION("""COMPUTED_VALUE"""),43692.7055555555)</f>
        <v>43692.705555555498</v>
      </c>
      <c r="H2319" s="111">
        <f ca="1">IFERROR(__xludf.DUMMYFUNCTION("""COMPUTED_VALUE"""),24.23)</f>
        <v>24.23</v>
      </c>
      <c r="K2319" s="112">
        <f ca="1">IFERROR(__xludf.DUMMYFUNCTION("""COMPUTED_VALUE"""),44140.7055555555)</f>
        <v>44140.705555555498</v>
      </c>
      <c r="L2319" s="111">
        <f ca="1">IFERROR(__xludf.DUMMYFUNCTION("""COMPUTED_VALUE"""),27.46)</f>
        <v>27.46</v>
      </c>
      <c r="M2319" s="112">
        <f ca="1">IFERROR(__xludf.DUMMYFUNCTION("""COMPUTED_VALUE"""),43602.7055555555)</f>
        <v>43602.705555555498</v>
      </c>
      <c r="N2319" s="111">
        <f ca="1">IFERROR(__xludf.DUMMYFUNCTION("""COMPUTED_VALUE"""),27.36)</f>
        <v>27.36</v>
      </c>
      <c r="O2319" s="112">
        <f ca="1">IFERROR(__xludf.DUMMYFUNCTION("""COMPUTED_VALUE"""),43678.7055555555)</f>
        <v>43678.705555555498</v>
      </c>
      <c r="P2319" s="111">
        <f ca="1">IFERROR(__xludf.DUMMYFUNCTION("""COMPUTED_VALUE"""),48.4)</f>
        <v>48.4</v>
      </c>
      <c r="Q2319" s="112">
        <f ca="1">IFERROR(__xludf.DUMMYFUNCTION("""COMPUTED_VALUE"""),43677.7055555555)</f>
        <v>43677.705555555498</v>
      </c>
      <c r="R2319" s="111">
        <f ca="1">IFERROR(__xludf.DUMMYFUNCTION("""COMPUTED_VALUE"""),49.22)</f>
        <v>49.22</v>
      </c>
      <c r="S2319" s="112">
        <f ca="1">IFERROR(__xludf.DUMMYFUNCTION("""COMPUTED_VALUE"""),43690.7055555555)</f>
        <v>43690.705555555498</v>
      </c>
      <c r="T2319" s="111">
        <f ca="1">IFERROR(__xludf.DUMMYFUNCTION("""COMPUTED_VALUE"""),45.68)</f>
        <v>45.68</v>
      </c>
    </row>
    <row r="2320" spans="1:20" x14ac:dyDescent="0.3">
      <c r="A2320" s="112">
        <f ca="1">IFERROR(__xludf.DUMMYFUNCTION("""COMPUTED_VALUE"""),43686.7055555555)</f>
        <v>43686.705555555498</v>
      </c>
      <c r="B2320" s="111">
        <f ca="1">IFERROR(__xludf.DUMMYFUNCTION("""COMPUTED_VALUE"""),43.79)</f>
        <v>43.79</v>
      </c>
      <c r="C2320" s="112">
        <f ca="1">IFERROR(__xludf.DUMMYFUNCTION("""COMPUTED_VALUE"""),43696.7055555555)</f>
        <v>43696.705555555498</v>
      </c>
      <c r="D2320" s="111">
        <f ca="1">IFERROR(__xludf.DUMMYFUNCTION("""COMPUTED_VALUE"""),34.2)</f>
        <v>34.200000000000003</v>
      </c>
      <c r="E2320" s="112">
        <f ca="1">IFERROR(__xludf.DUMMYFUNCTION("""COMPUTED_VALUE"""),43697.7055555555)</f>
        <v>43697.705555555498</v>
      </c>
      <c r="F2320" s="111">
        <f ca="1">IFERROR(__xludf.DUMMYFUNCTION("""COMPUTED_VALUE"""),11.52)</f>
        <v>11.52</v>
      </c>
      <c r="G2320" s="112">
        <f ca="1">IFERROR(__xludf.DUMMYFUNCTION("""COMPUTED_VALUE"""),43693.7055555555)</f>
        <v>43693.705555555498</v>
      </c>
      <c r="H2320" s="111">
        <f ca="1">IFERROR(__xludf.DUMMYFUNCTION("""COMPUTED_VALUE"""),23.91)</f>
        <v>23.91</v>
      </c>
      <c r="K2320" s="112">
        <f ca="1">IFERROR(__xludf.DUMMYFUNCTION("""COMPUTED_VALUE"""),44141.7055555555)</f>
        <v>44141.705555555498</v>
      </c>
      <c r="L2320" s="111">
        <f ca="1">IFERROR(__xludf.DUMMYFUNCTION("""COMPUTED_VALUE"""),27.34)</f>
        <v>27.34</v>
      </c>
      <c r="M2320" s="112">
        <f ca="1">IFERROR(__xludf.DUMMYFUNCTION("""COMPUTED_VALUE"""),43605.7055555555)</f>
        <v>43605.705555555498</v>
      </c>
      <c r="N2320" s="111">
        <f ca="1">IFERROR(__xludf.DUMMYFUNCTION("""COMPUTED_VALUE"""),28.1)</f>
        <v>28.1</v>
      </c>
      <c r="O2320" s="112">
        <f ca="1">IFERROR(__xludf.DUMMYFUNCTION("""COMPUTED_VALUE"""),43679.7055555555)</f>
        <v>43679.705555555498</v>
      </c>
      <c r="P2320" s="111">
        <f ca="1">IFERROR(__xludf.DUMMYFUNCTION("""COMPUTED_VALUE"""),47.84)</f>
        <v>47.84</v>
      </c>
      <c r="Q2320" s="112">
        <f ca="1">IFERROR(__xludf.DUMMYFUNCTION("""COMPUTED_VALUE"""),43678.7055555555)</f>
        <v>43678.705555555498</v>
      </c>
      <c r="R2320" s="111">
        <f ca="1">IFERROR(__xludf.DUMMYFUNCTION("""COMPUTED_VALUE"""),48.75)</f>
        <v>48.75</v>
      </c>
      <c r="S2320" s="112">
        <f ca="1">IFERROR(__xludf.DUMMYFUNCTION("""COMPUTED_VALUE"""),43691.7055555555)</f>
        <v>43691.705555555498</v>
      </c>
      <c r="T2320" s="111">
        <f ca="1">IFERROR(__xludf.DUMMYFUNCTION("""COMPUTED_VALUE"""),44.09)</f>
        <v>44.09</v>
      </c>
    </row>
    <row r="2321" spans="1:20" x14ac:dyDescent="0.3">
      <c r="A2321" s="112">
        <f ca="1">IFERROR(__xludf.DUMMYFUNCTION("""COMPUTED_VALUE"""),43689.7055555555)</f>
        <v>43689.705555555498</v>
      </c>
      <c r="B2321" s="111">
        <f ca="1">IFERROR(__xludf.DUMMYFUNCTION("""COMPUTED_VALUE"""),42.47)</f>
        <v>42.47</v>
      </c>
      <c r="C2321" s="112">
        <f ca="1">IFERROR(__xludf.DUMMYFUNCTION("""COMPUTED_VALUE"""),43697.7055555555)</f>
        <v>43697.705555555498</v>
      </c>
      <c r="D2321" s="111">
        <f ca="1">IFERROR(__xludf.DUMMYFUNCTION("""COMPUTED_VALUE"""),33.82)</f>
        <v>33.82</v>
      </c>
      <c r="E2321" s="112">
        <f ca="1">IFERROR(__xludf.DUMMYFUNCTION("""COMPUTED_VALUE"""),43698.7055555555)</f>
        <v>43698.705555555498</v>
      </c>
      <c r="F2321" s="111">
        <f ca="1">IFERROR(__xludf.DUMMYFUNCTION("""COMPUTED_VALUE"""),11.67)</f>
        <v>11.67</v>
      </c>
      <c r="G2321" s="112">
        <f ca="1">IFERROR(__xludf.DUMMYFUNCTION("""COMPUTED_VALUE"""),43696.7055555555)</f>
        <v>43696.705555555498</v>
      </c>
      <c r="H2321" s="111">
        <f ca="1">IFERROR(__xludf.DUMMYFUNCTION("""COMPUTED_VALUE"""),24.03)</f>
        <v>24.03</v>
      </c>
      <c r="K2321" s="112">
        <f ca="1">IFERROR(__xludf.DUMMYFUNCTION("""COMPUTED_VALUE"""),44144.7055555555)</f>
        <v>44144.705555555498</v>
      </c>
      <c r="L2321" s="111">
        <f ca="1">IFERROR(__xludf.DUMMYFUNCTION("""COMPUTED_VALUE"""),26.46)</f>
        <v>26.46</v>
      </c>
      <c r="M2321" s="112">
        <f ca="1">IFERROR(__xludf.DUMMYFUNCTION("""COMPUTED_VALUE"""),43606.7055555555)</f>
        <v>43606.705555555498</v>
      </c>
      <c r="N2321" s="111">
        <f ca="1">IFERROR(__xludf.DUMMYFUNCTION("""COMPUTED_VALUE"""),29.26)</f>
        <v>29.26</v>
      </c>
      <c r="O2321" s="112">
        <f ca="1">IFERROR(__xludf.DUMMYFUNCTION("""COMPUTED_VALUE"""),43682.7055555555)</f>
        <v>43682.705555555498</v>
      </c>
      <c r="P2321" s="111">
        <f ca="1">IFERROR(__xludf.DUMMYFUNCTION("""COMPUTED_VALUE"""),46)</f>
        <v>46</v>
      </c>
      <c r="Q2321" s="112">
        <f ca="1">IFERROR(__xludf.DUMMYFUNCTION("""COMPUTED_VALUE"""),43679.7055555555)</f>
        <v>43679.705555555498</v>
      </c>
      <c r="R2321" s="111">
        <f ca="1">IFERROR(__xludf.DUMMYFUNCTION("""COMPUTED_VALUE"""),48.76)</f>
        <v>48.76</v>
      </c>
      <c r="S2321" s="112">
        <f ca="1">IFERROR(__xludf.DUMMYFUNCTION("""COMPUTED_VALUE"""),43692.7055555555)</f>
        <v>43692.705555555498</v>
      </c>
      <c r="T2321" s="111">
        <f ca="1">IFERROR(__xludf.DUMMYFUNCTION("""COMPUTED_VALUE"""),43.85)</f>
        <v>43.85</v>
      </c>
    </row>
    <row r="2322" spans="1:20" x14ac:dyDescent="0.3">
      <c r="A2322" s="112">
        <f ca="1">IFERROR(__xludf.DUMMYFUNCTION("""COMPUTED_VALUE"""),43690.7055555555)</f>
        <v>43690.705555555498</v>
      </c>
      <c r="B2322" s="111">
        <f ca="1">IFERROR(__xludf.DUMMYFUNCTION("""COMPUTED_VALUE"""),43.09)</f>
        <v>43.09</v>
      </c>
      <c r="C2322" s="112">
        <f ca="1">IFERROR(__xludf.DUMMYFUNCTION("""COMPUTED_VALUE"""),43698.7055555555)</f>
        <v>43698.705555555498</v>
      </c>
      <c r="D2322" s="111">
        <f ca="1">IFERROR(__xludf.DUMMYFUNCTION("""COMPUTED_VALUE"""),34.08)</f>
        <v>34.08</v>
      </c>
      <c r="E2322" s="112">
        <f ca="1">IFERROR(__xludf.DUMMYFUNCTION("""COMPUTED_VALUE"""),43699.7055555555)</f>
        <v>43699.705555555498</v>
      </c>
      <c r="F2322" s="111">
        <f ca="1">IFERROR(__xludf.DUMMYFUNCTION("""COMPUTED_VALUE"""),11.48)</f>
        <v>11.48</v>
      </c>
      <c r="G2322" s="112">
        <f ca="1">IFERROR(__xludf.DUMMYFUNCTION("""COMPUTED_VALUE"""),43697.7055555555)</f>
        <v>43697.705555555498</v>
      </c>
      <c r="H2322" s="111">
        <f ca="1">IFERROR(__xludf.DUMMYFUNCTION("""COMPUTED_VALUE"""),24.02)</f>
        <v>24.02</v>
      </c>
      <c r="K2322" s="112">
        <f ca="1">IFERROR(__xludf.DUMMYFUNCTION("""COMPUTED_VALUE"""),44145.7055555555)</f>
        <v>44145.705555555498</v>
      </c>
      <c r="L2322" s="111">
        <f ca="1">IFERROR(__xludf.DUMMYFUNCTION("""COMPUTED_VALUE"""),25.23)</f>
        <v>25.23</v>
      </c>
      <c r="M2322" s="112">
        <f ca="1">IFERROR(__xludf.DUMMYFUNCTION("""COMPUTED_VALUE"""),43607.7055555555)</f>
        <v>43607.705555555498</v>
      </c>
      <c r="N2322" s="111">
        <f ca="1">IFERROR(__xludf.DUMMYFUNCTION("""COMPUTED_VALUE"""),28.74)</f>
        <v>28.74</v>
      </c>
      <c r="O2322" s="112">
        <f ca="1">IFERROR(__xludf.DUMMYFUNCTION("""COMPUTED_VALUE"""),43683.7055555555)</f>
        <v>43683.705555555498</v>
      </c>
      <c r="P2322" s="111">
        <f ca="1">IFERROR(__xludf.DUMMYFUNCTION("""COMPUTED_VALUE"""),46.62)</f>
        <v>46.62</v>
      </c>
      <c r="Q2322" s="112">
        <f ca="1">IFERROR(__xludf.DUMMYFUNCTION("""COMPUTED_VALUE"""),43682.7055555555)</f>
        <v>43682.705555555498</v>
      </c>
      <c r="R2322" s="111">
        <f ca="1">IFERROR(__xludf.DUMMYFUNCTION("""COMPUTED_VALUE"""),47.85)</f>
        <v>47.85</v>
      </c>
      <c r="S2322" s="112">
        <f ca="1">IFERROR(__xludf.DUMMYFUNCTION("""COMPUTED_VALUE"""),43693.7055555555)</f>
        <v>43693.705555555498</v>
      </c>
      <c r="T2322" s="111">
        <f ca="1">IFERROR(__xludf.DUMMYFUNCTION("""COMPUTED_VALUE"""),45.05)</f>
        <v>45.05</v>
      </c>
    </row>
    <row r="2323" spans="1:20" x14ac:dyDescent="0.3">
      <c r="A2323" s="112">
        <f ca="1">IFERROR(__xludf.DUMMYFUNCTION("""COMPUTED_VALUE"""),43691.7055555555)</f>
        <v>43691.705555555498</v>
      </c>
      <c r="B2323" s="111">
        <f ca="1">IFERROR(__xludf.DUMMYFUNCTION("""COMPUTED_VALUE"""),40.64)</f>
        <v>40.64</v>
      </c>
      <c r="C2323" s="112">
        <f ca="1">IFERROR(__xludf.DUMMYFUNCTION("""COMPUTED_VALUE"""),43699.7055555555)</f>
        <v>43699.705555555498</v>
      </c>
      <c r="D2323" s="111">
        <f ca="1">IFERROR(__xludf.DUMMYFUNCTION("""COMPUTED_VALUE"""),33.54)</f>
        <v>33.54</v>
      </c>
      <c r="E2323" s="112">
        <f ca="1">IFERROR(__xludf.DUMMYFUNCTION("""COMPUTED_VALUE"""),43700.7055555555)</f>
        <v>43700.705555555498</v>
      </c>
      <c r="F2323" s="111">
        <f ca="1">IFERROR(__xludf.DUMMYFUNCTION("""COMPUTED_VALUE"""),11.31)</f>
        <v>11.31</v>
      </c>
      <c r="G2323" s="112">
        <f ca="1">IFERROR(__xludf.DUMMYFUNCTION("""COMPUTED_VALUE"""),43698.7055555555)</f>
        <v>43698.705555555498</v>
      </c>
      <c r="H2323" s="111">
        <f ca="1">IFERROR(__xludf.DUMMYFUNCTION("""COMPUTED_VALUE"""),25.45)</f>
        <v>25.45</v>
      </c>
      <c r="K2323" s="112">
        <f ca="1">IFERROR(__xludf.DUMMYFUNCTION("""COMPUTED_VALUE"""),44146.7055555555)</f>
        <v>44146.705555555498</v>
      </c>
      <c r="L2323" s="111">
        <f ca="1">IFERROR(__xludf.DUMMYFUNCTION("""COMPUTED_VALUE"""),25.59)</f>
        <v>25.59</v>
      </c>
      <c r="M2323" s="112">
        <f ca="1">IFERROR(__xludf.DUMMYFUNCTION("""COMPUTED_VALUE"""),43608.7055555555)</f>
        <v>43608.705555555498</v>
      </c>
      <c r="N2323" s="111">
        <f ca="1">IFERROR(__xludf.DUMMYFUNCTION("""COMPUTED_VALUE"""),28.6)</f>
        <v>28.6</v>
      </c>
      <c r="O2323" s="112">
        <f ca="1">IFERROR(__xludf.DUMMYFUNCTION("""COMPUTED_VALUE"""),43684.7055555555)</f>
        <v>43684.705555555498</v>
      </c>
      <c r="P2323" s="111">
        <f ca="1">IFERROR(__xludf.DUMMYFUNCTION("""COMPUTED_VALUE"""),46.48)</f>
        <v>46.48</v>
      </c>
      <c r="Q2323" s="112">
        <f ca="1">IFERROR(__xludf.DUMMYFUNCTION("""COMPUTED_VALUE"""),43683.7055555555)</f>
        <v>43683.705555555498</v>
      </c>
      <c r="R2323" s="111">
        <f ca="1">IFERROR(__xludf.DUMMYFUNCTION("""COMPUTED_VALUE"""),48.5)</f>
        <v>48.5</v>
      </c>
      <c r="S2323" s="112">
        <f ca="1">IFERROR(__xludf.DUMMYFUNCTION("""COMPUTED_VALUE"""),43696.7055555555)</f>
        <v>43696.705555555498</v>
      </c>
      <c r="T2323" s="111">
        <f ca="1">IFERROR(__xludf.DUMMYFUNCTION("""COMPUTED_VALUE"""),44.91)</f>
        <v>44.91</v>
      </c>
    </row>
    <row r="2324" spans="1:20" x14ac:dyDescent="0.3">
      <c r="A2324" s="112">
        <f ca="1">IFERROR(__xludf.DUMMYFUNCTION("""COMPUTED_VALUE"""),43692.7055555555)</f>
        <v>43692.705555555498</v>
      </c>
      <c r="B2324" s="111">
        <f ca="1">IFERROR(__xludf.DUMMYFUNCTION("""COMPUTED_VALUE"""),39.9)</f>
        <v>39.9</v>
      </c>
      <c r="C2324" s="112">
        <f ca="1">IFERROR(__xludf.DUMMYFUNCTION("""COMPUTED_VALUE"""),43700.7055555555)</f>
        <v>43700.705555555498</v>
      </c>
      <c r="D2324" s="111">
        <f ca="1">IFERROR(__xludf.DUMMYFUNCTION("""COMPUTED_VALUE"""),33.15)</f>
        <v>33.15</v>
      </c>
      <c r="E2324" s="112">
        <f ca="1">IFERROR(__xludf.DUMMYFUNCTION("""COMPUTED_VALUE"""),43703.7055555555)</f>
        <v>43703.705555555498</v>
      </c>
      <c r="F2324" s="111">
        <f ca="1">IFERROR(__xludf.DUMMYFUNCTION("""COMPUTED_VALUE"""),11.27)</f>
        <v>11.27</v>
      </c>
      <c r="G2324" s="112">
        <f ca="1">IFERROR(__xludf.DUMMYFUNCTION("""COMPUTED_VALUE"""),43699.7055555555)</f>
        <v>43699.705555555498</v>
      </c>
      <c r="H2324" s="111">
        <f ca="1">IFERROR(__xludf.DUMMYFUNCTION("""COMPUTED_VALUE"""),25.22)</f>
        <v>25.22</v>
      </c>
      <c r="K2324" s="112">
        <f ca="1">IFERROR(__xludf.DUMMYFUNCTION("""COMPUTED_VALUE"""),44147.7055555555)</f>
        <v>44147.705555555498</v>
      </c>
      <c r="L2324" s="111">
        <f ca="1">IFERROR(__xludf.DUMMYFUNCTION("""COMPUTED_VALUE"""),25.49)</f>
        <v>25.49</v>
      </c>
      <c r="M2324" s="112">
        <f ca="1">IFERROR(__xludf.DUMMYFUNCTION("""COMPUTED_VALUE"""),43609.7055555555)</f>
        <v>43609.705555555498</v>
      </c>
      <c r="N2324" s="111">
        <f ca="1">IFERROR(__xludf.DUMMYFUNCTION("""COMPUTED_VALUE"""),28.31)</f>
        <v>28.31</v>
      </c>
      <c r="O2324" s="112">
        <f ca="1">IFERROR(__xludf.DUMMYFUNCTION("""COMPUTED_VALUE"""),43685.7055555555)</f>
        <v>43685.705555555498</v>
      </c>
      <c r="P2324" s="111">
        <f ca="1">IFERROR(__xludf.DUMMYFUNCTION("""COMPUTED_VALUE"""),47.18)</f>
        <v>47.18</v>
      </c>
      <c r="Q2324" s="112">
        <f ca="1">IFERROR(__xludf.DUMMYFUNCTION("""COMPUTED_VALUE"""),43684.7055555555)</f>
        <v>43684.705555555498</v>
      </c>
      <c r="R2324" s="111">
        <f ca="1">IFERROR(__xludf.DUMMYFUNCTION("""COMPUTED_VALUE"""),48.45)</f>
        <v>48.45</v>
      </c>
      <c r="S2324" s="112">
        <f ca="1">IFERROR(__xludf.DUMMYFUNCTION("""COMPUTED_VALUE"""),43697.7055555555)</f>
        <v>43697.705555555498</v>
      </c>
      <c r="T2324" s="111">
        <f ca="1">IFERROR(__xludf.DUMMYFUNCTION("""COMPUTED_VALUE"""),44.82)</f>
        <v>44.82</v>
      </c>
    </row>
    <row r="2325" spans="1:20" x14ac:dyDescent="0.3">
      <c r="A2325" s="112">
        <f ca="1">IFERROR(__xludf.DUMMYFUNCTION("""COMPUTED_VALUE"""),43693.7055555555)</f>
        <v>43693.705555555498</v>
      </c>
      <c r="B2325" s="111">
        <f ca="1">IFERROR(__xludf.DUMMYFUNCTION("""COMPUTED_VALUE"""),40.94)</f>
        <v>40.94</v>
      </c>
      <c r="C2325" s="112">
        <f ca="1">IFERROR(__xludf.DUMMYFUNCTION("""COMPUTED_VALUE"""),43703.7055555555)</f>
        <v>43703.705555555498</v>
      </c>
      <c r="D2325" s="111">
        <f ca="1">IFERROR(__xludf.DUMMYFUNCTION("""COMPUTED_VALUE"""),33.14)</f>
        <v>33.14</v>
      </c>
      <c r="E2325" s="112">
        <f ca="1">IFERROR(__xludf.DUMMYFUNCTION("""COMPUTED_VALUE"""),43704.7055555555)</f>
        <v>43704.705555555498</v>
      </c>
      <c r="F2325" s="111">
        <f ca="1">IFERROR(__xludf.DUMMYFUNCTION("""COMPUTED_VALUE"""),11.45)</f>
        <v>11.45</v>
      </c>
      <c r="G2325" s="112">
        <f ca="1">IFERROR(__xludf.DUMMYFUNCTION("""COMPUTED_VALUE"""),43700.7055555555)</f>
        <v>43700.705555555498</v>
      </c>
      <c r="H2325" s="111">
        <f ca="1">IFERROR(__xludf.DUMMYFUNCTION("""COMPUTED_VALUE"""),24.28)</f>
        <v>24.28</v>
      </c>
      <c r="K2325" s="112">
        <f ca="1">IFERROR(__xludf.DUMMYFUNCTION("""COMPUTED_VALUE"""),44148.7055555555)</f>
        <v>44148.705555555498</v>
      </c>
      <c r="L2325" s="111">
        <f ca="1">IFERROR(__xludf.DUMMYFUNCTION("""COMPUTED_VALUE"""),25.11)</f>
        <v>25.11</v>
      </c>
      <c r="M2325" s="112">
        <f ca="1">IFERROR(__xludf.DUMMYFUNCTION("""COMPUTED_VALUE"""),43612.7055555555)</f>
        <v>43612.705555555498</v>
      </c>
      <c r="N2325" s="111">
        <f ca="1">IFERROR(__xludf.DUMMYFUNCTION("""COMPUTED_VALUE"""),28.72)</f>
        <v>28.72</v>
      </c>
      <c r="O2325" s="112">
        <f ca="1">IFERROR(__xludf.DUMMYFUNCTION("""COMPUTED_VALUE"""),43686.7055555555)</f>
        <v>43686.705555555498</v>
      </c>
      <c r="P2325" s="111">
        <f ca="1">IFERROR(__xludf.DUMMYFUNCTION("""COMPUTED_VALUE"""),45.49)</f>
        <v>45.49</v>
      </c>
      <c r="Q2325" s="112">
        <f ca="1">IFERROR(__xludf.DUMMYFUNCTION("""COMPUTED_VALUE"""),43685.7055555555)</f>
        <v>43685.705555555498</v>
      </c>
      <c r="R2325" s="111">
        <f ca="1">IFERROR(__xludf.DUMMYFUNCTION("""COMPUTED_VALUE"""),48.8)</f>
        <v>48.8</v>
      </c>
      <c r="S2325" s="112">
        <f ca="1">IFERROR(__xludf.DUMMYFUNCTION("""COMPUTED_VALUE"""),43698.7055555555)</f>
        <v>43698.705555555498</v>
      </c>
      <c r="T2325" s="111">
        <f ca="1">IFERROR(__xludf.DUMMYFUNCTION("""COMPUTED_VALUE"""),45.57)</f>
        <v>45.57</v>
      </c>
    </row>
    <row r="2326" spans="1:20" x14ac:dyDescent="0.3">
      <c r="A2326" s="112">
        <f ca="1">IFERROR(__xludf.DUMMYFUNCTION("""COMPUTED_VALUE"""),43696.7055555555)</f>
        <v>43696.705555555498</v>
      </c>
      <c r="B2326" s="111">
        <f ca="1">IFERROR(__xludf.DUMMYFUNCTION("""COMPUTED_VALUE"""),40.2)</f>
        <v>40.200000000000003</v>
      </c>
      <c r="C2326" s="112">
        <f ca="1">IFERROR(__xludf.DUMMYFUNCTION("""COMPUTED_VALUE"""),43704.7055555555)</f>
        <v>43704.705555555498</v>
      </c>
      <c r="D2326" s="111">
        <f ca="1">IFERROR(__xludf.DUMMYFUNCTION("""COMPUTED_VALUE"""),33.53)</f>
        <v>33.53</v>
      </c>
      <c r="E2326" s="112">
        <f ca="1">IFERROR(__xludf.DUMMYFUNCTION("""COMPUTED_VALUE"""),43705.7055555555)</f>
        <v>43705.705555555498</v>
      </c>
      <c r="F2326" s="111">
        <f ca="1">IFERROR(__xludf.DUMMYFUNCTION("""COMPUTED_VALUE"""),11.62)</f>
        <v>11.62</v>
      </c>
      <c r="G2326" s="112">
        <f ca="1">IFERROR(__xludf.DUMMYFUNCTION("""COMPUTED_VALUE"""),43703.7055555555)</f>
        <v>43703.705555555498</v>
      </c>
      <c r="H2326" s="111">
        <f ca="1">IFERROR(__xludf.DUMMYFUNCTION("""COMPUTED_VALUE"""),23.96)</f>
        <v>23.96</v>
      </c>
      <c r="K2326" s="112">
        <f ca="1">IFERROR(__xludf.DUMMYFUNCTION("""COMPUTED_VALUE"""),44151.7055555555)</f>
        <v>44151.705555555498</v>
      </c>
      <c r="L2326" s="111">
        <f ca="1">IFERROR(__xludf.DUMMYFUNCTION("""COMPUTED_VALUE"""),24.86)</f>
        <v>24.86</v>
      </c>
      <c r="M2326" s="112">
        <f ca="1">IFERROR(__xludf.DUMMYFUNCTION("""COMPUTED_VALUE"""),43613.7055555555)</f>
        <v>43613.705555555498</v>
      </c>
      <c r="N2326" s="111">
        <f ca="1">IFERROR(__xludf.DUMMYFUNCTION("""COMPUTED_VALUE"""),29.51)</f>
        <v>29.51</v>
      </c>
      <c r="O2326" s="112">
        <f ca="1">IFERROR(__xludf.DUMMYFUNCTION("""COMPUTED_VALUE"""),43689.7055555555)</f>
        <v>43689.705555555498</v>
      </c>
      <c r="P2326" s="111">
        <f ca="1">IFERROR(__xludf.DUMMYFUNCTION("""COMPUTED_VALUE"""),45.16)</f>
        <v>45.16</v>
      </c>
      <c r="Q2326" s="112">
        <f ca="1">IFERROR(__xludf.DUMMYFUNCTION("""COMPUTED_VALUE"""),43686.7055555555)</f>
        <v>43686.705555555498</v>
      </c>
      <c r="R2326" s="111">
        <f ca="1">IFERROR(__xludf.DUMMYFUNCTION("""COMPUTED_VALUE"""),48.65)</f>
        <v>48.65</v>
      </c>
      <c r="S2326" s="112">
        <f ca="1">IFERROR(__xludf.DUMMYFUNCTION("""COMPUTED_VALUE"""),43699.7055555555)</f>
        <v>43699.705555555498</v>
      </c>
      <c r="T2326" s="111">
        <f ca="1">IFERROR(__xludf.DUMMYFUNCTION("""COMPUTED_VALUE"""),44.6)</f>
        <v>44.6</v>
      </c>
    </row>
    <row r="2327" spans="1:20" x14ac:dyDescent="0.3">
      <c r="A2327" s="112">
        <f ca="1">IFERROR(__xludf.DUMMYFUNCTION("""COMPUTED_VALUE"""),43697.7055555555)</f>
        <v>43697.705555555498</v>
      </c>
      <c r="B2327" s="111">
        <f ca="1">IFERROR(__xludf.DUMMYFUNCTION("""COMPUTED_VALUE"""),39.6)</f>
        <v>39.6</v>
      </c>
      <c r="C2327" s="112">
        <f ca="1">IFERROR(__xludf.DUMMYFUNCTION("""COMPUTED_VALUE"""),43705.7055555555)</f>
        <v>43705.705555555498</v>
      </c>
      <c r="D2327" s="111">
        <f ca="1">IFERROR(__xludf.DUMMYFUNCTION("""COMPUTED_VALUE"""),33.91)</f>
        <v>33.909999999999997</v>
      </c>
      <c r="E2327" s="112">
        <f ca="1">IFERROR(__xludf.DUMMYFUNCTION("""COMPUTED_VALUE"""),43706.7055555555)</f>
        <v>43706.705555555498</v>
      </c>
      <c r="F2327" s="111">
        <f ca="1">IFERROR(__xludf.DUMMYFUNCTION("""COMPUTED_VALUE"""),11.68)</f>
        <v>11.68</v>
      </c>
      <c r="G2327" s="112">
        <f ca="1">IFERROR(__xludf.DUMMYFUNCTION("""COMPUTED_VALUE"""),43704.7055555555)</f>
        <v>43704.705555555498</v>
      </c>
      <c r="H2327" s="111">
        <f ca="1">IFERROR(__xludf.DUMMYFUNCTION("""COMPUTED_VALUE"""),24.34)</f>
        <v>24.34</v>
      </c>
      <c r="K2327" s="112">
        <f ca="1">IFERROR(__xludf.DUMMYFUNCTION("""COMPUTED_VALUE"""),44152.7055555555)</f>
        <v>44152.705555555498</v>
      </c>
      <c r="L2327" s="111">
        <f ca="1">IFERROR(__xludf.DUMMYFUNCTION("""COMPUTED_VALUE"""),24.74)</f>
        <v>24.74</v>
      </c>
      <c r="M2327" s="112">
        <f ca="1">IFERROR(__xludf.DUMMYFUNCTION("""COMPUTED_VALUE"""),43614.7055555555)</f>
        <v>43614.705555555498</v>
      </c>
      <c r="N2327" s="111">
        <f ca="1">IFERROR(__xludf.DUMMYFUNCTION("""COMPUTED_VALUE"""),30.1)</f>
        <v>30.1</v>
      </c>
      <c r="O2327" s="112">
        <f ca="1">IFERROR(__xludf.DUMMYFUNCTION("""COMPUTED_VALUE"""),43690.7055555555)</f>
        <v>43690.705555555498</v>
      </c>
      <c r="P2327" s="111">
        <f ca="1">IFERROR(__xludf.DUMMYFUNCTION("""COMPUTED_VALUE"""),46.5)</f>
        <v>46.5</v>
      </c>
      <c r="Q2327" s="112">
        <f ca="1">IFERROR(__xludf.DUMMYFUNCTION("""COMPUTED_VALUE"""),43689.7055555555)</f>
        <v>43689.705555555498</v>
      </c>
      <c r="R2327" s="111">
        <f ca="1">IFERROR(__xludf.DUMMYFUNCTION("""COMPUTED_VALUE"""),47)</f>
        <v>47</v>
      </c>
      <c r="S2327" s="112">
        <f ca="1">IFERROR(__xludf.DUMMYFUNCTION("""COMPUTED_VALUE"""),43700.7055555555)</f>
        <v>43700.705555555498</v>
      </c>
      <c r="T2327" s="111">
        <f ca="1">IFERROR(__xludf.DUMMYFUNCTION("""COMPUTED_VALUE"""),43.68)</f>
        <v>43.68</v>
      </c>
    </row>
    <row r="2328" spans="1:20" x14ac:dyDescent="0.3">
      <c r="A2328" s="112">
        <f ca="1">IFERROR(__xludf.DUMMYFUNCTION("""COMPUTED_VALUE"""),43698.7055555555)</f>
        <v>43698.705555555498</v>
      </c>
      <c r="B2328" s="111">
        <f ca="1">IFERROR(__xludf.DUMMYFUNCTION("""COMPUTED_VALUE"""),44.5)</f>
        <v>44.5</v>
      </c>
      <c r="C2328" s="112">
        <f ca="1">IFERROR(__xludf.DUMMYFUNCTION("""COMPUTED_VALUE"""),43706.7055555555)</f>
        <v>43706.705555555498</v>
      </c>
      <c r="D2328" s="111">
        <f ca="1">IFERROR(__xludf.DUMMYFUNCTION("""COMPUTED_VALUE"""),34.09)</f>
        <v>34.090000000000003</v>
      </c>
      <c r="E2328" s="112">
        <f ca="1">IFERROR(__xludf.DUMMYFUNCTION("""COMPUTED_VALUE"""),43707.7055555555)</f>
        <v>43707.705555555498</v>
      </c>
      <c r="F2328" s="111">
        <f ca="1">IFERROR(__xludf.DUMMYFUNCTION("""COMPUTED_VALUE"""),11.7)</f>
        <v>11.7</v>
      </c>
      <c r="G2328" s="112">
        <f ca="1">IFERROR(__xludf.DUMMYFUNCTION("""COMPUTED_VALUE"""),43705.7055555555)</f>
        <v>43705.705555555498</v>
      </c>
      <c r="H2328" s="111">
        <f ca="1">IFERROR(__xludf.DUMMYFUNCTION("""COMPUTED_VALUE"""),24.59)</f>
        <v>24.59</v>
      </c>
      <c r="K2328" s="112">
        <f ca="1">IFERROR(__xludf.DUMMYFUNCTION("""COMPUTED_VALUE"""),44153.7055555555)</f>
        <v>44153.705555555498</v>
      </c>
      <c r="L2328" s="111">
        <f ca="1">IFERROR(__xludf.DUMMYFUNCTION("""COMPUTED_VALUE"""),24.55)</f>
        <v>24.55</v>
      </c>
      <c r="M2328" s="112">
        <f ca="1">IFERROR(__xludf.DUMMYFUNCTION("""COMPUTED_VALUE"""),43615.7055555555)</f>
        <v>43615.705555555498</v>
      </c>
      <c r="N2328" s="111">
        <f ca="1">IFERROR(__xludf.DUMMYFUNCTION("""COMPUTED_VALUE"""),30.65)</f>
        <v>30.65</v>
      </c>
      <c r="O2328" s="112">
        <f ca="1">IFERROR(__xludf.DUMMYFUNCTION("""COMPUTED_VALUE"""),43691.7055555555)</f>
        <v>43691.705555555498</v>
      </c>
      <c r="P2328" s="111">
        <f ca="1">IFERROR(__xludf.DUMMYFUNCTION("""COMPUTED_VALUE"""),44.88)</f>
        <v>44.88</v>
      </c>
      <c r="Q2328" s="112">
        <f ca="1">IFERROR(__xludf.DUMMYFUNCTION("""COMPUTED_VALUE"""),43690.7055555555)</f>
        <v>43690.705555555498</v>
      </c>
      <c r="R2328" s="111">
        <f ca="1">IFERROR(__xludf.DUMMYFUNCTION("""COMPUTED_VALUE"""),47.55)</f>
        <v>47.55</v>
      </c>
      <c r="S2328" s="112">
        <f ca="1">IFERROR(__xludf.DUMMYFUNCTION("""COMPUTED_VALUE"""),43703.7055555555)</f>
        <v>43703.705555555498</v>
      </c>
      <c r="T2328" s="111">
        <f ca="1">IFERROR(__xludf.DUMMYFUNCTION("""COMPUTED_VALUE"""),42.77)</f>
        <v>42.77</v>
      </c>
    </row>
    <row r="2329" spans="1:20" x14ac:dyDescent="0.3">
      <c r="A2329" s="112">
        <f ca="1">IFERROR(__xludf.DUMMYFUNCTION("""COMPUTED_VALUE"""),43699.7055555555)</f>
        <v>43699.705555555498</v>
      </c>
      <c r="B2329" s="111">
        <f ca="1">IFERROR(__xludf.DUMMYFUNCTION("""COMPUTED_VALUE"""),46.31)</f>
        <v>46.31</v>
      </c>
      <c r="C2329" s="112">
        <f ca="1">IFERROR(__xludf.DUMMYFUNCTION("""COMPUTED_VALUE"""),43707.7055555555)</f>
        <v>43707.705555555498</v>
      </c>
      <c r="D2329" s="111">
        <f ca="1">IFERROR(__xludf.DUMMYFUNCTION("""COMPUTED_VALUE"""),33.94)</f>
        <v>33.94</v>
      </c>
      <c r="E2329" s="112">
        <f ca="1">IFERROR(__xludf.DUMMYFUNCTION("""COMPUTED_VALUE"""),43710.7055555555)</f>
        <v>43710.705555555498</v>
      </c>
      <c r="F2329" s="111">
        <f ca="1">IFERROR(__xludf.DUMMYFUNCTION("""COMPUTED_VALUE"""),11.56)</f>
        <v>11.56</v>
      </c>
      <c r="G2329" s="112">
        <f ca="1">IFERROR(__xludf.DUMMYFUNCTION("""COMPUTED_VALUE"""),43706.7055555555)</f>
        <v>43706.705555555498</v>
      </c>
      <c r="H2329" s="111">
        <f ca="1">IFERROR(__xludf.DUMMYFUNCTION("""COMPUTED_VALUE"""),25.5)</f>
        <v>25.5</v>
      </c>
      <c r="K2329" s="112">
        <f ca="1">IFERROR(__xludf.DUMMYFUNCTION("""COMPUTED_VALUE"""),44154.7055555555)</f>
        <v>44154.705555555498</v>
      </c>
      <c r="L2329" s="111">
        <f ca="1">IFERROR(__xludf.DUMMYFUNCTION("""COMPUTED_VALUE"""),24.65)</f>
        <v>24.65</v>
      </c>
      <c r="M2329" s="112">
        <f ca="1">IFERROR(__xludf.DUMMYFUNCTION("""COMPUTED_VALUE"""),43616.7055555555)</f>
        <v>43616.705555555498</v>
      </c>
      <c r="N2329" s="111">
        <f ca="1">IFERROR(__xludf.DUMMYFUNCTION("""COMPUTED_VALUE"""),30.58)</f>
        <v>30.58</v>
      </c>
      <c r="O2329" s="112">
        <f ca="1">IFERROR(__xludf.DUMMYFUNCTION("""COMPUTED_VALUE"""),43692.7055555555)</f>
        <v>43692.705555555498</v>
      </c>
      <c r="P2329" s="111">
        <f ca="1">IFERROR(__xludf.DUMMYFUNCTION("""COMPUTED_VALUE"""),43.89)</f>
        <v>43.89</v>
      </c>
      <c r="Q2329" s="112">
        <f ca="1">IFERROR(__xludf.DUMMYFUNCTION("""COMPUTED_VALUE"""),43691.7055555555)</f>
        <v>43691.705555555498</v>
      </c>
      <c r="R2329" s="111">
        <f ca="1">IFERROR(__xludf.DUMMYFUNCTION("""COMPUTED_VALUE"""),45.89)</f>
        <v>45.89</v>
      </c>
      <c r="S2329" s="112">
        <f ca="1">IFERROR(__xludf.DUMMYFUNCTION("""COMPUTED_VALUE"""),43704.7055555555)</f>
        <v>43704.705555555498</v>
      </c>
      <c r="T2329" s="111">
        <f ca="1">IFERROR(__xludf.DUMMYFUNCTION("""COMPUTED_VALUE"""),43.13)</f>
        <v>43.13</v>
      </c>
    </row>
    <row r="2330" spans="1:20" x14ac:dyDescent="0.3">
      <c r="A2330" s="112">
        <f ca="1">IFERROR(__xludf.DUMMYFUNCTION("""COMPUTED_VALUE"""),43700.7055555555)</f>
        <v>43700.705555555498</v>
      </c>
      <c r="B2330" s="111">
        <f ca="1">IFERROR(__xludf.DUMMYFUNCTION("""COMPUTED_VALUE"""),44.7)</f>
        <v>44.7</v>
      </c>
      <c r="C2330" s="112">
        <f ca="1">IFERROR(__xludf.DUMMYFUNCTION("""COMPUTED_VALUE"""),43710.7055555555)</f>
        <v>43710.705555555498</v>
      </c>
      <c r="D2330" s="111">
        <f ca="1">IFERROR(__xludf.DUMMYFUNCTION("""COMPUTED_VALUE"""),33.5)</f>
        <v>33.5</v>
      </c>
      <c r="E2330" s="112">
        <f ca="1">IFERROR(__xludf.DUMMYFUNCTION("""COMPUTED_VALUE"""),43711.7055555555)</f>
        <v>43711.705555555498</v>
      </c>
      <c r="F2330" s="111">
        <f ca="1">IFERROR(__xludf.DUMMYFUNCTION("""COMPUTED_VALUE"""),11.38)</f>
        <v>11.38</v>
      </c>
      <c r="G2330" s="112">
        <f ca="1">IFERROR(__xludf.DUMMYFUNCTION("""COMPUTED_VALUE"""),43707.7055555555)</f>
        <v>43707.705555555498</v>
      </c>
      <c r="H2330" s="111">
        <f ca="1">IFERROR(__xludf.DUMMYFUNCTION("""COMPUTED_VALUE"""),25.5)</f>
        <v>25.5</v>
      </c>
      <c r="K2330" s="112">
        <f ca="1">IFERROR(__xludf.DUMMYFUNCTION("""COMPUTED_VALUE"""),44155.7055555555)</f>
        <v>44155.705555555498</v>
      </c>
      <c r="L2330" s="111">
        <f ca="1">IFERROR(__xludf.DUMMYFUNCTION("""COMPUTED_VALUE"""),24.21)</f>
        <v>24.21</v>
      </c>
      <c r="M2330" s="112">
        <f ca="1">IFERROR(__xludf.DUMMYFUNCTION("""COMPUTED_VALUE"""),43619.7055555555)</f>
        <v>43619.705555555498</v>
      </c>
      <c r="N2330" s="111">
        <f ca="1">IFERROR(__xludf.DUMMYFUNCTION("""COMPUTED_VALUE"""),30.48)</f>
        <v>30.48</v>
      </c>
      <c r="O2330" s="112">
        <f ca="1">IFERROR(__xludf.DUMMYFUNCTION("""COMPUTED_VALUE"""),43693.7055555555)</f>
        <v>43693.705555555498</v>
      </c>
      <c r="P2330" s="111">
        <f ca="1">IFERROR(__xludf.DUMMYFUNCTION("""COMPUTED_VALUE"""),43.69)</f>
        <v>43.69</v>
      </c>
      <c r="Q2330" s="112">
        <f ca="1">IFERROR(__xludf.DUMMYFUNCTION("""COMPUTED_VALUE"""),43692.7055555555)</f>
        <v>43692.705555555498</v>
      </c>
      <c r="R2330" s="111">
        <f ca="1">IFERROR(__xludf.DUMMYFUNCTION("""COMPUTED_VALUE"""),45.85)</f>
        <v>45.85</v>
      </c>
      <c r="S2330" s="112">
        <f ca="1">IFERROR(__xludf.DUMMYFUNCTION("""COMPUTED_VALUE"""),43705.7055555555)</f>
        <v>43705.705555555498</v>
      </c>
      <c r="T2330" s="111">
        <f ca="1">IFERROR(__xludf.DUMMYFUNCTION("""COMPUTED_VALUE"""),44.19)</f>
        <v>44.19</v>
      </c>
    </row>
    <row r="2331" spans="1:20" x14ac:dyDescent="0.3">
      <c r="A2331" s="112">
        <f ca="1">IFERROR(__xludf.DUMMYFUNCTION("""COMPUTED_VALUE"""),43703.7055555555)</f>
        <v>43703.705555555498</v>
      </c>
      <c r="B2331" s="111">
        <f ca="1">IFERROR(__xludf.DUMMYFUNCTION("""COMPUTED_VALUE"""),43.32)</f>
        <v>43.32</v>
      </c>
      <c r="C2331" s="112">
        <f ca="1">IFERROR(__xludf.DUMMYFUNCTION("""COMPUTED_VALUE"""),43711.7055555555)</f>
        <v>43711.705555555498</v>
      </c>
      <c r="D2331" s="111">
        <f ca="1">IFERROR(__xludf.DUMMYFUNCTION("""COMPUTED_VALUE"""),32.86)</f>
        <v>32.86</v>
      </c>
      <c r="E2331" s="112">
        <f ca="1">IFERROR(__xludf.DUMMYFUNCTION("""COMPUTED_VALUE"""),43712.7055555555)</f>
        <v>43712.705555555498</v>
      </c>
      <c r="F2331" s="111">
        <f ca="1">IFERROR(__xludf.DUMMYFUNCTION("""COMPUTED_VALUE"""),11.56)</f>
        <v>11.56</v>
      </c>
      <c r="G2331" s="112">
        <f ca="1">IFERROR(__xludf.DUMMYFUNCTION("""COMPUTED_VALUE"""),43710.7055555555)</f>
        <v>43710.705555555498</v>
      </c>
      <c r="H2331" s="111">
        <f ca="1">IFERROR(__xludf.DUMMYFUNCTION("""COMPUTED_VALUE"""),25.3)</f>
        <v>25.3</v>
      </c>
      <c r="K2331" s="112">
        <f ca="1">IFERROR(__xludf.DUMMYFUNCTION("""COMPUTED_VALUE"""),44158.7055555555)</f>
        <v>44158.705555555498</v>
      </c>
      <c r="L2331" s="111">
        <f ca="1">IFERROR(__xludf.DUMMYFUNCTION("""COMPUTED_VALUE"""),23.43)</f>
        <v>23.43</v>
      </c>
      <c r="M2331" s="112">
        <f ca="1">IFERROR(__xludf.DUMMYFUNCTION("""COMPUTED_VALUE"""),43620.7055555555)</f>
        <v>43620.705555555498</v>
      </c>
      <c r="N2331" s="111">
        <f ca="1">IFERROR(__xludf.DUMMYFUNCTION("""COMPUTED_VALUE"""),30.62)</f>
        <v>30.62</v>
      </c>
      <c r="O2331" s="112">
        <f ca="1">IFERROR(__xludf.DUMMYFUNCTION("""COMPUTED_VALUE"""),43696.7055555555)</f>
        <v>43696.705555555498</v>
      </c>
      <c r="P2331" s="111">
        <f ca="1">IFERROR(__xludf.DUMMYFUNCTION("""COMPUTED_VALUE"""),43.65)</f>
        <v>43.65</v>
      </c>
      <c r="Q2331" s="112">
        <f ca="1">IFERROR(__xludf.DUMMYFUNCTION("""COMPUTED_VALUE"""),43693.7055555555)</f>
        <v>43693.705555555498</v>
      </c>
      <c r="R2331" s="111">
        <f ca="1">IFERROR(__xludf.DUMMYFUNCTION("""COMPUTED_VALUE"""),45.73)</f>
        <v>45.73</v>
      </c>
      <c r="S2331" s="112">
        <f ca="1">IFERROR(__xludf.DUMMYFUNCTION("""COMPUTED_VALUE"""),43706.7055555555)</f>
        <v>43706.705555555498</v>
      </c>
      <c r="T2331" s="111">
        <f ca="1">IFERROR(__xludf.DUMMYFUNCTION("""COMPUTED_VALUE"""),45.62)</f>
        <v>45.62</v>
      </c>
    </row>
    <row r="2332" spans="1:20" x14ac:dyDescent="0.3">
      <c r="A2332" s="112">
        <f ca="1">IFERROR(__xludf.DUMMYFUNCTION("""COMPUTED_VALUE"""),43704.7055555555)</f>
        <v>43704.705555555498</v>
      </c>
      <c r="B2332" s="111">
        <f ca="1">IFERROR(__xludf.DUMMYFUNCTION("""COMPUTED_VALUE"""),42.22)</f>
        <v>42.22</v>
      </c>
      <c r="C2332" s="112">
        <f ca="1">IFERROR(__xludf.DUMMYFUNCTION("""COMPUTED_VALUE"""),43712.7055555555)</f>
        <v>43712.705555555498</v>
      </c>
      <c r="D2332" s="111">
        <f ca="1">IFERROR(__xludf.DUMMYFUNCTION("""COMPUTED_VALUE"""),33.09)</f>
        <v>33.090000000000003</v>
      </c>
      <c r="E2332" s="112">
        <f ca="1">IFERROR(__xludf.DUMMYFUNCTION("""COMPUTED_VALUE"""),43713.7055555555)</f>
        <v>43713.705555555498</v>
      </c>
      <c r="F2332" s="111">
        <f ca="1">IFERROR(__xludf.DUMMYFUNCTION("""COMPUTED_VALUE"""),11.98)</f>
        <v>11.98</v>
      </c>
      <c r="G2332" s="112">
        <f ca="1">IFERROR(__xludf.DUMMYFUNCTION("""COMPUTED_VALUE"""),43711.7055555555)</f>
        <v>43711.705555555498</v>
      </c>
      <c r="H2332" s="111">
        <f ca="1">IFERROR(__xludf.DUMMYFUNCTION("""COMPUTED_VALUE"""),25.6)</f>
        <v>25.6</v>
      </c>
      <c r="K2332" s="112">
        <f ca="1">IFERROR(__xludf.DUMMYFUNCTION("""COMPUTED_VALUE"""),44159.7055555555)</f>
        <v>44159.705555555498</v>
      </c>
      <c r="L2332" s="111">
        <f ca="1">IFERROR(__xludf.DUMMYFUNCTION("""COMPUTED_VALUE"""),23.71)</f>
        <v>23.71</v>
      </c>
      <c r="M2332" s="112">
        <f ca="1">IFERROR(__xludf.DUMMYFUNCTION("""COMPUTED_VALUE"""),43621.7055555555)</f>
        <v>43621.705555555498</v>
      </c>
      <c r="N2332" s="111">
        <f ca="1">IFERROR(__xludf.DUMMYFUNCTION("""COMPUTED_VALUE"""),30.15)</f>
        <v>30.15</v>
      </c>
      <c r="O2332" s="112">
        <f ca="1">IFERROR(__xludf.DUMMYFUNCTION("""COMPUTED_VALUE"""),43697.7055555555)</f>
        <v>43697.705555555498</v>
      </c>
      <c r="P2332" s="111">
        <f ca="1">IFERROR(__xludf.DUMMYFUNCTION("""COMPUTED_VALUE"""),43.84)</f>
        <v>43.84</v>
      </c>
      <c r="Q2332" s="112">
        <f ca="1">IFERROR(__xludf.DUMMYFUNCTION("""COMPUTED_VALUE"""),43696.7055555555)</f>
        <v>43696.705555555498</v>
      </c>
      <c r="R2332" s="111">
        <f ca="1">IFERROR(__xludf.DUMMYFUNCTION("""COMPUTED_VALUE"""),44.83)</f>
        <v>44.83</v>
      </c>
      <c r="S2332" s="112">
        <f ca="1">IFERROR(__xludf.DUMMYFUNCTION("""COMPUTED_VALUE"""),43707.7055555555)</f>
        <v>43707.705555555498</v>
      </c>
      <c r="T2332" s="111">
        <f ca="1">IFERROR(__xludf.DUMMYFUNCTION("""COMPUTED_VALUE"""),45.95)</f>
        <v>45.95</v>
      </c>
    </row>
    <row r="2333" spans="1:20" x14ac:dyDescent="0.3">
      <c r="A2333" s="112">
        <f ca="1">IFERROR(__xludf.DUMMYFUNCTION("""COMPUTED_VALUE"""),43705.7055555555)</f>
        <v>43705.705555555498</v>
      </c>
      <c r="B2333" s="111">
        <f ca="1">IFERROR(__xludf.DUMMYFUNCTION("""COMPUTED_VALUE"""),43.71)</f>
        <v>43.71</v>
      </c>
      <c r="C2333" s="112">
        <f ca="1">IFERROR(__xludf.DUMMYFUNCTION("""COMPUTED_VALUE"""),43713.7055555555)</f>
        <v>43713.705555555498</v>
      </c>
      <c r="D2333" s="111">
        <f ca="1">IFERROR(__xludf.DUMMYFUNCTION("""COMPUTED_VALUE"""),34.03)</f>
        <v>34.03</v>
      </c>
      <c r="E2333" s="112">
        <f ca="1">IFERROR(__xludf.DUMMYFUNCTION("""COMPUTED_VALUE"""),43714.7055555555)</f>
        <v>43714.705555555498</v>
      </c>
      <c r="F2333" s="111">
        <f ca="1">IFERROR(__xludf.DUMMYFUNCTION("""COMPUTED_VALUE"""),12.33)</f>
        <v>12.33</v>
      </c>
      <c r="G2333" s="112">
        <f ca="1">IFERROR(__xludf.DUMMYFUNCTION("""COMPUTED_VALUE"""),43712.7055555555)</f>
        <v>43712.705555555498</v>
      </c>
      <c r="H2333" s="111">
        <f ca="1">IFERROR(__xludf.DUMMYFUNCTION("""COMPUTED_VALUE"""),26.26)</f>
        <v>26.26</v>
      </c>
      <c r="K2333" s="112">
        <f ca="1">IFERROR(__xludf.DUMMYFUNCTION("""COMPUTED_VALUE"""),44160.7055555555)</f>
        <v>44160.705555555498</v>
      </c>
      <c r="L2333" s="111">
        <f ca="1">IFERROR(__xludf.DUMMYFUNCTION("""COMPUTED_VALUE"""),24.01)</f>
        <v>24.01</v>
      </c>
      <c r="M2333" s="112">
        <f ca="1">IFERROR(__xludf.DUMMYFUNCTION("""COMPUTED_VALUE"""),43622.7055555555)</f>
        <v>43622.705555555498</v>
      </c>
      <c r="N2333" s="111">
        <f ca="1">IFERROR(__xludf.DUMMYFUNCTION("""COMPUTED_VALUE"""),30.81)</f>
        <v>30.81</v>
      </c>
      <c r="O2333" s="112">
        <f ca="1">IFERROR(__xludf.DUMMYFUNCTION("""COMPUTED_VALUE"""),43698.7055555555)</f>
        <v>43698.705555555498</v>
      </c>
      <c r="P2333" s="111">
        <f ca="1">IFERROR(__xludf.DUMMYFUNCTION("""COMPUTED_VALUE"""),44.15)</f>
        <v>44.15</v>
      </c>
      <c r="Q2333" s="112">
        <f ca="1">IFERROR(__xludf.DUMMYFUNCTION("""COMPUTED_VALUE"""),43697.7055555555)</f>
        <v>43697.705555555498</v>
      </c>
      <c r="R2333" s="111">
        <f ca="1">IFERROR(__xludf.DUMMYFUNCTION("""COMPUTED_VALUE"""),44.79)</f>
        <v>44.79</v>
      </c>
      <c r="S2333" s="112">
        <f ca="1">IFERROR(__xludf.DUMMYFUNCTION("""COMPUTED_VALUE"""),43710.7055555555)</f>
        <v>43710.705555555498</v>
      </c>
      <c r="T2333" s="111">
        <f ca="1">IFERROR(__xludf.DUMMYFUNCTION("""COMPUTED_VALUE"""),45.76)</f>
        <v>45.76</v>
      </c>
    </row>
    <row r="2334" spans="1:20" x14ac:dyDescent="0.3">
      <c r="A2334" s="112">
        <f ca="1">IFERROR(__xludf.DUMMYFUNCTION("""COMPUTED_VALUE"""),43706.7055555555)</f>
        <v>43706.705555555498</v>
      </c>
      <c r="B2334" s="111">
        <f ca="1">IFERROR(__xludf.DUMMYFUNCTION("""COMPUTED_VALUE"""),44.97)</f>
        <v>44.97</v>
      </c>
      <c r="C2334" s="112">
        <f ca="1">IFERROR(__xludf.DUMMYFUNCTION("""COMPUTED_VALUE"""),43714.7055555555)</f>
        <v>43714.705555555498</v>
      </c>
      <c r="D2334" s="111">
        <f ca="1">IFERROR(__xludf.DUMMYFUNCTION("""COMPUTED_VALUE"""),35.17)</f>
        <v>35.17</v>
      </c>
      <c r="E2334" s="112">
        <f ca="1">IFERROR(__xludf.DUMMYFUNCTION("""COMPUTED_VALUE"""),43717.7055555555)</f>
        <v>43717.705555555498</v>
      </c>
      <c r="F2334" s="111">
        <f ca="1">IFERROR(__xludf.DUMMYFUNCTION("""COMPUTED_VALUE"""),12.49)</f>
        <v>12.49</v>
      </c>
      <c r="G2334" s="112">
        <f ca="1">IFERROR(__xludf.DUMMYFUNCTION("""COMPUTED_VALUE"""),43713.7055555555)</f>
        <v>43713.705555555498</v>
      </c>
      <c r="H2334" s="111">
        <f ca="1">IFERROR(__xludf.DUMMYFUNCTION("""COMPUTED_VALUE"""),26.39)</f>
        <v>26.39</v>
      </c>
      <c r="K2334" s="112">
        <f ca="1">IFERROR(__xludf.DUMMYFUNCTION("""COMPUTED_VALUE"""),44161.7055555555)</f>
        <v>44161.705555555498</v>
      </c>
      <c r="L2334" s="111">
        <f ca="1">IFERROR(__xludf.DUMMYFUNCTION("""COMPUTED_VALUE"""),24.26)</f>
        <v>24.26</v>
      </c>
      <c r="M2334" s="112">
        <f ca="1">IFERROR(__xludf.DUMMYFUNCTION("""COMPUTED_VALUE"""),43623.7055555555)</f>
        <v>43623.705555555498</v>
      </c>
      <c r="N2334" s="111">
        <f ca="1">IFERROR(__xludf.DUMMYFUNCTION("""COMPUTED_VALUE"""),30.82)</f>
        <v>30.82</v>
      </c>
      <c r="O2334" s="112">
        <f ca="1">IFERROR(__xludf.DUMMYFUNCTION("""COMPUTED_VALUE"""),43699.7055555555)</f>
        <v>43699.705555555498</v>
      </c>
      <c r="P2334" s="111">
        <f ca="1">IFERROR(__xludf.DUMMYFUNCTION("""COMPUTED_VALUE"""),43.89)</f>
        <v>43.89</v>
      </c>
      <c r="Q2334" s="112">
        <f ca="1">IFERROR(__xludf.DUMMYFUNCTION("""COMPUTED_VALUE"""),43698.7055555555)</f>
        <v>43698.705555555498</v>
      </c>
      <c r="R2334" s="111">
        <f ca="1">IFERROR(__xludf.DUMMYFUNCTION("""COMPUTED_VALUE"""),47.35)</f>
        <v>47.35</v>
      </c>
      <c r="S2334" s="112">
        <f ca="1">IFERROR(__xludf.DUMMYFUNCTION("""COMPUTED_VALUE"""),43711.7055555555)</f>
        <v>43711.705555555498</v>
      </c>
      <c r="T2334" s="111">
        <f ca="1">IFERROR(__xludf.DUMMYFUNCTION("""COMPUTED_VALUE"""),45.23)</f>
        <v>45.23</v>
      </c>
    </row>
    <row r="2335" spans="1:20" x14ac:dyDescent="0.3">
      <c r="A2335" s="112">
        <f ca="1">IFERROR(__xludf.DUMMYFUNCTION("""COMPUTED_VALUE"""),43707.7055555555)</f>
        <v>43707.705555555498</v>
      </c>
      <c r="B2335" s="111">
        <f ca="1">IFERROR(__xludf.DUMMYFUNCTION("""COMPUTED_VALUE"""),45.43)</f>
        <v>45.43</v>
      </c>
      <c r="C2335" s="112">
        <f ca="1">IFERROR(__xludf.DUMMYFUNCTION("""COMPUTED_VALUE"""),43717.7055555555)</f>
        <v>43717.705555555498</v>
      </c>
      <c r="D2335" s="111">
        <f ca="1">IFERROR(__xludf.DUMMYFUNCTION("""COMPUTED_VALUE"""),36.03)</f>
        <v>36.03</v>
      </c>
      <c r="E2335" s="112">
        <f ca="1">IFERROR(__xludf.DUMMYFUNCTION("""COMPUTED_VALUE"""),43718.7055555555)</f>
        <v>43718.705555555498</v>
      </c>
      <c r="F2335" s="111">
        <f ca="1">IFERROR(__xludf.DUMMYFUNCTION("""COMPUTED_VALUE"""),12.36)</f>
        <v>12.36</v>
      </c>
      <c r="G2335" s="112">
        <f ca="1">IFERROR(__xludf.DUMMYFUNCTION("""COMPUTED_VALUE"""),43714.7055555555)</f>
        <v>43714.705555555498</v>
      </c>
      <c r="H2335" s="111">
        <f ca="1">IFERROR(__xludf.DUMMYFUNCTION("""COMPUTED_VALUE"""),26.52)</f>
        <v>26.52</v>
      </c>
      <c r="K2335" s="112">
        <f ca="1">IFERROR(__xludf.DUMMYFUNCTION("""COMPUTED_VALUE"""),44162.7055555555)</f>
        <v>44162.705555555498</v>
      </c>
      <c r="L2335" s="111">
        <f ca="1">IFERROR(__xludf.DUMMYFUNCTION("""COMPUTED_VALUE"""),24.2)</f>
        <v>24.2</v>
      </c>
      <c r="M2335" s="112">
        <f ca="1">IFERROR(__xludf.DUMMYFUNCTION("""COMPUTED_VALUE"""),43626.7055555555)</f>
        <v>43626.705555555498</v>
      </c>
      <c r="N2335" s="111">
        <f ca="1">IFERROR(__xludf.DUMMYFUNCTION("""COMPUTED_VALUE"""),30.45)</f>
        <v>30.45</v>
      </c>
      <c r="O2335" s="112">
        <f ca="1">IFERROR(__xludf.DUMMYFUNCTION("""COMPUTED_VALUE"""),43700.7055555555)</f>
        <v>43700.705555555498</v>
      </c>
      <c r="P2335" s="111">
        <f ca="1">IFERROR(__xludf.DUMMYFUNCTION("""COMPUTED_VALUE"""),43.28)</f>
        <v>43.28</v>
      </c>
      <c r="Q2335" s="112">
        <f ca="1">IFERROR(__xludf.DUMMYFUNCTION("""COMPUTED_VALUE"""),43699.7055555555)</f>
        <v>43699.705555555498</v>
      </c>
      <c r="R2335" s="111">
        <f ca="1">IFERROR(__xludf.DUMMYFUNCTION("""COMPUTED_VALUE"""),46.65)</f>
        <v>46.65</v>
      </c>
      <c r="S2335" s="112">
        <f ca="1">IFERROR(__xludf.DUMMYFUNCTION("""COMPUTED_VALUE"""),43712.7055555555)</f>
        <v>43712.705555555498</v>
      </c>
      <c r="T2335" s="111">
        <f ca="1">IFERROR(__xludf.DUMMYFUNCTION("""COMPUTED_VALUE"""),45.93)</f>
        <v>45.93</v>
      </c>
    </row>
    <row r="2336" spans="1:20" x14ac:dyDescent="0.3">
      <c r="A2336" s="112">
        <f ca="1">IFERROR(__xludf.DUMMYFUNCTION("""COMPUTED_VALUE"""),43710.7055555555)</f>
        <v>43710.705555555498</v>
      </c>
      <c r="B2336" s="111">
        <f ca="1">IFERROR(__xludf.DUMMYFUNCTION("""COMPUTED_VALUE"""),45.6)</f>
        <v>45.6</v>
      </c>
      <c r="C2336" s="112">
        <f ca="1">IFERROR(__xludf.DUMMYFUNCTION("""COMPUTED_VALUE"""),43718.7055555555)</f>
        <v>43718.705555555498</v>
      </c>
      <c r="D2336" s="111">
        <f ca="1">IFERROR(__xludf.DUMMYFUNCTION("""COMPUTED_VALUE"""),35.33)</f>
        <v>35.33</v>
      </c>
      <c r="E2336" s="112">
        <f ca="1">IFERROR(__xludf.DUMMYFUNCTION("""COMPUTED_VALUE"""),43719.7055555555)</f>
        <v>43719.705555555498</v>
      </c>
      <c r="F2336" s="111">
        <f ca="1">IFERROR(__xludf.DUMMYFUNCTION("""COMPUTED_VALUE"""),12.32)</f>
        <v>12.32</v>
      </c>
      <c r="G2336" s="112">
        <f ca="1">IFERROR(__xludf.DUMMYFUNCTION("""COMPUTED_VALUE"""),43717.7055555555)</f>
        <v>43717.705555555498</v>
      </c>
      <c r="H2336" s="111">
        <f ca="1">IFERROR(__xludf.DUMMYFUNCTION("""COMPUTED_VALUE"""),26.93)</f>
        <v>26.93</v>
      </c>
      <c r="K2336" s="112">
        <f ca="1">IFERROR(__xludf.DUMMYFUNCTION("""COMPUTED_VALUE"""),44165.7055555555)</f>
        <v>44165.705555555498</v>
      </c>
      <c r="L2336" s="111">
        <f ca="1">IFERROR(__xludf.DUMMYFUNCTION("""COMPUTED_VALUE"""),23.39)</f>
        <v>23.39</v>
      </c>
      <c r="M2336" s="112">
        <f ca="1">IFERROR(__xludf.DUMMYFUNCTION("""COMPUTED_VALUE"""),43627.7055555555)</f>
        <v>43627.705555555498</v>
      </c>
      <c r="N2336" s="111">
        <f ca="1">IFERROR(__xludf.DUMMYFUNCTION("""COMPUTED_VALUE"""),30.6)</f>
        <v>30.6</v>
      </c>
      <c r="O2336" s="112">
        <f ca="1">IFERROR(__xludf.DUMMYFUNCTION("""COMPUTED_VALUE"""),43703.7055555555)</f>
        <v>43703.705555555498</v>
      </c>
      <c r="P2336" s="111">
        <f ca="1">IFERROR(__xludf.DUMMYFUNCTION("""COMPUTED_VALUE"""),42.8)</f>
        <v>42.8</v>
      </c>
      <c r="Q2336" s="112">
        <f ca="1">IFERROR(__xludf.DUMMYFUNCTION("""COMPUTED_VALUE"""),43700.7055555555)</f>
        <v>43700.705555555498</v>
      </c>
      <c r="R2336" s="111">
        <f ca="1">IFERROR(__xludf.DUMMYFUNCTION("""COMPUTED_VALUE"""),44.95)</f>
        <v>44.95</v>
      </c>
      <c r="S2336" s="112">
        <f ca="1">IFERROR(__xludf.DUMMYFUNCTION("""COMPUTED_VALUE"""),43713.7055555555)</f>
        <v>43713.705555555498</v>
      </c>
      <c r="T2336" s="111">
        <f ca="1">IFERROR(__xludf.DUMMYFUNCTION("""COMPUTED_VALUE"""),45.68)</f>
        <v>45.68</v>
      </c>
    </row>
    <row r="2337" spans="1:20" x14ac:dyDescent="0.3">
      <c r="A2337" s="112">
        <f ca="1">IFERROR(__xludf.DUMMYFUNCTION("""COMPUTED_VALUE"""),43711.7055555555)</f>
        <v>43711.705555555498</v>
      </c>
      <c r="B2337" s="111">
        <f ca="1">IFERROR(__xludf.DUMMYFUNCTION("""COMPUTED_VALUE"""),44.11)</f>
        <v>44.11</v>
      </c>
      <c r="C2337" s="112">
        <f ca="1">IFERROR(__xludf.DUMMYFUNCTION("""COMPUTED_VALUE"""),43719.7055555555)</f>
        <v>43719.705555555498</v>
      </c>
      <c r="D2337" s="111">
        <f ca="1">IFERROR(__xludf.DUMMYFUNCTION("""COMPUTED_VALUE"""),35.17)</f>
        <v>35.17</v>
      </c>
      <c r="E2337" s="112">
        <f ca="1">IFERROR(__xludf.DUMMYFUNCTION("""COMPUTED_VALUE"""),43720.7055555555)</f>
        <v>43720.705555555498</v>
      </c>
      <c r="F2337" s="111">
        <f ca="1">IFERROR(__xludf.DUMMYFUNCTION("""COMPUTED_VALUE"""),12.49)</f>
        <v>12.49</v>
      </c>
      <c r="G2337" s="112">
        <f ca="1">IFERROR(__xludf.DUMMYFUNCTION("""COMPUTED_VALUE"""),43718.7055555555)</f>
        <v>43718.705555555498</v>
      </c>
      <c r="H2337" s="111">
        <f ca="1">IFERROR(__xludf.DUMMYFUNCTION("""COMPUTED_VALUE"""),27.1)</f>
        <v>27.1</v>
      </c>
      <c r="K2337" s="112">
        <f ca="1">IFERROR(__xludf.DUMMYFUNCTION("""COMPUTED_VALUE"""),44166.7055555555)</f>
        <v>44166.705555555498</v>
      </c>
      <c r="L2337" s="111">
        <f ca="1">IFERROR(__xludf.DUMMYFUNCTION("""COMPUTED_VALUE"""),22.89)</f>
        <v>22.89</v>
      </c>
      <c r="M2337" s="112">
        <f ca="1">IFERROR(__xludf.DUMMYFUNCTION("""COMPUTED_VALUE"""),43628.7055555555)</f>
        <v>43628.705555555498</v>
      </c>
      <c r="N2337" s="111">
        <f ca="1">IFERROR(__xludf.DUMMYFUNCTION("""COMPUTED_VALUE"""),30.24)</f>
        <v>30.24</v>
      </c>
      <c r="O2337" s="112">
        <f ca="1">IFERROR(__xludf.DUMMYFUNCTION("""COMPUTED_VALUE"""),43704.7055555555)</f>
        <v>43704.705555555498</v>
      </c>
      <c r="P2337" s="111">
        <f ca="1">IFERROR(__xludf.DUMMYFUNCTION("""COMPUTED_VALUE"""),43.32)</f>
        <v>43.32</v>
      </c>
      <c r="Q2337" s="112">
        <f ca="1">IFERROR(__xludf.DUMMYFUNCTION("""COMPUTED_VALUE"""),43703.7055555555)</f>
        <v>43703.705555555498</v>
      </c>
      <c r="R2337" s="111">
        <f ca="1">IFERROR(__xludf.DUMMYFUNCTION("""COMPUTED_VALUE"""),44.74)</f>
        <v>44.74</v>
      </c>
      <c r="S2337" s="112">
        <f ca="1">IFERROR(__xludf.DUMMYFUNCTION("""COMPUTED_VALUE"""),43714.7055555555)</f>
        <v>43714.705555555498</v>
      </c>
      <c r="T2337" s="111">
        <f ca="1">IFERROR(__xludf.DUMMYFUNCTION("""COMPUTED_VALUE"""),45.43)</f>
        <v>45.43</v>
      </c>
    </row>
    <row r="2338" spans="1:20" x14ac:dyDescent="0.3">
      <c r="A2338" s="112">
        <f ca="1">IFERROR(__xludf.DUMMYFUNCTION("""COMPUTED_VALUE"""),43712.7055555555)</f>
        <v>43712.705555555498</v>
      </c>
      <c r="B2338" s="111">
        <f ca="1">IFERROR(__xludf.DUMMYFUNCTION("""COMPUTED_VALUE"""),45.19)</f>
        <v>45.19</v>
      </c>
      <c r="C2338" s="112">
        <f ca="1">IFERROR(__xludf.DUMMYFUNCTION("""COMPUTED_VALUE"""),43720.7055555555)</f>
        <v>43720.705555555498</v>
      </c>
      <c r="D2338" s="111">
        <f ca="1">IFERROR(__xludf.DUMMYFUNCTION("""COMPUTED_VALUE"""),35.39)</f>
        <v>35.39</v>
      </c>
      <c r="E2338" s="112">
        <f ca="1">IFERROR(__xludf.DUMMYFUNCTION("""COMPUTED_VALUE"""),43721.7055555555)</f>
        <v>43721.705555555498</v>
      </c>
      <c r="F2338" s="111">
        <f ca="1">IFERROR(__xludf.DUMMYFUNCTION("""COMPUTED_VALUE"""),12.53)</f>
        <v>12.53</v>
      </c>
      <c r="G2338" s="112">
        <f ca="1">IFERROR(__xludf.DUMMYFUNCTION("""COMPUTED_VALUE"""),43719.7055555555)</f>
        <v>43719.705555555498</v>
      </c>
      <c r="H2338" s="111">
        <f ca="1">IFERROR(__xludf.DUMMYFUNCTION("""COMPUTED_VALUE"""),26.87)</f>
        <v>26.87</v>
      </c>
      <c r="K2338" s="112">
        <f ca="1">IFERROR(__xludf.DUMMYFUNCTION("""COMPUTED_VALUE"""),44167.7055555555)</f>
        <v>44167.705555555498</v>
      </c>
      <c r="L2338" s="111">
        <f ca="1">IFERROR(__xludf.DUMMYFUNCTION("""COMPUTED_VALUE"""),23.06)</f>
        <v>23.06</v>
      </c>
      <c r="M2338" s="112">
        <f ca="1">IFERROR(__xludf.DUMMYFUNCTION("""COMPUTED_VALUE"""),43629.7055555555)</f>
        <v>43629.705555555498</v>
      </c>
      <c r="N2338" s="111">
        <f ca="1">IFERROR(__xludf.DUMMYFUNCTION("""COMPUTED_VALUE"""),29.91)</f>
        <v>29.91</v>
      </c>
      <c r="O2338" s="112">
        <f ca="1">IFERROR(__xludf.DUMMYFUNCTION("""COMPUTED_VALUE"""),43705.7055555555)</f>
        <v>43705.705555555498</v>
      </c>
      <c r="P2338" s="111">
        <f ca="1">IFERROR(__xludf.DUMMYFUNCTION("""COMPUTED_VALUE"""),43.48)</f>
        <v>43.48</v>
      </c>
      <c r="Q2338" s="112">
        <f ca="1">IFERROR(__xludf.DUMMYFUNCTION("""COMPUTED_VALUE"""),43704.7055555555)</f>
        <v>43704.705555555498</v>
      </c>
      <c r="R2338" s="111">
        <f ca="1">IFERROR(__xludf.DUMMYFUNCTION("""COMPUTED_VALUE"""),44.38)</f>
        <v>44.38</v>
      </c>
      <c r="S2338" s="112">
        <f ca="1">IFERROR(__xludf.DUMMYFUNCTION("""COMPUTED_VALUE"""),43717.7055555555)</f>
        <v>43717.705555555498</v>
      </c>
      <c r="T2338" s="111">
        <f ca="1">IFERROR(__xludf.DUMMYFUNCTION("""COMPUTED_VALUE"""),44.99)</f>
        <v>44.99</v>
      </c>
    </row>
    <row r="2339" spans="1:20" x14ac:dyDescent="0.3">
      <c r="A2339" s="112">
        <f ca="1">IFERROR(__xludf.DUMMYFUNCTION("""COMPUTED_VALUE"""),43713.7055555555)</f>
        <v>43713.705555555498</v>
      </c>
      <c r="B2339" s="111">
        <f ca="1">IFERROR(__xludf.DUMMYFUNCTION("""COMPUTED_VALUE"""),45.49)</f>
        <v>45.49</v>
      </c>
      <c r="C2339" s="112">
        <f ca="1">IFERROR(__xludf.DUMMYFUNCTION("""COMPUTED_VALUE"""),43721.7055555555)</f>
        <v>43721.705555555498</v>
      </c>
      <c r="D2339" s="111">
        <f ca="1">IFERROR(__xludf.DUMMYFUNCTION("""COMPUTED_VALUE"""),35.87)</f>
        <v>35.869999999999997</v>
      </c>
      <c r="E2339" s="112">
        <f ca="1">IFERROR(__xludf.DUMMYFUNCTION("""COMPUTED_VALUE"""),43724.7055555555)</f>
        <v>43724.705555555498</v>
      </c>
      <c r="F2339" s="111">
        <f ca="1">IFERROR(__xludf.DUMMYFUNCTION("""COMPUTED_VALUE"""),12.5)</f>
        <v>12.5</v>
      </c>
      <c r="G2339" s="112">
        <f ca="1">IFERROR(__xludf.DUMMYFUNCTION("""COMPUTED_VALUE"""),43720.7055555555)</f>
        <v>43720.705555555498</v>
      </c>
      <c r="H2339" s="111">
        <f ca="1">IFERROR(__xludf.DUMMYFUNCTION("""COMPUTED_VALUE"""),27.06)</f>
        <v>27.06</v>
      </c>
      <c r="K2339" s="112">
        <f ca="1">IFERROR(__xludf.DUMMYFUNCTION("""COMPUTED_VALUE"""),44168.7055555555)</f>
        <v>44168.705555555498</v>
      </c>
      <c r="L2339" s="111">
        <f ca="1">IFERROR(__xludf.DUMMYFUNCTION("""COMPUTED_VALUE"""),23.31)</f>
        <v>23.31</v>
      </c>
      <c r="M2339" s="112">
        <f ca="1">IFERROR(__xludf.DUMMYFUNCTION("""COMPUTED_VALUE"""),43630.7055555555)</f>
        <v>43630.705555555498</v>
      </c>
      <c r="N2339" s="111">
        <f ca="1">IFERROR(__xludf.DUMMYFUNCTION("""COMPUTED_VALUE"""),29.86)</f>
        <v>29.86</v>
      </c>
      <c r="O2339" s="112">
        <f ca="1">IFERROR(__xludf.DUMMYFUNCTION("""COMPUTED_VALUE"""),43706.7055555555)</f>
        <v>43706.705555555498</v>
      </c>
      <c r="P2339" s="111">
        <f ca="1">IFERROR(__xludf.DUMMYFUNCTION("""COMPUTED_VALUE"""),45.1)</f>
        <v>45.1</v>
      </c>
      <c r="Q2339" s="112">
        <f ca="1">IFERROR(__xludf.DUMMYFUNCTION("""COMPUTED_VALUE"""),43705.7055555555)</f>
        <v>43705.705555555498</v>
      </c>
      <c r="R2339" s="111">
        <f ca="1">IFERROR(__xludf.DUMMYFUNCTION("""COMPUTED_VALUE"""),44.01)</f>
        <v>44.01</v>
      </c>
      <c r="S2339" s="112">
        <f ca="1">IFERROR(__xludf.DUMMYFUNCTION("""COMPUTED_VALUE"""),43718.7055555555)</f>
        <v>43718.705555555498</v>
      </c>
      <c r="T2339" s="111">
        <f ca="1">IFERROR(__xludf.DUMMYFUNCTION("""COMPUTED_VALUE"""),44.95)</f>
        <v>44.95</v>
      </c>
    </row>
    <row r="2340" spans="1:20" x14ac:dyDescent="0.3">
      <c r="A2340" s="112">
        <f ca="1">IFERROR(__xludf.DUMMYFUNCTION("""COMPUTED_VALUE"""),43714.7055555555)</f>
        <v>43714.705555555498</v>
      </c>
      <c r="B2340" s="111">
        <f ca="1">IFERROR(__xludf.DUMMYFUNCTION("""COMPUTED_VALUE"""),44.5)</f>
        <v>44.5</v>
      </c>
      <c r="C2340" s="112">
        <f ca="1">IFERROR(__xludf.DUMMYFUNCTION("""COMPUTED_VALUE"""),43724.7055555555)</f>
        <v>43724.705555555498</v>
      </c>
      <c r="D2340" s="111">
        <f ca="1">IFERROR(__xludf.DUMMYFUNCTION("""COMPUTED_VALUE"""),35.23)</f>
        <v>35.229999999999997</v>
      </c>
      <c r="E2340" s="112">
        <f ca="1">IFERROR(__xludf.DUMMYFUNCTION("""COMPUTED_VALUE"""),43725.7055555555)</f>
        <v>43725.705555555498</v>
      </c>
      <c r="F2340" s="111">
        <f ca="1">IFERROR(__xludf.DUMMYFUNCTION("""COMPUTED_VALUE"""),12.55)</f>
        <v>12.55</v>
      </c>
      <c r="G2340" s="112">
        <f ca="1">IFERROR(__xludf.DUMMYFUNCTION("""COMPUTED_VALUE"""),43721.7055555555)</f>
        <v>43721.705555555498</v>
      </c>
      <c r="H2340" s="111">
        <f ca="1">IFERROR(__xludf.DUMMYFUNCTION("""COMPUTED_VALUE"""),26.88)</f>
        <v>26.88</v>
      </c>
      <c r="K2340" s="112">
        <f ca="1">IFERROR(__xludf.DUMMYFUNCTION("""COMPUTED_VALUE"""),44169.7055555555)</f>
        <v>44169.705555555498</v>
      </c>
      <c r="L2340" s="111">
        <f ca="1">IFERROR(__xludf.DUMMYFUNCTION("""COMPUTED_VALUE"""),23.67)</f>
        <v>23.67</v>
      </c>
      <c r="M2340" s="112">
        <f ca="1">IFERROR(__xludf.DUMMYFUNCTION("""COMPUTED_VALUE"""),43633.7055555555)</f>
        <v>43633.705555555498</v>
      </c>
      <c r="N2340" s="111">
        <f ca="1">IFERROR(__xludf.DUMMYFUNCTION("""COMPUTED_VALUE"""),29.79)</f>
        <v>29.79</v>
      </c>
      <c r="O2340" s="112">
        <f ca="1">IFERROR(__xludf.DUMMYFUNCTION("""COMPUTED_VALUE"""),43707.7055555555)</f>
        <v>43707.705555555498</v>
      </c>
      <c r="P2340" s="111">
        <f ca="1">IFERROR(__xludf.DUMMYFUNCTION("""COMPUTED_VALUE"""),45.57)</f>
        <v>45.57</v>
      </c>
      <c r="Q2340" s="112">
        <f ca="1">IFERROR(__xludf.DUMMYFUNCTION("""COMPUTED_VALUE"""),43706.7055555555)</f>
        <v>43706.705555555498</v>
      </c>
      <c r="R2340" s="111">
        <f ca="1">IFERROR(__xludf.DUMMYFUNCTION("""COMPUTED_VALUE"""),45.08)</f>
        <v>45.08</v>
      </c>
      <c r="S2340" s="112">
        <f ca="1">IFERROR(__xludf.DUMMYFUNCTION("""COMPUTED_VALUE"""),43719.7055555555)</f>
        <v>43719.705555555498</v>
      </c>
      <c r="T2340" s="111">
        <f ca="1">IFERROR(__xludf.DUMMYFUNCTION("""COMPUTED_VALUE"""),46.39)</f>
        <v>46.39</v>
      </c>
    </row>
    <row r="2341" spans="1:20" x14ac:dyDescent="0.3">
      <c r="A2341" s="112">
        <f ca="1">IFERROR(__xludf.DUMMYFUNCTION("""COMPUTED_VALUE"""),43717.7055555555)</f>
        <v>43717.705555555498</v>
      </c>
      <c r="B2341" s="111">
        <f ca="1">IFERROR(__xludf.DUMMYFUNCTION("""COMPUTED_VALUE"""),44.48)</f>
        <v>44.48</v>
      </c>
      <c r="C2341" s="112">
        <f ca="1">IFERROR(__xludf.DUMMYFUNCTION("""COMPUTED_VALUE"""),43725.7055555555)</f>
        <v>43725.705555555498</v>
      </c>
      <c r="D2341" s="111">
        <f ca="1">IFERROR(__xludf.DUMMYFUNCTION("""COMPUTED_VALUE"""),35.36)</f>
        <v>35.36</v>
      </c>
      <c r="E2341" s="112">
        <f ca="1">IFERROR(__xludf.DUMMYFUNCTION("""COMPUTED_VALUE"""),43726.7055555555)</f>
        <v>43726.705555555498</v>
      </c>
      <c r="F2341" s="111">
        <f ca="1">IFERROR(__xludf.DUMMYFUNCTION("""COMPUTED_VALUE"""),12.57)</f>
        <v>12.57</v>
      </c>
      <c r="G2341" s="112">
        <f ca="1">IFERROR(__xludf.DUMMYFUNCTION("""COMPUTED_VALUE"""),43724.7055555555)</f>
        <v>43724.705555555498</v>
      </c>
      <c r="H2341" s="111">
        <f ca="1">IFERROR(__xludf.DUMMYFUNCTION("""COMPUTED_VALUE"""),28.06)</f>
        <v>28.06</v>
      </c>
      <c r="K2341" s="112">
        <f ca="1">IFERROR(__xludf.DUMMYFUNCTION("""COMPUTED_VALUE"""),44172.7055555555)</f>
        <v>44172.705555555498</v>
      </c>
      <c r="L2341" s="111">
        <f ca="1">IFERROR(__xludf.DUMMYFUNCTION("""COMPUTED_VALUE"""),23.81)</f>
        <v>23.81</v>
      </c>
      <c r="M2341" s="112">
        <f ca="1">IFERROR(__xludf.DUMMYFUNCTION("""COMPUTED_VALUE"""),43634.7055555555)</f>
        <v>43634.705555555498</v>
      </c>
      <c r="N2341" s="111">
        <f ca="1">IFERROR(__xludf.DUMMYFUNCTION("""COMPUTED_VALUE"""),30.04)</f>
        <v>30.04</v>
      </c>
      <c r="O2341" s="112">
        <f ca="1">IFERROR(__xludf.DUMMYFUNCTION("""COMPUTED_VALUE"""),43710.7055555555)</f>
        <v>43710.705555555498</v>
      </c>
      <c r="P2341" s="111">
        <f ca="1">IFERROR(__xludf.DUMMYFUNCTION("""COMPUTED_VALUE"""),46.01)</f>
        <v>46.01</v>
      </c>
      <c r="Q2341" s="112">
        <f ca="1">IFERROR(__xludf.DUMMYFUNCTION("""COMPUTED_VALUE"""),43707.7055555555)</f>
        <v>43707.705555555498</v>
      </c>
      <c r="R2341" s="111">
        <f ca="1">IFERROR(__xludf.DUMMYFUNCTION("""COMPUTED_VALUE"""),46.24)</f>
        <v>46.24</v>
      </c>
      <c r="S2341" s="112">
        <f ca="1">IFERROR(__xludf.DUMMYFUNCTION("""COMPUTED_VALUE"""),43720.7055555555)</f>
        <v>43720.705555555498</v>
      </c>
      <c r="T2341" s="111">
        <f ca="1">IFERROR(__xludf.DUMMYFUNCTION("""COMPUTED_VALUE"""),45.74)</f>
        <v>45.74</v>
      </c>
    </row>
    <row r="2342" spans="1:20" x14ac:dyDescent="0.3">
      <c r="A2342" s="112">
        <f ca="1">IFERROR(__xludf.DUMMYFUNCTION("""COMPUTED_VALUE"""),43718.7055555555)</f>
        <v>43718.705555555498</v>
      </c>
      <c r="B2342" s="111">
        <f ca="1">IFERROR(__xludf.DUMMYFUNCTION("""COMPUTED_VALUE"""),44.1)</f>
        <v>44.1</v>
      </c>
      <c r="C2342" s="112">
        <f ca="1">IFERROR(__xludf.DUMMYFUNCTION("""COMPUTED_VALUE"""),43726.7055555555)</f>
        <v>43726.705555555498</v>
      </c>
      <c r="D2342" s="111">
        <f ca="1">IFERROR(__xludf.DUMMYFUNCTION("""COMPUTED_VALUE"""),35.25)</f>
        <v>35.25</v>
      </c>
      <c r="E2342" s="112">
        <f ca="1">IFERROR(__xludf.DUMMYFUNCTION("""COMPUTED_VALUE"""),43727.7055555555)</f>
        <v>43727.705555555498</v>
      </c>
      <c r="F2342" s="111">
        <f ca="1">IFERROR(__xludf.DUMMYFUNCTION("""COMPUTED_VALUE"""),12.46)</f>
        <v>12.46</v>
      </c>
      <c r="G2342" s="112">
        <f ca="1">IFERROR(__xludf.DUMMYFUNCTION("""COMPUTED_VALUE"""),43725.7055555555)</f>
        <v>43725.705555555498</v>
      </c>
      <c r="H2342" s="111">
        <f ca="1">IFERROR(__xludf.DUMMYFUNCTION("""COMPUTED_VALUE"""),27.69)</f>
        <v>27.69</v>
      </c>
      <c r="K2342" s="112">
        <f ca="1">IFERROR(__xludf.DUMMYFUNCTION("""COMPUTED_VALUE"""),44173.7055555555)</f>
        <v>44173.705555555498</v>
      </c>
      <c r="L2342" s="111">
        <f ca="1">IFERROR(__xludf.DUMMYFUNCTION("""COMPUTED_VALUE"""),24.96)</f>
        <v>24.96</v>
      </c>
      <c r="M2342" s="112">
        <f ca="1">IFERROR(__xludf.DUMMYFUNCTION("""COMPUTED_VALUE"""),43635.7055555555)</f>
        <v>43635.705555555498</v>
      </c>
      <c r="N2342" s="111">
        <f ca="1">IFERROR(__xludf.DUMMYFUNCTION("""COMPUTED_VALUE"""),30.41)</f>
        <v>30.41</v>
      </c>
      <c r="O2342" s="112">
        <f ca="1">IFERROR(__xludf.DUMMYFUNCTION("""COMPUTED_VALUE"""),43711.7055555555)</f>
        <v>43711.705555555498</v>
      </c>
      <c r="P2342" s="111">
        <f ca="1">IFERROR(__xludf.DUMMYFUNCTION("""COMPUTED_VALUE"""),45.52)</f>
        <v>45.52</v>
      </c>
      <c r="Q2342" s="112">
        <f ca="1">IFERROR(__xludf.DUMMYFUNCTION("""COMPUTED_VALUE"""),43710.7055555555)</f>
        <v>43710.705555555498</v>
      </c>
      <c r="R2342" s="111">
        <f ca="1">IFERROR(__xludf.DUMMYFUNCTION("""COMPUTED_VALUE"""),45.65)</f>
        <v>45.65</v>
      </c>
      <c r="S2342" s="112">
        <f ca="1">IFERROR(__xludf.DUMMYFUNCTION("""COMPUTED_VALUE"""),43721.7055555555)</f>
        <v>43721.705555555498</v>
      </c>
      <c r="T2342" s="111">
        <f ca="1">IFERROR(__xludf.DUMMYFUNCTION("""COMPUTED_VALUE"""),44.36)</f>
        <v>44.36</v>
      </c>
    </row>
    <row r="2343" spans="1:20" x14ac:dyDescent="0.3">
      <c r="A2343" s="112">
        <f ca="1">IFERROR(__xludf.DUMMYFUNCTION("""COMPUTED_VALUE"""),43719.7055555555)</f>
        <v>43719.705555555498</v>
      </c>
      <c r="B2343" s="111">
        <f ca="1">IFERROR(__xludf.DUMMYFUNCTION("""COMPUTED_VALUE"""),45.21)</f>
        <v>45.21</v>
      </c>
      <c r="C2343" s="112">
        <f ca="1">IFERROR(__xludf.DUMMYFUNCTION("""COMPUTED_VALUE"""),43727.7055555555)</f>
        <v>43727.705555555498</v>
      </c>
      <c r="D2343" s="111">
        <f ca="1">IFERROR(__xludf.DUMMYFUNCTION("""COMPUTED_VALUE"""),34.66)</f>
        <v>34.659999999999997</v>
      </c>
      <c r="E2343" s="112">
        <f ca="1">IFERROR(__xludf.DUMMYFUNCTION("""COMPUTED_VALUE"""),43728.7055555555)</f>
        <v>43728.705555555498</v>
      </c>
      <c r="F2343" s="111">
        <f ca="1">IFERROR(__xludf.DUMMYFUNCTION("""COMPUTED_VALUE"""),12.61)</f>
        <v>12.61</v>
      </c>
      <c r="G2343" s="112">
        <f ca="1">IFERROR(__xludf.DUMMYFUNCTION("""COMPUTED_VALUE"""),43726.7055555555)</f>
        <v>43726.705555555498</v>
      </c>
      <c r="H2343" s="111">
        <f ca="1">IFERROR(__xludf.DUMMYFUNCTION("""COMPUTED_VALUE"""),27.22)</f>
        <v>27.22</v>
      </c>
      <c r="K2343" s="112">
        <f ca="1">IFERROR(__xludf.DUMMYFUNCTION("""COMPUTED_VALUE"""),44174.7055555555)</f>
        <v>44174.705555555498</v>
      </c>
      <c r="L2343" s="111">
        <f ca="1">IFERROR(__xludf.DUMMYFUNCTION("""COMPUTED_VALUE"""),23.99)</f>
        <v>23.99</v>
      </c>
      <c r="M2343" s="112">
        <f ca="1">IFERROR(__xludf.DUMMYFUNCTION("""COMPUTED_VALUE"""),43637.7055555555)</f>
        <v>43637.705555555498</v>
      </c>
      <c r="N2343" s="111">
        <f ca="1">IFERROR(__xludf.DUMMYFUNCTION("""COMPUTED_VALUE"""),31.1)</f>
        <v>31.1</v>
      </c>
      <c r="O2343" s="112">
        <f ca="1">IFERROR(__xludf.DUMMYFUNCTION("""COMPUTED_VALUE"""),43712.7055555555)</f>
        <v>43712.705555555498</v>
      </c>
      <c r="P2343" s="111">
        <f ca="1">IFERROR(__xludf.DUMMYFUNCTION("""COMPUTED_VALUE"""),46.52)</f>
        <v>46.52</v>
      </c>
      <c r="Q2343" s="112">
        <f ca="1">IFERROR(__xludf.DUMMYFUNCTION("""COMPUTED_VALUE"""),43711.7055555555)</f>
        <v>43711.705555555498</v>
      </c>
      <c r="R2343" s="111">
        <f ca="1">IFERROR(__xludf.DUMMYFUNCTION("""COMPUTED_VALUE"""),44.8)</f>
        <v>44.8</v>
      </c>
      <c r="S2343" s="112">
        <f ca="1">IFERROR(__xludf.DUMMYFUNCTION("""COMPUTED_VALUE"""),43724.7055555555)</f>
        <v>43724.705555555498</v>
      </c>
      <c r="T2343" s="111">
        <f ca="1">IFERROR(__xludf.DUMMYFUNCTION("""COMPUTED_VALUE"""),44.27)</f>
        <v>44.27</v>
      </c>
    </row>
    <row r="2344" spans="1:20" x14ac:dyDescent="0.3">
      <c r="A2344" s="112">
        <f ca="1">IFERROR(__xludf.DUMMYFUNCTION("""COMPUTED_VALUE"""),43720.7055555555)</f>
        <v>43720.705555555498</v>
      </c>
      <c r="B2344" s="111">
        <f ca="1">IFERROR(__xludf.DUMMYFUNCTION("""COMPUTED_VALUE"""),44.32)</f>
        <v>44.32</v>
      </c>
      <c r="C2344" s="112">
        <f ca="1">IFERROR(__xludf.DUMMYFUNCTION("""COMPUTED_VALUE"""),43728.7055555555)</f>
        <v>43728.705555555498</v>
      </c>
      <c r="D2344" s="111">
        <f ca="1">IFERROR(__xludf.DUMMYFUNCTION("""COMPUTED_VALUE"""),34.75)</f>
        <v>34.75</v>
      </c>
      <c r="E2344" s="112">
        <f ca="1">IFERROR(__xludf.DUMMYFUNCTION("""COMPUTED_VALUE"""),43731.7055555555)</f>
        <v>43731.705555555498</v>
      </c>
      <c r="F2344" s="111">
        <f ca="1">IFERROR(__xludf.DUMMYFUNCTION("""COMPUTED_VALUE"""),12.48)</f>
        <v>12.48</v>
      </c>
      <c r="G2344" s="112">
        <f ca="1">IFERROR(__xludf.DUMMYFUNCTION("""COMPUTED_VALUE"""),43727.7055555555)</f>
        <v>43727.705555555498</v>
      </c>
      <c r="H2344" s="111">
        <f ca="1">IFERROR(__xludf.DUMMYFUNCTION("""COMPUTED_VALUE"""),27.29)</f>
        <v>27.29</v>
      </c>
      <c r="K2344" s="112">
        <f ca="1">IFERROR(__xludf.DUMMYFUNCTION("""COMPUTED_VALUE"""),44175.7055555555)</f>
        <v>44175.705555555498</v>
      </c>
      <c r="L2344" s="111">
        <f ca="1">IFERROR(__xludf.DUMMYFUNCTION("""COMPUTED_VALUE"""),23.41)</f>
        <v>23.41</v>
      </c>
      <c r="M2344" s="112">
        <f ca="1">IFERROR(__xludf.DUMMYFUNCTION("""COMPUTED_VALUE"""),43640.7055555555)</f>
        <v>43640.705555555498</v>
      </c>
      <c r="N2344" s="111">
        <f ca="1">IFERROR(__xludf.DUMMYFUNCTION("""COMPUTED_VALUE"""),31.35)</f>
        <v>31.35</v>
      </c>
      <c r="O2344" s="112">
        <f ca="1">IFERROR(__xludf.DUMMYFUNCTION("""COMPUTED_VALUE"""),43713.7055555555)</f>
        <v>43713.705555555498</v>
      </c>
      <c r="P2344" s="111">
        <f ca="1">IFERROR(__xludf.DUMMYFUNCTION("""COMPUTED_VALUE"""),46.52)</f>
        <v>46.52</v>
      </c>
      <c r="Q2344" s="112">
        <f ca="1">IFERROR(__xludf.DUMMYFUNCTION("""COMPUTED_VALUE"""),43712.7055555555)</f>
        <v>43712.705555555498</v>
      </c>
      <c r="R2344" s="111">
        <f ca="1">IFERROR(__xludf.DUMMYFUNCTION("""COMPUTED_VALUE"""),45.86)</f>
        <v>45.86</v>
      </c>
      <c r="S2344" s="112">
        <f ca="1">IFERROR(__xludf.DUMMYFUNCTION("""COMPUTED_VALUE"""),43725.7055555555)</f>
        <v>43725.705555555498</v>
      </c>
      <c r="T2344" s="111">
        <f ca="1">IFERROR(__xludf.DUMMYFUNCTION("""COMPUTED_VALUE"""),44.94)</f>
        <v>44.94</v>
      </c>
    </row>
    <row r="2345" spans="1:20" x14ac:dyDescent="0.3">
      <c r="A2345" s="112">
        <f ca="1">IFERROR(__xludf.DUMMYFUNCTION("""COMPUTED_VALUE"""),43721.7055555555)</f>
        <v>43721.705555555498</v>
      </c>
      <c r="B2345" s="111">
        <f ca="1">IFERROR(__xludf.DUMMYFUNCTION("""COMPUTED_VALUE"""),42.97)</f>
        <v>42.97</v>
      </c>
      <c r="C2345" s="112">
        <f ca="1">IFERROR(__xludf.DUMMYFUNCTION("""COMPUTED_VALUE"""),43731.7055555555)</f>
        <v>43731.705555555498</v>
      </c>
      <c r="D2345" s="111">
        <f ca="1">IFERROR(__xludf.DUMMYFUNCTION("""COMPUTED_VALUE"""),34.64)</f>
        <v>34.64</v>
      </c>
      <c r="E2345" s="112">
        <f ca="1">IFERROR(__xludf.DUMMYFUNCTION("""COMPUTED_VALUE"""),43732.7055555555)</f>
        <v>43732.705555555498</v>
      </c>
      <c r="F2345" s="111">
        <f ca="1">IFERROR(__xludf.DUMMYFUNCTION("""COMPUTED_VALUE"""),12.44)</f>
        <v>12.44</v>
      </c>
      <c r="G2345" s="112">
        <f ca="1">IFERROR(__xludf.DUMMYFUNCTION("""COMPUTED_VALUE"""),43728.7055555555)</f>
        <v>43728.705555555498</v>
      </c>
      <c r="H2345" s="111">
        <f ca="1">IFERROR(__xludf.DUMMYFUNCTION("""COMPUTED_VALUE"""),27)</f>
        <v>27</v>
      </c>
      <c r="K2345" s="112">
        <f ca="1">IFERROR(__xludf.DUMMYFUNCTION("""COMPUTED_VALUE"""),44176.7055555555)</f>
        <v>44176.705555555498</v>
      </c>
      <c r="L2345" s="111">
        <f ca="1">IFERROR(__xludf.DUMMYFUNCTION("""COMPUTED_VALUE"""),23)</f>
        <v>23</v>
      </c>
      <c r="M2345" s="112">
        <f ca="1">IFERROR(__xludf.DUMMYFUNCTION("""COMPUTED_VALUE"""),43641.7055555555)</f>
        <v>43641.705555555498</v>
      </c>
      <c r="N2345" s="111">
        <f ca="1">IFERROR(__xludf.DUMMYFUNCTION("""COMPUTED_VALUE"""),31.08)</f>
        <v>31.08</v>
      </c>
      <c r="O2345" s="112">
        <f ca="1">IFERROR(__xludf.DUMMYFUNCTION("""COMPUTED_VALUE"""),43714.7055555555)</f>
        <v>43714.705555555498</v>
      </c>
      <c r="P2345" s="111">
        <f ca="1">IFERROR(__xludf.DUMMYFUNCTION("""COMPUTED_VALUE"""),46.45)</f>
        <v>46.45</v>
      </c>
      <c r="Q2345" s="112">
        <f ca="1">IFERROR(__xludf.DUMMYFUNCTION("""COMPUTED_VALUE"""),43713.7055555555)</f>
        <v>43713.705555555498</v>
      </c>
      <c r="R2345" s="111">
        <f ca="1">IFERROR(__xludf.DUMMYFUNCTION("""COMPUTED_VALUE"""),47.46)</f>
        <v>47.46</v>
      </c>
      <c r="S2345" s="112">
        <f ca="1">IFERROR(__xludf.DUMMYFUNCTION("""COMPUTED_VALUE"""),43726.7055555555)</f>
        <v>43726.705555555498</v>
      </c>
      <c r="T2345" s="111">
        <f ca="1">IFERROR(__xludf.DUMMYFUNCTION("""COMPUTED_VALUE"""),45.18)</f>
        <v>45.18</v>
      </c>
    </row>
    <row r="2346" spans="1:20" x14ac:dyDescent="0.3">
      <c r="A2346" s="112">
        <f ca="1">IFERROR(__xludf.DUMMYFUNCTION("""COMPUTED_VALUE"""),43724.7055555555)</f>
        <v>43724.705555555498</v>
      </c>
      <c r="B2346" s="111">
        <f ca="1">IFERROR(__xludf.DUMMYFUNCTION("""COMPUTED_VALUE"""),43.39)</f>
        <v>43.39</v>
      </c>
      <c r="C2346" s="112">
        <f ca="1">IFERROR(__xludf.DUMMYFUNCTION("""COMPUTED_VALUE"""),43732.7055555555)</f>
        <v>43732.705555555498</v>
      </c>
      <c r="D2346" s="111">
        <f ca="1">IFERROR(__xludf.DUMMYFUNCTION("""COMPUTED_VALUE"""),34.28)</f>
        <v>34.28</v>
      </c>
      <c r="E2346" s="112">
        <f ca="1">IFERROR(__xludf.DUMMYFUNCTION("""COMPUTED_VALUE"""),43733.7055555555)</f>
        <v>43733.705555555498</v>
      </c>
      <c r="F2346" s="111">
        <f ca="1">IFERROR(__xludf.DUMMYFUNCTION("""COMPUTED_VALUE"""),12.51)</f>
        <v>12.51</v>
      </c>
      <c r="G2346" s="112">
        <f ca="1">IFERROR(__xludf.DUMMYFUNCTION("""COMPUTED_VALUE"""),43731.7055555555)</f>
        <v>43731.705555555498</v>
      </c>
      <c r="H2346" s="111">
        <f ca="1">IFERROR(__xludf.DUMMYFUNCTION("""COMPUTED_VALUE"""),27.48)</f>
        <v>27.48</v>
      </c>
      <c r="K2346" s="112">
        <f ca="1">IFERROR(__xludf.DUMMYFUNCTION("""COMPUTED_VALUE"""),44179.7055555555)</f>
        <v>44179.705555555498</v>
      </c>
      <c r="L2346" s="111">
        <f ca="1">IFERROR(__xludf.DUMMYFUNCTION("""COMPUTED_VALUE"""),24.06)</f>
        <v>24.06</v>
      </c>
      <c r="M2346" s="112">
        <f ca="1">IFERROR(__xludf.DUMMYFUNCTION("""COMPUTED_VALUE"""),43642.7055555555)</f>
        <v>43642.705555555498</v>
      </c>
      <c r="N2346" s="111">
        <f ca="1">IFERROR(__xludf.DUMMYFUNCTION("""COMPUTED_VALUE"""),31.47)</f>
        <v>31.47</v>
      </c>
      <c r="O2346" s="112">
        <f ca="1">IFERROR(__xludf.DUMMYFUNCTION("""COMPUTED_VALUE"""),43717.7055555555)</f>
        <v>43717.705555555498</v>
      </c>
      <c r="P2346" s="111">
        <f ca="1">IFERROR(__xludf.DUMMYFUNCTION("""COMPUTED_VALUE"""),47.89)</f>
        <v>47.89</v>
      </c>
      <c r="Q2346" s="112">
        <f ca="1">IFERROR(__xludf.DUMMYFUNCTION("""COMPUTED_VALUE"""),43714.7055555555)</f>
        <v>43714.705555555498</v>
      </c>
      <c r="R2346" s="111">
        <f ca="1">IFERROR(__xludf.DUMMYFUNCTION("""COMPUTED_VALUE"""),49.39)</f>
        <v>49.39</v>
      </c>
      <c r="S2346" s="112">
        <f ca="1">IFERROR(__xludf.DUMMYFUNCTION("""COMPUTED_VALUE"""),43727.7055555555)</f>
        <v>43727.705555555498</v>
      </c>
      <c r="T2346" s="111">
        <f ca="1">IFERROR(__xludf.DUMMYFUNCTION("""COMPUTED_VALUE"""),46.05)</f>
        <v>46.05</v>
      </c>
    </row>
    <row r="2347" spans="1:20" x14ac:dyDescent="0.3">
      <c r="A2347" s="112">
        <f ca="1">IFERROR(__xludf.DUMMYFUNCTION("""COMPUTED_VALUE"""),43725.7055555555)</f>
        <v>43725.705555555498</v>
      </c>
      <c r="B2347" s="111">
        <f ca="1">IFERROR(__xludf.DUMMYFUNCTION("""COMPUTED_VALUE"""),43.98)</f>
        <v>43.98</v>
      </c>
      <c r="C2347" s="112">
        <f ca="1">IFERROR(__xludf.DUMMYFUNCTION("""COMPUTED_VALUE"""),43733.7055555555)</f>
        <v>43733.705555555498</v>
      </c>
      <c r="D2347" s="111">
        <f ca="1">IFERROR(__xludf.DUMMYFUNCTION("""COMPUTED_VALUE"""),34.68)</f>
        <v>34.68</v>
      </c>
      <c r="E2347" s="112">
        <f ca="1">IFERROR(__xludf.DUMMYFUNCTION("""COMPUTED_VALUE"""),43734.7055555555)</f>
        <v>43734.705555555498</v>
      </c>
      <c r="F2347" s="111">
        <f ca="1">IFERROR(__xludf.DUMMYFUNCTION("""COMPUTED_VALUE"""),12.78)</f>
        <v>12.78</v>
      </c>
      <c r="G2347" s="112">
        <f ca="1">IFERROR(__xludf.DUMMYFUNCTION("""COMPUTED_VALUE"""),43732.7055555555)</f>
        <v>43732.705555555498</v>
      </c>
      <c r="H2347" s="111">
        <f ca="1">IFERROR(__xludf.DUMMYFUNCTION("""COMPUTED_VALUE"""),27.27)</f>
        <v>27.27</v>
      </c>
      <c r="K2347" s="112">
        <f ca="1">IFERROR(__xludf.DUMMYFUNCTION("""COMPUTED_VALUE"""),44180.7055555555)</f>
        <v>44180.705555555498</v>
      </c>
      <c r="L2347" s="111">
        <f ca="1">IFERROR(__xludf.DUMMYFUNCTION("""COMPUTED_VALUE"""),24.62)</f>
        <v>24.62</v>
      </c>
      <c r="M2347" s="112">
        <f ca="1">IFERROR(__xludf.DUMMYFUNCTION("""COMPUTED_VALUE"""),43643.7055555555)</f>
        <v>43643.705555555498</v>
      </c>
      <c r="N2347" s="111">
        <f ca="1">IFERROR(__xludf.DUMMYFUNCTION("""COMPUTED_VALUE"""),31.32)</f>
        <v>31.32</v>
      </c>
      <c r="O2347" s="112">
        <f ca="1">IFERROR(__xludf.DUMMYFUNCTION("""COMPUTED_VALUE"""),43718.7055555555)</f>
        <v>43718.705555555498</v>
      </c>
      <c r="P2347" s="111">
        <f ca="1">IFERROR(__xludf.DUMMYFUNCTION("""COMPUTED_VALUE"""),48.24)</f>
        <v>48.24</v>
      </c>
      <c r="Q2347" s="112">
        <f ca="1">IFERROR(__xludf.DUMMYFUNCTION("""COMPUTED_VALUE"""),43717.7055555555)</f>
        <v>43717.705555555498</v>
      </c>
      <c r="R2347" s="111">
        <f ca="1">IFERROR(__xludf.DUMMYFUNCTION("""COMPUTED_VALUE"""),50)</f>
        <v>50</v>
      </c>
      <c r="S2347" s="112">
        <f ca="1">IFERROR(__xludf.DUMMYFUNCTION("""COMPUTED_VALUE"""),43728.7055555555)</f>
        <v>43728.705555555498</v>
      </c>
      <c r="T2347" s="111">
        <f ca="1">IFERROR(__xludf.DUMMYFUNCTION("""COMPUTED_VALUE"""),45.55)</f>
        <v>45.55</v>
      </c>
    </row>
    <row r="2348" spans="1:20" x14ac:dyDescent="0.3">
      <c r="A2348" s="112">
        <f ca="1">IFERROR(__xludf.DUMMYFUNCTION("""COMPUTED_VALUE"""),43726.7055555555)</f>
        <v>43726.705555555498</v>
      </c>
      <c r="B2348" s="111">
        <f ca="1">IFERROR(__xludf.DUMMYFUNCTION("""COMPUTED_VALUE"""),43.12)</f>
        <v>43.12</v>
      </c>
      <c r="C2348" s="112">
        <f ca="1">IFERROR(__xludf.DUMMYFUNCTION("""COMPUTED_VALUE"""),43734.7055555555)</f>
        <v>43734.705555555498</v>
      </c>
      <c r="D2348" s="111">
        <f ca="1">IFERROR(__xludf.DUMMYFUNCTION("""COMPUTED_VALUE"""),35.68)</f>
        <v>35.68</v>
      </c>
      <c r="E2348" s="112">
        <f ca="1">IFERROR(__xludf.DUMMYFUNCTION("""COMPUTED_VALUE"""),43735.7055555555)</f>
        <v>43735.705555555498</v>
      </c>
      <c r="F2348" s="111">
        <f ca="1">IFERROR(__xludf.DUMMYFUNCTION("""COMPUTED_VALUE"""),12.75)</f>
        <v>12.75</v>
      </c>
      <c r="G2348" s="112">
        <f ca="1">IFERROR(__xludf.DUMMYFUNCTION("""COMPUTED_VALUE"""),43733.7055555555)</f>
        <v>43733.705555555498</v>
      </c>
      <c r="H2348" s="111">
        <f ca="1">IFERROR(__xludf.DUMMYFUNCTION("""COMPUTED_VALUE"""),27.34)</f>
        <v>27.34</v>
      </c>
      <c r="K2348" s="112">
        <f ca="1">IFERROR(__xludf.DUMMYFUNCTION("""COMPUTED_VALUE"""),44181.7055555555)</f>
        <v>44181.705555555498</v>
      </c>
      <c r="L2348" s="111">
        <f ca="1">IFERROR(__xludf.DUMMYFUNCTION("""COMPUTED_VALUE"""),24.97)</f>
        <v>24.97</v>
      </c>
      <c r="M2348" s="112">
        <f ca="1">IFERROR(__xludf.DUMMYFUNCTION("""COMPUTED_VALUE"""),43644.7055555555)</f>
        <v>43644.705555555498</v>
      </c>
      <c r="N2348" s="111">
        <f ca="1">IFERROR(__xludf.DUMMYFUNCTION("""COMPUTED_VALUE"""),31.19)</f>
        <v>31.19</v>
      </c>
      <c r="O2348" s="112">
        <f ca="1">IFERROR(__xludf.DUMMYFUNCTION("""COMPUTED_VALUE"""),43719.7055555555)</f>
        <v>43719.705555555498</v>
      </c>
      <c r="P2348" s="111">
        <f ca="1">IFERROR(__xludf.DUMMYFUNCTION("""COMPUTED_VALUE"""),47.95)</f>
        <v>47.95</v>
      </c>
      <c r="Q2348" s="112">
        <f ca="1">IFERROR(__xludf.DUMMYFUNCTION("""COMPUTED_VALUE"""),43718.7055555555)</f>
        <v>43718.705555555498</v>
      </c>
      <c r="R2348" s="111">
        <f ca="1">IFERROR(__xludf.DUMMYFUNCTION("""COMPUTED_VALUE"""),49.16)</f>
        <v>49.16</v>
      </c>
      <c r="S2348" s="112">
        <f ca="1">IFERROR(__xludf.DUMMYFUNCTION("""COMPUTED_VALUE"""),43731.7055555555)</f>
        <v>43731.705555555498</v>
      </c>
      <c r="T2348" s="111">
        <f ca="1">IFERROR(__xludf.DUMMYFUNCTION("""COMPUTED_VALUE"""),44.95)</f>
        <v>44.95</v>
      </c>
    </row>
    <row r="2349" spans="1:20" x14ac:dyDescent="0.3">
      <c r="A2349" s="112">
        <f ca="1">IFERROR(__xludf.DUMMYFUNCTION("""COMPUTED_VALUE"""),43727.7055555555)</f>
        <v>43727.705555555498</v>
      </c>
      <c r="B2349" s="111">
        <f ca="1">IFERROR(__xludf.DUMMYFUNCTION("""COMPUTED_VALUE"""),42.08)</f>
        <v>42.08</v>
      </c>
      <c r="C2349" s="112">
        <f ca="1">IFERROR(__xludf.DUMMYFUNCTION("""COMPUTED_VALUE"""),43735.7055555555)</f>
        <v>43735.705555555498</v>
      </c>
      <c r="D2349" s="111">
        <f ca="1">IFERROR(__xludf.DUMMYFUNCTION("""COMPUTED_VALUE"""),35.53)</f>
        <v>35.53</v>
      </c>
      <c r="E2349" s="112">
        <f ca="1">IFERROR(__xludf.DUMMYFUNCTION("""COMPUTED_VALUE"""),43738.7055555555)</f>
        <v>43738.705555555498</v>
      </c>
      <c r="F2349" s="111">
        <f ca="1">IFERROR(__xludf.DUMMYFUNCTION("""COMPUTED_VALUE"""),12.55)</f>
        <v>12.55</v>
      </c>
      <c r="G2349" s="112">
        <f ca="1">IFERROR(__xludf.DUMMYFUNCTION("""COMPUTED_VALUE"""),43734.7055555555)</f>
        <v>43734.705555555498</v>
      </c>
      <c r="H2349" s="111">
        <f ca="1">IFERROR(__xludf.DUMMYFUNCTION("""COMPUTED_VALUE"""),27.7)</f>
        <v>27.7</v>
      </c>
      <c r="K2349" s="112">
        <f ca="1">IFERROR(__xludf.DUMMYFUNCTION("""COMPUTED_VALUE"""),44182.7055555555)</f>
        <v>44182.705555555498</v>
      </c>
      <c r="L2349" s="111">
        <f ca="1">IFERROR(__xludf.DUMMYFUNCTION("""COMPUTED_VALUE"""),24.55)</f>
        <v>24.55</v>
      </c>
      <c r="M2349" s="112">
        <f ca="1">IFERROR(__xludf.DUMMYFUNCTION("""COMPUTED_VALUE"""),43647.7055555555)</f>
        <v>43647.705555555498</v>
      </c>
      <c r="N2349" s="111">
        <f ca="1">IFERROR(__xludf.DUMMYFUNCTION("""COMPUTED_VALUE"""),31.1)</f>
        <v>31.1</v>
      </c>
      <c r="O2349" s="112">
        <f ca="1">IFERROR(__xludf.DUMMYFUNCTION("""COMPUTED_VALUE"""),43720.7055555555)</f>
        <v>43720.705555555498</v>
      </c>
      <c r="P2349" s="111">
        <f ca="1">IFERROR(__xludf.DUMMYFUNCTION("""COMPUTED_VALUE"""),49.69)</f>
        <v>49.69</v>
      </c>
      <c r="Q2349" s="112">
        <f ca="1">IFERROR(__xludf.DUMMYFUNCTION("""COMPUTED_VALUE"""),43719.7055555555)</f>
        <v>43719.705555555498</v>
      </c>
      <c r="R2349" s="111">
        <f ca="1">IFERROR(__xludf.DUMMYFUNCTION("""COMPUTED_VALUE"""),47.99)</f>
        <v>47.99</v>
      </c>
      <c r="S2349" s="112">
        <f ca="1">IFERROR(__xludf.DUMMYFUNCTION("""COMPUTED_VALUE"""),43732.7055555555)</f>
        <v>43732.705555555498</v>
      </c>
      <c r="T2349" s="111">
        <f ca="1">IFERROR(__xludf.DUMMYFUNCTION("""COMPUTED_VALUE"""),45)</f>
        <v>45</v>
      </c>
    </row>
    <row r="2350" spans="1:20" x14ac:dyDescent="0.3">
      <c r="A2350" s="112">
        <f ca="1">IFERROR(__xludf.DUMMYFUNCTION("""COMPUTED_VALUE"""),43728.7055555555)</f>
        <v>43728.705555555498</v>
      </c>
      <c r="B2350" s="111">
        <f ca="1">IFERROR(__xludf.DUMMYFUNCTION("""COMPUTED_VALUE"""),39.65)</f>
        <v>39.65</v>
      </c>
      <c r="C2350" s="112">
        <f ca="1">IFERROR(__xludf.DUMMYFUNCTION("""COMPUTED_VALUE"""),43738.7055555555)</f>
        <v>43738.705555555498</v>
      </c>
      <c r="D2350" s="111">
        <f ca="1">IFERROR(__xludf.DUMMYFUNCTION("""COMPUTED_VALUE"""),35.03)</f>
        <v>35.03</v>
      </c>
      <c r="E2350" s="112">
        <f ca="1">IFERROR(__xludf.DUMMYFUNCTION("""COMPUTED_VALUE"""),43739.7055555555)</f>
        <v>43739.705555555498</v>
      </c>
      <c r="F2350" s="111">
        <f ca="1">IFERROR(__xludf.DUMMYFUNCTION("""COMPUTED_VALUE"""),12.33)</f>
        <v>12.33</v>
      </c>
      <c r="G2350" s="112">
        <f ca="1">IFERROR(__xludf.DUMMYFUNCTION("""COMPUTED_VALUE"""),43735.7055555555)</f>
        <v>43735.705555555498</v>
      </c>
      <c r="H2350" s="111">
        <f ca="1">IFERROR(__xludf.DUMMYFUNCTION("""COMPUTED_VALUE"""),27.66)</f>
        <v>27.66</v>
      </c>
      <c r="K2350" s="112">
        <f ca="1">IFERROR(__xludf.DUMMYFUNCTION("""COMPUTED_VALUE"""),44183.7055555555)</f>
        <v>44183.705555555498</v>
      </c>
      <c r="L2350" s="111">
        <f ca="1">IFERROR(__xludf.DUMMYFUNCTION("""COMPUTED_VALUE"""),24.53)</f>
        <v>24.53</v>
      </c>
      <c r="M2350" s="112">
        <f ca="1">IFERROR(__xludf.DUMMYFUNCTION("""COMPUTED_VALUE"""),43648.7055555555)</f>
        <v>43648.705555555498</v>
      </c>
      <c r="N2350" s="111">
        <f ca="1">IFERROR(__xludf.DUMMYFUNCTION("""COMPUTED_VALUE"""),31.18)</f>
        <v>31.18</v>
      </c>
      <c r="O2350" s="112">
        <f ca="1">IFERROR(__xludf.DUMMYFUNCTION("""COMPUTED_VALUE"""),43721.7055555555)</f>
        <v>43721.705555555498</v>
      </c>
      <c r="P2350" s="111">
        <f ca="1">IFERROR(__xludf.DUMMYFUNCTION("""COMPUTED_VALUE"""),49.79)</f>
        <v>49.79</v>
      </c>
      <c r="Q2350" s="112">
        <f ca="1">IFERROR(__xludf.DUMMYFUNCTION("""COMPUTED_VALUE"""),43720.7055555555)</f>
        <v>43720.705555555498</v>
      </c>
      <c r="R2350" s="111">
        <f ca="1">IFERROR(__xludf.DUMMYFUNCTION("""COMPUTED_VALUE"""),48)</f>
        <v>48</v>
      </c>
      <c r="S2350" s="112">
        <f ca="1">IFERROR(__xludf.DUMMYFUNCTION("""COMPUTED_VALUE"""),43733.7055555555)</f>
        <v>43733.705555555498</v>
      </c>
      <c r="T2350" s="111">
        <f ca="1">IFERROR(__xludf.DUMMYFUNCTION("""COMPUTED_VALUE"""),44.97)</f>
        <v>44.97</v>
      </c>
    </row>
    <row r="2351" spans="1:20" x14ac:dyDescent="0.3">
      <c r="A2351" s="112">
        <f ca="1">IFERROR(__xludf.DUMMYFUNCTION("""COMPUTED_VALUE"""),43731.7055555555)</f>
        <v>43731.705555555498</v>
      </c>
      <c r="B2351" s="111">
        <f ca="1">IFERROR(__xludf.DUMMYFUNCTION("""COMPUTED_VALUE"""),40.24)</f>
        <v>40.24</v>
      </c>
      <c r="C2351" s="112">
        <f ca="1">IFERROR(__xludf.DUMMYFUNCTION("""COMPUTED_VALUE"""),43739.7055555555)</f>
        <v>43739.705555555498</v>
      </c>
      <c r="D2351" s="111">
        <f ca="1">IFERROR(__xludf.DUMMYFUNCTION("""COMPUTED_VALUE"""),34.22)</f>
        <v>34.22</v>
      </c>
      <c r="E2351" s="112">
        <f ca="1">IFERROR(__xludf.DUMMYFUNCTION("""COMPUTED_VALUE"""),43740.7055555555)</f>
        <v>43740.705555555498</v>
      </c>
      <c r="F2351" s="111">
        <f ca="1">IFERROR(__xludf.DUMMYFUNCTION("""COMPUTED_VALUE"""),12.05)</f>
        <v>12.05</v>
      </c>
      <c r="G2351" s="112">
        <f ca="1">IFERROR(__xludf.DUMMYFUNCTION("""COMPUTED_VALUE"""),43738.7055555555)</f>
        <v>43738.705555555498</v>
      </c>
      <c r="H2351" s="111">
        <f ca="1">IFERROR(__xludf.DUMMYFUNCTION("""COMPUTED_VALUE"""),27.55)</f>
        <v>27.55</v>
      </c>
      <c r="K2351" s="112">
        <f ca="1">IFERROR(__xludf.DUMMYFUNCTION("""COMPUTED_VALUE"""),44186.7055555555)</f>
        <v>44186.705555555498</v>
      </c>
      <c r="L2351" s="111">
        <f ca="1">IFERROR(__xludf.DUMMYFUNCTION("""COMPUTED_VALUE"""),25.01)</f>
        <v>25.01</v>
      </c>
      <c r="M2351" s="112">
        <f ca="1">IFERROR(__xludf.DUMMYFUNCTION("""COMPUTED_VALUE"""),43649.7055555555)</f>
        <v>43649.705555555498</v>
      </c>
      <c r="N2351" s="111">
        <f ca="1">IFERROR(__xludf.DUMMYFUNCTION("""COMPUTED_VALUE"""),31.6)</f>
        <v>31.6</v>
      </c>
      <c r="O2351" s="112">
        <f ca="1">IFERROR(__xludf.DUMMYFUNCTION("""COMPUTED_VALUE"""),43724.7055555555)</f>
        <v>43724.705555555498</v>
      </c>
      <c r="P2351" s="111">
        <f ca="1">IFERROR(__xludf.DUMMYFUNCTION("""COMPUTED_VALUE"""),48.59)</f>
        <v>48.59</v>
      </c>
      <c r="Q2351" s="112">
        <f ca="1">IFERROR(__xludf.DUMMYFUNCTION("""COMPUTED_VALUE"""),43721.7055555555)</f>
        <v>43721.705555555498</v>
      </c>
      <c r="R2351" s="111">
        <f ca="1">IFERROR(__xludf.DUMMYFUNCTION("""COMPUTED_VALUE"""),47.14)</f>
        <v>47.14</v>
      </c>
      <c r="S2351" s="112">
        <f ca="1">IFERROR(__xludf.DUMMYFUNCTION("""COMPUTED_VALUE"""),43734.7055555555)</f>
        <v>43734.705555555498</v>
      </c>
      <c r="T2351" s="111">
        <f ca="1">IFERROR(__xludf.DUMMYFUNCTION("""COMPUTED_VALUE"""),45.52)</f>
        <v>45.52</v>
      </c>
    </row>
    <row r="2352" spans="1:20" x14ac:dyDescent="0.3">
      <c r="A2352" s="112">
        <f ca="1">IFERROR(__xludf.DUMMYFUNCTION("""COMPUTED_VALUE"""),43732.7055555555)</f>
        <v>43732.705555555498</v>
      </c>
      <c r="B2352" s="111">
        <f ca="1">IFERROR(__xludf.DUMMYFUNCTION("""COMPUTED_VALUE"""),39.1)</f>
        <v>39.1</v>
      </c>
      <c r="C2352" s="112">
        <f ca="1">IFERROR(__xludf.DUMMYFUNCTION("""COMPUTED_VALUE"""),43740.7055555555)</f>
        <v>43740.705555555498</v>
      </c>
      <c r="D2352" s="111">
        <f ca="1">IFERROR(__xludf.DUMMYFUNCTION("""COMPUTED_VALUE"""),33.28)</f>
        <v>33.28</v>
      </c>
      <c r="E2352" s="112">
        <f ca="1">IFERROR(__xludf.DUMMYFUNCTION("""COMPUTED_VALUE"""),43741.7055555555)</f>
        <v>43741.705555555498</v>
      </c>
      <c r="F2352" s="111">
        <f ca="1">IFERROR(__xludf.DUMMYFUNCTION("""COMPUTED_VALUE"""),11.9)</f>
        <v>11.9</v>
      </c>
      <c r="G2352" s="112">
        <f ca="1">IFERROR(__xludf.DUMMYFUNCTION("""COMPUTED_VALUE"""),43739.7055555555)</f>
        <v>43739.705555555498</v>
      </c>
      <c r="H2352" s="111">
        <f ca="1">IFERROR(__xludf.DUMMYFUNCTION("""COMPUTED_VALUE"""),27.51)</f>
        <v>27.51</v>
      </c>
      <c r="K2352" s="112">
        <f ca="1">IFERROR(__xludf.DUMMYFUNCTION("""COMPUTED_VALUE"""),44187.7055555555)</f>
        <v>44187.705555555498</v>
      </c>
      <c r="L2352" s="111">
        <f ca="1">IFERROR(__xludf.DUMMYFUNCTION("""COMPUTED_VALUE"""),25.17)</f>
        <v>25.17</v>
      </c>
      <c r="M2352" s="112">
        <f ca="1">IFERROR(__xludf.DUMMYFUNCTION("""COMPUTED_VALUE"""),43650.7055555555)</f>
        <v>43650.705555555498</v>
      </c>
      <c r="N2352" s="111">
        <f ca="1">IFERROR(__xludf.DUMMYFUNCTION("""COMPUTED_VALUE"""),32.29)</f>
        <v>32.29</v>
      </c>
      <c r="O2352" s="112">
        <f ca="1">IFERROR(__xludf.DUMMYFUNCTION("""COMPUTED_VALUE"""),43725.7055555555)</f>
        <v>43725.705555555498</v>
      </c>
      <c r="P2352" s="111">
        <f ca="1">IFERROR(__xludf.DUMMYFUNCTION("""COMPUTED_VALUE"""),48.9)</f>
        <v>48.9</v>
      </c>
      <c r="Q2352" s="112">
        <f ca="1">IFERROR(__xludf.DUMMYFUNCTION("""COMPUTED_VALUE"""),43724.7055555555)</f>
        <v>43724.705555555498</v>
      </c>
      <c r="R2352" s="111">
        <f ca="1">IFERROR(__xludf.DUMMYFUNCTION("""COMPUTED_VALUE"""),46.65)</f>
        <v>46.65</v>
      </c>
      <c r="S2352" s="112">
        <f ca="1">IFERROR(__xludf.DUMMYFUNCTION("""COMPUTED_VALUE"""),43735.7055555555)</f>
        <v>43735.705555555498</v>
      </c>
      <c r="T2352" s="111">
        <f ca="1">IFERROR(__xludf.DUMMYFUNCTION("""COMPUTED_VALUE"""),45.62)</f>
        <v>45.62</v>
      </c>
    </row>
    <row r="2353" spans="1:20" x14ac:dyDescent="0.3">
      <c r="A2353" s="112">
        <f ca="1">IFERROR(__xludf.DUMMYFUNCTION("""COMPUTED_VALUE"""),43733.7055555555)</f>
        <v>43733.705555555498</v>
      </c>
      <c r="B2353" s="111">
        <f ca="1">IFERROR(__xludf.DUMMYFUNCTION("""COMPUTED_VALUE"""),39.3)</f>
        <v>39.299999999999997</v>
      </c>
      <c r="C2353" s="112">
        <f ca="1">IFERROR(__xludf.DUMMYFUNCTION("""COMPUTED_VALUE"""),43741.7055555555)</f>
        <v>43741.705555555498</v>
      </c>
      <c r="D2353" s="111">
        <f ca="1">IFERROR(__xludf.DUMMYFUNCTION("""COMPUTED_VALUE"""),33.29)</f>
        <v>33.29</v>
      </c>
      <c r="E2353" s="112">
        <f ca="1">IFERROR(__xludf.DUMMYFUNCTION("""COMPUTED_VALUE"""),43742.7055555555)</f>
        <v>43742.705555555498</v>
      </c>
      <c r="F2353" s="111">
        <f ca="1">IFERROR(__xludf.DUMMYFUNCTION("""COMPUTED_VALUE"""),11.91)</f>
        <v>11.91</v>
      </c>
      <c r="G2353" s="112">
        <f ca="1">IFERROR(__xludf.DUMMYFUNCTION("""COMPUTED_VALUE"""),43740.7055555555)</f>
        <v>43740.705555555498</v>
      </c>
      <c r="H2353" s="111">
        <f ca="1">IFERROR(__xludf.DUMMYFUNCTION("""COMPUTED_VALUE"""),26.72)</f>
        <v>26.72</v>
      </c>
      <c r="K2353" s="112">
        <f ca="1">IFERROR(__xludf.DUMMYFUNCTION("""COMPUTED_VALUE"""),44188.7055555555)</f>
        <v>44188.705555555498</v>
      </c>
      <c r="L2353" s="111">
        <f ca="1">IFERROR(__xludf.DUMMYFUNCTION("""COMPUTED_VALUE"""),24.98)</f>
        <v>24.98</v>
      </c>
      <c r="M2353" s="112">
        <f ca="1">IFERROR(__xludf.DUMMYFUNCTION("""COMPUTED_VALUE"""),43651.7055555555)</f>
        <v>43651.705555555498</v>
      </c>
      <c r="N2353" s="111">
        <f ca="1">IFERROR(__xludf.DUMMYFUNCTION("""COMPUTED_VALUE"""),32.57)</f>
        <v>32.57</v>
      </c>
      <c r="O2353" s="112">
        <f ca="1">IFERROR(__xludf.DUMMYFUNCTION("""COMPUTED_VALUE"""),43726.7055555555)</f>
        <v>43726.705555555498</v>
      </c>
      <c r="P2353" s="111">
        <f ca="1">IFERROR(__xludf.DUMMYFUNCTION("""COMPUTED_VALUE"""),48.4)</f>
        <v>48.4</v>
      </c>
      <c r="Q2353" s="112">
        <f ca="1">IFERROR(__xludf.DUMMYFUNCTION("""COMPUTED_VALUE"""),43725.7055555555)</f>
        <v>43725.705555555498</v>
      </c>
      <c r="R2353" s="111">
        <f ca="1">IFERROR(__xludf.DUMMYFUNCTION("""COMPUTED_VALUE"""),47.3)</f>
        <v>47.3</v>
      </c>
      <c r="S2353" s="112">
        <f ca="1">IFERROR(__xludf.DUMMYFUNCTION("""COMPUTED_VALUE"""),43738.7055555555)</f>
        <v>43738.705555555498</v>
      </c>
      <c r="T2353" s="111">
        <f ca="1">IFERROR(__xludf.DUMMYFUNCTION("""COMPUTED_VALUE"""),45.88)</f>
        <v>45.88</v>
      </c>
    </row>
    <row r="2354" spans="1:20" x14ac:dyDescent="0.3">
      <c r="A2354" s="112">
        <f ca="1">IFERROR(__xludf.DUMMYFUNCTION("""COMPUTED_VALUE"""),43734.7055555555)</f>
        <v>43734.705555555498</v>
      </c>
      <c r="B2354" s="111">
        <f ca="1">IFERROR(__xludf.DUMMYFUNCTION("""COMPUTED_VALUE"""),39.46)</f>
        <v>39.46</v>
      </c>
      <c r="C2354" s="112">
        <f ca="1">IFERROR(__xludf.DUMMYFUNCTION("""COMPUTED_VALUE"""),43742.7055555555)</f>
        <v>43742.705555555498</v>
      </c>
      <c r="D2354" s="111">
        <f ca="1">IFERROR(__xludf.DUMMYFUNCTION("""COMPUTED_VALUE"""),33.45)</f>
        <v>33.450000000000003</v>
      </c>
      <c r="E2354" s="112">
        <f ca="1">IFERROR(__xludf.DUMMYFUNCTION("""COMPUTED_VALUE"""),43745.7055555555)</f>
        <v>43745.705555555498</v>
      </c>
      <c r="F2354" s="111">
        <f ca="1">IFERROR(__xludf.DUMMYFUNCTION("""COMPUTED_VALUE"""),11.6)</f>
        <v>11.6</v>
      </c>
      <c r="G2354" s="112">
        <f ca="1">IFERROR(__xludf.DUMMYFUNCTION("""COMPUTED_VALUE"""),43741.7055555555)</f>
        <v>43741.705555555498</v>
      </c>
      <c r="H2354" s="111">
        <f ca="1">IFERROR(__xludf.DUMMYFUNCTION("""COMPUTED_VALUE"""),26.74)</f>
        <v>26.74</v>
      </c>
      <c r="K2354" s="112">
        <f ca="1">IFERROR(__xludf.DUMMYFUNCTION("""COMPUTED_VALUE"""),44193.7055555555)</f>
        <v>44193.705555555498</v>
      </c>
      <c r="L2354" s="111">
        <f ca="1">IFERROR(__xludf.DUMMYFUNCTION("""COMPUTED_VALUE"""),25.26)</f>
        <v>25.26</v>
      </c>
      <c r="M2354" s="112">
        <f ca="1">IFERROR(__xludf.DUMMYFUNCTION("""COMPUTED_VALUE"""),43654.7055555555)</f>
        <v>43654.705555555498</v>
      </c>
      <c r="N2354" s="111">
        <f ca="1">IFERROR(__xludf.DUMMYFUNCTION("""COMPUTED_VALUE"""),32.42)</f>
        <v>32.42</v>
      </c>
      <c r="O2354" s="112">
        <f ca="1">IFERROR(__xludf.DUMMYFUNCTION("""COMPUTED_VALUE"""),43727.7055555555)</f>
        <v>43727.705555555498</v>
      </c>
      <c r="P2354" s="111">
        <f ca="1">IFERROR(__xludf.DUMMYFUNCTION("""COMPUTED_VALUE"""),48.32)</f>
        <v>48.32</v>
      </c>
      <c r="Q2354" s="112">
        <f ca="1">IFERROR(__xludf.DUMMYFUNCTION("""COMPUTED_VALUE"""),43726.7055555555)</f>
        <v>43726.705555555498</v>
      </c>
      <c r="R2354" s="111">
        <f ca="1">IFERROR(__xludf.DUMMYFUNCTION("""COMPUTED_VALUE"""),48.02)</f>
        <v>48.02</v>
      </c>
      <c r="S2354" s="112">
        <f ca="1">IFERROR(__xludf.DUMMYFUNCTION("""COMPUTED_VALUE"""),43739.7055555555)</f>
        <v>43739.705555555498</v>
      </c>
      <c r="T2354" s="111">
        <f ca="1">IFERROR(__xludf.DUMMYFUNCTION("""COMPUTED_VALUE"""),45.9)</f>
        <v>45.9</v>
      </c>
    </row>
    <row r="2355" spans="1:20" x14ac:dyDescent="0.3">
      <c r="A2355" s="112">
        <f ca="1">IFERROR(__xludf.DUMMYFUNCTION("""COMPUTED_VALUE"""),43735.7055555555)</f>
        <v>43735.705555555498</v>
      </c>
      <c r="B2355" s="111">
        <f ca="1">IFERROR(__xludf.DUMMYFUNCTION("""COMPUTED_VALUE"""),39.75)</f>
        <v>39.75</v>
      </c>
      <c r="C2355" s="112">
        <f ca="1">IFERROR(__xludf.DUMMYFUNCTION("""COMPUTED_VALUE"""),43745.7055555555)</f>
        <v>43745.705555555498</v>
      </c>
      <c r="D2355" s="111">
        <f ca="1">IFERROR(__xludf.DUMMYFUNCTION("""COMPUTED_VALUE"""),32.83)</f>
        <v>32.83</v>
      </c>
      <c r="E2355" s="112">
        <f ca="1">IFERROR(__xludf.DUMMYFUNCTION("""COMPUTED_VALUE"""),43746.7055555555)</f>
        <v>43746.705555555498</v>
      </c>
      <c r="F2355" s="111">
        <f ca="1">IFERROR(__xludf.DUMMYFUNCTION("""COMPUTED_VALUE"""),11.56)</f>
        <v>11.56</v>
      </c>
      <c r="G2355" s="112">
        <f ca="1">IFERROR(__xludf.DUMMYFUNCTION("""COMPUTED_VALUE"""),43742.7055555555)</f>
        <v>43742.705555555498</v>
      </c>
      <c r="H2355" s="111">
        <f ca="1">IFERROR(__xludf.DUMMYFUNCTION("""COMPUTED_VALUE"""),26.51)</f>
        <v>26.51</v>
      </c>
      <c r="K2355" s="112">
        <f ca="1">IFERROR(__xludf.DUMMYFUNCTION("""COMPUTED_VALUE"""),44194.7055555555)</f>
        <v>44194.705555555498</v>
      </c>
      <c r="L2355" s="111">
        <f ca="1">IFERROR(__xludf.DUMMYFUNCTION("""COMPUTED_VALUE"""),25.29)</f>
        <v>25.29</v>
      </c>
      <c r="M2355" s="112">
        <f ca="1">IFERROR(__xludf.DUMMYFUNCTION("""COMPUTED_VALUE"""),43656.7055555555)</f>
        <v>43656.705555555498</v>
      </c>
      <c r="N2355" s="111">
        <f ca="1">IFERROR(__xludf.DUMMYFUNCTION("""COMPUTED_VALUE"""),32.27)</f>
        <v>32.270000000000003</v>
      </c>
      <c r="O2355" s="112">
        <f ca="1">IFERROR(__xludf.DUMMYFUNCTION("""COMPUTED_VALUE"""),43728.7055555555)</f>
        <v>43728.705555555498</v>
      </c>
      <c r="P2355" s="111">
        <f ca="1">IFERROR(__xludf.DUMMYFUNCTION("""COMPUTED_VALUE"""),48.42)</f>
        <v>48.42</v>
      </c>
      <c r="Q2355" s="112">
        <f ca="1">IFERROR(__xludf.DUMMYFUNCTION("""COMPUTED_VALUE"""),43727.7055555555)</f>
        <v>43727.705555555498</v>
      </c>
      <c r="R2355" s="111">
        <f ca="1">IFERROR(__xludf.DUMMYFUNCTION("""COMPUTED_VALUE"""),46.77)</f>
        <v>46.77</v>
      </c>
      <c r="S2355" s="112">
        <f ca="1">IFERROR(__xludf.DUMMYFUNCTION("""COMPUTED_VALUE"""),43740.7055555555)</f>
        <v>43740.705555555498</v>
      </c>
      <c r="T2355" s="111">
        <f ca="1">IFERROR(__xludf.DUMMYFUNCTION("""COMPUTED_VALUE"""),44.1)</f>
        <v>44.1</v>
      </c>
    </row>
    <row r="2356" spans="1:20" x14ac:dyDescent="0.3">
      <c r="A2356" s="112">
        <f ca="1">IFERROR(__xludf.DUMMYFUNCTION("""COMPUTED_VALUE"""),43738.7055555555)</f>
        <v>43738.705555555498</v>
      </c>
      <c r="B2356" s="111">
        <f ca="1">IFERROR(__xludf.DUMMYFUNCTION("""COMPUTED_VALUE"""),39.71)</f>
        <v>39.71</v>
      </c>
      <c r="C2356" s="112">
        <f ca="1">IFERROR(__xludf.DUMMYFUNCTION("""COMPUTED_VALUE"""),43746.7055555555)</f>
        <v>43746.705555555498</v>
      </c>
      <c r="D2356" s="111">
        <f ca="1">IFERROR(__xludf.DUMMYFUNCTION("""COMPUTED_VALUE"""),32.69)</f>
        <v>32.69</v>
      </c>
      <c r="E2356" s="112">
        <f ca="1">IFERROR(__xludf.DUMMYFUNCTION("""COMPUTED_VALUE"""),43747.7055555555)</f>
        <v>43747.705555555498</v>
      </c>
      <c r="F2356" s="111">
        <f ca="1">IFERROR(__xludf.DUMMYFUNCTION("""COMPUTED_VALUE"""),11.74)</f>
        <v>11.74</v>
      </c>
      <c r="G2356" s="112">
        <f ca="1">IFERROR(__xludf.DUMMYFUNCTION("""COMPUTED_VALUE"""),43745.7055555555)</f>
        <v>43745.705555555498</v>
      </c>
      <c r="H2356" s="111">
        <f ca="1">IFERROR(__xludf.DUMMYFUNCTION("""COMPUTED_VALUE"""),26.17)</f>
        <v>26.17</v>
      </c>
      <c r="K2356" s="112">
        <f ca="1">IFERROR(__xludf.DUMMYFUNCTION("""COMPUTED_VALUE"""),44195.7055555555)</f>
        <v>44195.705555555498</v>
      </c>
      <c r="L2356" s="111">
        <f ca="1">IFERROR(__xludf.DUMMYFUNCTION("""COMPUTED_VALUE"""),24.96)</f>
        <v>24.96</v>
      </c>
      <c r="M2356" s="112">
        <f ca="1">IFERROR(__xludf.DUMMYFUNCTION("""COMPUTED_VALUE"""),43657.7055555555)</f>
        <v>43657.705555555498</v>
      </c>
      <c r="N2356" s="111">
        <f ca="1">IFERROR(__xludf.DUMMYFUNCTION("""COMPUTED_VALUE"""),32)</f>
        <v>32</v>
      </c>
      <c r="O2356" s="112">
        <f ca="1">IFERROR(__xludf.DUMMYFUNCTION("""COMPUTED_VALUE"""),43731.7055555555)</f>
        <v>43731.705555555498</v>
      </c>
      <c r="P2356" s="111">
        <f ca="1">IFERROR(__xludf.DUMMYFUNCTION("""COMPUTED_VALUE"""),48.1)</f>
        <v>48.1</v>
      </c>
      <c r="Q2356" s="112">
        <f ca="1">IFERROR(__xludf.DUMMYFUNCTION("""COMPUTED_VALUE"""),43728.7055555555)</f>
        <v>43728.705555555498</v>
      </c>
      <c r="R2356" s="111">
        <f ca="1">IFERROR(__xludf.DUMMYFUNCTION("""COMPUTED_VALUE"""),47.51)</f>
        <v>47.51</v>
      </c>
      <c r="S2356" s="112">
        <f ca="1">IFERROR(__xludf.DUMMYFUNCTION("""COMPUTED_VALUE"""),43741.7055555555)</f>
        <v>43741.705555555498</v>
      </c>
      <c r="T2356" s="111">
        <f ca="1">IFERROR(__xludf.DUMMYFUNCTION("""COMPUTED_VALUE"""),44.35)</f>
        <v>44.35</v>
      </c>
    </row>
    <row r="2357" spans="1:20" x14ac:dyDescent="0.3">
      <c r="A2357" s="112">
        <f ca="1">IFERROR(__xludf.DUMMYFUNCTION("""COMPUTED_VALUE"""),43739.7055555555)</f>
        <v>43739.705555555498</v>
      </c>
      <c r="B2357" s="111">
        <f ca="1">IFERROR(__xludf.DUMMYFUNCTION("""COMPUTED_VALUE"""),38.87)</f>
        <v>38.869999999999997</v>
      </c>
      <c r="C2357" s="112">
        <f ca="1">IFERROR(__xludf.DUMMYFUNCTION("""COMPUTED_VALUE"""),43747.7055555555)</f>
        <v>43747.705555555498</v>
      </c>
      <c r="D2357" s="111">
        <f ca="1">IFERROR(__xludf.DUMMYFUNCTION("""COMPUTED_VALUE"""),33.21)</f>
        <v>33.21</v>
      </c>
      <c r="E2357" s="112">
        <f ca="1">IFERROR(__xludf.DUMMYFUNCTION("""COMPUTED_VALUE"""),43748.7055555555)</f>
        <v>43748.705555555498</v>
      </c>
      <c r="F2357" s="111">
        <f ca="1">IFERROR(__xludf.DUMMYFUNCTION("""COMPUTED_VALUE"""),11.84)</f>
        <v>11.84</v>
      </c>
      <c r="G2357" s="112">
        <f ca="1">IFERROR(__xludf.DUMMYFUNCTION("""COMPUTED_VALUE"""),43746.7055555555)</f>
        <v>43746.705555555498</v>
      </c>
      <c r="H2357" s="111">
        <f ca="1">IFERROR(__xludf.DUMMYFUNCTION("""COMPUTED_VALUE"""),26.02)</f>
        <v>26.02</v>
      </c>
      <c r="K2357" s="112">
        <f ca="1">IFERROR(__xludf.DUMMYFUNCTION("""COMPUTED_VALUE"""),44200.7055555555)</f>
        <v>44200.705555555498</v>
      </c>
      <c r="L2357" s="111">
        <f ca="1">IFERROR(__xludf.DUMMYFUNCTION("""COMPUTED_VALUE"""),25.21)</f>
        <v>25.21</v>
      </c>
      <c r="M2357" s="112">
        <f ca="1">IFERROR(__xludf.DUMMYFUNCTION("""COMPUTED_VALUE"""),43658.7055555555)</f>
        <v>43658.705555555498</v>
      </c>
      <c r="N2357" s="111">
        <f ca="1">IFERROR(__xludf.DUMMYFUNCTION("""COMPUTED_VALUE"""),31.4)</f>
        <v>31.4</v>
      </c>
      <c r="O2357" s="112">
        <f ca="1">IFERROR(__xludf.DUMMYFUNCTION("""COMPUTED_VALUE"""),43732.7055555555)</f>
        <v>43732.705555555498</v>
      </c>
      <c r="P2357" s="111">
        <f ca="1">IFERROR(__xludf.DUMMYFUNCTION("""COMPUTED_VALUE"""),46.93)</f>
        <v>46.93</v>
      </c>
      <c r="Q2357" s="112">
        <f ca="1">IFERROR(__xludf.DUMMYFUNCTION("""COMPUTED_VALUE"""),43731.7055555555)</f>
        <v>43731.705555555498</v>
      </c>
      <c r="R2357" s="111">
        <f ca="1">IFERROR(__xludf.DUMMYFUNCTION("""COMPUTED_VALUE"""),47.28)</f>
        <v>47.28</v>
      </c>
      <c r="S2357" s="112">
        <f ca="1">IFERROR(__xludf.DUMMYFUNCTION("""COMPUTED_VALUE"""),43742.7055555555)</f>
        <v>43742.705555555498</v>
      </c>
      <c r="T2357" s="111">
        <f ca="1">IFERROR(__xludf.DUMMYFUNCTION("""COMPUTED_VALUE"""),44.51)</f>
        <v>44.51</v>
      </c>
    </row>
    <row r="2358" spans="1:20" x14ac:dyDescent="0.3">
      <c r="A2358" s="112">
        <f ca="1">IFERROR(__xludf.DUMMYFUNCTION("""COMPUTED_VALUE"""),43740.7055555555)</f>
        <v>43740.705555555498</v>
      </c>
      <c r="B2358" s="111">
        <f ca="1">IFERROR(__xludf.DUMMYFUNCTION("""COMPUTED_VALUE"""),37.13)</f>
        <v>37.130000000000003</v>
      </c>
      <c r="C2358" s="112">
        <f ca="1">IFERROR(__xludf.DUMMYFUNCTION("""COMPUTED_VALUE"""),43748.7055555555)</f>
        <v>43748.705555555498</v>
      </c>
      <c r="D2358" s="111">
        <f ca="1">IFERROR(__xludf.DUMMYFUNCTION("""COMPUTED_VALUE"""),33.45)</f>
        <v>33.450000000000003</v>
      </c>
      <c r="E2358" s="112">
        <f ca="1">IFERROR(__xludf.DUMMYFUNCTION("""COMPUTED_VALUE"""),43749.7055555555)</f>
        <v>43749.705555555498</v>
      </c>
      <c r="F2358" s="111">
        <f ca="1">IFERROR(__xludf.DUMMYFUNCTION("""COMPUTED_VALUE"""),12.1)</f>
        <v>12.1</v>
      </c>
      <c r="G2358" s="112">
        <f ca="1">IFERROR(__xludf.DUMMYFUNCTION("""COMPUTED_VALUE"""),43747.7055555555)</f>
        <v>43747.705555555498</v>
      </c>
      <c r="H2358" s="111">
        <f ca="1">IFERROR(__xludf.DUMMYFUNCTION("""COMPUTED_VALUE"""),26.52)</f>
        <v>26.52</v>
      </c>
      <c r="K2358" s="112">
        <f ca="1">IFERROR(__xludf.DUMMYFUNCTION("""COMPUTED_VALUE"""),44201.7055555555)</f>
        <v>44201.705555555498</v>
      </c>
      <c r="L2358" s="111">
        <f ca="1">IFERROR(__xludf.DUMMYFUNCTION("""COMPUTED_VALUE"""),24.77)</f>
        <v>24.77</v>
      </c>
      <c r="M2358" s="112">
        <f ca="1">IFERROR(__xludf.DUMMYFUNCTION("""COMPUTED_VALUE"""),43661.7055555555)</f>
        <v>43661.705555555498</v>
      </c>
      <c r="N2358" s="111">
        <f ca="1">IFERROR(__xludf.DUMMYFUNCTION("""COMPUTED_VALUE"""),31.27)</f>
        <v>31.27</v>
      </c>
      <c r="O2358" s="112">
        <f ca="1">IFERROR(__xludf.DUMMYFUNCTION("""COMPUTED_VALUE"""),43733.7055555555)</f>
        <v>43733.705555555498</v>
      </c>
      <c r="P2358" s="111">
        <f ca="1">IFERROR(__xludf.DUMMYFUNCTION("""COMPUTED_VALUE"""),47.86)</f>
        <v>47.86</v>
      </c>
      <c r="Q2358" s="112">
        <f ca="1">IFERROR(__xludf.DUMMYFUNCTION("""COMPUTED_VALUE"""),43732.7055555555)</f>
        <v>43732.705555555498</v>
      </c>
      <c r="R2358" s="111">
        <f ca="1">IFERROR(__xludf.DUMMYFUNCTION("""COMPUTED_VALUE"""),45.84)</f>
        <v>45.84</v>
      </c>
      <c r="S2358" s="112">
        <f ca="1">IFERROR(__xludf.DUMMYFUNCTION("""COMPUTED_VALUE"""),43745.7055555555)</f>
        <v>43745.705555555498</v>
      </c>
      <c r="T2358" s="111">
        <f ca="1">IFERROR(__xludf.DUMMYFUNCTION("""COMPUTED_VALUE"""),44)</f>
        <v>44</v>
      </c>
    </row>
    <row r="2359" spans="1:20" x14ac:dyDescent="0.3">
      <c r="A2359" s="112">
        <f ca="1">IFERROR(__xludf.DUMMYFUNCTION("""COMPUTED_VALUE"""),43741.7055555555)</f>
        <v>43741.705555555498</v>
      </c>
      <c r="B2359" s="111">
        <f ca="1">IFERROR(__xludf.DUMMYFUNCTION("""COMPUTED_VALUE"""),37.78)</f>
        <v>37.78</v>
      </c>
      <c r="C2359" s="112">
        <f ca="1">IFERROR(__xludf.DUMMYFUNCTION("""COMPUTED_VALUE"""),43749.7055555555)</f>
        <v>43749.705555555498</v>
      </c>
      <c r="D2359" s="111">
        <f ca="1">IFERROR(__xludf.DUMMYFUNCTION("""COMPUTED_VALUE"""),33.88)</f>
        <v>33.880000000000003</v>
      </c>
      <c r="E2359" s="112">
        <f ca="1">IFERROR(__xludf.DUMMYFUNCTION("""COMPUTED_VALUE"""),43752.7055555555)</f>
        <v>43752.705555555498</v>
      </c>
      <c r="F2359" s="111">
        <f ca="1">IFERROR(__xludf.DUMMYFUNCTION("""COMPUTED_VALUE"""),12.3)</f>
        <v>12.3</v>
      </c>
      <c r="G2359" s="112">
        <f ca="1">IFERROR(__xludf.DUMMYFUNCTION("""COMPUTED_VALUE"""),43748.7055555555)</f>
        <v>43748.705555555498</v>
      </c>
      <c r="H2359" s="111">
        <f ca="1">IFERROR(__xludf.DUMMYFUNCTION("""COMPUTED_VALUE"""),26.74)</f>
        <v>26.74</v>
      </c>
      <c r="K2359" s="112">
        <f ca="1">IFERROR(__xludf.DUMMYFUNCTION("""COMPUTED_VALUE"""),44202.7055555555)</f>
        <v>44202.705555555498</v>
      </c>
      <c r="L2359" s="111">
        <f ca="1">IFERROR(__xludf.DUMMYFUNCTION("""COMPUTED_VALUE"""),23.47)</f>
        <v>23.47</v>
      </c>
      <c r="M2359" s="112">
        <f ca="1">IFERROR(__xludf.DUMMYFUNCTION("""COMPUTED_VALUE"""),43662.7055555555)</f>
        <v>43662.705555555498</v>
      </c>
      <c r="N2359" s="111">
        <f ca="1">IFERROR(__xludf.DUMMYFUNCTION("""COMPUTED_VALUE"""),31.28)</f>
        <v>31.28</v>
      </c>
      <c r="O2359" s="112">
        <f ca="1">IFERROR(__xludf.DUMMYFUNCTION("""COMPUTED_VALUE"""),43734.7055555555)</f>
        <v>43734.705555555498</v>
      </c>
      <c r="P2359" s="111">
        <f ca="1">IFERROR(__xludf.DUMMYFUNCTION("""COMPUTED_VALUE"""),47.86)</f>
        <v>47.86</v>
      </c>
      <c r="Q2359" s="112">
        <f ca="1">IFERROR(__xludf.DUMMYFUNCTION("""COMPUTED_VALUE"""),43733.7055555555)</f>
        <v>43733.705555555498</v>
      </c>
      <c r="R2359" s="111">
        <f ca="1">IFERROR(__xludf.DUMMYFUNCTION("""COMPUTED_VALUE"""),45.54)</f>
        <v>45.54</v>
      </c>
      <c r="S2359" s="112">
        <f ca="1">IFERROR(__xludf.DUMMYFUNCTION("""COMPUTED_VALUE"""),43746.7055555555)</f>
        <v>43746.705555555498</v>
      </c>
      <c r="T2359" s="111">
        <f ca="1">IFERROR(__xludf.DUMMYFUNCTION("""COMPUTED_VALUE"""),44.02)</f>
        <v>44.02</v>
      </c>
    </row>
    <row r="2360" spans="1:20" x14ac:dyDescent="0.3">
      <c r="A2360" s="112">
        <f ca="1">IFERROR(__xludf.DUMMYFUNCTION("""COMPUTED_VALUE"""),43742.7055555555)</f>
        <v>43742.705555555498</v>
      </c>
      <c r="B2360" s="111">
        <f ca="1">IFERROR(__xludf.DUMMYFUNCTION("""COMPUTED_VALUE"""),38.42)</f>
        <v>38.42</v>
      </c>
      <c r="C2360" s="112">
        <f ca="1">IFERROR(__xludf.DUMMYFUNCTION("""COMPUTED_VALUE"""),43752.7055555555)</f>
        <v>43752.705555555498</v>
      </c>
      <c r="D2360" s="111">
        <f ca="1">IFERROR(__xludf.DUMMYFUNCTION("""COMPUTED_VALUE"""),34.45)</f>
        <v>34.450000000000003</v>
      </c>
      <c r="E2360" s="112">
        <f ca="1">IFERROR(__xludf.DUMMYFUNCTION("""COMPUTED_VALUE"""),43753.7055555555)</f>
        <v>43753.705555555498</v>
      </c>
      <c r="F2360" s="111">
        <f ca="1">IFERROR(__xludf.DUMMYFUNCTION("""COMPUTED_VALUE"""),12.31)</f>
        <v>12.31</v>
      </c>
      <c r="G2360" s="112">
        <f ca="1">IFERROR(__xludf.DUMMYFUNCTION("""COMPUTED_VALUE"""),43749.7055555555)</f>
        <v>43749.705555555498</v>
      </c>
      <c r="H2360" s="111">
        <f ca="1">IFERROR(__xludf.DUMMYFUNCTION("""COMPUTED_VALUE"""),27.26)</f>
        <v>27.26</v>
      </c>
      <c r="K2360" s="112">
        <f ca="1">IFERROR(__xludf.DUMMYFUNCTION("""COMPUTED_VALUE"""),44203.7055555555)</f>
        <v>44203.705555555498</v>
      </c>
      <c r="L2360" s="111">
        <f ca="1">IFERROR(__xludf.DUMMYFUNCTION("""COMPUTED_VALUE"""),23.17)</f>
        <v>23.17</v>
      </c>
      <c r="M2360" s="112">
        <f ca="1">IFERROR(__xludf.DUMMYFUNCTION("""COMPUTED_VALUE"""),43663.7055555555)</f>
        <v>43663.705555555498</v>
      </c>
      <c r="N2360" s="111">
        <f ca="1">IFERROR(__xludf.DUMMYFUNCTION("""COMPUTED_VALUE"""),31.12)</f>
        <v>31.12</v>
      </c>
      <c r="O2360" s="112">
        <f ca="1">IFERROR(__xludf.DUMMYFUNCTION("""COMPUTED_VALUE"""),43735.7055555555)</f>
        <v>43735.705555555498</v>
      </c>
      <c r="P2360" s="111">
        <f ca="1">IFERROR(__xludf.DUMMYFUNCTION("""COMPUTED_VALUE"""),47.66)</f>
        <v>47.66</v>
      </c>
      <c r="Q2360" s="112">
        <f ca="1">IFERROR(__xludf.DUMMYFUNCTION("""COMPUTED_VALUE"""),43734.7055555555)</f>
        <v>43734.705555555498</v>
      </c>
      <c r="R2360" s="111">
        <f ca="1">IFERROR(__xludf.DUMMYFUNCTION("""COMPUTED_VALUE"""),45.71)</f>
        <v>45.71</v>
      </c>
      <c r="S2360" s="112">
        <f ca="1">IFERROR(__xludf.DUMMYFUNCTION("""COMPUTED_VALUE"""),43747.7055555555)</f>
        <v>43747.705555555498</v>
      </c>
      <c r="T2360" s="111">
        <f ca="1">IFERROR(__xludf.DUMMYFUNCTION("""COMPUTED_VALUE"""),44.48)</f>
        <v>44.48</v>
      </c>
    </row>
    <row r="2361" spans="1:20" x14ac:dyDescent="0.3">
      <c r="A2361" s="112">
        <f ca="1">IFERROR(__xludf.DUMMYFUNCTION("""COMPUTED_VALUE"""),43745.7055555555)</f>
        <v>43745.705555555498</v>
      </c>
      <c r="B2361" s="111">
        <f ca="1">IFERROR(__xludf.DUMMYFUNCTION("""COMPUTED_VALUE"""),35.38)</f>
        <v>35.380000000000003</v>
      </c>
      <c r="C2361" s="112">
        <f ca="1">IFERROR(__xludf.DUMMYFUNCTION("""COMPUTED_VALUE"""),43753.7055555555)</f>
        <v>43753.705555555498</v>
      </c>
      <c r="D2361" s="111">
        <f ca="1">IFERROR(__xludf.DUMMYFUNCTION("""COMPUTED_VALUE"""),34.37)</f>
        <v>34.369999999999997</v>
      </c>
      <c r="E2361" s="112">
        <f ca="1">IFERROR(__xludf.DUMMYFUNCTION("""COMPUTED_VALUE"""),43754.7055555555)</f>
        <v>43754.705555555498</v>
      </c>
      <c r="F2361" s="111">
        <f ca="1">IFERROR(__xludf.DUMMYFUNCTION("""COMPUTED_VALUE"""),12.54)</f>
        <v>12.54</v>
      </c>
      <c r="G2361" s="112">
        <f ca="1">IFERROR(__xludf.DUMMYFUNCTION("""COMPUTED_VALUE"""),43752.7055555555)</f>
        <v>43752.705555555498</v>
      </c>
      <c r="H2361" s="111">
        <f ca="1">IFERROR(__xludf.DUMMYFUNCTION("""COMPUTED_VALUE"""),27.31)</f>
        <v>27.31</v>
      </c>
      <c r="K2361" s="112">
        <f ca="1">IFERROR(__xludf.DUMMYFUNCTION("""COMPUTED_VALUE"""),44204.7055555555)</f>
        <v>44204.705555555498</v>
      </c>
      <c r="L2361" s="111">
        <f ca="1">IFERROR(__xludf.DUMMYFUNCTION("""COMPUTED_VALUE"""),23.85)</f>
        <v>23.85</v>
      </c>
      <c r="M2361" s="112">
        <f ca="1">IFERROR(__xludf.DUMMYFUNCTION("""COMPUTED_VALUE"""),43664.7055555555)</f>
        <v>43664.705555555498</v>
      </c>
      <c r="N2361" s="111">
        <f ca="1">IFERROR(__xludf.DUMMYFUNCTION("""COMPUTED_VALUE"""),31.79)</f>
        <v>31.79</v>
      </c>
      <c r="O2361" s="112">
        <f ca="1">IFERROR(__xludf.DUMMYFUNCTION("""COMPUTED_VALUE"""),43738.7055555555)</f>
        <v>43738.705555555498</v>
      </c>
      <c r="P2361" s="111">
        <f ca="1">IFERROR(__xludf.DUMMYFUNCTION("""COMPUTED_VALUE"""),47.75)</f>
        <v>47.75</v>
      </c>
      <c r="Q2361" s="112">
        <f ca="1">IFERROR(__xludf.DUMMYFUNCTION("""COMPUTED_VALUE"""),43735.7055555555)</f>
        <v>43735.705555555498</v>
      </c>
      <c r="R2361" s="111">
        <f ca="1">IFERROR(__xludf.DUMMYFUNCTION("""COMPUTED_VALUE"""),45.34)</f>
        <v>45.34</v>
      </c>
      <c r="S2361" s="112">
        <f ca="1">IFERROR(__xludf.DUMMYFUNCTION("""COMPUTED_VALUE"""),43748.7055555555)</f>
        <v>43748.705555555498</v>
      </c>
      <c r="T2361" s="111">
        <f ca="1">IFERROR(__xludf.DUMMYFUNCTION("""COMPUTED_VALUE"""),44.17)</f>
        <v>44.17</v>
      </c>
    </row>
    <row r="2362" spans="1:20" x14ac:dyDescent="0.3">
      <c r="A2362" s="112">
        <f ca="1">IFERROR(__xludf.DUMMYFUNCTION("""COMPUTED_VALUE"""),43746.7055555555)</f>
        <v>43746.705555555498</v>
      </c>
      <c r="B2362" s="111">
        <f ca="1">IFERROR(__xludf.DUMMYFUNCTION("""COMPUTED_VALUE"""),35.58)</f>
        <v>35.58</v>
      </c>
      <c r="C2362" s="112">
        <f ca="1">IFERROR(__xludf.DUMMYFUNCTION("""COMPUTED_VALUE"""),43754.7055555555)</f>
        <v>43754.705555555498</v>
      </c>
      <c r="D2362" s="111">
        <f ca="1">IFERROR(__xludf.DUMMYFUNCTION("""COMPUTED_VALUE"""),34.86)</f>
        <v>34.86</v>
      </c>
      <c r="E2362" s="112">
        <f ca="1">IFERROR(__xludf.DUMMYFUNCTION("""COMPUTED_VALUE"""),43755.7055555555)</f>
        <v>43755.705555555498</v>
      </c>
      <c r="F2362" s="111">
        <f ca="1">IFERROR(__xludf.DUMMYFUNCTION("""COMPUTED_VALUE"""),12.52)</f>
        <v>12.52</v>
      </c>
      <c r="G2362" s="112">
        <f ca="1">IFERROR(__xludf.DUMMYFUNCTION("""COMPUTED_VALUE"""),43753.7055555555)</f>
        <v>43753.705555555498</v>
      </c>
      <c r="H2362" s="111">
        <f ca="1">IFERROR(__xludf.DUMMYFUNCTION("""COMPUTED_VALUE"""),27.6)</f>
        <v>27.6</v>
      </c>
      <c r="K2362" s="112">
        <f ca="1">IFERROR(__xludf.DUMMYFUNCTION("""COMPUTED_VALUE"""),44207.7055555555)</f>
        <v>44207.705555555498</v>
      </c>
      <c r="L2362" s="111">
        <f ca="1">IFERROR(__xludf.DUMMYFUNCTION("""COMPUTED_VALUE"""),23.5)</f>
        <v>23.5</v>
      </c>
      <c r="M2362" s="112">
        <f ca="1">IFERROR(__xludf.DUMMYFUNCTION("""COMPUTED_VALUE"""),43665.7055555555)</f>
        <v>43665.705555555498</v>
      </c>
      <c r="N2362" s="111">
        <f ca="1">IFERROR(__xludf.DUMMYFUNCTION("""COMPUTED_VALUE"""),31.07)</f>
        <v>31.07</v>
      </c>
      <c r="O2362" s="112">
        <f ca="1">IFERROR(__xludf.DUMMYFUNCTION("""COMPUTED_VALUE"""),43739.7055555555)</f>
        <v>43739.705555555498</v>
      </c>
      <c r="P2362" s="111">
        <f ca="1">IFERROR(__xludf.DUMMYFUNCTION("""COMPUTED_VALUE"""),47.71)</f>
        <v>47.71</v>
      </c>
      <c r="Q2362" s="112">
        <f ca="1">IFERROR(__xludf.DUMMYFUNCTION("""COMPUTED_VALUE"""),43738.7055555555)</f>
        <v>43738.705555555498</v>
      </c>
      <c r="R2362" s="111">
        <f ca="1">IFERROR(__xludf.DUMMYFUNCTION("""COMPUTED_VALUE"""),45.49)</f>
        <v>45.49</v>
      </c>
      <c r="S2362" s="112">
        <f ca="1">IFERROR(__xludf.DUMMYFUNCTION("""COMPUTED_VALUE"""),43749.7055555555)</f>
        <v>43749.705555555498</v>
      </c>
      <c r="T2362" s="111">
        <f ca="1">IFERROR(__xludf.DUMMYFUNCTION("""COMPUTED_VALUE"""),45.72)</f>
        <v>45.72</v>
      </c>
    </row>
    <row r="2363" spans="1:20" x14ac:dyDescent="0.3">
      <c r="A2363" s="112">
        <f ca="1">IFERROR(__xludf.DUMMYFUNCTION("""COMPUTED_VALUE"""),43747.7055555555)</f>
        <v>43747.705555555498</v>
      </c>
      <c r="B2363" s="111">
        <f ca="1">IFERROR(__xludf.DUMMYFUNCTION("""COMPUTED_VALUE"""),35.15)</f>
        <v>35.15</v>
      </c>
      <c r="C2363" s="112">
        <f ca="1">IFERROR(__xludf.DUMMYFUNCTION("""COMPUTED_VALUE"""),43755.7055555555)</f>
        <v>43755.705555555498</v>
      </c>
      <c r="D2363" s="111">
        <f ca="1">IFERROR(__xludf.DUMMYFUNCTION("""COMPUTED_VALUE"""),34.65)</f>
        <v>34.65</v>
      </c>
      <c r="E2363" s="112">
        <f ca="1">IFERROR(__xludf.DUMMYFUNCTION("""COMPUTED_VALUE"""),43756.7055555555)</f>
        <v>43756.705555555498</v>
      </c>
      <c r="F2363" s="111">
        <f ca="1">IFERROR(__xludf.DUMMYFUNCTION("""COMPUTED_VALUE"""),12.45)</f>
        <v>12.45</v>
      </c>
      <c r="G2363" s="112">
        <f ca="1">IFERROR(__xludf.DUMMYFUNCTION("""COMPUTED_VALUE"""),43754.7055555555)</f>
        <v>43754.705555555498</v>
      </c>
      <c r="H2363" s="111">
        <f ca="1">IFERROR(__xludf.DUMMYFUNCTION("""COMPUTED_VALUE"""),27.93)</f>
        <v>27.93</v>
      </c>
      <c r="K2363" s="112">
        <f ca="1">IFERROR(__xludf.DUMMYFUNCTION("""COMPUTED_VALUE"""),44208.8125)</f>
        <v>44208.8125</v>
      </c>
      <c r="L2363" s="111">
        <f ca="1">IFERROR(__xludf.DUMMYFUNCTION("""COMPUTED_VALUE"""),24.21)</f>
        <v>24.21</v>
      </c>
      <c r="M2363" s="112">
        <f ca="1">IFERROR(__xludf.DUMMYFUNCTION("""COMPUTED_VALUE"""),43668.7055555555)</f>
        <v>43668.705555555498</v>
      </c>
      <c r="N2363" s="111">
        <f ca="1">IFERROR(__xludf.DUMMYFUNCTION("""COMPUTED_VALUE"""),31.5)</f>
        <v>31.5</v>
      </c>
      <c r="O2363" s="112">
        <f ca="1">IFERROR(__xludf.DUMMYFUNCTION("""COMPUTED_VALUE"""),43740.7055555555)</f>
        <v>43740.705555555498</v>
      </c>
      <c r="P2363" s="111">
        <f ca="1">IFERROR(__xludf.DUMMYFUNCTION("""COMPUTED_VALUE"""),45.1)</f>
        <v>45.1</v>
      </c>
      <c r="Q2363" s="112">
        <f ca="1">IFERROR(__xludf.DUMMYFUNCTION("""COMPUTED_VALUE"""),43739.7055555555)</f>
        <v>43739.705555555498</v>
      </c>
      <c r="R2363" s="111">
        <f ca="1">IFERROR(__xludf.DUMMYFUNCTION("""COMPUTED_VALUE"""),44.95)</f>
        <v>44.95</v>
      </c>
      <c r="S2363" s="112">
        <f ca="1">IFERROR(__xludf.DUMMYFUNCTION("""COMPUTED_VALUE"""),43752.7055555555)</f>
        <v>43752.705555555498</v>
      </c>
      <c r="T2363" s="111">
        <f ca="1">IFERROR(__xludf.DUMMYFUNCTION("""COMPUTED_VALUE"""),46.12)</f>
        <v>46.12</v>
      </c>
    </row>
    <row r="2364" spans="1:20" x14ac:dyDescent="0.3">
      <c r="A2364" s="112">
        <f ca="1">IFERROR(__xludf.DUMMYFUNCTION("""COMPUTED_VALUE"""),43748.7055555555)</f>
        <v>43748.705555555498</v>
      </c>
      <c r="B2364" s="111">
        <f ca="1">IFERROR(__xludf.DUMMYFUNCTION("""COMPUTED_VALUE"""),34.91)</f>
        <v>34.909999999999997</v>
      </c>
      <c r="C2364" s="112">
        <f ca="1">IFERROR(__xludf.DUMMYFUNCTION("""COMPUTED_VALUE"""),43756.7055555555)</f>
        <v>43756.705555555498</v>
      </c>
      <c r="D2364" s="111">
        <f ca="1">IFERROR(__xludf.DUMMYFUNCTION("""COMPUTED_VALUE"""),34.24)</f>
        <v>34.24</v>
      </c>
      <c r="E2364" s="112">
        <f ca="1">IFERROR(__xludf.DUMMYFUNCTION("""COMPUTED_VALUE"""),43759.7055555555)</f>
        <v>43759.705555555498</v>
      </c>
      <c r="F2364" s="111">
        <f ca="1">IFERROR(__xludf.DUMMYFUNCTION("""COMPUTED_VALUE"""),12.63)</f>
        <v>12.63</v>
      </c>
      <c r="G2364" s="112">
        <f ca="1">IFERROR(__xludf.DUMMYFUNCTION("""COMPUTED_VALUE"""),43755.7055555555)</f>
        <v>43755.705555555498</v>
      </c>
      <c r="H2364" s="111">
        <f ca="1">IFERROR(__xludf.DUMMYFUNCTION("""COMPUTED_VALUE"""),27.66)</f>
        <v>27.66</v>
      </c>
      <c r="K2364" s="112">
        <f ca="1">IFERROR(__xludf.DUMMYFUNCTION("""COMPUTED_VALUE"""),44209.7055555555)</f>
        <v>44209.705555555498</v>
      </c>
      <c r="L2364" s="111">
        <f ca="1">IFERROR(__xludf.DUMMYFUNCTION("""COMPUTED_VALUE"""),24.03)</f>
        <v>24.03</v>
      </c>
      <c r="M2364" s="112">
        <f ca="1">IFERROR(__xludf.DUMMYFUNCTION("""COMPUTED_VALUE"""),43669.7055555555)</f>
        <v>43669.705555555498</v>
      </c>
      <c r="N2364" s="111">
        <f ca="1">IFERROR(__xludf.DUMMYFUNCTION("""COMPUTED_VALUE"""),31.61)</f>
        <v>31.61</v>
      </c>
      <c r="O2364" s="112">
        <f ca="1">IFERROR(__xludf.DUMMYFUNCTION("""COMPUTED_VALUE"""),43741.7055555555)</f>
        <v>43741.705555555498</v>
      </c>
      <c r="P2364" s="111">
        <f ca="1">IFERROR(__xludf.DUMMYFUNCTION("""COMPUTED_VALUE"""),45.44)</f>
        <v>45.44</v>
      </c>
      <c r="Q2364" s="112">
        <f ca="1">IFERROR(__xludf.DUMMYFUNCTION("""COMPUTED_VALUE"""),43740.7055555555)</f>
        <v>43740.705555555498</v>
      </c>
      <c r="R2364" s="111">
        <f ca="1">IFERROR(__xludf.DUMMYFUNCTION("""COMPUTED_VALUE"""),43.42)</f>
        <v>43.42</v>
      </c>
      <c r="S2364" s="112">
        <f ca="1">IFERROR(__xludf.DUMMYFUNCTION("""COMPUTED_VALUE"""),43753.7055555555)</f>
        <v>43753.705555555498</v>
      </c>
      <c r="T2364" s="111">
        <f ca="1">IFERROR(__xludf.DUMMYFUNCTION("""COMPUTED_VALUE"""),46.64)</f>
        <v>46.64</v>
      </c>
    </row>
    <row r="2365" spans="1:20" x14ac:dyDescent="0.3">
      <c r="A2365" s="112">
        <f ca="1">IFERROR(__xludf.DUMMYFUNCTION("""COMPUTED_VALUE"""),43749.7055555555)</f>
        <v>43749.705555555498</v>
      </c>
      <c r="B2365" s="111">
        <f ca="1">IFERROR(__xludf.DUMMYFUNCTION("""COMPUTED_VALUE"""),34.41)</f>
        <v>34.409999999999997</v>
      </c>
      <c r="C2365" s="112">
        <f ca="1">IFERROR(__xludf.DUMMYFUNCTION("""COMPUTED_VALUE"""),43759.7055555555)</f>
        <v>43759.705555555498</v>
      </c>
      <c r="D2365" s="111">
        <f ca="1">IFERROR(__xludf.DUMMYFUNCTION("""COMPUTED_VALUE"""),34.8)</f>
        <v>34.799999999999997</v>
      </c>
      <c r="E2365" s="112">
        <f ca="1">IFERROR(__xludf.DUMMYFUNCTION("""COMPUTED_VALUE"""),43760.7055555555)</f>
        <v>43760.705555555498</v>
      </c>
      <c r="F2365" s="111">
        <f ca="1">IFERROR(__xludf.DUMMYFUNCTION("""COMPUTED_VALUE"""),12.91)</f>
        <v>12.91</v>
      </c>
      <c r="G2365" s="112">
        <f ca="1">IFERROR(__xludf.DUMMYFUNCTION("""COMPUTED_VALUE"""),43756.7055555555)</f>
        <v>43756.705555555498</v>
      </c>
      <c r="H2365" s="111">
        <f ca="1">IFERROR(__xludf.DUMMYFUNCTION("""COMPUTED_VALUE"""),27.6)</f>
        <v>27.6</v>
      </c>
      <c r="K2365" s="112">
        <f ca="1">IFERROR(__xludf.DUMMYFUNCTION("""COMPUTED_VALUE"""),44210.7055555555)</f>
        <v>44210.705555555498</v>
      </c>
      <c r="L2365" s="111">
        <f ca="1">IFERROR(__xludf.DUMMYFUNCTION("""COMPUTED_VALUE"""),23.74)</f>
        <v>23.74</v>
      </c>
      <c r="M2365" s="112">
        <f ca="1">IFERROR(__xludf.DUMMYFUNCTION("""COMPUTED_VALUE"""),43670.7055555555)</f>
        <v>43670.705555555498</v>
      </c>
      <c r="N2365" s="111">
        <f ca="1">IFERROR(__xludf.DUMMYFUNCTION("""COMPUTED_VALUE"""),32.21)</f>
        <v>32.21</v>
      </c>
      <c r="O2365" s="112">
        <f ca="1">IFERROR(__xludf.DUMMYFUNCTION("""COMPUTED_VALUE"""),43742.7055555555)</f>
        <v>43742.705555555498</v>
      </c>
      <c r="P2365" s="111">
        <f ca="1">IFERROR(__xludf.DUMMYFUNCTION("""COMPUTED_VALUE"""),46.59)</f>
        <v>46.59</v>
      </c>
      <c r="Q2365" s="112">
        <f ca="1">IFERROR(__xludf.DUMMYFUNCTION("""COMPUTED_VALUE"""),43741.7055555555)</f>
        <v>43741.705555555498</v>
      </c>
      <c r="R2365" s="111">
        <f ca="1">IFERROR(__xludf.DUMMYFUNCTION("""COMPUTED_VALUE"""),45.29)</f>
        <v>45.29</v>
      </c>
      <c r="S2365" s="112">
        <f ca="1">IFERROR(__xludf.DUMMYFUNCTION("""COMPUTED_VALUE"""),43754.7055555555)</f>
        <v>43754.705555555498</v>
      </c>
      <c r="T2365" s="111">
        <f ca="1">IFERROR(__xludf.DUMMYFUNCTION("""COMPUTED_VALUE"""),47.12)</f>
        <v>47.12</v>
      </c>
    </row>
    <row r="2366" spans="1:20" x14ac:dyDescent="0.3">
      <c r="A2366" s="112">
        <f ca="1">IFERROR(__xludf.DUMMYFUNCTION("""COMPUTED_VALUE"""),43752.7055555555)</f>
        <v>43752.705555555498</v>
      </c>
      <c r="B2366" s="111">
        <f ca="1">IFERROR(__xludf.DUMMYFUNCTION("""COMPUTED_VALUE"""),33.96)</f>
        <v>33.96</v>
      </c>
      <c r="C2366" s="112">
        <f ca="1">IFERROR(__xludf.DUMMYFUNCTION("""COMPUTED_VALUE"""),43760.7055555555)</f>
        <v>43760.705555555498</v>
      </c>
      <c r="D2366" s="111">
        <f ca="1">IFERROR(__xludf.DUMMYFUNCTION("""COMPUTED_VALUE"""),35.88)</f>
        <v>35.880000000000003</v>
      </c>
      <c r="E2366" s="112">
        <f ca="1">IFERROR(__xludf.DUMMYFUNCTION("""COMPUTED_VALUE"""),43761.7055555555)</f>
        <v>43761.705555555498</v>
      </c>
      <c r="F2366" s="111">
        <f ca="1">IFERROR(__xludf.DUMMYFUNCTION("""COMPUTED_VALUE"""),13.01)</f>
        <v>13.01</v>
      </c>
      <c r="G2366" s="112">
        <f ca="1">IFERROR(__xludf.DUMMYFUNCTION("""COMPUTED_VALUE"""),43759.7055555555)</f>
        <v>43759.705555555498</v>
      </c>
      <c r="H2366" s="111">
        <f ca="1">IFERROR(__xludf.DUMMYFUNCTION("""COMPUTED_VALUE"""),27.77)</f>
        <v>27.77</v>
      </c>
      <c r="K2366" s="112">
        <f ca="1">IFERROR(__xludf.DUMMYFUNCTION("""COMPUTED_VALUE"""),44211.7055555555)</f>
        <v>44211.705555555498</v>
      </c>
      <c r="L2366" s="111">
        <f ca="1">IFERROR(__xludf.DUMMYFUNCTION("""COMPUTED_VALUE"""),23.97)</f>
        <v>23.97</v>
      </c>
      <c r="M2366" s="112">
        <f ca="1">IFERROR(__xludf.DUMMYFUNCTION("""COMPUTED_VALUE"""),43671.7055555555)</f>
        <v>43671.705555555498</v>
      </c>
      <c r="N2366" s="111">
        <f ca="1">IFERROR(__xludf.DUMMYFUNCTION("""COMPUTED_VALUE"""),30.33)</f>
        <v>30.33</v>
      </c>
      <c r="O2366" s="112">
        <f ca="1">IFERROR(__xludf.DUMMYFUNCTION("""COMPUTED_VALUE"""),43745.7055555555)</f>
        <v>43745.705555555498</v>
      </c>
      <c r="P2366" s="111">
        <f ca="1">IFERROR(__xludf.DUMMYFUNCTION("""COMPUTED_VALUE"""),46.04)</f>
        <v>46.04</v>
      </c>
      <c r="Q2366" s="112">
        <f ca="1">IFERROR(__xludf.DUMMYFUNCTION("""COMPUTED_VALUE"""),43742.7055555555)</f>
        <v>43742.705555555498</v>
      </c>
      <c r="R2366" s="111">
        <f ca="1">IFERROR(__xludf.DUMMYFUNCTION("""COMPUTED_VALUE"""),45.6)</f>
        <v>45.6</v>
      </c>
      <c r="S2366" s="112">
        <f ca="1">IFERROR(__xludf.DUMMYFUNCTION("""COMPUTED_VALUE"""),43755.7055555555)</f>
        <v>43755.705555555498</v>
      </c>
      <c r="T2366" s="111">
        <f ca="1">IFERROR(__xludf.DUMMYFUNCTION("""COMPUTED_VALUE"""),47.06)</f>
        <v>47.06</v>
      </c>
    </row>
    <row r="2367" spans="1:20" x14ac:dyDescent="0.3">
      <c r="A2367" s="112">
        <f ca="1">IFERROR(__xludf.DUMMYFUNCTION("""COMPUTED_VALUE"""),43753.7055555555)</f>
        <v>43753.705555555498</v>
      </c>
      <c r="B2367" s="111">
        <f ca="1">IFERROR(__xludf.DUMMYFUNCTION("""COMPUTED_VALUE"""),34.47)</f>
        <v>34.47</v>
      </c>
      <c r="C2367" s="112">
        <f ca="1">IFERROR(__xludf.DUMMYFUNCTION("""COMPUTED_VALUE"""),43761.7055555555)</f>
        <v>43761.705555555498</v>
      </c>
      <c r="D2367" s="111">
        <f ca="1">IFERROR(__xludf.DUMMYFUNCTION("""COMPUTED_VALUE"""),36.39)</f>
        <v>36.39</v>
      </c>
      <c r="E2367" s="112">
        <f ca="1">IFERROR(__xludf.DUMMYFUNCTION("""COMPUTED_VALUE"""),43762.7055555555)</f>
        <v>43762.705555555498</v>
      </c>
      <c r="F2367" s="111">
        <f ca="1">IFERROR(__xludf.DUMMYFUNCTION("""COMPUTED_VALUE"""),13)</f>
        <v>13</v>
      </c>
      <c r="G2367" s="112">
        <f ca="1">IFERROR(__xludf.DUMMYFUNCTION("""COMPUTED_VALUE"""),43760.7055555555)</f>
        <v>43760.705555555498</v>
      </c>
      <c r="H2367" s="111">
        <f ca="1">IFERROR(__xludf.DUMMYFUNCTION("""COMPUTED_VALUE"""),28.57)</f>
        <v>28.57</v>
      </c>
      <c r="K2367" s="112">
        <f ca="1">IFERROR(__xludf.DUMMYFUNCTION("""COMPUTED_VALUE"""),44214.7055555555)</f>
        <v>44214.705555555498</v>
      </c>
      <c r="L2367" s="111">
        <f ca="1">IFERROR(__xludf.DUMMYFUNCTION("""COMPUTED_VALUE"""),24.46)</f>
        <v>24.46</v>
      </c>
      <c r="M2367" s="112">
        <f ca="1">IFERROR(__xludf.DUMMYFUNCTION("""COMPUTED_VALUE"""),43672.7055555555)</f>
        <v>43672.705555555498</v>
      </c>
      <c r="N2367" s="111">
        <f ca="1">IFERROR(__xludf.DUMMYFUNCTION("""COMPUTED_VALUE"""),29.94)</f>
        <v>29.94</v>
      </c>
      <c r="O2367" s="112">
        <f ca="1">IFERROR(__xludf.DUMMYFUNCTION("""COMPUTED_VALUE"""),43746.7055555555)</f>
        <v>43746.705555555498</v>
      </c>
      <c r="P2367" s="111">
        <f ca="1">IFERROR(__xludf.DUMMYFUNCTION("""COMPUTED_VALUE"""),45.32)</f>
        <v>45.32</v>
      </c>
      <c r="Q2367" s="112">
        <f ca="1">IFERROR(__xludf.DUMMYFUNCTION("""COMPUTED_VALUE"""),43745.7055555555)</f>
        <v>43745.705555555498</v>
      </c>
      <c r="R2367" s="111">
        <f ca="1">IFERROR(__xludf.DUMMYFUNCTION("""COMPUTED_VALUE"""),43.8)</f>
        <v>43.8</v>
      </c>
      <c r="S2367" s="112">
        <f ca="1">IFERROR(__xludf.DUMMYFUNCTION("""COMPUTED_VALUE"""),43756.7055555555)</f>
        <v>43756.705555555498</v>
      </c>
      <c r="T2367" s="111">
        <f ca="1">IFERROR(__xludf.DUMMYFUNCTION("""COMPUTED_VALUE"""),46.64)</f>
        <v>46.64</v>
      </c>
    </row>
    <row r="2368" spans="1:20" x14ac:dyDescent="0.3">
      <c r="A2368" s="112">
        <f ca="1">IFERROR(__xludf.DUMMYFUNCTION("""COMPUTED_VALUE"""),43754.7055555555)</f>
        <v>43754.705555555498</v>
      </c>
      <c r="B2368" s="111">
        <f ca="1">IFERROR(__xludf.DUMMYFUNCTION("""COMPUTED_VALUE"""),35.97)</f>
        <v>35.97</v>
      </c>
      <c r="C2368" s="112">
        <f ca="1">IFERROR(__xludf.DUMMYFUNCTION("""COMPUTED_VALUE"""),43762.7055555555)</f>
        <v>43762.705555555498</v>
      </c>
      <c r="D2368" s="111">
        <f ca="1">IFERROR(__xludf.DUMMYFUNCTION("""COMPUTED_VALUE"""),36.56)</f>
        <v>36.56</v>
      </c>
      <c r="E2368" s="112">
        <f ca="1">IFERROR(__xludf.DUMMYFUNCTION("""COMPUTED_VALUE"""),43763.7055555555)</f>
        <v>43763.705555555498</v>
      </c>
      <c r="F2368" s="111">
        <f ca="1">IFERROR(__xludf.DUMMYFUNCTION("""COMPUTED_VALUE"""),13.13)</f>
        <v>13.13</v>
      </c>
      <c r="G2368" s="112">
        <f ca="1">IFERROR(__xludf.DUMMYFUNCTION("""COMPUTED_VALUE"""),43761.7055555555)</f>
        <v>43761.705555555498</v>
      </c>
      <c r="H2368" s="111">
        <f ca="1">IFERROR(__xludf.DUMMYFUNCTION("""COMPUTED_VALUE"""),28.95)</f>
        <v>28.95</v>
      </c>
      <c r="K2368" s="112">
        <f ca="1">IFERROR(__xludf.DUMMYFUNCTION("""COMPUTED_VALUE"""),44215.7055555555)</f>
        <v>44215.705555555498</v>
      </c>
      <c r="L2368" s="111">
        <f ca="1">IFERROR(__xludf.DUMMYFUNCTION("""COMPUTED_VALUE"""),24.09)</f>
        <v>24.09</v>
      </c>
      <c r="M2368" s="112">
        <f ca="1">IFERROR(__xludf.DUMMYFUNCTION("""COMPUTED_VALUE"""),43675.7055555555)</f>
        <v>43675.705555555498</v>
      </c>
      <c r="N2368" s="111">
        <f ca="1">IFERROR(__xludf.DUMMYFUNCTION("""COMPUTED_VALUE"""),29.88)</f>
        <v>29.88</v>
      </c>
      <c r="O2368" s="112">
        <f ca="1">IFERROR(__xludf.DUMMYFUNCTION("""COMPUTED_VALUE"""),43747.7055555555)</f>
        <v>43747.705555555498</v>
      </c>
      <c r="P2368" s="111">
        <f ca="1">IFERROR(__xludf.DUMMYFUNCTION("""COMPUTED_VALUE"""),45.67)</f>
        <v>45.67</v>
      </c>
      <c r="Q2368" s="112">
        <f ca="1">IFERROR(__xludf.DUMMYFUNCTION("""COMPUTED_VALUE"""),43746.7055555555)</f>
        <v>43746.705555555498</v>
      </c>
      <c r="R2368" s="111">
        <f ca="1">IFERROR(__xludf.DUMMYFUNCTION("""COMPUTED_VALUE"""),43.01)</f>
        <v>43.01</v>
      </c>
      <c r="S2368" s="112">
        <f ca="1">IFERROR(__xludf.DUMMYFUNCTION("""COMPUTED_VALUE"""),43759.7055555555)</f>
        <v>43759.705555555498</v>
      </c>
      <c r="T2368" s="111">
        <f ca="1">IFERROR(__xludf.DUMMYFUNCTION("""COMPUTED_VALUE"""),47.35)</f>
        <v>47.35</v>
      </c>
    </row>
    <row r="2369" spans="1:20" x14ac:dyDescent="0.3">
      <c r="A2369" s="112">
        <f ca="1">IFERROR(__xludf.DUMMYFUNCTION("""COMPUTED_VALUE"""),43755.7055555555)</f>
        <v>43755.705555555498</v>
      </c>
      <c r="B2369" s="111">
        <f ca="1">IFERROR(__xludf.DUMMYFUNCTION("""COMPUTED_VALUE"""),35.96)</f>
        <v>35.96</v>
      </c>
      <c r="C2369" s="112">
        <f ca="1">IFERROR(__xludf.DUMMYFUNCTION("""COMPUTED_VALUE"""),43763.7055555555)</f>
        <v>43763.705555555498</v>
      </c>
      <c r="D2369" s="111">
        <f ca="1">IFERROR(__xludf.DUMMYFUNCTION("""COMPUTED_VALUE"""),36.8)</f>
        <v>36.799999999999997</v>
      </c>
      <c r="E2369" s="112">
        <f ca="1">IFERROR(__xludf.DUMMYFUNCTION("""COMPUTED_VALUE"""),43766.7055555555)</f>
        <v>43766.705555555498</v>
      </c>
      <c r="F2369" s="111">
        <f ca="1">IFERROR(__xludf.DUMMYFUNCTION("""COMPUTED_VALUE"""),13.25)</f>
        <v>13.25</v>
      </c>
      <c r="G2369" s="112">
        <f ca="1">IFERROR(__xludf.DUMMYFUNCTION("""COMPUTED_VALUE"""),43762.7055555555)</f>
        <v>43762.705555555498</v>
      </c>
      <c r="H2369" s="111">
        <f ca="1">IFERROR(__xludf.DUMMYFUNCTION("""COMPUTED_VALUE"""),28.32)</f>
        <v>28.32</v>
      </c>
      <c r="K2369" s="112">
        <f ca="1">IFERROR(__xludf.DUMMYFUNCTION("""COMPUTED_VALUE"""),44216.7055555555)</f>
        <v>44216.705555555498</v>
      </c>
      <c r="L2369" s="111">
        <f ca="1">IFERROR(__xludf.DUMMYFUNCTION("""COMPUTED_VALUE"""),25.43)</f>
        <v>25.43</v>
      </c>
      <c r="M2369" s="112">
        <f ca="1">IFERROR(__xludf.DUMMYFUNCTION("""COMPUTED_VALUE"""),43676.7055555555)</f>
        <v>43676.705555555498</v>
      </c>
      <c r="N2369" s="111">
        <f ca="1">IFERROR(__xludf.DUMMYFUNCTION("""COMPUTED_VALUE"""),29.26)</f>
        <v>29.26</v>
      </c>
      <c r="O2369" s="112">
        <f ca="1">IFERROR(__xludf.DUMMYFUNCTION("""COMPUTED_VALUE"""),43748.7055555555)</f>
        <v>43748.705555555498</v>
      </c>
      <c r="P2369" s="111">
        <f ca="1">IFERROR(__xludf.DUMMYFUNCTION("""COMPUTED_VALUE"""),47.24)</f>
        <v>47.24</v>
      </c>
      <c r="Q2369" s="112">
        <f ca="1">IFERROR(__xludf.DUMMYFUNCTION("""COMPUTED_VALUE"""),43747.7055555555)</f>
        <v>43747.705555555498</v>
      </c>
      <c r="R2369" s="111">
        <f ca="1">IFERROR(__xludf.DUMMYFUNCTION("""COMPUTED_VALUE"""),44.2)</f>
        <v>44.2</v>
      </c>
      <c r="S2369" s="112">
        <f ca="1">IFERROR(__xludf.DUMMYFUNCTION("""COMPUTED_VALUE"""),43760.7055555555)</f>
        <v>43760.705555555498</v>
      </c>
      <c r="T2369" s="111">
        <f ca="1">IFERROR(__xludf.DUMMYFUNCTION("""COMPUTED_VALUE"""),47.19)</f>
        <v>47.19</v>
      </c>
    </row>
    <row r="2370" spans="1:20" x14ac:dyDescent="0.3">
      <c r="A2370" s="112">
        <f ca="1">IFERROR(__xludf.DUMMYFUNCTION("""COMPUTED_VALUE"""),43756.7055555555)</f>
        <v>43756.705555555498</v>
      </c>
      <c r="B2370" s="111">
        <f ca="1">IFERROR(__xludf.DUMMYFUNCTION("""COMPUTED_VALUE"""),37.77)</f>
        <v>37.770000000000003</v>
      </c>
      <c r="C2370" s="112">
        <f ca="1">IFERROR(__xludf.DUMMYFUNCTION("""COMPUTED_VALUE"""),43766.7055555555)</f>
        <v>43766.705555555498</v>
      </c>
      <c r="D2370" s="111">
        <f ca="1">IFERROR(__xludf.DUMMYFUNCTION("""COMPUTED_VALUE"""),37.3)</f>
        <v>37.299999999999997</v>
      </c>
      <c r="E2370" s="112">
        <f ca="1">IFERROR(__xludf.DUMMYFUNCTION("""COMPUTED_VALUE"""),43767.7055555555)</f>
        <v>43767.705555555498</v>
      </c>
      <c r="F2370" s="111">
        <f ca="1">IFERROR(__xludf.DUMMYFUNCTION("""COMPUTED_VALUE"""),13.12)</f>
        <v>13.12</v>
      </c>
      <c r="G2370" s="112">
        <f ca="1">IFERROR(__xludf.DUMMYFUNCTION("""COMPUTED_VALUE"""),43763.7055555555)</f>
        <v>43763.705555555498</v>
      </c>
      <c r="H2370" s="111">
        <f ca="1">IFERROR(__xludf.DUMMYFUNCTION("""COMPUTED_VALUE"""),29.25)</f>
        <v>29.25</v>
      </c>
      <c r="K2370" s="112">
        <f ca="1">IFERROR(__xludf.DUMMYFUNCTION("""COMPUTED_VALUE"""),44217.7055555555)</f>
        <v>44217.705555555498</v>
      </c>
      <c r="L2370" s="111">
        <f ca="1">IFERROR(__xludf.DUMMYFUNCTION("""COMPUTED_VALUE"""),25.5)</f>
        <v>25.5</v>
      </c>
      <c r="M2370" s="112">
        <f ca="1">IFERROR(__xludf.DUMMYFUNCTION("""COMPUTED_VALUE"""),43677.7055555555)</f>
        <v>43677.705555555498</v>
      </c>
      <c r="N2370" s="111">
        <f ca="1">IFERROR(__xludf.DUMMYFUNCTION("""COMPUTED_VALUE"""),28.51)</f>
        <v>28.51</v>
      </c>
      <c r="O2370" s="112">
        <f ca="1">IFERROR(__xludf.DUMMYFUNCTION("""COMPUTED_VALUE"""),43749.7055555555)</f>
        <v>43749.705555555498</v>
      </c>
      <c r="P2370" s="111">
        <f ca="1">IFERROR(__xludf.DUMMYFUNCTION("""COMPUTED_VALUE"""),48.64)</f>
        <v>48.64</v>
      </c>
      <c r="Q2370" s="112">
        <f ca="1">IFERROR(__xludf.DUMMYFUNCTION("""COMPUTED_VALUE"""),43748.7055555555)</f>
        <v>43748.705555555498</v>
      </c>
      <c r="R2370" s="111">
        <f ca="1">IFERROR(__xludf.DUMMYFUNCTION("""COMPUTED_VALUE"""),44.4)</f>
        <v>44.4</v>
      </c>
      <c r="S2370" s="112">
        <f ca="1">IFERROR(__xludf.DUMMYFUNCTION("""COMPUTED_VALUE"""),43761.7055555555)</f>
        <v>43761.705555555498</v>
      </c>
      <c r="T2370" s="111">
        <f ca="1">IFERROR(__xludf.DUMMYFUNCTION("""COMPUTED_VALUE"""),46.45)</f>
        <v>46.45</v>
      </c>
    </row>
    <row r="2371" spans="1:20" x14ac:dyDescent="0.3">
      <c r="A2371" s="112">
        <f ca="1">IFERROR(__xludf.DUMMYFUNCTION("""COMPUTED_VALUE"""),43759.7055555555)</f>
        <v>43759.705555555498</v>
      </c>
      <c r="B2371" s="111">
        <f ca="1">IFERROR(__xludf.DUMMYFUNCTION("""COMPUTED_VALUE"""),37.73)</f>
        <v>37.729999999999997</v>
      </c>
      <c r="C2371" s="112">
        <f ca="1">IFERROR(__xludf.DUMMYFUNCTION("""COMPUTED_VALUE"""),43767.7055555555)</f>
        <v>43767.705555555498</v>
      </c>
      <c r="D2371" s="111">
        <f ca="1">IFERROR(__xludf.DUMMYFUNCTION("""COMPUTED_VALUE"""),36.64)</f>
        <v>36.64</v>
      </c>
      <c r="E2371" s="112">
        <f ca="1">IFERROR(__xludf.DUMMYFUNCTION("""COMPUTED_VALUE"""),43768.7055555555)</f>
        <v>43768.705555555498</v>
      </c>
      <c r="F2371" s="111">
        <f ca="1">IFERROR(__xludf.DUMMYFUNCTION("""COMPUTED_VALUE"""),13.29)</f>
        <v>13.29</v>
      </c>
      <c r="G2371" s="112">
        <f ca="1">IFERROR(__xludf.DUMMYFUNCTION("""COMPUTED_VALUE"""),43766.7055555555)</f>
        <v>43766.705555555498</v>
      </c>
      <c r="H2371" s="111">
        <f ca="1">IFERROR(__xludf.DUMMYFUNCTION("""COMPUTED_VALUE"""),29.6)</f>
        <v>29.6</v>
      </c>
      <c r="K2371" s="112">
        <f ca="1">IFERROR(__xludf.DUMMYFUNCTION("""COMPUTED_VALUE"""),44218.7055555555)</f>
        <v>44218.705555555498</v>
      </c>
      <c r="L2371" s="111">
        <f ca="1">IFERROR(__xludf.DUMMYFUNCTION("""COMPUTED_VALUE"""),26)</f>
        <v>26</v>
      </c>
      <c r="M2371" s="112">
        <f ca="1">IFERROR(__xludf.DUMMYFUNCTION("""COMPUTED_VALUE"""),43678.7055555555)</f>
        <v>43678.705555555498</v>
      </c>
      <c r="N2371" s="111">
        <f ca="1">IFERROR(__xludf.DUMMYFUNCTION("""COMPUTED_VALUE"""),28.26)</f>
        <v>28.26</v>
      </c>
      <c r="O2371" s="112">
        <f ca="1">IFERROR(__xludf.DUMMYFUNCTION("""COMPUTED_VALUE"""),43752.7055555555)</f>
        <v>43752.705555555498</v>
      </c>
      <c r="P2371" s="111">
        <f ca="1">IFERROR(__xludf.DUMMYFUNCTION("""COMPUTED_VALUE"""),47.99)</f>
        <v>47.99</v>
      </c>
      <c r="Q2371" s="112">
        <f ca="1">IFERROR(__xludf.DUMMYFUNCTION("""COMPUTED_VALUE"""),43749.7055555555)</f>
        <v>43749.705555555498</v>
      </c>
      <c r="R2371" s="111">
        <f ca="1">IFERROR(__xludf.DUMMYFUNCTION("""COMPUTED_VALUE"""),45.23)</f>
        <v>45.23</v>
      </c>
      <c r="S2371" s="112">
        <f ca="1">IFERROR(__xludf.DUMMYFUNCTION("""COMPUTED_VALUE"""),43762.7055555555)</f>
        <v>43762.705555555498</v>
      </c>
      <c r="T2371" s="111">
        <f ca="1">IFERROR(__xludf.DUMMYFUNCTION("""COMPUTED_VALUE"""),44.79)</f>
        <v>44.79</v>
      </c>
    </row>
    <row r="2372" spans="1:20" x14ac:dyDescent="0.3">
      <c r="A2372" s="112">
        <f ca="1">IFERROR(__xludf.DUMMYFUNCTION("""COMPUTED_VALUE"""),43760.7055555555)</f>
        <v>43760.705555555498</v>
      </c>
      <c r="B2372" s="111">
        <f ca="1">IFERROR(__xludf.DUMMYFUNCTION("""COMPUTED_VALUE"""),37.13)</f>
        <v>37.130000000000003</v>
      </c>
      <c r="C2372" s="112">
        <f ca="1">IFERROR(__xludf.DUMMYFUNCTION("""COMPUTED_VALUE"""),43768.7055555555)</f>
        <v>43768.705555555498</v>
      </c>
      <c r="D2372" s="111">
        <f ca="1">IFERROR(__xludf.DUMMYFUNCTION("""COMPUTED_VALUE"""),36.87)</f>
        <v>36.869999999999997</v>
      </c>
      <c r="E2372" s="112">
        <f ca="1">IFERROR(__xludf.DUMMYFUNCTION("""COMPUTED_VALUE"""),43769.7055555555)</f>
        <v>43769.705555555498</v>
      </c>
      <c r="F2372" s="111">
        <f ca="1">IFERROR(__xludf.DUMMYFUNCTION("""COMPUTED_VALUE"""),13.06)</f>
        <v>13.06</v>
      </c>
      <c r="G2372" s="112">
        <f ca="1">IFERROR(__xludf.DUMMYFUNCTION("""COMPUTED_VALUE"""),43767.7055555555)</f>
        <v>43767.705555555498</v>
      </c>
      <c r="H2372" s="111">
        <f ca="1">IFERROR(__xludf.DUMMYFUNCTION("""COMPUTED_VALUE"""),29.82)</f>
        <v>29.82</v>
      </c>
      <c r="K2372" s="112">
        <f ca="1">IFERROR(__xludf.DUMMYFUNCTION("""COMPUTED_VALUE"""),44222.7055555555)</f>
        <v>44222.705555555498</v>
      </c>
      <c r="L2372" s="111">
        <f ca="1">IFERROR(__xludf.DUMMYFUNCTION("""COMPUTED_VALUE"""),25.76)</f>
        <v>25.76</v>
      </c>
      <c r="M2372" s="112">
        <f ca="1">IFERROR(__xludf.DUMMYFUNCTION("""COMPUTED_VALUE"""),43679.7055555555)</f>
        <v>43679.705555555498</v>
      </c>
      <c r="N2372" s="111">
        <f ca="1">IFERROR(__xludf.DUMMYFUNCTION("""COMPUTED_VALUE"""),28.33)</f>
        <v>28.33</v>
      </c>
      <c r="O2372" s="112">
        <f ca="1">IFERROR(__xludf.DUMMYFUNCTION("""COMPUTED_VALUE"""),43753.7055555555)</f>
        <v>43753.705555555498</v>
      </c>
      <c r="P2372" s="111">
        <f ca="1">IFERROR(__xludf.DUMMYFUNCTION("""COMPUTED_VALUE"""),47.91)</f>
        <v>47.91</v>
      </c>
      <c r="Q2372" s="112">
        <f ca="1">IFERROR(__xludf.DUMMYFUNCTION("""COMPUTED_VALUE"""),43752.7055555555)</f>
        <v>43752.705555555498</v>
      </c>
      <c r="R2372" s="111">
        <f ca="1">IFERROR(__xludf.DUMMYFUNCTION("""COMPUTED_VALUE"""),45)</f>
        <v>45</v>
      </c>
      <c r="S2372" s="112">
        <f ca="1">IFERROR(__xludf.DUMMYFUNCTION("""COMPUTED_VALUE"""),43763.7055555555)</f>
        <v>43763.705555555498</v>
      </c>
      <c r="T2372" s="111">
        <f ca="1">IFERROR(__xludf.DUMMYFUNCTION("""COMPUTED_VALUE"""),45.91)</f>
        <v>45.91</v>
      </c>
    </row>
    <row r="2373" spans="1:20" x14ac:dyDescent="0.3">
      <c r="A2373" s="112">
        <f ca="1">IFERROR(__xludf.DUMMYFUNCTION("""COMPUTED_VALUE"""),43761.7055555555)</f>
        <v>43761.705555555498</v>
      </c>
      <c r="B2373" s="111">
        <f ca="1">IFERROR(__xludf.DUMMYFUNCTION("""COMPUTED_VALUE"""),37.09)</f>
        <v>37.090000000000003</v>
      </c>
      <c r="C2373" s="112">
        <f ca="1">IFERROR(__xludf.DUMMYFUNCTION("""COMPUTED_VALUE"""),43769.7055555555)</f>
        <v>43769.705555555498</v>
      </c>
      <c r="D2373" s="111">
        <f ca="1">IFERROR(__xludf.DUMMYFUNCTION("""COMPUTED_VALUE"""),36.23)</f>
        <v>36.229999999999997</v>
      </c>
      <c r="E2373" s="112">
        <f ca="1">IFERROR(__xludf.DUMMYFUNCTION("""COMPUTED_VALUE"""),43770.7055555555)</f>
        <v>43770.705555555498</v>
      </c>
      <c r="F2373" s="111">
        <f ca="1">IFERROR(__xludf.DUMMYFUNCTION("""COMPUTED_VALUE"""),13.1)</f>
        <v>13.1</v>
      </c>
      <c r="G2373" s="112">
        <f ca="1">IFERROR(__xludf.DUMMYFUNCTION("""COMPUTED_VALUE"""),43768.7055555555)</f>
        <v>43768.705555555498</v>
      </c>
      <c r="H2373" s="111">
        <f ca="1">IFERROR(__xludf.DUMMYFUNCTION("""COMPUTED_VALUE"""),30.08)</f>
        <v>30.08</v>
      </c>
      <c r="K2373" s="112">
        <f ca="1">IFERROR(__xludf.DUMMYFUNCTION("""COMPUTED_VALUE"""),44223.7055555555)</f>
        <v>44223.705555555498</v>
      </c>
      <c r="L2373" s="111">
        <f ca="1">IFERROR(__xludf.DUMMYFUNCTION("""COMPUTED_VALUE"""),25.8)</f>
        <v>25.8</v>
      </c>
      <c r="M2373" s="112">
        <f ca="1">IFERROR(__xludf.DUMMYFUNCTION("""COMPUTED_VALUE"""),43682.7055555555)</f>
        <v>43682.705555555498</v>
      </c>
      <c r="N2373" s="111">
        <f ca="1">IFERROR(__xludf.DUMMYFUNCTION("""COMPUTED_VALUE"""),27.82)</f>
        <v>27.82</v>
      </c>
      <c r="O2373" s="112">
        <f ca="1">IFERROR(__xludf.DUMMYFUNCTION("""COMPUTED_VALUE"""),43754.7055555555)</f>
        <v>43754.705555555498</v>
      </c>
      <c r="P2373" s="111">
        <f ca="1">IFERROR(__xludf.DUMMYFUNCTION("""COMPUTED_VALUE"""),46.8)</f>
        <v>46.8</v>
      </c>
      <c r="Q2373" s="112">
        <f ca="1">IFERROR(__xludf.DUMMYFUNCTION("""COMPUTED_VALUE"""),43753.7055555555)</f>
        <v>43753.705555555498</v>
      </c>
      <c r="R2373" s="111">
        <f ca="1">IFERROR(__xludf.DUMMYFUNCTION("""COMPUTED_VALUE"""),44.38)</f>
        <v>44.38</v>
      </c>
      <c r="S2373" s="112">
        <f ca="1">IFERROR(__xludf.DUMMYFUNCTION("""COMPUTED_VALUE"""),43766.7055555555)</f>
        <v>43766.705555555498</v>
      </c>
      <c r="T2373" s="111">
        <f ca="1">IFERROR(__xludf.DUMMYFUNCTION("""COMPUTED_VALUE"""),45.5)</f>
        <v>45.5</v>
      </c>
    </row>
    <row r="2374" spans="1:20" x14ac:dyDescent="0.3">
      <c r="A2374" s="112">
        <f ca="1">IFERROR(__xludf.DUMMYFUNCTION("""COMPUTED_VALUE"""),43762.7055555555)</f>
        <v>43762.705555555498</v>
      </c>
      <c r="B2374" s="111">
        <f ca="1">IFERROR(__xludf.DUMMYFUNCTION("""COMPUTED_VALUE"""),36.93)</f>
        <v>36.93</v>
      </c>
      <c r="C2374" s="112">
        <f ca="1">IFERROR(__xludf.DUMMYFUNCTION("""COMPUTED_VALUE"""),43770.7055555555)</f>
        <v>43770.705555555498</v>
      </c>
      <c r="D2374" s="111">
        <f ca="1">IFERROR(__xludf.DUMMYFUNCTION("""COMPUTED_VALUE"""),36.35)</f>
        <v>36.35</v>
      </c>
      <c r="E2374" s="112">
        <f ca="1">IFERROR(__xludf.DUMMYFUNCTION("""COMPUTED_VALUE"""),43773.7055555555)</f>
        <v>43773.705555555498</v>
      </c>
      <c r="F2374" s="111">
        <f ca="1">IFERROR(__xludf.DUMMYFUNCTION("""COMPUTED_VALUE"""),13.24)</f>
        <v>13.24</v>
      </c>
      <c r="G2374" s="112">
        <f ca="1">IFERROR(__xludf.DUMMYFUNCTION("""COMPUTED_VALUE"""),43769.7055555555)</f>
        <v>43769.705555555498</v>
      </c>
      <c r="H2374" s="111">
        <f ca="1">IFERROR(__xludf.DUMMYFUNCTION("""COMPUTED_VALUE"""),30.39)</f>
        <v>30.39</v>
      </c>
      <c r="K2374" s="112">
        <f ca="1">IFERROR(__xludf.DUMMYFUNCTION("""COMPUTED_VALUE"""),44224.7055555555)</f>
        <v>44224.705555555498</v>
      </c>
      <c r="L2374" s="111">
        <f ca="1">IFERROR(__xludf.DUMMYFUNCTION("""COMPUTED_VALUE"""),26.2)</f>
        <v>26.2</v>
      </c>
      <c r="M2374" s="112">
        <f ca="1">IFERROR(__xludf.DUMMYFUNCTION("""COMPUTED_VALUE"""),43683.7055555555)</f>
        <v>43683.705555555498</v>
      </c>
      <c r="N2374" s="111">
        <f ca="1">IFERROR(__xludf.DUMMYFUNCTION("""COMPUTED_VALUE"""),28.24)</f>
        <v>28.24</v>
      </c>
      <c r="O2374" s="112">
        <f ca="1">IFERROR(__xludf.DUMMYFUNCTION("""COMPUTED_VALUE"""),43755.7055555555)</f>
        <v>43755.705555555498</v>
      </c>
      <c r="P2374" s="111">
        <f ca="1">IFERROR(__xludf.DUMMYFUNCTION("""COMPUTED_VALUE"""),46.71)</f>
        <v>46.71</v>
      </c>
      <c r="Q2374" s="112">
        <f ca="1">IFERROR(__xludf.DUMMYFUNCTION("""COMPUTED_VALUE"""),43754.7055555555)</f>
        <v>43754.705555555498</v>
      </c>
      <c r="R2374" s="111">
        <f ca="1">IFERROR(__xludf.DUMMYFUNCTION("""COMPUTED_VALUE"""),45)</f>
        <v>45</v>
      </c>
      <c r="S2374" s="112">
        <f ca="1">IFERROR(__xludf.DUMMYFUNCTION("""COMPUTED_VALUE"""),43767.7055555555)</f>
        <v>43767.705555555498</v>
      </c>
      <c r="T2374" s="111">
        <f ca="1">IFERROR(__xludf.DUMMYFUNCTION("""COMPUTED_VALUE"""),45.65)</f>
        <v>45.65</v>
      </c>
    </row>
    <row r="2375" spans="1:20" x14ac:dyDescent="0.3">
      <c r="A2375" s="112">
        <f ca="1">IFERROR(__xludf.DUMMYFUNCTION("""COMPUTED_VALUE"""),43763.7055555555)</f>
        <v>43763.705555555498</v>
      </c>
      <c r="B2375" s="111">
        <f ca="1">IFERROR(__xludf.DUMMYFUNCTION("""COMPUTED_VALUE"""),37.03)</f>
        <v>37.03</v>
      </c>
      <c r="C2375" s="112">
        <f ca="1">IFERROR(__xludf.DUMMYFUNCTION("""COMPUTED_VALUE"""),43773.7055555555)</f>
        <v>43773.705555555498</v>
      </c>
      <c r="D2375" s="111">
        <f ca="1">IFERROR(__xludf.DUMMYFUNCTION("""COMPUTED_VALUE"""),36.47)</f>
        <v>36.47</v>
      </c>
      <c r="E2375" s="112">
        <f ca="1">IFERROR(__xludf.DUMMYFUNCTION("""COMPUTED_VALUE"""),43774.7055555555)</f>
        <v>43774.705555555498</v>
      </c>
      <c r="F2375" s="111">
        <f ca="1">IFERROR(__xludf.DUMMYFUNCTION("""COMPUTED_VALUE"""),13.4)</f>
        <v>13.4</v>
      </c>
      <c r="G2375" s="112">
        <f ca="1">IFERROR(__xludf.DUMMYFUNCTION("""COMPUTED_VALUE"""),43770.7055555555)</f>
        <v>43770.705555555498</v>
      </c>
      <c r="H2375" s="111">
        <f ca="1">IFERROR(__xludf.DUMMYFUNCTION("""COMPUTED_VALUE"""),30.43)</f>
        <v>30.43</v>
      </c>
      <c r="K2375" s="112">
        <f ca="1">IFERROR(__xludf.DUMMYFUNCTION("""COMPUTED_VALUE"""),44225.7055555555)</f>
        <v>44225.705555555498</v>
      </c>
      <c r="L2375" s="111">
        <f ca="1">IFERROR(__xludf.DUMMYFUNCTION("""COMPUTED_VALUE"""),25.28)</f>
        <v>25.28</v>
      </c>
      <c r="M2375" s="112">
        <f ca="1">IFERROR(__xludf.DUMMYFUNCTION("""COMPUTED_VALUE"""),43684.7055555555)</f>
        <v>43684.705555555498</v>
      </c>
      <c r="N2375" s="111">
        <f ca="1">IFERROR(__xludf.DUMMYFUNCTION("""COMPUTED_VALUE"""),28.83)</f>
        <v>28.83</v>
      </c>
      <c r="O2375" s="112">
        <f ca="1">IFERROR(__xludf.DUMMYFUNCTION("""COMPUTED_VALUE"""),43756.7055555555)</f>
        <v>43756.705555555498</v>
      </c>
      <c r="P2375" s="111">
        <f ca="1">IFERROR(__xludf.DUMMYFUNCTION("""COMPUTED_VALUE"""),46.03)</f>
        <v>46.03</v>
      </c>
      <c r="Q2375" s="112">
        <f ca="1">IFERROR(__xludf.DUMMYFUNCTION("""COMPUTED_VALUE"""),43755.7055555555)</f>
        <v>43755.705555555498</v>
      </c>
      <c r="R2375" s="111">
        <f ca="1">IFERROR(__xludf.DUMMYFUNCTION("""COMPUTED_VALUE"""),44.91)</f>
        <v>44.91</v>
      </c>
      <c r="S2375" s="112">
        <f ca="1">IFERROR(__xludf.DUMMYFUNCTION("""COMPUTED_VALUE"""),43768.7055555555)</f>
        <v>43768.705555555498</v>
      </c>
      <c r="T2375" s="111">
        <f ca="1">IFERROR(__xludf.DUMMYFUNCTION("""COMPUTED_VALUE"""),45.71)</f>
        <v>45.71</v>
      </c>
    </row>
    <row r="2376" spans="1:20" x14ac:dyDescent="0.3">
      <c r="A2376" s="112">
        <f ca="1">IFERROR(__xludf.DUMMYFUNCTION("""COMPUTED_VALUE"""),43766.7055555555)</f>
        <v>43766.705555555498</v>
      </c>
      <c r="B2376" s="111">
        <f ca="1">IFERROR(__xludf.DUMMYFUNCTION("""COMPUTED_VALUE"""),37.88)</f>
        <v>37.880000000000003</v>
      </c>
      <c r="C2376" s="112">
        <f ca="1">IFERROR(__xludf.DUMMYFUNCTION("""COMPUTED_VALUE"""),43774.7055555555)</f>
        <v>43774.705555555498</v>
      </c>
      <c r="D2376" s="111">
        <f ca="1">IFERROR(__xludf.DUMMYFUNCTION("""COMPUTED_VALUE"""),37.1)</f>
        <v>37.1</v>
      </c>
      <c r="E2376" s="112">
        <f ca="1">IFERROR(__xludf.DUMMYFUNCTION("""COMPUTED_VALUE"""),43775.7055555555)</f>
        <v>43775.705555555498</v>
      </c>
      <c r="F2376" s="111">
        <f ca="1">IFERROR(__xludf.DUMMYFUNCTION("""COMPUTED_VALUE"""),13.3)</f>
        <v>13.3</v>
      </c>
      <c r="G2376" s="112">
        <f ca="1">IFERROR(__xludf.DUMMYFUNCTION("""COMPUTED_VALUE"""),43773.7055555555)</f>
        <v>43773.705555555498</v>
      </c>
      <c r="H2376" s="111">
        <f ca="1">IFERROR(__xludf.DUMMYFUNCTION("""COMPUTED_VALUE"""),30.36)</f>
        <v>30.36</v>
      </c>
      <c r="K2376" s="112">
        <f ca="1">IFERROR(__xludf.DUMMYFUNCTION("""COMPUTED_VALUE"""),44228.7055555555)</f>
        <v>44228.705555555498</v>
      </c>
      <c r="L2376" s="111">
        <f ca="1">IFERROR(__xludf.DUMMYFUNCTION("""COMPUTED_VALUE"""),24.94)</f>
        <v>24.94</v>
      </c>
      <c r="M2376" s="112">
        <f ca="1">IFERROR(__xludf.DUMMYFUNCTION("""COMPUTED_VALUE"""),43685.7055555555)</f>
        <v>43685.705555555498</v>
      </c>
      <c r="N2376" s="111">
        <f ca="1">IFERROR(__xludf.DUMMYFUNCTION("""COMPUTED_VALUE"""),28.98)</f>
        <v>28.98</v>
      </c>
      <c r="O2376" s="112">
        <f ca="1">IFERROR(__xludf.DUMMYFUNCTION("""COMPUTED_VALUE"""),43759.7055555555)</f>
        <v>43759.705555555498</v>
      </c>
      <c r="P2376" s="111">
        <f ca="1">IFERROR(__xludf.DUMMYFUNCTION("""COMPUTED_VALUE"""),47.21)</f>
        <v>47.21</v>
      </c>
      <c r="Q2376" s="112">
        <f ca="1">IFERROR(__xludf.DUMMYFUNCTION("""COMPUTED_VALUE"""),43756.7055555555)</f>
        <v>43756.705555555498</v>
      </c>
      <c r="R2376" s="111">
        <f ca="1">IFERROR(__xludf.DUMMYFUNCTION("""COMPUTED_VALUE"""),46.06)</f>
        <v>46.06</v>
      </c>
      <c r="S2376" s="112">
        <f ca="1">IFERROR(__xludf.DUMMYFUNCTION("""COMPUTED_VALUE"""),43769.7055555555)</f>
        <v>43769.705555555498</v>
      </c>
      <c r="T2376" s="111">
        <f ca="1">IFERROR(__xludf.DUMMYFUNCTION("""COMPUTED_VALUE"""),46.14)</f>
        <v>46.14</v>
      </c>
    </row>
    <row r="2377" spans="1:20" x14ac:dyDescent="0.3">
      <c r="A2377" s="112">
        <f ca="1">IFERROR(__xludf.DUMMYFUNCTION("""COMPUTED_VALUE"""),43767.7055555555)</f>
        <v>43767.705555555498</v>
      </c>
      <c r="B2377" s="111">
        <f ca="1">IFERROR(__xludf.DUMMYFUNCTION("""COMPUTED_VALUE"""),37.3)</f>
        <v>37.299999999999997</v>
      </c>
      <c r="C2377" s="112">
        <f ca="1">IFERROR(__xludf.DUMMYFUNCTION("""COMPUTED_VALUE"""),43775.7055555555)</f>
        <v>43775.705555555498</v>
      </c>
      <c r="D2377" s="111">
        <f ca="1">IFERROR(__xludf.DUMMYFUNCTION("""COMPUTED_VALUE"""),36.6)</f>
        <v>36.6</v>
      </c>
      <c r="E2377" s="112">
        <f ca="1">IFERROR(__xludf.DUMMYFUNCTION("""COMPUTED_VALUE"""),43776.7055555555)</f>
        <v>43776.705555555498</v>
      </c>
      <c r="F2377" s="111">
        <f ca="1">IFERROR(__xludf.DUMMYFUNCTION("""COMPUTED_VALUE"""),13.28)</f>
        <v>13.28</v>
      </c>
      <c r="G2377" s="112">
        <f ca="1">IFERROR(__xludf.DUMMYFUNCTION("""COMPUTED_VALUE"""),43774.7055555555)</f>
        <v>43774.705555555498</v>
      </c>
      <c r="H2377" s="111">
        <f ca="1">IFERROR(__xludf.DUMMYFUNCTION("""COMPUTED_VALUE"""),29.65)</f>
        <v>29.65</v>
      </c>
      <c r="K2377" s="112">
        <f ca="1">IFERROR(__xludf.DUMMYFUNCTION("""COMPUTED_VALUE"""),44229.7055555555)</f>
        <v>44229.705555555498</v>
      </c>
      <c r="L2377" s="111">
        <f ca="1">IFERROR(__xludf.DUMMYFUNCTION("""COMPUTED_VALUE"""),25.31)</f>
        <v>25.31</v>
      </c>
      <c r="M2377" s="112">
        <f ca="1">IFERROR(__xludf.DUMMYFUNCTION("""COMPUTED_VALUE"""),43686.7055555555)</f>
        <v>43686.705555555498</v>
      </c>
      <c r="N2377" s="111">
        <f ca="1">IFERROR(__xludf.DUMMYFUNCTION("""COMPUTED_VALUE"""),28.5)</f>
        <v>28.5</v>
      </c>
      <c r="O2377" s="112">
        <f ca="1">IFERROR(__xludf.DUMMYFUNCTION("""COMPUTED_VALUE"""),43760.7055555555)</f>
        <v>43760.705555555498</v>
      </c>
      <c r="P2377" s="111">
        <f ca="1">IFERROR(__xludf.DUMMYFUNCTION("""COMPUTED_VALUE"""),47.3)</f>
        <v>47.3</v>
      </c>
      <c r="Q2377" s="112">
        <f ca="1">IFERROR(__xludf.DUMMYFUNCTION("""COMPUTED_VALUE"""),43759.7055555555)</f>
        <v>43759.705555555498</v>
      </c>
      <c r="R2377" s="111">
        <f ca="1">IFERROR(__xludf.DUMMYFUNCTION("""COMPUTED_VALUE"""),46.4)</f>
        <v>46.4</v>
      </c>
      <c r="S2377" s="112">
        <f ca="1">IFERROR(__xludf.DUMMYFUNCTION("""COMPUTED_VALUE"""),43770.7055555555)</f>
        <v>43770.705555555498</v>
      </c>
      <c r="T2377" s="111">
        <f ca="1">IFERROR(__xludf.DUMMYFUNCTION("""COMPUTED_VALUE"""),46.97)</f>
        <v>46.97</v>
      </c>
    </row>
    <row r="2378" spans="1:20" x14ac:dyDescent="0.3">
      <c r="A2378" s="112">
        <f ca="1">IFERROR(__xludf.DUMMYFUNCTION("""COMPUTED_VALUE"""),43768.7055555555)</f>
        <v>43768.705555555498</v>
      </c>
      <c r="B2378" s="111">
        <f ca="1">IFERROR(__xludf.DUMMYFUNCTION("""COMPUTED_VALUE"""),38.48)</f>
        <v>38.479999999999997</v>
      </c>
      <c r="C2378" s="112">
        <f ca="1">IFERROR(__xludf.DUMMYFUNCTION("""COMPUTED_VALUE"""),43776.7055555555)</f>
        <v>43776.705555555498</v>
      </c>
      <c r="D2378" s="111">
        <f ca="1">IFERROR(__xludf.DUMMYFUNCTION("""COMPUTED_VALUE"""),36.82)</f>
        <v>36.82</v>
      </c>
      <c r="E2378" s="112">
        <f ca="1">IFERROR(__xludf.DUMMYFUNCTION("""COMPUTED_VALUE"""),43777.7055555555)</f>
        <v>43777.705555555498</v>
      </c>
      <c r="F2378" s="111">
        <f ca="1">IFERROR(__xludf.DUMMYFUNCTION("""COMPUTED_VALUE"""),13.1)</f>
        <v>13.1</v>
      </c>
      <c r="G2378" s="112">
        <f ca="1">IFERROR(__xludf.DUMMYFUNCTION("""COMPUTED_VALUE"""),43775.7055555555)</f>
        <v>43775.705555555498</v>
      </c>
      <c r="H2378" s="111">
        <f ca="1">IFERROR(__xludf.DUMMYFUNCTION("""COMPUTED_VALUE"""),29.71)</f>
        <v>29.71</v>
      </c>
      <c r="K2378" s="112">
        <f ca="1">IFERROR(__xludf.DUMMYFUNCTION("""COMPUTED_VALUE"""),44230.7055555555)</f>
        <v>44230.705555555498</v>
      </c>
      <c r="L2378" s="111">
        <f ca="1">IFERROR(__xludf.DUMMYFUNCTION("""COMPUTED_VALUE"""),25.66)</f>
        <v>25.66</v>
      </c>
      <c r="M2378" s="112">
        <f ca="1">IFERROR(__xludf.DUMMYFUNCTION("""COMPUTED_VALUE"""),43689.7055555555)</f>
        <v>43689.705555555498</v>
      </c>
      <c r="N2378" s="111">
        <f ca="1">IFERROR(__xludf.DUMMYFUNCTION("""COMPUTED_VALUE"""),27.9)</f>
        <v>27.9</v>
      </c>
      <c r="O2378" s="112">
        <f ca="1">IFERROR(__xludf.DUMMYFUNCTION("""COMPUTED_VALUE"""),43761.7055555555)</f>
        <v>43761.705555555498</v>
      </c>
      <c r="P2378" s="111">
        <f ca="1">IFERROR(__xludf.DUMMYFUNCTION("""COMPUTED_VALUE"""),47.11)</f>
        <v>47.11</v>
      </c>
      <c r="Q2378" s="112">
        <f ca="1">IFERROR(__xludf.DUMMYFUNCTION("""COMPUTED_VALUE"""),43760.7055555555)</f>
        <v>43760.705555555498</v>
      </c>
      <c r="R2378" s="111">
        <f ca="1">IFERROR(__xludf.DUMMYFUNCTION("""COMPUTED_VALUE"""),47.4)</f>
        <v>47.4</v>
      </c>
      <c r="S2378" s="112">
        <f ca="1">IFERROR(__xludf.DUMMYFUNCTION("""COMPUTED_VALUE"""),43773.7055555555)</f>
        <v>43773.705555555498</v>
      </c>
      <c r="T2378" s="111">
        <f ca="1">IFERROR(__xludf.DUMMYFUNCTION("""COMPUTED_VALUE"""),46.41)</f>
        <v>46.41</v>
      </c>
    </row>
    <row r="2379" spans="1:20" x14ac:dyDescent="0.3">
      <c r="A2379" s="112">
        <f ca="1">IFERROR(__xludf.DUMMYFUNCTION("""COMPUTED_VALUE"""),43769.7055555555)</f>
        <v>43769.705555555498</v>
      </c>
      <c r="B2379" s="111">
        <f ca="1">IFERROR(__xludf.DUMMYFUNCTION("""COMPUTED_VALUE"""),39.12)</f>
        <v>39.119999999999997</v>
      </c>
      <c r="C2379" s="112">
        <f ca="1">IFERROR(__xludf.DUMMYFUNCTION("""COMPUTED_VALUE"""),43777.7055555555)</f>
        <v>43777.705555555498</v>
      </c>
      <c r="D2379" s="111">
        <f ca="1">IFERROR(__xludf.DUMMYFUNCTION("""COMPUTED_VALUE"""),36.27)</f>
        <v>36.270000000000003</v>
      </c>
      <c r="E2379" s="112">
        <f ca="1">IFERROR(__xludf.DUMMYFUNCTION("""COMPUTED_VALUE"""),43780.7055555555)</f>
        <v>43780.705555555498</v>
      </c>
      <c r="F2379" s="111">
        <f ca="1">IFERROR(__xludf.DUMMYFUNCTION("""COMPUTED_VALUE"""),13.23)</f>
        <v>13.23</v>
      </c>
      <c r="G2379" s="112">
        <f ca="1">IFERROR(__xludf.DUMMYFUNCTION("""COMPUTED_VALUE"""),43776.7055555555)</f>
        <v>43776.705555555498</v>
      </c>
      <c r="H2379" s="111">
        <f ca="1">IFERROR(__xludf.DUMMYFUNCTION("""COMPUTED_VALUE"""),30.9)</f>
        <v>30.9</v>
      </c>
      <c r="K2379" s="112">
        <f ca="1">IFERROR(__xludf.DUMMYFUNCTION("""COMPUTED_VALUE"""),44231.7055555555)</f>
        <v>44231.705555555498</v>
      </c>
      <c r="L2379" s="111">
        <f ca="1">IFERROR(__xludf.DUMMYFUNCTION("""COMPUTED_VALUE"""),25.32)</f>
        <v>25.32</v>
      </c>
      <c r="M2379" s="112">
        <f ca="1">IFERROR(__xludf.DUMMYFUNCTION("""COMPUTED_VALUE"""),43690.7055555555)</f>
        <v>43690.705555555498</v>
      </c>
      <c r="N2379" s="111">
        <f ca="1">IFERROR(__xludf.DUMMYFUNCTION("""COMPUTED_VALUE"""),28.18)</f>
        <v>28.18</v>
      </c>
      <c r="O2379" s="112">
        <f ca="1">IFERROR(__xludf.DUMMYFUNCTION("""COMPUTED_VALUE"""),43762.7055555555)</f>
        <v>43762.705555555498</v>
      </c>
      <c r="P2379" s="111">
        <f ca="1">IFERROR(__xludf.DUMMYFUNCTION("""COMPUTED_VALUE"""),46.75)</f>
        <v>46.75</v>
      </c>
      <c r="Q2379" s="112">
        <f ca="1">IFERROR(__xludf.DUMMYFUNCTION("""COMPUTED_VALUE"""),43761.7055555555)</f>
        <v>43761.705555555498</v>
      </c>
      <c r="R2379" s="111">
        <f ca="1">IFERROR(__xludf.DUMMYFUNCTION("""COMPUTED_VALUE"""),47.6)</f>
        <v>47.6</v>
      </c>
      <c r="S2379" s="112">
        <f ca="1">IFERROR(__xludf.DUMMYFUNCTION("""COMPUTED_VALUE"""),43774.7055555555)</f>
        <v>43774.705555555498</v>
      </c>
      <c r="T2379" s="111">
        <f ca="1">IFERROR(__xludf.DUMMYFUNCTION("""COMPUTED_VALUE"""),45.02)</f>
        <v>45.02</v>
      </c>
    </row>
    <row r="2380" spans="1:20" x14ac:dyDescent="0.3">
      <c r="A2380" s="112">
        <f ca="1">IFERROR(__xludf.DUMMYFUNCTION("""COMPUTED_VALUE"""),43770.7055555555)</f>
        <v>43770.705555555498</v>
      </c>
      <c r="B2380" s="111">
        <f ca="1">IFERROR(__xludf.DUMMYFUNCTION("""COMPUTED_VALUE"""),39.29)</f>
        <v>39.29</v>
      </c>
      <c r="C2380" s="112">
        <f ca="1">IFERROR(__xludf.DUMMYFUNCTION("""COMPUTED_VALUE"""),43780.7055555555)</f>
        <v>43780.705555555498</v>
      </c>
      <c r="D2380" s="111">
        <f ca="1">IFERROR(__xludf.DUMMYFUNCTION("""COMPUTED_VALUE"""),36.43)</f>
        <v>36.43</v>
      </c>
      <c r="E2380" s="112">
        <f ca="1">IFERROR(__xludf.DUMMYFUNCTION("""COMPUTED_VALUE"""),43781.7055555555)</f>
        <v>43781.705555555498</v>
      </c>
      <c r="F2380" s="111">
        <f ca="1">IFERROR(__xludf.DUMMYFUNCTION("""COMPUTED_VALUE"""),13.08)</f>
        <v>13.08</v>
      </c>
      <c r="G2380" s="112">
        <f ca="1">IFERROR(__xludf.DUMMYFUNCTION("""COMPUTED_VALUE"""),43777.7055555555)</f>
        <v>43777.705555555498</v>
      </c>
      <c r="H2380" s="111">
        <f ca="1">IFERROR(__xludf.DUMMYFUNCTION("""COMPUTED_VALUE"""),30.02)</f>
        <v>30.02</v>
      </c>
      <c r="K2380" s="112">
        <f ca="1">IFERROR(__xludf.DUMMYFUNCTION("""COMPUTED_VALUE"""),44232.7055555555)</f>
        <v>44232.705555555498</v>
      </c>
      <c r="L2380" s="111">
        <f ca="1">IFERROR(__xludf.DUMMYFUNCTION("""COMPUTED_VALUE"""),25.86)</f>
        <v>25.86</v>
      </c>
      <c r="M2380" s="112">
        <f ca="1">IFERROR(__xludf.DUMMYFUNCTION("""COMPUTED_VALUE"""),43691.7055555555)</f>
        <v>43691.705555555498</v>
      </c>
      <c r="N2380" s="111">
        <f ca="1">IFERROR(__xludf.DUMMYFUNCTION("""COMPUTED_VALUE"""),27.63)</f>
        <v>27.63</v>
      </c>
      <c r="O2380" s="112">
        <f ca="1">IFERROR(__xludf.DUMMYFUNCTION("""COMPUTED_VALUE"""),43763.7055555555)</f>
        <v>43763.705555555498</v>
      </c>
      <c r="P2380" s="111">
        <f ca="1">IFERROR(__xludf.DUMMYFUNCTION("""COMPUTED_VALUE"""),48.56)</f>
        <v>48.56</v>
      </c>
      <c r="Q2380" s="112">
        <f ca="1">IFERROR(__xludf.DUMMYFUNCTION("""COMPUTED_VALUE"""),43762.7055555555)</f>
        <v>43762.705555555498</v>
      </c>
      <c r="R2380" s="111">
        <f ca="1">IFERROR(__xludf.DUMMYFUNCTION("""COMPUTED_VALUE"""),47.3)</f>
        <v>47.3</v>
      </c>
      <c r="S2380" s="112">
        <f ca="1">IFERROR(__xludf.DUMMYFUNCTION("""COMPUTED_VALUE"""),43775.7055555555)</f>
        <v>43775.705555555498</v>
      </c>
      <c r="T2380" s="111">
        <f ca="1">IFERROR(__xludf.DUMMYFUNCTION("""COMPUTED_VALUE"""),45.81)</f>
        <v>45.81</v>
      </c>
    </row>
    <row r="2381" spans="1:20" x14ac:dyDescent="0.3">
      <c r="A2381" s="112">
        <f ca="1">IFERROR(__xludf.DUMMYFUNCTION("""COMPUTED_VALUE"""),43773.7055555555)</f>
        <v>43773.705555555498</v>
      </c>
      <c r="B2381" s="111">
        <f ca="1">IFERROR(__xludf.DUMMYFUNCTION("""COMPUTED_VALUE"""),39.84)</f>
        <v>39.840000000000003</v>
      </c>
      <c r="C2381" s="112">
        <f ca="1">IFERROR(__xludf.DUMMYFUNCTION("""COMPUTED_VALUE"""),43781.7055555555)</f>
        <v>43781.705555555498</v>
      </c>
      <c r="D2381" s="111">
        <f ca="1">IFERROR(__xludf.DUMMYFUNCTION("""COMPUTED_VALUE"""),35.81)</f>
        <v>35.81</v>
      </c>
      <c r="E2381" s="112">
        <f ca="1">IFERROR(__xludf.DUMMYFUNCTION("""COMPUTED_VALUE"""),43782.7055555555)</f>
        <v>43782.705555555498</v>
      </c>
      <c r="F2381" s="111">
        <f ca="1">IFERROR(__xludf.DUMMYFUNCTION("""COMPUTED_VALUE"""),12.86)</f>
        <v>12.86</v>
      </c>
      <c r="G2381" s="112">
        <f ca="1">IFERROR(__xludf.DUMMYFUNCTION("""COMPUTED_VALUE"""),43780.7055555555)</f>
        <v>43780.705555555498</v>
      </c>
      <c r="H2381" s="111">
        <f ca="1">IFERROR(__xludf.DUMMYFUNCTION("""COMPUTED_VALUE"""),30.45)</f>
        <v>30.45</v>
      </c>
      <c r="K2381" s="112">
        <f ca="1">IFERROR(__xludf.DUMMYFUNCTION("""COMPUTED_VALUE"""),44235.7055555555)</f>
        <v>44235.705555555498</v>
      </c>
      <c r="L2381" s="111">
        <f ca="1">IFERROR(__xludf.DUMMYFUNCTION("""COMPUTED_VALUE"""),26.17)</f>
        <v>26.17</v>
      </c>
      <c r="M2381" s="112">
        <f ca="1">IFERROR(__xludf.DUMMYFUNCTION("""COMPUTED_VALUE"""),43692.7055555555)</f>
        <v>43692.705555555498</v>
      </c>
      <c r="N2381" s="111">
        <f ca="1">IFERROR(__xludf.DUMMYFUNCTION("""COMPUTED_VALUE"""),27.44)</f>
        <v>27.44</v>
      </c>
      <c r="O2381" s="112">
        <f ca="1">IFERROR(__xludf.DUMMYFUNCTION("""COMPUTED_VALUE"""),43766.7055555555)</f>
        <v>43766.705555555498</v>
      </c>
      <c r="P2381" s="111">
        <f ca="1">IFERROR(__xludf.DUMMYFUNCTION("""COMPUTED_VALUE"""),48.7)</f>
        <v>48.7</v>
      </c>
      <c r="Q2381" s="112">
        <f ca="1">IFERROR(__xludf.DUMMYFUNCTION("""COMPUTED_VALUE"""),43763.7055555555)</f>
        <v>43763.705555555498</v>
      </c>
      <c r="R2381" s="111">
        <f ca="1">IFERROR(__xludf.DUMMYFUNCTION("""COMPUTED_VALUE"""),47.73)</f>
        <v>47.73</v>
      </c>
      <c r="S2381" s="112">
        <f ca="1">IFERROR(__xludf.DUMMYFUNCTION("""COMPUTED_VALUE"""),43776.7055555555)</f>
        <v>43776.705555555498</v>
      </c>
      <c r="T2381" s="111">
        <f ca="1">IFERROR(__xludf.DUMMYFUNCTION("""COMPUTED_VALUE"""),45.63)</f>
        <v>45.63</v>
      </c>
    </row>
    <row r="2382" spans="1:20" x14ac:dyDescent="0.3">
      <c r="A2382" s="112">
        <f ca="1">IFERROR(__xludf.DUMMYFUNCTION("""COMPUTED_VALUE"""),43774.7055555555)</f>
        <v>43774.705555555498</v>
      </c>
      <c r="B2382" s="111">
        <f ca="1">IFERROR(__xludf.DUMMYFUNCTION("""COMPUTED_VALUE"""),39.55)</f>
        <v>39.549999999999997</v>
      </c>
      <c r="C2382" s="112">
        <f ca="1">IFERROR(__xludf.DUMMYFUNCTION("""COMPUTED_VALUE"""),43782.7055555555)</f>
        <v>43782.705555555498</v>
      </c>
      <c r="D2382" s="111">
        <f ca="1">IFERROR(__xludf.DUMMYFUNCTION("""COMPUTED_VALUE"""),35.45)</f>
        <v>35.450000000000003</v>
      </c>
      <c r="E2382" s="112">
        <f ca="1">IFERROR(__xludf.DUMMYFUNCTION("""COMPUTED_VALUE"""),43783.7055555555)</f>
        <v>43783.705555555498</v>
      </c>
      <c r="F2382" s="111">
        <f ca="1">IFERROR(__xludf.DUMMYFUNCTION("""COMPUTED_VALUE"""),12.98)</f>
        <v>12.98</v>
      </c>
      <c r="G2382" s="112">
        <f ca="1">IFERROR(__xludf.DUMMYFUNCTION("""COMPUTED_VALUE"""),43781.7055555555)</f>
        <v>43781.705555555498</v>
      </c>
      <c r="H2382" s="111">
        <f ca="1">IFERROR(__xludf.DUMMYFUNCTION("""COMPUTED_VALUE"""),30.02)</f>
        <v>30.02</v>
      </c>
      <c r="K2382" s="112">
        <f ca="1">IFERROR(__xludf.DUMMYFUNCTION("""COMPUTED_VALUE"""),44236.7055555555)</f>
        <v>44236.705555555498</v>
      </c>
      <c r="L2382" s="111">
        <f ca="1">IFERROR(__xludf.DUMMYFUNCTION("""COMPUTED_VALUE"""),26.25)</f>
        <v>26.25</v>
      </c>
      <c r="M2382" s="112">
        <f ca="1">IFERROR(__xludf.DUMMYFUNCTION("""COMPUTED_VALUE"""),43693.7055555555)</f>
        <v>43693.705555555498</v>
      </c>
      <c r="N2382" s="111">
        <f ca="1">IFERROR(__xludf.DUMMYFUNCTION("""COMPUTED_VALUE"""),27.5)</f>
        <v>27.5</v>
      </c>
      <c r="O2382" s="112">
        <f ca="1">IFERROR(__xludf.DUMMYFUNCTION("""COMPUTED_VALUE"""),43767.7055555555)</f>
        <v>43767.705555555498</v>
      </c>
      <c r="P2382" s="111">
        <f ca="1">IFERROR(__xludf.DUMMYFUNCTION("""COMPUTED_VALUE"""),48.65)</f>
        <v>48.65</v>
      </c>
      <c r="Q2382" s="112">
        <f ca="1">IFERROR(__xludf.DUMMYFUNCTION("""COMPUTED_VALUE"""),43766.7055555555)</f>
        <v>43766.705555555498</v>
      </c>
      <c r="R2382" s="111">
        <f ca="1">IFERROR(__xludf.DUMMYFUNCTION("""COMPUTED_VALUE"""),48.79)</f>
        <v>48.79</v>
      </c>
      <c r="S2382" s="112">
        <f ca="1">IFERROR(__xludf.DUMMYFUNCTION("""COMPUTED_VALUE"""),43777.7055555555)</f>
        <v>43777.705555555498</v>
      </c>
      <c r="T2382" s="111">
        <f ca="1">IFERROR(__xludf.DUMMYFUNCTION("""COMPUTED_VALUE"""),44.47)</f>
        <v>44.47</v>
      </c>
    </row>
    <row r="2383" spans="1:20" x14ac:dyDescent="0.3">
      <c r="A2383" s="112">
        <f ca="1">IFERROR(__xludf.DUMMYFUNCTION("""COMPUTED_VALUE"""),43775.7055555555)</f>
        <v>43775.705555555498</v>
      </c>
      <c r="B2383" s="111">
        <f ca="1">IFERROR(__xludf.DUMMYFUNCTION("""COMPUTED_VALUE"""),40.05)</f>
        <v>40.049999999999997</v>
      </c>
      <c r="C2383" s="112">
        <f ca="1">IFERROR(__xludf.DUMMYFUNCTION("""COMPUTED_VALUE"""),43783.7055555555)</f>
        <v>43783.705555555498</v>
      </c>
      <c r="D2383" s="111">
        <f ca="1">IFERROR(__xludf.DUMMYFUNCTION("""COMPUTED_VALUE"""),35.68)</f>
        <v>35.68</v>
      </c>
      <c r="E2383" s="112">
        <f ca="1">IFERROR(__xludf.DUMMYFUNCTION("""COMPUTED_VALUE"""),43787.7055555555)</f>
        <v>43787.705555555498</v>
      </c>
      <c r="F2383" s="111">
        <f ca="1">IFERROR(__xludf.DUMMYFUNCTION("""COMPUTED_VALUE"""),12.95)</f>
        <v>12.95</v>
      </c>
      <c r="G2383" s="112">
        <f ca="1">IFERROR(__xludf.DUMMYFUNCTION("""COMPUTED_VALUE"""),43782.7055555555)</f>
        <v>43782.705555555498</v>
      </c>
      <c r="H2383" s="111">
        <f ca="1">IFERROR(__xludf.DUMMYFUNCTION("""COMPUTED_VALUE"""),29.9)</f>
        <v>29.9</v>
      </c>
      <c r="K2383" s="112">
        <f ca="1">IFERROR(__xludf.DUMMYFUNCTION("""COMPUTED_VALUE"""),44237.7055555555)</f>
        <v>44237.705555555498</v>
      </c>
      <c r="L2383" s="111">
        <f ca="1">IFERROR(__xludf.DUMMYFUNCTION("""COMPUTED_VALUE"""),25.31)</f>
        <v>25.31</v>
      </c>
      <c r="M2383" s="112">
        <f ca="1">IFERROR(__xludf.DUMMYFUNCTION("""COMPUTED_VALUE"""),43696.7055555555)</f>
        <v>43696.705555555498</v>
      </c>
      <c r="N2383" s="111">
        <f ca="1">IFERROR(__xludf.DUMMYFUNCTION("""COMPUTED_VALUE"""),27.1)</f>
        <v>27.1</v>
      </c>
      <c r="O2383" s="112">
        <f ca="1">IFERROR(__xludf.DUMMYFUNCTION("""COMPUTED_VALUE"""),43768.7055555555)</f>
        <v>43768.705555555498</v>
      </c>
      <c r="P2383" s="111">
        <f ca="1">IFERROR(__xludf.DUMMYFUNCTION("""COMPUTED_VALUE"""),48.59)</f>
        <v>48.59</v>
      </c>
      <c r="Q2383" s="112">
        <f ca="1">IFERROR(__xludf.DUMMYFUNCTION("""COMPUTED_VALUE"""),43767.7055555555)</f>
        <v>43767.705555555498</v>
      </c>
      <c r="R2383" s="111">
        <f ca="1">IFERROR(__xludf.DUMMYFUNCTION("""COMPUTED_VALUE"""),48.66)</f>
        <v>48.66</v>
      </c>
      <c r="S2383" s="112">
        <f ca="1">IFERROR(__xludf.DUMMYFUNCTION("""COMPUTED_VALUE"""),43780.7055555555)</f>
        <v>43780.705555555498</v>
      </c>
      <c r="T2383" s="111">
        <f ca="1">IFERROR(__xludf.DUMMYFUNCTION("""COMPUTED_VALUE"""),45.95)</f>
        <v>45.95</v>
      </c>
    </row>
    <row r="2384" spans="1:20" x14ac:dyDescent="0.3">
      <c r="A2384" s="112">
        <f ca="1">IFERROR(__xludf.DUMMYFUNCTION("""COMPUTED_VALUE"""),43776.7055555555)</f>
        <v>43776.705555555498</v>
      </c>
      <c r="B2384" s="111">
        <f ca="1">IFERROR(__xludf.DUMMYFUNCTION("""COMPUTED_VALUE"""),39.76)</f>
        <v>39.76</v>
      </c>
      <c r="C2384" s="112">
        <f ca="1">IFERROR(__xludf.DUMMYFUNCTION("""COMPUTED_VALUE"""),43787.7055555555)</f>
        <v>43787.705555555498</v>
      </c>
      <c r="D2384" s="111">
        <f ca="1">IFERROR(__xludf.DUMMYFUNCTION("""COMPUTED_VALUE"""),35.52)</f>
        <v>35.520000000000003</v>
      </c>
      <c r="E2384" s="112">
        <f ca="1">IFERROR(__xludf.DUMMYFUNCTION("""COMPUTED_VALUE"""),43788.7055555555)</f>
        <v>43788.705555555498</v>
      </c>
      <c r="F2384" s="111">
        <f ca="1">IFERROR(__xludf.DUMMYFUNCTION("""COMPUTED_VALUE"""),12.78)</f>
        <v>12.78</v>
      </c>
      <c r="G2384" s="112">
        <f ca="1">IFERROR(__xludf.DUMMYFUNCTION("""COMPUTED_VALUE"""),43783.7055555555)</f>
        <v>43783.705555555498</v>
      </c>
      <c r="H2384" s="111">
        <f ca="1">IFERROR(__xludf.DUMMYFUNCTION("""COMPUTED_VALUE"""),29.3)</f>
        <v>29.3</v>
      </c>
      <c r="K2384" s="112">
        <f ca="1">IFERROR(__xludf.DUMMYFUNCTION("""COMPUTED_VALUE"""),44238.7055555555)</f>
        <v>44238.705555555498</v>
      </c>
      <c r="L2384" s="111">
        <f ca="1">IFERROR(__xludf.DUMMYFUNCTION("""COMPUTED_VALUE"""),25.66)</f>
        <v>25.66</v>
      </c>
      <c r="M2384" s="112">
        <f ca="1">IFERROR(__xludf.DUMMYFUNCTION("""COMPUTED_VALUE"""),43697.7055555555)</f>
        <v>43697.705555555498</v>
      </c>
      <c r="N2384" s="111">
        <f ca="1">IFERROR(__xludf.DUMMYFUNCTION("""COMPUTED_VALUE"""),26.83)</f>
        <v>26.83</v>
      </c>
      <c r="O2384" s="112">
        <f ca="1">IFERROR(__xludf.DUMMYFUNCTION("""COMPUTED_VALUE"""),43769.7055555555)</f>
        <v>43769.705555555498</v>
      </c>
      <c r="P2384" s="111">
        <f ca="1">IFERROR(__xludf.DUMMYFUNCTION("""COMPUTED_VALUE"""),47.2)</f>
        <v>47.2</v>
      </c>
      <c r="Q2384" s="112">
        <f ca="1">IFERROR(__xludf.DUMMYFUNCTION("""COMPUTED_VALUE"""),43768.7055555555)</f>
        <v>43768.705555555498</v>
      </c>
      <c r="R2384" s="111">
        <f ca="1">IFERROR(__xludf.DUMMYFUNCTION("""COMPUTED_VALUE"""),49.42)</f>
        <v>49.42</v>
      </c>
      <c r="S2384" s="112">
        <f ca="1">IFERROR(__xludf.DUMMYFUNCTION("""COMPUTED_VALUE"""),43781.7055555555)</f>
        <v>43781.705555555498</v>
      </c>
      <c r="T2384" s="111">
        <f ca="1">IFERROR(__xludf.DUMMYFUNCTION("""COMPUTED_VALUE"""),45.01)</f>
        <v>45.01</v>
      </c>
    </row>
    <row r="2385" spans="1:20" x14ac:dyDescent="0.3">
      <c r="A2385" s="112">
        <f ca="1">IFERROR(__xludf.DUMMYFUNCTION("""COMPUTED_VALUE"""),43777.7055555555)</f>
        <v>43777.705555555498</v>
      </c>
      <c r="B2385" s="111">
        <f ca="1">IFERROR(__xludf.DUMMYFUNCTION("""COMPUTED_VALUE"""),37.8)</f>
        <v>37.799999999999997</v>
      </c>
      <c r="C2385" s="112">
        <f ca="1">IFERROR(__xludf.DUMMYFUNCTION("""COMPUTED_VALUE"""),43788.7055555555)</f>
        <v>43788.705555555498</v>
      </c>
      <c r="D2385" s="111">
        <f ca="1">IFERROR(__xludf.DUMMYFUNCTION("""COMPUTED_VALUE"""),35.13)</f>
        <v>35.130000000000003</v>
      </c>
      <c r="E2385" s="112">
        <f ca="1">IFERROR(__xludf.DUMMYFUNCTION("""COMPUTED_VALUE"""),43790.7055555555)</f>
        <v>43790.705555555498</v>
      </c>
      <c r="F2385" s="111">
        <f ca="1">IFERROR(__xludf.DUMMYFUNCTION("""COMPUTED_VALUE"""),12.87)</f>
        <v>12.87</v>
      </c>
      <c r="G2385" s="112">
        <f ca="1">IFERROR(__xludf.DUMMYFUNCTION("""COMPUTED_VALUE"""),43787.7055555555)</f>
        <v>43787.705555555498</v>
      </c>
      <c r="H2385" s="111">
        <f ca="1">IFERROR(__xludf.DUMMYFUNCTION("""COMPUTED_VALUE"""),29.08)</f>
        <v>29.08</v>
      </c>
      <c r="K2385" s="112">
        <f ca="1">IFERROR(__xludf.DUMMYFUNCTION("""COMPUTED_VALUE"""),44239.7055555555)</f>
        <v>44239.705555555498</v>
      </c>
      <c r="L2385" s="111">
        <f ca="1">IFERROR(__xludf.DUMMYFUNCTION("""COMPUTED_VALUE"""),25.92)</f>
        <v>25.92</v>
      </c>
      <c r="M2385" s="112">
        <f ca="1">IFERROR(__xludf.DUMMYFUNCTION("""COMPUTED_VALUE"""),43698.7055555555)</f>
        <v>43698.705555555498</v>
      </c>
      <c r="N2385" s="111">
        <f ca="1">IFERROR(__xludf.DUMMYFUNCTION("""COMPUTED_VALUE"""),27.36)</f>
        <v>27.36</v>
      </c>
      <c r="O2385" s="112">
        <f ca="1">IFERROR(__xludf.DUMMYFUNCTION("""COMPUTED_VALUE"""),43770.7055555555)</f>
        <v>43770.705555555498</v>
      </c>
      <c r="P2385" s="111">
        <f ca="1">IFERROR(__xludf.DUMMYFUNCTION("""COMPUTED_VALUE"""),48.44)</f>
        <v>48.44</v>
      </c>
      <c r="Q2385" s="112">
        <f ca="1">IFERROR(__xludf.DUMMYFUNCTION("""COMPUTED_VALUE"""),43769.7055555555)</f>
        <v>43769.705555555498</v>
      </c>
      <c r="R2385" s="111">
        <f ca="1">IFERROR(__xludf.DUMMYFUNCTION("""COMPUTED_VALUE"""),48.15)</f>
        <v>48.15</v>
      </c>
      <c r="S2385" s="112">
        <f ca="1">IFERROR(__xludf.DUMMYFUNCTION("""COMPUTED_VALUE"""),43782.7055555555)</f>
        <v>43782.705555555498</v>
      </c>
      <c r="T2385" s="111">
        <f ca="1">IFERROR(__xludf.DUMMYFUNCTION("""COMPUTED_VALUE"""),44.81)</f>
        <v>44.81</v>
      </c>
    </row>
    <row r="2386" spans="1:20" x14ac:dyDescent="0.3">
      <c r="A2386" s="112">
        <f ca="1">IFERROR(__xludf.DUMMYFUNCTION("""COMPUTED_VALUE"""),43780.7055555555)</f>
        <v>43780.705555555498</v>
      </c>
      <c r="B2386" s="111">
        <f ca="1">IFERROR(__xludf.DUMMYFUNCTION("""COMPUTED_VALUE"""),38.42)</f>
        <v>38.42</v>
      </c>
      <c r="C2386" s="112">
        <f ca="1">IFERROR(__xludf.DUMMYFUNCTION("""COMPUTED_VALUE"""),43790.7055555555)</f>
        <v>43790.705555555498</v>
      </c>
      <c r="D2386" s="111">
        <f ca="1">IFERROR(__xludf.DUMMYFUNCTION("""COMPUTED_VALUE"""),35.49)</f>
        <v>35.49</v>
      </c>
      <c r="E2386" s="112">
        <f ca="1">IFERROR(__xludf.DUMMYFUNCTION("""COMPUTED_VALUE"""),43791.7055555555)</f>
        <v>43791.705555555498</v>
      </c>
      <c r="F2386" s="111">
        <f ca="1">IFERROR(__xludf.DUMMYFUNCTION("""COMPUTED_VALUE"""),13.06)</f>
        <v>13.06</v>
      </c>
      <c r="G2386" s="112">
        <f ca="1">IFERROR(__xludf.DUMMYFUNCTION("""COMPUTED_VALUE"""),43788.7055555555)</f>
        <v>43788.705555555498</v>
      </c>
      <c r="H2386" s="111">
        <f ca="1">IFERROR(__xludf.DUMMYFUNCTION("""COMPUTED_VALUE"""),28.78)</f>
        <v>28.78</v>
      </c>
      <c r="K2386" s="112">
        <f ca="1">IFERROR(__xludf.DUMMYFUNCTION("""COMPUTED_VALUE"""),44244.7055555555)</f>
        <v>44244.705555555498</v>
      </c>
      <c r="L2386" s="111">
        <f ca="1">IFERROR(__xludf.DUMMYFUNCTION("""COMPUTED_VALUE"""),25.51)</f>
        <v>25.51</v>
      </c>
      <c r="M2386" s="112">
        <f ca="1">IFERROR(__xludf.DUMMYFUNCTION("""COMPUTED_VALUE"""),43699.7055555555)</f>
        <v>43699.705555555498</v>
      </c>
      <c r="N2386" s="111">
        <f ca="1">IFERROR(__xludf.DUMMYFUNCTION("""COMPUTED_VALUE"""),27.01)</f>
        <v>27.01</v>
      </c>
      <c r="O2386" s="112">
        <f ca="1">IFERROR(__xludf.DUMMYFUNCTION("""COMPUTED_VALUE"""),43773.7055555555)</f>
        <v>43773.705555555498</v>
      </c>
      <c r="P2386" s="111">
        <f ca="1">IFERROR(__xludf.DUMMYFUNCTION("""COMPUTED_VALUE"""),49.82)</f>
        <v>49.82</v>
      </c>
      <c r="Q2386" s="112">
        <f ca="1">IFERROR(__xludf.DUMMYFUNCTION("""COMPUTED_VALUE"""),43770.7055555555)</f>
        <v>43770.705555555498</v>
      </c>
      <c r="R2386" s="111">
        <f ca="1">IFERROR(__xludf.DUMMYFUNCTION("""COMPUTED_VALUE"""),47.96)</f>
        <v>47.96</v>
      </c>
      <c r="S2386" s="112">
        <f ca="1">IFERROR(__xludf.DUMMYFUNCTION("""COMPUTED_VALUE"""),43783.7055555555)</f>
        <v>43783.705555555498</v>
      </c>
      <c r="T2386" s="111">
        <f ca="1">IFERROR(__xludf.DUMMYFUNCTION("""COMPUTED_VALUE"""),47)</f>
        <v>47</v>
      </c>
    </row>
    <row r="2387" spans="1:20" x14ac:dyDescent="0.3">
      <c r="A2387" s="112">
        <f ca="1">IFERROR(__xludf.DUMMYFUNCTION("""COMPUTED_VALUE"""),43781.7055555555)</f>
        <v>43781.705555555498</v>
      </c>
      <c r="B2387" s="111">
        <f ca="1">IFERROR(__xludf.DUMMYFUNCTION("""COMPUTED_VALUE"""),36.6)</f>
        <v>36.6</v>
      </c>
      <c r="C2387" s="112">
        <f ca="1">IFERROR(__xludf.DUMMYFUNCTION("""COMPUTED_VALUE"""),43791.7055555555)</f>
        <v>43791.705555555498</v>
      </c>
      <c r="D2387" s="111">
        <f ca="1">IFERROR(__xludf.DUMMYFUNCTION("""COMPUTED_VALUE"""),35.73)</f>
        <v>35.729999999999997</v>
      </c>
      <c r="E2387" s="112">
        <f ca="1">IFERROR(__xludf.DUMMYFUNCTION("""COMPUTED_VALUE"""),43794.7055555555)</f>
        <v>43794.705555555498</v>
      </c>
      <c r="F2387" s="111">
        <f ca="1">IFERROR(__xludf.DUMMYFUNCTION("""COMPUTED_VALUE"""),12.74)</f>
        <v>12.74</v>
      </c>
      <c r="G2387" s="112">
        <f ca="1">IFERROR(__xludf.DUMMYFUNCTION("""COMPUTED_VALUE"""),43790.7055555555)</f>
        <v>43790.705555555498</v>
      </c>
      <c r="H2387" s="111">
        <f ca="1">IFERROR(__xludf.DUMMYFUNCTION("""COMPUTED_VALUE"""),29.85)</f>
        <v>29.85</v>
      </c>
      <c r="K2387" s="112">
        <f ca="1">IFERROR(__xludf.DUMMYFUNCTION("""COMPUTED_VALUE"""),44245.7055555555)</f>
        <v>44245.705555555498</v>
      </c>
      <c r="L2387" s="111">
        <f ca="1">IFERROR(__xludf.DUMMYFUNCTION("""COMPUTED_VALUE"""),25.05)</f>
        <v>25.05</v>
      </c>
      <c r="M2387" s="112">
        <f ca="1">IFERROR(__xludf.DUMMYFUNCTION("""COMPUTED_VALUE"""),43700.7055555555)</f>
        <v>43700.705555555498</v>
      </c>
      <c r="N2387" s="111">
        <f ca="1">IFERROR(__xludf.DUMMYFUNCTION("""COMPUTED_VALUE"""),26.42)</f>
        <v>26.42</v>
      </c>
      <c r="O2387" s="112">
        <f ca="1">IFERROR(__xludf.DUMMYFUNCTION("""COMPUTED_VALUE"""),43774.7055555555)</f>
        <v>43774.705555555498</v>
      </c>
      <c r="P2387" s="111">
        <f ca="1">IFERROR(__xludf.DUMMYFUNCTION("""COMPUTED_VALUE"""),49.87)</f>
        <v>49.87</v>
      </c>
      <c r="Q2387" s="112">
        <f ca="1">IFERROR(__xludf.DUMMYFUNCTION("""COMPUTED_VALUE"""),43773.7055555555)</f>
        <v>43773.705555555498</v>
      </c>
      <c r="R2387" s="111">
        <f ca="1">IFERROR(__xludf.DUMMYFUNCTION("""COMPUTED_VALUE"""),47.69)</f>
        <v>47.69</v>
      </c>
      <c r="S2387" s="112">
        <f ca="1">IFERROR(__xludf.DUMMYFUNCTION("""COMPUTED_VALUE"""),43787.7055555555)</f>
        <v>43787.705555555498</v>
      </c>
      <c r="T2387" s="111">
        <f ca="1">IFERROR(__xludf.DUMMYFUNCTION("""COMPUTED_VALUE"""),46.43)</f>
        <v>46.43</v>
      </c>
    </row>
    <row r="2388" spans="1:20" x14ac:dyDescent="0.3">
      <c r="A2388" s="112">
        <f ca="1">IFERROR(__xludf.DUMMYFUNCTION("""COMPUTED_VALUE"""),43782.7055555555)</f>
        <v>43782.705555555498</v>
      </c>
      <c r="B2388" s="111">
        <f ca="1">IFERROR(__xludf.DUMMYFUNCTION("""COMPUTED_VALUE"""),35.95)</f>
        <v>35.950000000000003</v>
      </c>
      <c r="C2388" s="112">
        <f ca="1">IFERROR(__xludf.DUMMYFUNCTION("""COMPUTED_VALUE"""),43794.7055555555)</f>
        <v>43794.705555555498</v>
      </c>
      <c r="D2388" s="111">
        <f ca="1">IFERROR(__xludf.DUMMYFUNCTION("""COMPUTED_VALUE"""),35.22)</f>
        <v>35.22</v>
      </c>
      <c r="E2388" s="112">
        <f ca="1">IFERROR(__xludf.DUMMYFUNCTION("""COMPUTED_VALUE"""),43795.7055555555)</f>
        <v>43795.705555555498</v>
      </c>
      <c r="F2388" s="111">
        <f ca="1">IFERROR(__xludf.DUMMYFUNCTION("""COMPUTED_VALUE"""),12.44)</f>
        <v>12.44</v>
      </c>
      <c r="G2388" s="112">
        <f ca="1">IFERROR(__xludf.DUMMYFUNCTION("""COMPUTED_VALUE"""),43791.7055555555)</f>
        <v>43791.705555555498</v>
      </c>
      <c r="H2388" s="111">
        <f ca="1">IFERROR(__xludf.DUMMYFUNCTION("""COMPUTED_VALUE"""),29.98)</f>
        <v>29.98</v>
      </c>
      <c r="K2388" s="112">
        <f ca="1">IFERROR(__xludf.DUMMYFUNCTION("""COMPUTED_VALUE"""),44246.7055555555)</f>
        <v>44246.705555555498</v>
      </c>
      <c r="L2388" s="111">
        <f ca="1">IFERROR(__xludf.DUMMYFUNCTION("""COMPUTED_VALUE"""),24.95)</f>
        <v>24.95</v>
      </c>
      <c r="M2388" s="112">
        <f ca="1">IFERROR(__xludf.DUMMYFUNCTION("""COMPUTED_VALUE"""),43703.7055555555)</f>
        <v>43703.705555555498</v>
      </c>
      <c r="N2388" s="111">
        <f ca="1">IFERROR(__xludf.DUMMYFUNCTION("""COMPUTED_VALUE"""),26.15)</f>
        <v>26.15</v>
      </c>
      <c r="O2388" s="112">
        <f ca="1">IFERROR(__xludf.DUMMYFUNCTION("""COMPUTED_VALUE"""),43775.7055555555)</f>
        <v>43775.705555555498</v>
      </c>
      <c r="P2388" s="111">
        <f ca="1">IFERROR(__xludf.DUMMYFUNCTION("""COMPUTED_VALUE"""),49.69)</f>
        <v>49.69</v>
      </c>
      <c r="Q2388" s="112">
        <f ca="1">IFERROR(__xludf.DUMMYFUNCTION("""COMPUTED_VALUE"""),43774.7055555555)</f>
        <v>43774.705555555498</v>
      </c>
      <c r="R2388" s="111">
        <f ca="1">IFERROR(__xludf.DUMMYFUNCTION("""COMPUTED_VALUE"""),47.99)</f>
        <v>47.99</v>
      </c>
      <c r="S2388" s="112">
        <f ca="1">IFERROR(__xludf.DUMMYFUNCTION("""COMPUTED_VALUE"""),43788.7055555555)</f>
        <v>43788.705555555498</v>
      </c>
      <c r="T2388" s="111">
        <f ca="1">IFERROR(__xludf.DUMMYFUNCTION("""COMPUTED_VALUE"""),45.98)</f>
        <v>45.98</v>
      </c>
    </row>
    <row r="2389" spans="1:20" x14ac:dyDescent="0.3">
      <c r="A2389" s="112">
        <f ca="1">IFERROR(__xludf.DUMMYFUNCTION("""COMPUTED_VALUE"""),43783.7055555555)</f>
        <v>43783.705555555498</v>
      </c>
      <c r="B2389" s="111">
        <f ca="1">IFERROR(__xludf.DUMMYFUNCTION("""COMPUTED_VALUE"""),35.4)</f>
        <v>35.4</v>
      </c>
      <c r="C2389" s="112">
        <f ca="1">IFERROR(__xludf.DUMMYFUNCTION("""COMPUTED_VALUE"""),43795.7055555555)</f>
        <v>43795.705555555498</v>
      </c>
      <c r="D2389" s="111">
        <f ca="1">IFERROR(__xludf.DUMMYFUNCTION("""COMPUTED_VALUE"""),34.5)</f>
        <v>34.5</v>
      </c>
      <c r="E2389" s="112">
        <f ca="1">IFERROR(__xludf.DUMMYFUNCTION("""COMPUTED_VALUE"""),43796.7055555555)</f>
        <v>43796.705555555498</v>
      </c>
      <c r="F2389" s="111">
        <f ca="1">IFERROR(__xludf.DUMMYFUNCTION("""COMPUTED_VALUE"""),12.59)</f>
        <v>12.59</v>
      </c>
      <c r="G2389" s="112">
        <f ca="1">IFERROR(__xludf.DUMMYFUNCTION("""COMPUTED_VALUE"""),43794.7055555555)</f>
        <v>43794.705555555498</v>
      </c>
      <c r="H2389" s="111">
        <f ca="1">IFERROR(__xludf.DUMMYFUNCTION("""COMPUTED_VALUE"""),29.73)</f>
        <v>29.73</v>
      </c>
      <c r="K2389" s="112">
        <f ca="1">IFERROR(__xludf.DUMMYFUNCTION("""COMPUTED_VALUE"""),44249.7055555555)</f>
        <v>44249.705555555498</v>
      </c>
      <c r="L2389" s="111">
        <f ca="1">IFERROR(__xludf.DUMMYFUNCTION("""COMPUTED_VALUE"""),24.26)</f>
        <v>24.26</v>
      </c>
      <c r="M2389" s="112">
        <f ca="1">IFERROR(__xludf.DUMMYFUNCTION("""COMPUTED_VALUE"""),43704.7055555555)</f>
        <v>43704.705555555498</v>
      </c>
      <c r="N2389" s="111">
        <f ca="1">IFERROR(__xludf.DUMMYFUNCTION("""COMPUTED_VALUE"""),26.48)</f>
        <v>26.48</v>
      </c>
      <c r="O2389" s="112">
        <f ca="1">IFERROR(__xludf.DUMMYFUNCTION("""COMPUTED_VALUE"""),43776.7055555555)</f>
        <v>43776.705555555498</v>
      </c>
      <c r="P2389" s="111">
        <f ca="1">IFERROR(__xludf.DUMMYFUNCTION("""COMPUTED_VALUE"""),50.11)</f>
        <v>50.11</v>
      </c>
      <c r="Q2389" s="112">
        <f ca="1">IFERROR(__xludf.DUMMYFUNCTION("""COMPUTED_VALUE"""),43775.7055555555)</f>
        <v>43775.705555555498</v>
      </c>
      <c r="R2389" s="111">
        <f ca="1">IFERROR(__xludf.DUMMYFUNCTION("""COMPUTED_VALUE"""),47.67)</f>
        <v>47.67</v>
      </c>
      <c r="S2389" s="112">
        <f ca="1">IFERROR(__xludf.DUMMYFUNCTION("""COMPUTED_VALUE"""),43790.7055555555)</f>
        <v>43790.705555555498</v>
      </c>
      <c r="T2389" s="111">
        <f ca="1">IFERROR(__xludf.DUMMYFUNCTION("""COMPUTED_VALUE"""),46.42)</f>
        <v>46.42</v>
      </c>
    </row>
    <row r="2390" spans="1:20" x14ac:dyDescent="0.3">
      <c r="A2390" s="112">
        <f ca="1">IFERROR(__xludf.DUMMYFUNCTION("""COMPUTED_VALUE"""),43787.7055555555)</f>
        <v>43787.705555555498</v>
      </c>
      <c r="B2390" s="111">
        <f ca="1">IFERROR(__xludf.DUMMYFUNCTION("""COMPUTED_VALUE"""),35.32)</f>
        <v>35.32</v>
      </c>
      <c r="C2390" s="112">
        <f ca="1">IFERROR(__xludf.DUMMYFUNCTION("""COMPUTED_VALUE"""),43796.7055555555)</f>
        <v>43796.705555555498</v>
      </c>
      <c r="D2390" s="111">
        <f ca="1">IFERROR(__xludf.DUMMYFUNCTION("""COMPUTED_VALUE"""),34.7)</f>
        <v>34.700000000000003</v>
      </c>
      <c r="E2390" s="112">
        <f ca="1">IFERROR(__xludf.DUMMYFUNCTION("""COMPUTED_VALUE"""),43797.7055555555)</f>
        <v>43797.705555555498</v>
      </c>
      <c r="F2390" s="111">
        <f ca="1">IFERROR(__xludf.DUMMYFUNCTION("""COMPUTED_VALUE"""),12.62)</f>
        <v>12.62</v>
      </c>
      <c r="G2390" s="112">
        <f ca="1">IFERROR(__xludf.DUMMYFUNCTION("""COMPUTED_VALUE"""),43795.7055555555)</f>
        <v>43795.705555555498</v>
      </c>
      <c r="H2390" s="111">
        <f ca="1">IFERROR(__xludf.DUMMYFUNCTION("""COMPUTED_VALUE"""),29.19)</f>
        <v>29.19</v>
      </c>
      <c r="K2390" s="112">
        <f ca="1">IFERROR(__xludf.DUMMYFUNCTION("""COMPUTED_VALUE"""),44250.7055555555)</f>
        <v>44250.705555555498</v>
      </c>
      <c r="L2390" s="111">
        <f ca="1">IFERROR(__xludf.DUMMYFUNCTION("""COMPUTED_VALUE"""),24.87)</f>
        <v>24.87</v>
      </c>
      <c r="M2390" s="112">
        <f ca="1">IFERROR(__xludf.DUMMYFUNCTION("""COMPUTED_VALUE"""),43705.7055555555)</f>
        <v>43705.705555555498</v>
      </c>
      <c r="N2390" s="111">
        <f ca="1">IFERROR(__xludf.DUMMYFUNCTION("""COMPUTED_VALUE"""),26.32)</f>
        <v>26.32</v>
      </c>
      <c r="O2390" s="112">
        <f ca="1">IFERROR(__xludf.DUMMYFUNCTION("""COMPUTED_VALUE"""),43777.7055555555)</f>
        <v>43777.705555555498</v>
      </c>
      <c r="P2390" s="111">
        <f ca="1">IFERROR(__xludf.DUMMYFUNCTION("""COMPUTED_VALUE"""),49.18)</f>
        <v>49.18</v>
      </c>
      <c r="Q2390" s="112">
        <f ca="1">IFERROR(__xludf.DUMMYFUNCTION("""COMPUTED_VALUE"""),43776.7055555555)</f>
        <v>43776.705555555498</v>
      </c>
      <c r="R2390" s="111">
        <f ca="1">IFERROR(__xludf.DUMMYFUNCTION("""COMPUTED_VALUE"""),47.67)</f>
        <v>47.67</v>
      </c>
      <c r="S2390" s="112">
        <f ca="1">IFERROR(__xludf.DUMMYFUNCTION("""COMPUTED_VALUE"""),43791.7055555555)</f>
        <v>43791.705555555498</v>
      </c>
      <c r="T2390" s="111">
        <f ca="1">IFERROR(__xludf.DUMMYFUNCTION("""COMPUTED_VALUE"""),46.65)</f>
        <v>46.65</v>
      </c>
    </row>
    <row r="2391" spans="1:20" x14ac:dyDescent="0.3">
      <c r="A2391" s="112">
        <f ca="1">IFERROR(__xludf.DUMMYFUNCTION("""COMPUTED_VALUE"""),43788.7055555555)</f>
        <v>43788.705555555498</v>
      </c>
      <c r="B2391" s="111">
        <f ca="1">IFERROR(__xludf.DUMMYFUNCTION("""COMPUTED_VALUE"""),34.53)</f>
        <v>34.53</v>
      </c>
      <c r="C2391" s="112">
        <f ca="1">IFERROR(__xludf.DUMMYFUNCTION("""COMPUTED_VALUE"""),43797.7055555555)</f>
        <v>43797.705555555498</v>
      </c>
      <c r="D2391" s="111">
        <f ca="1">IFERROR(__xludf.DUMMYFUNCTION("""COMPUTED_VALUE"""),34.6)</f>
        <v>34.6</v>
      </c>
      <c r="E2391" s="112">
        <f ca="1">IFERROR(__xludf.DUMMYFUNCTION("""COMPUTED_VALUE"""),43798.7055555555)</f>
        <v>43798.705555555498</v>
      </c>
      <c r="F2391" s="111">
        <f ca="1">IFERROR(__xludf.DUMMYFUNCTION("""COMPUTED_VALUE"""),12.64)</f>
        <v>12.64</v>
      </c>
      <c r="G2391" s="112">
        <f ca="1">IFERROR(__xludf.DUMMYFUNCTION("""COMPUTED_VALUE"""),43796.7055555555)</f>
        <v>43796.705555555498</v>
      </c>
      <c r="H2391" s="111">
        <f ca="1">IFERROR(__xludf.DUMMYFUNCTION("""COMPUTED_VALUE"""),29.33)</f>
        <v>29.33</v>
      </c>
      <c r="K2391" s="112">
        <f ca="1">IFERROR(__xludf.DUMMYFUNCTION("""COMPUTED_VALUE"""),44251.7055555555)</f>
        <v>44251.705555555498</v>
      </c>
      <c r="L2391" s="111">
        <f ca="1">IFERROR(__xludf.DUMMYFUNCTION("""COMPUTED_VALUE"""),24.65)</f>
        <v>24.65</v>
      </c>
      <c r="M2391" s="112">
        <f ca="1">IFERROR(__xludf.DUMMYFUNCTION("""COMPUTED_VALUE"""),43706.7055555555)</f>
        <v>43706.705555555498</v>
      </c>
      <c r="N2391" s="111">
        <f ca="1">IFERROR(__xludf.DUMMYFUNCTION("""COMPUTED_VALUE"""),26.82)</f>
        <v>26.82</v>
      </c>
      <c r="O2391" s="112">
        <f ca="1">IFERROR(__xludf.DUMMYFUNCTION("""COMPUTED_VALUE"""),43780.7055555555)</f>
        <v>43780.705555555498</v>
      </c>
      <c r="P2391" s="111">
        <f ca="1">IFERROR(__xludf.DUMMYFUNCTION("""COMPUTED_VALUE"""),48.13)</f>
        <v>48.13</v>
      </c>
      <c r="Q2391" s="112">
        <f ca="1">IFERROR(__xludf.DUMMYFUNCTION("""COMPUTED_VALUE"""),43777.7055555555)</f>
        <v>43777.705555555498</v>
      </c>
      <c r="R2391" s="111">
        <f ca="1">IFERROR(__xludf.DUMMYFUNCTION("""COMPUTED_VALUE"""),47)</f>
        <v>47</v>
      </c>
      <c r="S2391" s="112">
        <f ca="1">IFERROR(__xludf.DUMMYFUNCTION("""COMPUTED_VALUE"""),43794.7055555555)</f>
        <v>43794.705555555498</v>
      </c>
      <c r="T2391" s="111">
        <f ca="1">IFERROR(__xludf.DUMMYFUNCTION("""COMPUTED_VALUE"""),46.64)</f>
        <v>46.64</v>
      </c>
    </row>
    <row r="2392" spans="1:20" x14ac:dyDescent="0.3">
      <c r="A2392" s="112">
        <f ca="1">IFERROR(__xludf.DUMMYFUNCTION("""COMPUTED_VALUE"""),43790.7055555555)</f>
        <v>43790.705555555498</v>
      </c>
      <c r="B2392" s="111">
        <f ca="1">IFERROR(__xludf.DUMMYFUNCTION("""COMPUTED_VALUE"""),35.02)</f>
        <v>35.020000000000003</v>
      </c>
      <c r="C2392" s="112">
        <f ca="1">IFERROR(__xludf.DUMMYFUNCTION("""COMPUTED_VALUE"""),43798.7055555555)</f>
        <v>43798.705555555498</v>
      </c>
      <c r="D2392" s="111">
        <f ca="1">IFERROR(__xludf.DUMMYFUNCTION("""COMPUTED_VALUE"""),34.8)</f>
        <v>34.799999999999997</v>
      </c>
      <c r="E2392" s="112">
        <f ca="1">IFERROR(__xludf.DUMMYFUNCTION("""COMPUTED_VALUE"""),43801.7055555555)</f>
        <v>43801.705555555498</v>
      </c>
      <c r="F2392" s="111">
        <f ca="1">IFERROR(__xludf.DUMMYFUNCTION("""COMPUTED_VALUE"""),12.72)</f>
        <v>12.72</v>
      </c>
      <c r="G2392" s="112">
        <f ca="1">IFERROR(__xludf.DUMMYFUNCTION("""COMPUTED_VALUE"""),43797.7055555555)</f>
        <v>43797.705555555498</v>
      </c>
      <c r="H2392" s="111">
        <f ca="1">IFERROR(__xludf.DUMMYFUNCTION("""COMPUTED_VALUE"""),29.53)</f>
        <v>29.53</v>
      </c>
      <c r="K2392" s="112">
        <f ca="1">IFERROR(__xludf.DUMMYFUNCTION("""COMPUTED_VALUE"""),44252.7055555555)</f>
        <v>44252.705555555498</v>
      </c>
      <c r="L2392" s="111">
        <f ca="1">IFERROR(__xludf.DUMMYFUNCTION("""COMPUTED_VALUE"""),24.06)</f>
        <v>24.06</v>
      </c>
      <c r="M2392" s="112">
        <f ca="1">IFERROR(__xludf.DUMMYFUNCTION("""COMPUTED_VALUE"""),43707.7055555555)</f>
        <v>43707.705555555498</v>
      </c>
      <c r="N2392" s="111">
        <f ca="1">IFERROR(__xludf.DUMMYFUNCTION("""COMPUTED_VALUE"""),27.23)</f>
        <v>27.23</v>
      </c>
      <c r="O2392" s="112">
        <f ca="1">IFERROR(__xludf.DUMMYFUNCTION("""COMPUTED_VALUE"""),43781.7055555555)</f>
        <v>43781.705555555498</v>
      </c>
      <c r="P2392" s="111">
        <f ca="1">IFERROR(__xludf.DUMMYFUNCTION("""COMPUTED_VALUE"""),47.9)</f>
        <v>47.9</v>
      </c>
      <c r="Q2392" s="112">
        <f ca="1">IFERROR(__xludf.DUMMYFUNCTION("""COMPUTED_VALUE"""),43780.7055555555)</f>
        <v>43780.705555555498</v>
      </c>
      <c r="R2392" s="111">
        <f ca="1">IFERROR(__xludf.DUMMYFUNCTION("""COMPUTED_VALUE"""),47.24)</f>
        <v>47.24</v>
      </c>
      <c r="S2392" s="112">
        <f ca="1">IFERROR(__xludf.DUMMYFUNCTION("""COMPUTED_VALUE"""),43795.7055555555)</f>
        <v>43795.705555555498</v>
      </c>
      <c r="T2392" s="111">
        <f ca="1">IFERROR(__xludf.DUMMYFUNCTION("""COMPUTED_VALUE"""),46.37)</f>
        <v>46.37</v>
      </c>
    </row>
    <row r="2393" spans="1:20" x14ac:dyDescent="0.3">
      <c r="A2393" s="112">
        <f ca="1">IFERROR(__xludf.DUMMYFUNCTION("""COMPUTED_VALUE"""),43791.7055555555)</f>
        <v>43791.705555555498</v>
      </c>
      <c r="B2393" s="111">
        <f ca="1">IFERROR(__xludf.DUMMYFUNCTION("""COMPUTED_VALUE"""),35.08)</f>
        <v>35.08</v>
      </c>
      <c r="C2393" s="112">
        <f ca="1">IFERROR(__xludf.DUMMYFUNCTION("""COMPUTED_VALUE"""),43801.7055555555)</f>
        <v>43801.705555555498</v>
      </c>
      <c r="D2393" s="111">
        <f ca="1">IFERROR(__xludf.DUMMYFUNCTION("""COMPUTED_VALUE"""),35.28)</f>
        <v>35.28</v>
      </c>
      <c r="E2393" s="112">
        <f ca="1">IFERROR(__xludf.DUMMYFUNCTION("""COMPUTED_VALUE"""),43802.7055555555)</f>
        <v>43802.705555555498</v>
      </c>
      <c r="F2393" s="111">
        <f ca="1">IFERROR(__xludf.DUMMYFUNCTION("""COMPUTED_VALUE"""),12.7)</f>
        <v>12.7</v>
      </c>
      <c r="G2393" s="112">
        <f ca="1">IFERROR(__xludf.DUMMYFUNCTION("""COMPUTED_VALUE"""),43798.7055555555)</f>
        <v>43798.705555555498</v>
      </c>
      <c r="H2393" s="111">
        <f ca="1">IFERROR(__xludf.DUMMYFUNCTION("""COMPUTED_VALUE"""),29.15)</f>
        <v>29.15</v>
      </c>
      <c r="K2393" s="112">
        <f ca="1">IFERROR(__xludf.DUMMYFUNCTION("""COMPUTED_VALUE"""),44253.7055555555)</f>
        <v>44253.705555555498</v>
      </c>
      <c r="L2393" s="111">
        <f ca="1">IFERROR(__xludf.DUMMYFUNCTION("""COMPUTED_VALUE"""),24.19)</f>
        <v>24.19</v>
      </c>
      <c r="M2393" s="112">
        <f ca="1">IFERROR(__xludf.DUMMYFUNCTION("""COMPUTED_VALUE"""),43710.7055555555)</f>
        <v>43710.705555555498</v>
      </c>
      <c r="N2393" s="111">
        <f ca="1">IFERROR(__xludf.DUMMYFUNCTION("""COMPUTED_VALUE"""),26.95)</f>
        <v>26.95</v>
      </c>
      <c r="O2393" s="112">
        <f ca="1">IFERROR(__xludf.DUMMYFUNCTION("""COMPUTED_VALUE"""),43782.7055555555)</f>
        <v>43782.705555555498</v>
      </c>
      <c r="P2393" s="111">
        <f ca="1">IFERROR(__xludf.DUMMYFUNCTION("""COMPUTED_VALUE"""),47.12)</f>
        <v>47.12</v>
      </c>
      <c r="Q2393" s="112">
        <f ca="1">IFERROR(__xludf.DUMMYFUNCTION("""COMPUTED_VALUE"""),43781.7055555555)</f>
        <v>43781.705555555498</v>
      </c>
      <c r="R2393" s="111">
        <f ca="1">IFERROR(__xludf.DUMMYFUNCTION("""COMPUTED_VALUE"""),46.72)</f>
        <v>46.72</v>
      </c>
      <c r="S2393" s="112">
        <f ca="1">IFERROR(__xludf.DUMMYFUNCTION("""COMPUTED_VALUE"""),43796.7055555555)</f>
        <v>43796.705555555498</v>
      </c>
      <c r="T2393" s="111">
        <f ca="1">IFERROR(__xludf.DUMMYFUNCTION("""COMPUTED_VALUE"""),46.51)</f>
        <v>46.51</v>
      </c>
    </row>
    <row r="2394" spans="1:20" x14ac:dyDescent="0.3">
      <c r="A2394" s="112">
        <f ca="1">IFERROR(__xludf.DUMMYFUNCTION("""COMPUTED_VALUE"""),43794.7055555555)</f>
        <v>43794.705555555498</v>
      </c>
      <c r="B2394" s="111">
        <f ca="1">IFERROR(__xludf.DUMMYFUNCTION("""COMPUTED_VALUE"""),34.52)</f>
        <v>34.520000000000003</v>
      </c>
      <c r="C2394" s="112">
        <f ca="1">IFERROR(__xludf.DUMMYFUNCTION("""COMPUTED_VALUE"""),43802.7055555555)</f>
        <v>43802.705555555498</v>
      </c>
      <c r="D2394" s="111">
        <f ca="1">IFERROR(__xludf.DUMMYFUNCTION("""COMPUTED_VALUE"""),35.29)</f>
        <v>35.29</v>
      </c>
      <c r="E2394" s="112">
        <f ca="1">IFERROR(__xludf.DUMMYFUNCTION("""COMPUTED_VALUE"""),43803.7055555555)</f>
        <v>43803.705555555498</v>
      </c>
      <c r="F2394" s="111">
        <f ca="1">IFERROR(__xludf.DUMMYFUNCTION("""COMPUTED_VALUE"""),13)</f>
        <v>13</v>
      </c>
      <c r="G2394" s="112">
        <f ca="1">IFERROR(__xludf.DUMMYFUNCTION("""COMPUTED_VALUE"""),43801.7055555555)</f>
        <v>43801.705555555498</v>
      </c>
      <c r="H2394" s="111">
        <f ca="1">IFERROR(__xludf.DUMMYFUNCTION("""COMPUTED_VALUE"""),29.07)</f>
        <v>29.07</v>
      </c>
      <c r="K2394" s="112">
        <f ca="1">IFERROR(__xludf.DUMMYFUNCTION("""COMPUTED_VALUE"""),44256.7055555555)</f>
        <v>44256.705555555498</v>
      </c>
      <c r="L2394" s="111">
        <f ca="1">IFERROR(__xludf.DUMMYFUNCTION("""COMPUTED_VALUE"""),24.56)</f>
        <v>24.56</v>
      </c>
      <c r="M2394" s="112">
        <f ca="1">IFERROR(__xludf.DUMMYFUNCTION("""COMPUTED_VALUE"""),43711.7055555555)</f>
        <v>43711.705555555498</v>
      </c>
      <c r="N2394" s="111">
        <f ca="1">IFERROR(__xludf.DUMMYFUNCTION("""COMPUTED_VALUE"""),26.5)</f>
        <v>26.5</v>
      </c>
      <c r="O2394" s="112">
        <f ca="1">IFERROR(__xludf.DUMMYFUNCTION("""COMPUTED_VALUE"""),43783.7055555555)</f>
        <v>43783.705555555498</v>
      </c>
      <c r="P2394" s="111">
        <f ca="1">IFERROR(__xludf.DUMMYFUNCTION("""COMPUTED_VALUE"""),47)</f>
        <v>47</v>
      </c>
      <c r="Q2394" s="112">
        <f ca="1">IFERROR(__xludf.DUMMYFUNCTION("""COMPUTED_VALUE"""),43782.7055555555)</f>
        <v>43782.705555555498</v>
      </c>
      <c r="R2394" s="111">
        <f ca="1">IFERROR(__xludf.DUMMYFUNCTION("""COMPUTED_VALUE"""),45.95)</f>
        <v>45.95</v>
      </c>
      <c r="S2394" s="112">
        <f ca="1">IFERROR(__xludf.DUMMYFUNCTION("""COMPUTED_VALUE"""),43797.7055555555)</f>
        <v>43797.705555555498</v>
      </c>
      <c r="T2394" s="111">
        <f ca="1">IFERROR(__xludf.DUMMYFUNCTION("""COMPUTED_VALUE"""),47.06)</f>
        <v>47.06</v>
      </c>
    </row>
    <row r="2395" spans="1:20" x14ac:dyDescent="0.3">
      <c r="A2395" s="112">
        <f ca="1">IFERROR(__xludf.DUMMYFUNCTION("""COMPUTED_VALUE"""),43795.7055555555)</f>
        <v>43795.705555555498</v>
      </c>
      <c r="B2395" s="111">
        <f ca="1">IFERROR(__xludf.DUMMYFUNCTION("""COMPUTED_VALUE"""),34.31)</f>
        <v>34.31</v>
      </c>
      <c r="C2395" s="112">
        <f ca="1">IFERROR(__xludf.DUMMYFUNCTION("""COMPUTED_VALUE"""),43803.7055555555)</f>
        <v>43803.705555555498</v>
      </c>
      <c r="D2395" s="111">
        <f ca="1">IFERROR(__xludf.DUMMYFUNCTION("""COMPUTED_VALUE"""),36.56)</f>
        <v>36.56</v>
      </c>
      <c r="E2395" s="112">
        <f ca="1">IFERROR(__xludf.DUMMYFUNCTION("""COMPUTED_VALUE"""),43804.7055555555)</f>
        <v>43804.705555555498</v>
      </c>
      <c r="F2395" s="111">
        <f ca="1">IFERROR(__xludf.DUMMYFUNCTION("""COMPUTED_VALUE"""),12.94)</f>
        <v>12.94</v>
      </c>
      <c r="G2395" s="112">
        <f ca="1">IFERROR(__xludf.DUMMYFUNCTION("""COMPUTED_VALUE"""),43802.7055555555)</f>
        <v>43802.705555555498</v>
      </c>
      <c r="H2395" s="111">
        <f ca="1">IFERROR(__xludf.DUMMYFUNCTION("""COMPUTED_VALUE"""),28.98)</f>
        <v>28.98</v>
      </c>
      <c r="K2395" s="112">
        <f ca="1">IFERROR(__xludf.DUMMYFUNCTION("""COMPUTED_VALUE"""),44257.7055555555)</f>
        <v>44257.705555555498</v>
      </c>
      <c r="L2395" s="111">
        <f ca="1">IFERROR(__xludf.DUMMYFUNCTION("""COMPUTED_VALUE"""),24.28)</f>
        <v>24.28</v>
      </c>
      <c r="M2395" s="112">
        <f ca="1">IFERROR(__xludf.DUMMYFUNCTION("""COMPUTED_VALUE"""),43712.7055555555)</f>
        <v>43712.705555555498</v>
      </c>
      <c r="N2395" s="111">
        <f ca="1">IFERROR(__xludf.DUMMYFUNCTION("""COMPUTED_VALUE"""),26.83)</f>
        <v>26.83</v>
      </c>
      <c r="O2395" s="112">
        <f ca="1">IFERROR(__xludf.DUMMYFUNCTION("""COMPUTED_VALUE"""),43787.7055555555)</f>
        <v>43787.705555555498</v>
      </c>
      <c r="P2395" s="111">
        <f ca="1">IFERROR(__xludf.DUMMYFUNCTION("""COMPUTED_VALUE"""),47.61)</f>
        <v>47.61</v>
      </c>
      <c r="Q2395" s="112">
        <f ca="1">IFERROR(__xludf.DUMMYFUNCTION("""COMPUTED_VALUE"""),43783.7055555555)</f>
        <v>43783.705555555498</v>
      </c>
      <c r="R2395" s="111">
        <f ca="1">IFERROR(__xludf.DUMMYFUNCTION("""COMPUTED_VALUE"""),46.51)</f>
        <v>46.51</v>
      </c>
      <c r="S2395" s="112">
        <f ca="1">IFERROR(__xludf.DUMMYFUNCTION("""COMPUTED_VALUE"""),43798.7055555555)</f>
        <v>43798.705555555498</v>
      </c>
      <c r="T2395" s="111">
        <f ca="1">IFERROR(__xludf.DUMMYFUNCTION("""COMPUTED_VALUE"""),47.09)</f>
        <v>47.09</v>
      </c>
    </row>
    <row r="2396" spans="1:20" x14ac:dyDescent="0.3">
      <c r="A2396" s="112">
        <f ca="1">IFERROR(__xludf.DUMMYFUNCTION("""COMPUTED_VALUE"""),43796.7055555555)</f>
        <v>43796.705555555498</v>
      </c>
      <c r="B2396" s="111">
        <f ca="1">IFERROR(__xludf.DUMMYFUNCTION("""COMPUTED_VALUE"""),34.26)</f>
        <v>34.26</v>
      </c>
      <c r="C2396" s="112">
        <f ca="1">IFERROR(__xludf.DUMMYFUNCTION("""COMPUTED_VALUE"""),43804.7055555555)</f>
        <v>43804.705555555498</v>
      </c>
      <c r="D2396" s="111">
        <f ca="1">IFERROR(__xludf.DUMMYFUNCTION("""COMPUTED_VALUE"""),36.51)</f>
        <v>36.51</v>
      </c>
      <c r="E2396" s="112">
        <f ca="1">IFERROR(__xludf.DUMMYFUNCTION("""COMPUTED_VALUE"""),43805.7055555555)</f>
        <v>43805.705555555498</v>
      </c>
      <c r="F2396" s="111">
        <f ca="1">IFERROR(__xludf.DUMMYFUNCTION("""COMPUTED_VALUE"""),12.82)</f>
        <v>12.82</v>
      </c>
      <c r="G2396" s="112">
        <f ca="1">IFERROR(__xludf.DUMMYFUNCTION("""COMPUTED_VALUE"""),43803.7055555555)</f>
        <v>43803.705555555498</v>
      </c>
      <c r="H2396" s="111">
        <f ca="1">IFERROR(__xludf.DUMMYFUNCTION("""COMPUTED_VALUE"""),29.66)</f>
        <v>29.66</v>
      </c>
      <c r="K2396" s="112">
        <f ca="1">IFERROR(__xludf.DUMMYFUNCTION("""COMPUTED_VALUE"""),44258.7055555555)</f>
        <v>44258.705555555498</v>
      </c>
      <c r="L2396" s="111">
        <f ca="1">IFERROR(__xludf.DUMMYFUNCTION("""COMPUTED_VALUE"""),25.13)</f>
        <v>25.13</v>
      </c>
      <c r="M2396" s="112">
        <f ca="1">IFERROR(__xludf.DUMMYFUNCTION("""COMPUTED_VALUE"""),43713.7055555555)</f>
        <v>43713.705555555498</v>
      </c>
      <c r="N2396" s="111">
        <f ca="1">IFERROR(__xludf.DUMMYFUNCTION("""COMPUTED_VALUE"""),27.45)</f>
        <v>27.45</v>
      </c>
      <c r="O2396" s="112">
        <f ca="1">IFERROR(__xludf.DUMMYFUNCTION("""COMPUTED_VALUE"""),43788.7055555555)</f>
        <v>43788.705555555498</v>
      </c>
      <c r="P2396" s="111">
        <f ca="1">IFERROR(__xludf.DUMMYFUNCTION("""COMPUTED_VALUE"""),48.17)</f>
        <v>48.17</v>
      </c>
      <c r="Q2396" s="112">
        <f ca="1">IFERROR(__xludf.DUMMYFUNCTION("""COMPUTED_VALUE"""),43787.7055555555)</f>
        <v>43787.705555555498</v>
      </c>
      <c r="R2396" s="111">
        <f ca="1">IFERROR(__xludf.DUMMYFUNCTION("""COMPUTED_VALUE"""),46.53)</f>
        <v>46.53</v>
      </c>
      <c r="S2396" s="112">
        <f ca="1">IFERROR(__xludf.DUMMYFUNCTION("""COMPUTED_VALUE"""),43801.7055555555)</f>
        <v>43801.705555555498</v>
      </c>
      <c r="T2396" s="111">
        <f ca="1">IFERROR(__xludf.DUMMYFUNCTION("""COMPUTED_VALUE"""),47.64)</f>
        <v>47.64</v>
      </c>
    </row>
    <row r="2397" spans="1:20" x14ac:dyDescent="0.3">
      <c r="A2397" s="112">
        <f ca="1">IFERROR(__xludf.DUMMYFUNCTION("""COMPUTED_VALUE"""),43797.7055555555)</f>
        <v>43797.705555555498</v>
      </c>
      <c r="B2397" s="111">
        <f ca="1">IFERROR(__xludf.DUMMYFUNCTION("""COMPUTED_VALUE"""),34.22)</f>
        <v>34.22</v>
      </c>
      <c r="C2397" s="112">
        <f ca="1">IFERROR(__xludf.DUMMYFUNCTION("""COMPUTED_VALUE"""),43805.7055555555)</f>
        <v>43805.705555555498</v>
      </c>
      <c r="D2397" s="111">
        <f ca="1">IFERROR(__xludf.DUMMYFUNCTION("""COMPUTED_VALUE"""),35.85)</f>
        <v>35.85</v>
      </c>
      <c r="E2397" s="112">
        <f ca="1">IFERROR(__xludf.DUMMYFUNCTION("""COMPUTED_VALUE"""),43808.7055555555)</f>
        <v>43808.705555555498</v>
      </c>
      <c r="F2397" s="111">
        <f ca="1">IFERROR(__xludf.DUMMYFUNCTION("""COMPUTED_VALUE"""),13.03)</f>
        <v>13.03</v>
      </c>
      <c r="G2397" s="112">
        <f ca="1">IFERROR(__xludf.DUMMYFUNCTION("""COMPUTED_VALUE"""),43804.7055555555)</f>
        <v>43804.705555555498</v>
      </c>
      <c r="H2397" s="111">
        <f ca="1">IFERROR(__xludf.DUMMYFUNCTION("""COMPUTED_VALUE"""),30.05)</f>
        <v>30.05</v>
      </c>
      <c r="K2397" s="112">
        <f ca="1">IFERROR(__xludf.DUMMYFUNCTION("""COMPUTED_VALUE"""),44259.7055555555)</f>
        <v>44259.705555555498</v>
      </c>
      <c r="L2397" s="111">
        <f ca="1">IFERROR(__xludf.DUMMYFUNCTION("""COMPUTED_VALUE"""),25.45)</f>
        <v>25.45</v>
      </c>
      <c r="M2397" s="112">
        <f ca="1">IFERROR(__xludf.DUMMYFUNCTION("""COMPUTED_VALUE"""),43714.7055555555)</f>
        <v>43714.705555555498</v>
      </c>
      <c r="N2397" s="111">
        <f ca="1">IFERROR(__xludf.DUMMYFUNCTION("""COMPUTED_VALUE"""),28.6)</f>
        <v>28.6</v>
      </c>
      <c r="O2397" s="112">
        <f ca="1">IFERROR(__xludf.DUMMYFUNCTION("""COMPUTED_VALUE"""),43790.7055555555)</f>
        <v>43790.705555555498</v>
      </c>
      <c r="P2397" s="111">
        <f ca="1">IFERROR(__xludf.DUMMYFUNCTION("""COMPUTED_VALUE"""),48.42)</f>
        <v>48.42</v>
      </c>
      <c r="Q2397" s="112">
        <f ca="1">IFERROR(__xludf.DUMMYFUNCTION("""COMPUTED_VALUE"""),43788.7055555555)</f>
        <v>43788.705555555498</v>
      </c>
      <c r="R2397" s="111">
        <f ca="1">IFERROR(__xludf.DUMMYFUNCTION("""COMPUTED_VALUE"""),45.79)</f>
        <v>45.79</v>
      </c>
      <c r="S2397" s="112">
        <f ca="1">IFERROR(__xludf.DUMMYFUNCTION("""COMPUTED_VALUE"""),43802.7055555555)</f>
        <v>43802.705555555498</v>
      </c>
      <c r="T2397" s="111">
        <f ca="1">IFERROR(__xludf.DUMMYFUNCTION("""COMPUTED_VALUE"""),47.85)</f>
        <v>47.85</v>
      </c>
    </row>
    <row r="2398" spans="1:20" x14ac:dyDescent="0.3">
      <c r="A2398" s="112">
        <f ca="1">IFERROR(__xludf.DUMMYFUNCTION("""COMPUTED_VALUE"""),43798.7055555555)</f>
        <v>43798.705555555498</v>
      </c>
      <c r="B2398" s="111">
        <f ca="1">IFERROR(__xludf.DUMMYFUNCTION("""COMPUTED_VALUE"""),34.46)</f>
        <v>34.46</v>
      </c>
      <c r="C2398" s="112">
        <f ca="1">IFERROR(__xludf.DUMMYFUNCTION("""COMPUTED_VALUE"""),43808.7055555555)</f>
        <v>43808.705555555498</v>
      </c>
      <c r="D2398" s="111">
        <f ca="1">IFERROR(__xludf.DUMMYFUNCTION("""COMPUTED_VALUE"""),36.55)</f>
        <v>36.549999999999997</v>
      </c>
      <c r="E2398" s="112">
        <f ca="1">IFERROR(__xludf.DUMMYFUNCTION("""COMPUTED_VALUE"""),43809.7055555555)</f>
        <v>43809.705555555498</v>
      </c>
      <c r="F2398" s="111">
        <f ca="1">IFERROR(__xludf.DUMMYFUNCTION("""COMPUTED_VALUE"""),13.01)</f>
        <v>13.01</v>
      </c>
      <c r="G2398" s="112">
        <f ca="1">IFERROR(__xludf.DUMMYFUNCTION("""COMPUTED_VALUE"""),43805.7055555555)</f>
        <v>43805.705555555498</v>
      </c>
      <c r="H2398" s="111">
        <f ca="1">IFERROR(__xludf.DUMMYFUNCTION("""COMPUTED_VALUE"""),30.35)</f>
        <v>30.35</v>
      </c>
      <c r="K2398" s="112">
        <f ca="1">IFERROR(__xludf.DUMMYFUNCTION("""COMPUTED_VALUE"""),44260.7055555555)</f>
        <v>44260.705555555498</v>
      </c>
      <c r="L2398" s="111">
        <f ca="1">IFERROR(__xludf.DUMMYFUNCTION("""COMPUTED_VALUE"""),25.14)</f>
        <v>25.14</v>
      </c>
      <c r="M2398" s="112">
        <f ca="1">IFERROR(__xludf.DUMMYFUNCTION("""COMPUTED_VALUE"""),43717.7055555555)</f>
        <v>43717.705555555498</v>
      </c>
      <c r="N2398" s="111">
        <f ca="1">IFERROR(__xludf.DUMMYFUNCTION("""COMPUTED_VALUE"""),28.96)</f>
        <v>28.96</v>
      </c>
      <c r="O2398" s="112">
        <f ca="1">IFERROR(__xludf.DUMMYFUNCTION("""COMPUTED_VALUE"""),43791.7055555555)</f>
        <v>43791.705555555498</v>
      </c>
      <c r="P2398" s="111">
        <f ca="1">IFERROR(__xludf.DUMMYFUNCTION("""COMPUTED_VALUE"""),50.03)</f>
        <v>50.03</v>
      </c>
      <c r="Q2398" s="112">
        <f ca="1">IFERROR(__xludf.DUMMYFUNCTION("""COMPUTED_VALUE"""),43790.7055555555)</f>
        <v>43790.705555555498</v>
      </c>
      <c r="R2398" s="111">
        <f ca="1">IFERROR(__xludf.DUMMYFUNCTION("""COMPUTED_VALUE"""),46.38)</f>
        <v>46.38</v>
      </c>
      <c r="S2398" s="112">
        <f ca="1">IFERROR(__xludf.DUMMYFUNCTION("""COMPUTED_VALUE"""),43803.7055555555)</f>
        <v>43803.705555555498</v>
      </c>
      <c r="T2398" s="111">
        <f ca="1">IFERROR(__xludf.DUMMYFUNCTION("""COMPUTED_VALUE"""),48.09)</f>
        <v>48.09</v>
      </c>
    </row>
    <row r="2399" spans="1:20" x14ac:dyDescent="0.3">
      <c r="A2399" s="112">
        <f ca="1">IFERROR(__xludf.DUMMYFUNCTION("""COMPUTED_VALUE"""),43801.7055555555)</f>
        <v>43801.705555555498</v>
      </c>
      <c r="B2399" s="111">
        <f ca="1">IFERROR(__xludf.DUMMYFUNCTION("""COMPUTED_VALUE"""),34.79)</f>
        <v>34.79</v>
      </c>
      <c r="C2399" s="112">
        <f ca="1">IFERROR(__xludf.DUMMYFUNCTION("""COMPUTED_VALUE"""),43809.7055555555)</f>
        <v>43809.705555555498</v>
      </c>
      <c r="D2399" s="111">
        <f ca="1">IFERROR(__xludf.DUMMYFUNCTION("""COMPUTED_VALUE"""),36.02)</f>
        <v>36.020000000000003</v>
      </c>
      <c r="E2399" s="112">
        <f ca="1">IFERROR(__xludf.DUMMYFUNCTION("""COMPUTED_VALUE"""),43810.7055555555)</f>
        <v>43810.705555555498</v>
      </c>
      <c r="F2399" s="111">
        <f ca="1">IFERROR(__xludf.DUMMYFUNCTION("""COMPUTED_VALUE"""),12.97)</f>
        <v>12.97</v>
      </c>
      <c r="G2399" s="112">
        <f ca="1">IFERROR(__xludf.DUMMYFUNCTION("""COMPUTED_VALUE"""),43808.7055555555)</f>
        <v>43808.705555555498</v>
      </c>
      <c r="H2399" s="111">
        <f ca="1">IFERROR(__xludf.DUMMYFUNCTION("""COMPUTED_VALUE"""),30.21)</f>
        <v>30.21</v>
      </c>
      <c r="K2399" s="112">
        <f ca="1">IFERROR(__xludf.DUMMYFUNCTION("""COMPUTED_VALUE"""),44263.7055555555)</f>
        <v>44263.705555555498</v>
      </c>
      <c r="L2399" s="111">
        <f ca="1">IFERROR(__xludf.DUMMYFUNCTION("""COMPUTED_VALUE"""),23.11)</f>
        <v>23.11</v>
      </c>
      <c r="M2399" s="112">
        <f ca="1">IFERROR(__xludf.DUMMYFUNCTION("""COMPUTED_VALUE"""),43718.7055555555)</f>
        <v>43718.705555555498</v>
      </c>
      <c r="N2399" s="111">
        <f ca="1">IFERROR(__xludf.DUMMYFUNCTION("""COMPUTED_VALUE"""),28.45)</f>
        <v>28.45</v>
      </c>
      <c r="O2399" s="112">
        <f ca="1">IFERROR(__xludf.DUMMYFUNCTION("""COMPUTED_VALUE"""),43794.7055555555)</f>
        <v>43794.705555555498</v>
      </c>
      <c r="P2399" s="111">
        <f ca="1">IFERROR(__xludf.DUMMYFUNCTION("""COMPUTED_VALUE"""),50.86)</f>
        <v>50.86</v>
      </c>
      <c r="Q2399" s="112">
        <f ca="1">IFERROR(__xludf.DUMMYFUNCTION("""COMPUTED_VALUE"""),43791.7055555555)</f>
        <v>43791.705555555498</v>
      </c>
      <c r="R2399" s="111">
        <f ca="1">IFERROR(__xludf.DUMMYFUNCTION("""COMPUTED_VALUE"""),46.75)</f>
        <v>46.75</v>
      </c>
      <c r="S2399" s="112">
        <f ca="1">IFERROR(__xludf.DUMMYFUNCTION("""COMPUTED_VALUE"""),43804.7055555555)</f>
        <v>43804.705555555498</v>
      </c>
      <c r="T2399" s="111">
        <f ca="1">IFERROR(__xludf.DUMMYFUNCTION("""COMPUTED_VALUE"""),48.16)</f>
        <v>48.16</v>
      </c>
    </row>
    <row r="2400" spans="1:20" x14ac:dyDescent="0.3">
      <c r="A2400" s="112">
        <f ca="1">IFERROR(__xludf.DUMMYFUNCTION("""COMPUTED_VALUE"""),43802.7055555555)</f>
        <v>43802.705555555498</v>
      </c>
      <c r="B2400" s="111">
        <f ca="1">IFERROR(__xludf.DUMMYFUNCTION("""COMPUTED_VALUE"""),35.07)</f>
        <v>35.07</v>
      </c>
      <c r="C2400" s="112">
        <f ca="1">IFERROR(__xludf.DUMMYFUNCTION("""COMPUTED_VALUE"""),43810.7055555555)</f>
        <v>43810.705555555498</v>
      </c>
      <c r="D2400" s="111">
        <f ca="1">IFERROR(__xludf.DUMMYFUNCTION("""COMPUTED_VALUE"""),35.6)</f>
        <v>35.6</v>
      </c>
      <c r="E2400" s="112">
        <f ca="1">IFERROR(__xludf.DUMMYFUNCTION("""COMPUTED_VALUE"""),43811.7055555555)</f>
        <v>43811.705555555498</v>
      </c>
      <c r="F2400" s="111">
        <f ca="1">IFERROR(__xludf.DUMMYFUNCTION("""COMPUTED_VALUE"""),12.95)</f>
        <v>12.95</v>
      </c>
      <c r="G2400" s="112">
        <f ca="1">IFERROR(__xludf.DUMMYFUNCTION("""COMPUTED_VALUE"""),43809.7055555555)</f>
        <v>43809.705555555498</v>
      </c>
      <c r="H2400" s="111">
        <f ca="1">IFERROR(__xludf.DUMMYFUNCTION("""COMPUTED_VALUE"""),30.44)</f>
        <v>30.44</v>
      </c>
      <c r="K2400" s="112">
        <f ca="1">IFERROR(__xludf.DUMMYFUNCTION("""COMPUTED_VALUE"""),44264.7055555555)</f>
        <v>44264.705555555498</v>
      </c>
      <c r="L2400" s="111">
        <f ca="1">IFERROR(__xludf.DUMMYFUNCTION("""COMPUTED_VALUE"""),23.4)</f>
        <v>23.4</v>
      </c>
      <c r="M2400" s="112">
        <f ca="1">IFERROR(__xludf.DUMMYFUNCTION("""COMPUTED_VALUE"""),43719.7055555555)</f>
        <v>43719.705555555498</v>
      </c>
      <c r="N2400" s="111">
        <f ca="1">IFERROR(__xludf.DUMMYFUNCTION("""COMPUTED_VALUE"""),28.32)</f>
        <v>28.32</v>
      </c>
      <c r="O2400" s="112">
        <f ca="1">IFERROR(__xludf.DUMMYFUNCTION("""COMPUTED_VALUE"""),43795.7055555555)</f>
        <v>43795.705555555498</v>
      </c>
      <c r="P2400" s="111">
        <f ca="1">IFERROR(__xludf.DUMMYFUNCTION("""COMPUTED_VALUE"""),51.22)</f>
        <v>51.22</v>
      </c>
      <c r="Q2400" s="112">
        <f ca="1">IFERROR(__xludf.DUMMYFUNCTION("""COMPUTED_VALUE"""),43794.7055555555)</f>
        <v>43794.705555555498</v>
      </c>
      <c r="R2400" s="111">
        <f ca="1">IFERROR(__xludf.DUMMYFUNCTION("""COMPUTED_VALUE"""),46.6)</f>
        <v>46.6</v>
      </c>
      <c r="S2400" s="112">
        <f ca="1">IFERROR(__xludf.DUMMYFUNCTION("""COMPUTED_VALUE"""),43805.7055555555)</f>
        <v>43805.705555555498</v>
      </c>
      <c r="T2400" s="111">
        <f ca="1">IFERROR(__xludf.DUMMYFUNCTION("""COMPUTED_VALUE"""),49.24)</f>
        <v>49.24</v>
      </c>
    </row>
    <row r="2401" spans="1:20" x14ac:dyDescent="0.3">
      <c r="A2401" s="112">
        <f ca="1">IFERROR(__xludf.DUMMYFUNCTION("""COMPUTED_VALUE"""),43803.7055555555)</f>
        <v>43803.705555555498</v>
      </c>
      <c r="B2401" s="111">
        <f ca="1">IFERROR(__xludf.DUMMYFUNCTION("""COMPUTED_VALUE"""),35.27)</f>
        <v>35.270000000000003</v>
      </c>
      <c r="C2401" s="112">
        <f ca="1">IFERROR(__xludf.DUMMYFUNCTION("""COMPUTED_VALUE"""),43811.7055555555)</f>
        <v>43811.705555555498</v>
      </c>
      <c r="D2401" s="111">
        <f ca="1">IFERROR(__xludf.DUMMYFUNCTION("""COMPUTED_VALUE"""),35.59)</f>
        <v>35.590000000000003</v>
      </c>
      <c r="E2401" s="112">
        <f ca="1">IFERROR(__xludf.DUMMYFUNCTION("""COMPUTED_VALUE"""),43812.7055555555)</f>
        <v>43812.705555555498</v>
      </c>
      <c r="F2401" s="111">
        <f ca="1">IFERROR(__xludf.DUMMYFUNCTION("""COMPUTED_VALUE"""),13.05)</f>
        <v>13.05</v>
      </c>
      <c r="G2401" s="112">
        <f ca="1">IFERROR(__xludf.DUMMYFUNCTION("""COMPUTED_VALUE"""),43810.7055555555)</f>
        <v>43810.705555555498</v>
      </c>
      <c r="H2401" s="111">
        <f ca="1">IFERROR(__xludf.DUMMYFUNCTION("""COMPUTED_VALUE"""),30.4)</f>
        <v>30.4</v>
      </c>
      <c r="K2401" s="112">
        <f ca="1">IFERROR(__xludf.DUMMYFUNCTION("""COMPUTED_VALUE"""),44265.7055555555)</f>
        <v>44265.705555555498</v>
      </c>
      <c r="L2401" s="111">
        <f ca="1">IFERROR(__xludf.DUMMYFUNCTION("""COMPUTED_VALUE"""),24.91)</f>
        <v>24.91</v>
      </c>
      <c r="M2401" s="112">
        <f ca="1">IFERROR(__xludf.DUMMYFUNCTION("""COMPUTED_VALUE"""),43720.7055555555)</f>
        <v>43720.705555555498</v>
      </c>
      <c r="N2401" s="111">
        <f ca="1">IFERROR(__xludf.DUMMYFUNCTION("""COMPUTED_VALUE"""),28.02)</f>
        <v>28.02</v>
      </c>
      <c r="O2401" s="112">
        <f ca="1">IFERROR(__xludf.DUMMYFUNCTION("""COMPUTED_VALUE"""),43796.7055555555)</f>
        <v>43796.705555555498</v>
      </c>
      <c r="P2401" s="111">
        <f ca="1">IFERROR(__xludf.DUMMYFUNCTION("""COMPUTED_VALUE"""),50.58)</f>
        <v>50.58</v>
      </c>
      <c r="Q2401" s="112">
        <f ca="1">IFERROR(__xludf.DUMMYFUNCTION("""COMPUTED_VALUE"""),43795.7055555555)</f>
        <v>43795.705555555498</v>
      </c>
      <c r="R2401" s="111">
        <f ca="1">IFERROR(__xludf.DUMMYFUNCTION("""COMPUTED_VALUE"""),46)</f>
        <v>46</v>
      </c>
      <c r="S2401" s="112">
        <f ca="1">IFERROR(__xludf.DUMMYFUNCTION("""COMPUTED_VALUE"""),43808.7055555555)</f>
        <v>43808.705555555498</v>
      </c>
      <c r="T2401" s="111">
        <f ca="1">IFERROR(__xludf.DUMMYFUNCTION("""COMPUTED_VALUE"""),48.09)</f>
        <v>48.09</v>
      </c>
    </row>
    <row r="2402" spans="1:20" x14ac:dyDescent="0.3">
      <c r="A2402" s="112">
        <f ca="1">IFERROR(__xludf.DUMMYFUNCTION("""COMPUTED_VALUE"""),43804.7055555555)</f>
        <v>43804.705555555498</v>
      </c>
      <c r="B2402" s="111">
        <f ca="1">IFERROR(__xludf.DUMMYFUNCTION("""COMPUTED_VALUE"""),35.27)</f>
        <v>35.270000000000003</v>
      </c>
      <c r="C2402" s="112">
        <f ca="1">IFERROR(__xludf.DUMMYFUNCTION("""COMPUTED_VALUE"""),43812.7055555555)</f>
        <v>43812.705555555498</v>
      </c>
      <c r="D2402" s="111">
        <f ca="1">IFERROR(__xludf.DUMMYFUNCTION("""COMPUTED_VALUE"""),36.31)</f>
        <v>36.31</v>
      </c>
      <c r="E2402" s="112">
        <f ca="1">IFERROR(__xludf.DUMMYFUNCTION("""COMPUTED_VALUE"""),43815.7055555555)</f>
        <v>43815.705555555498</v>
      </c>
      <c r="F2402" s="111">
        <f ca="1">IFERROR(__xludf.DUMMYFUNCTION("""COMPUTED_VALUE"""),12.92)</f>
        <v>12.92</v>
      </c>
      <c r="G2402" s="112">
        <f ca="1">IFERROR(__xludf.DUMMYFUNCTION("""COMPUTED_VALUE"""),43811.7055555555)</f>
        <v>43811.705555555498</v>
      </c>
      <c r="H2402" s="111">
        <f ca="1">IFERROR(__xludf.DUMMYFUNCTION("""COMPUTED_VALUE"""),30.97)</f>
        <v>30.97</v>
      </c>
      <c r="K2402" s="112">
        <f ca="1">IFERROR(__xludf.DUMMYFUNCTION("""COMPUTED_VALUE"""),44266.7055555555)</f>
        <v>44266.705555555498</v>
      </c>
      <c r="L2402" s="111">
        <f ca="1">IFERROR(__xludf.DUMMYFUNCTION("""COMPUTED_VALUE"""),24.81)</f>
        <v>24.81</v>
      </c>
      <c r="M2402" s="112">
        <f ca="1">IFERROR(__xludf.DUMMYFUNCTION("""COMPUTED_VALUE"""),43721.7055555555)</f>
        <v>43721.705555555498</v>
      </c>
      <c r="N2402" s="111">
        <f ca="1">IFERROR(__xludf.DUMMYFUNCTION("""COMPUTED_VALUE"""),27.65)</f>
        <v>27.65</v>
      </c>
      <c r="O2402" s="112">
        <f ca="1">IFERROR(__xludf.DUMMYFUNCTION("""COMPUTED_VALUE"""),43797.7055555555)</f>
        <v>43797.705555555498</v>
      </c>
      <c r="P2402" s="111">
        <f ca="1">IFERROR(__xludf.DUMMYFUNCTION("""COMPUTED_VALUE"""),50.37)</f>
        <v>50.37</v>
      </c>
      <c r="Q2402" s="112">
        <f ca="1">IFERROR(__xludf.DUMMYFUNCTION("""COMPUTED_VALUE"""),43796.7055555555)</f>
        <v>43796.705555555498</v>
      </c>
      <c r="R2402" s="111">
        <f ca="1">IFERROR(__xludf.DUMMYFUNCTION("""COMPUTED_VALUE"""),47.34)</f>
        <v>47.34</v>
      </c>
      <c r="S2402" s="112">
        <f ca="1">IFERROR(__xludf.DUMMYFUNCTION("""COMPUTED_VALUE"""),43809.7055555555)</f>
        <v>43809.705555555498</v>
      </c>
      <c r="T2402" s="111">
        <f ca="1">IFERROR(__xludf.DUMMYFUNCTION("""COMPUTED_VALUE"""),47.92)</f>
        <v>47.92</v>
      </c>
    </row>
    <row r="2403" spans="1:20" x14ac:dyDescent="0.3">
      <c r="A2403" s="112">
        <f ca="1">IFERROR(__xludf.DUMMYFUNCTION("""COMPUTED_VALUE"""),43805.7055555555)</f>
        <v>43805.705555555498</v>
      </c>
      <c r="B2403" s="111">
        <f ca="1">IFERROR(__xludf.DUMMYFUNCTION("""COMPUTED_VALUE"""),35.44)</f>
        <v>35.44</v>
      </c>
      <c r="C2403" s="112">
        <f ca="1">IFERROR(__xludf.DUMMYFUNCTION("""COMPUTED_VALUE"""),43815.7055555555)</f>
        <v>43815.705555555498</v>
      </c>
      <c r="D2403" s="111">
        <f ca="1">IFERROR(__xludf.DUMMYFUNCTION("""COMPUTED_VALUE"""),35.48)</f>
        <v>35.479999999999997</v>
      </c>
      <c r="E2403" s="112">
        <f ca="1">IFERROR(__xludf.DUMMYFUNCTION("""COMPUTED_VALUE"""),43816.7055555555)</f>
        <v>43816.705555555498</v>
      </c>
      <c r="F2403" s="111">
        <f ca="1">IFERROR(__xludf.DUMMYFUNCTION("""COMPUTED_VALUE"""),13.17)</f>
        <v>13.17</v>
      </c>
      <c r="G2403" s="112">
        <f ca="1">IFERROR(__xludf.DUMMYFUNCTION("""COMPUTED_VALUE"""),43812.7055555555)</f>
        <v>43812.705555555498</v>
      </c>
      <c r="H2403" s="111">
        <f ca="1">IFERROR(__xludf.DUMMYFUNCTION("""COMPUTED_VALUE"""),29.98)</f>
        <v>29.98</v>
      </c>
      <c r="K2403" s="112">
        <f ca="1">IFERROR(__xludf.DUMMYFUNCTION("""COMPUTED_VALUE"""),44267.8125)</f>
        <v>44267.8125</v>
      </c>
      <c r="L2403" s="111">
        <f ca="1">IFERROR(__xludf.DUMMYFUNCTION("""COMPUTED_VALUE"""),24.58)</f>
        <v>24.58</v>
      </c>
      <c r="M2403" s="112">
        <f ca="1">IFERROR(__xludf.DUMMYFUNCTION("""COMPUTED_VALUE"""),43724.7055555555)</f>
        <v>43724.705555555498</v>
      </c>
      <c r="N2403" s="111">
        <f ca="1">IFERROR(__xludf.DUMMYFUNCTION("""COMPUTED_VALUE"""),27.29)</f>
        <v>27.29</v>
      </c>
      <c r="O2403" s="112">
        <f ca="1">IFERROR(__xludf.DUMMYFUNCTION("""COMPUTED_VALUE"""),43798.7055555555)</f>
        <v>43798.705555555498</v>
      </c>
      <c r="P2403" s="111">
        <f ca="1">IFERROR(__xludf.DUMMYFUNCTION("""COMPUTED_VALUE"""),49.98)</f>
        <v>49.98</v>
      </c>
      <c r="Q2403" s="112">
        <f ca="1">IFERROR(__xludf.DUMMYFUNCTION("""COMPUTED_VALUE"""),43797.7055555555)</f>
        <v>43797.705555555498</v>
      </c>
      <c r="R2403" s="111">
        <f ca="1">IFERROR(__xludf.DUMMYFUNCTION("""COMPUTED_VALUE"""),47.6)</f>
        <v>47.6</v>
      </c>
      <c r="S2403" s="112">
        <f ca="1">IFERROR(__xludf.DUMMYFUNCTION("""COMPUTED_VALUE"""),43810.7055555555)</f>
        <v>43810.705555555498</v>
      </c>
      <c r="T2403" s="111">
        <f ca="1">IFERROR(__xludf.DUMMYFUNCTION("""COMPUTED_VALUE"""),48.58)</f>
        <v>48.58</v>
      </c>
    </row>
    <row r="2404" spans="1:20" x14ac:dyDescent="0.3">
      <c r="A2404" s="112">
        <f ca="1">IFERROR(__xludf.DUMMYFUNCTION("""COMPUTED_VALUE"""),43808.7055555555)</f>
        <v>43808.705555555498</v>
      </c>
      <c r="B2404" s="111">
        <f ca="1">IFERROR(__xludf.DUMMYFUNCTION("""COMPUTED_VALUE"""),35.39)</f>
        <v>35.39</v>
      </c>
      <c r="C2404" s="112">
        <f ca="1">IFERROR(__xludf.DUMMYFUNCTION("""COMPUTED_VALUE"""),43816.7055555555)</f>
        <v>43816.705555555498</v>
      </c>
      <c r="D2404" s="111">
        <f ca="1">IFERROR(__xludf.DUMMYFUNCTION("""COMPUTED_VALUE"""),36.02)</f>
        <v>36.020000000000003</v>
      </c>
      <c r="E2404" s="112">
        <f ca="1">IFERROR(__xludf.DUMMYFUNCTION("""COMPUTED_VALUE"""),43817.7055555555)</f>
        <v>43817.705555555498</v>
      </c>
      <c r="F2404" s="111">
        <f ca="1">IFERROR(__xludf.DUMMYFUNCTION("""COMPUTED_VALUE"""),13.3)</f>
        <v>13.3</v>
      </c>
      <c r="G2404" s="112">
        <f ca="1">IFERROR(__xludf.DUMMYFUNCTION("""COMPUTED_VALUE"""),43815.7055555555)</f>
        <v>43815.705555555498</v>
      </c>
      <c r="H2404" s="111">
        <f ca="1">IFERROR(__xludf.DUMMYFUNCTION("""COMPUTED_VALUE"""),29.41)</f>
        <v>29.41</v>
      </c>
      <c r="K2404" s="112">
        <f ca="1">IFERROR(__xludf.DUMMYFUNCTION("""COMPUTED_VALUE"""),44270.7055555555)</f>
        <v>44270.705555555498</v>
      </c>
      <c r="L2404" s="111">
        <f ca="1">IFERROR(__xludf.DUMMYFUNCTION("""COMPUTED_VALUE"""),23.73)</f>
        <v>23.73</v>
      </c>
      <c r="M2404" s="112">
        <f ca="1">IFERROR(__xludf.DUMMYFUNCTION("""COMPUTED_VALUE"""),43725.7055555555)</f>
        <v>43725.705555555498</v>
      </c>
      <c r="N2404" s="111">
        <f ca="1">IFERROR(__xludf.DUMMYFUNCTION("""COMPUTED_VALUE"""),28.02)</f>
        <v>28.02</v>
      </c>
      <c r="O2404" s="112">
        <f ca="1">IFERROR(__xludf.DUMMYFUNCTION("""COMPUTED_VALUE"""),43801.7055555555)</f>
        <v>43801.705555555498</v>
      </c>
      <c r="P2404" s="111">
        <f ca="1">IFERROR(__xludf.DUMMYFUNCTION("""COMPUTED_VALUE"""),51.34)</f>
        <v>51.34</v>
      </c>
      <c r="Q2404" s="112">
        <f ca="1">IFERROR(__xludf.DUMMYFUNCTION("""COMPUTED_VALUE"""),43798.7055555555)</f>
        <v>43798.705555555498</v>
      </c>
      <c r="R2404" s="111">
        <f ca="1">IFERROR(__xludf.DUMMYFUNCTION("""COMPUTED_VALUE"""),47.81)</f>
        <v>47.81</v>
      </c>
      <c r="S2404" s="112">
        <f ca="1">IFERROR(__xludf.DUMMYFUNCTION("""COMPUTED_VALUE"""),43811.7055555555)</f>
        <v>43811.705555555498</v>
      </c>
      <c r="T2404" s="111">
        <f ca="1">IFERROR(__xludf.DUMMYFUNCTION("""COMPUTED_VALUE"""),49.14)</f>
        <v>49.14</v>
      </c>
    </row>
    <row r="2405" spans="1:20" x14ac:dyDescent="0.3">
      <c r="A2405" s="112">
        <f ca="1">IFERROR(__xludf.DUMMYFUNCTION("""COMPUTED_VALUE"""),43809.7055555555)</f>
        <v>43809.705555555498</v>
      </c>
      <c r="B2405" s="111">
        <f ca="1">IFERROR(__xludf.DUMMYFUNCTION("""COMPUTED_VALUE"""),35.41)</f>
        <v>35.409999999999997</v>
      </c>
      <c r="C2405" s="112">
        <f ca="1">IFERROR(__xludf.DUMMYFUNCTION("""COMPUTED_VALUE"""),43817.7055555555)</f>
        <v>43817.705555555498</v>
      </c>
      <c r="D2405" s="111">
        <f ca="1">IFERROR(__xludf.DUMMYFUNCTION("""COMPUTED_VALUE"""),36.48)</f>
        <v>36.479999999999997</v>
      </c>
      <c r="E2405" s="112">
        <f ca="1">IFERROR(__xludf.DUMMYFUNCTION("""COMPUTED_VALUE"""),43818.7055555555)</f>
        <v>43818.705555555498</v>
      </c>
      <c r="F2405" s="111">
        <f ca="1">IFERROR(__xludf.DUMMYFUNCTION("""COMPUTED_VALUE"""),13.31)</f>
        <v>13.31</v>
      </c>
      <c r="G2405" s="112">
        <f ca="1">IFERROR(__xludf.DUMMYFUNCTION("""COMPUTED_VALUE"""),43816.7055555555)</f>
        <v>43816.705555555498</v>
      </c>
      <c r="H2405" s="111">
        <f ca="1">IFERROR(__xludf.DUMMYFUNCTION("""COMPUTED_VALUE"""),29.85)</f>
        <v>29.85</v>
      </c>
      <c r="K2405" s="112">
        <f ca="1">IFERROR(__xludf.DUMMYFUNCTION("""COMPUTED_VALUE"""),44271.7055555555)</f>
        <v>44271.705555555498</v>
      </c>
      <c r="L2405" s="111">
        <f ca="1">IFERROR(__xludf.DUMMYFUNCTION("""COMPUTED_VALUE"""),24.16)</f>
        <v>24.16</v>
      </c>
      <c r="M2405" s="112">
        <f ca="1">IFERROR(__xludf.DUMMYFUNCTION("""COMPUTED_VALUE"""),43726.7055555555)</f>
        <v>43726.705555555498</v>
      </c>
      <c r="N2405" s="111">
        <f ca="1">IFERROR(__xludf.DUMMYFUNCTION("""COMPUTED_VALUE"""),28.1)</f>
        <v>28.1</v>
      </c>
      <c r="O2405" s="112">
        <f ca="1">IFERROR(__xludf.DUMMYFUNCTION("""COMPUTED_VALUE"""),43802.7055555555)</f>
        <v>43802.705555555498</v>
      </c>
      <c r="P2405" s="111">
        <f ca="1">IFERROR(__xludf.DUMMYFUNCTION("""COMPUTED_VALUE"""),50.42)</f>
        <v>50.42</v>
      </c>
      <c r="Q2405" s="112">
        <f ca="1">IFERROR(__xludf.DUMMYFUNCTION("""COMPUTED_VALUE"""),43801.7055555555)</f>
        <v>43801.705555555498</v>
      </c>
      <c r="R2405" s="111">
        <f ca="1">IFERROR(__xludf.DUMMYFUNCTION("""COMPUTED_VALUE"""),47.43)</f>
        <v>47.43</v>
      </c>
      <c r="S2405" s="112">
        <f ca="1">IFERROR(__xludf.DUMMYFUNCTION("""COMPUTED_VALUE"""),43812.7055555555)</f>
        <v>43812.705555555498</v>
      </c>
      <c r="T2405" s="111">
        <f ca="1">IFERROR(__xludf.DUMMYFUNCTION("""COMPUTED_VALUE"""),49.32)</f>
        <v>49.32</v>
      </c>
    </row>
    <row r="2406" spans="1:20" x14ac:dyDescent="0.3">
      <c r="A2406" s="112">
        <f ca="1">IFERROR(__xludf.DUMMYFUNCTION("""COMPUTED_VALUE"""),43810.7055555555)</f>
        <v>43810.705555555498</v>
      </c>
      <c r="B2406" s="111">
        <f ca="1">IFERROR(__xludf.DUMMYFUNCTION("""COMPUTED_VALUE"""),35.68)</f>
        <v>35.68</v>
      </c>
      <c r="C2406" s="112">
        <f ca="1">IFERROR(__xludf.DUMMYFUNCTION("""COMPUTED_VALUE"""),43818.7055555555)</f>
        <v>43818.705555555498</v>
      </c>
      <c r="D2406" s="111">
        <f ca="1">IFERROR(__xludf.DUMMYFUNCTION("""COMPUTED_VALUE"""),36.66)</f>
        <v>36.659999999999997</v>
      </c>
      <c r="E2406" s="112">
        <f ca="1">IFERROR(__xludf.DUMMYFUNCTION("""COMPUTED_VALUE"""),43819.7055555555)</f>
        <v>43819.705555555498</v>
      </c>
      <c r="F2406" s="111">
        <f ca="1">IFERROR(__xludf.DUMMYFUNCTION("""COMPUTED_VALUE"""),13.19)</f>
        <v>13.19</v>
      </c>
      <c r="G2406" s="112">
        <f ca="1">IFERROR(__xludf.DUMMYFUNCTION("""COMPUTED_VALUE"""),43817.7055555555)</f>
        <v>43817.705555555498</v>
      </c>
      <c r="H2406" s="111">
        <f ca="1">IFERROR(__xludf.DUMMYFUNCTION("""COMPUTED_VALUE"""),30.54)</f>
        <v>30.54</v>
      </c>
      <c r="K2406" s="112">
        <f ca="1">IFERROR(__xludf.DUMMYFUNCTION("""COMPUTED_VALUE"""),44272.7055555555)</f>
        <v>44272.705555555498</v>
      </c>
      <c r="L2406" s="111">
        <f ca="1">IFERROR(__xludf.DUMMYFUNCTION("""COMPUTED_VALUE"""),23.95)</f>
        <v>23.95</v>
      </c>
      <c r="M2406" s="112">
        <f ca="1">IFERROR(__xludf.DUMMYFUNCTION("""COMPUTED_VALUE"""),43727.7055555555)</f>
        <v>43727.705555555498</v>
      </c>
      <c r="N2406" s="111">
        <f ca="1">IFERROR(__xludf.DUMMYFUNCTION("""COMPUTED_VALUE"""),27.76)</f>
        <v>27.76</v>
      </c>
      <c r="O2406" s="112">
        <f ca="1">IFERROR(__xludf.DUMMYFUNCTION("""COMPUTED_VALUE"""),43803.7055555555)</f>
        <v>43803.705555555498</v>
      </c>
      <c r="P2406" s="111">
        <f ca="1">IFERROR(__xludf.DUMMYFUNCTION("""COMPUTED_VALUE"""),50.92)</f>
        <v>50.92</v>
      </c>
      <c r="Q2406" s="112">
        <f ca="1">IFERROR(__xludf.DUMMYFUNCTION("""COMPUTED_VALUE"""),43802.7055555555)</f>
        <v>43802.705555555498</v>
      </c>
      <c r="R2406" s="111">
        <f ca="1">IFERROR(__xludf.DUMMYFUNCTION("""COMPUTED_VALUE"""),48.39)</f>
        <v>48.39</v>
      </c>
      <c r="S2406" s="112">
        <f ca="1">IFERROR(__xludf.DUMMYFUNCTION("""COMPUTED_VALUE"""),43815.7055555555)</f>
        <v>43815.705555555498</v>
      </c>
      <c r="T2406" s="111">
        <f ca="1">IFERROR(__xludf.DUMMYFUNCTION("""COMPUTED_VALUE"""),49.5)</f>
        <v>49.5</v>
      </c>
    </row>
    <row r="2407" spans="1:20" x14ac:dyDescent="0.3">
      <c r="A2407" s="112">
        <f ca="1">IFERROR(__xludf.DUMMYFUNCTION("""COMPUTED_VALUE"""),43811.7055555555)</f>
        <v>43811.705555555498</v>
      </c>
      <c r="B2407" s="111">
        <f ca="1">IFERROR(__xludf.DUMMYFUNCTION("""COMPUTED_VALUE"""),35.79)</f>
        <v>35.79</v>
      </c>
      <c r="C2407" s="112">
        <f ca="1">IFERROR(__xludf.DUMMYFUNCTION("""COMPUTED_VALUE"""),43819.7055555555)</f>
        <v>43819.705555555498</v>
      </c>
      <c r="D2407" s="111">
        <f ca="1">IFERROR(__xludf.DUMMYFUNCTION("""COMPUTED_VALUE"""),36.5)</f>
        <v>36.5</v>
      </c>
      <c r="E2407" s="112">
        <f ca="1">IFERROR(__xludf.DUMMYFUNCTION("""COMPUTED_VALUE"""),43822.7055555555)</f>
        <v>43822.705555555498</v>
      </c>
      <c r="F2407" s="111">
        <f ca="1">IFERROR(__xludf.DUMMYFUNCTION("""COMPUTED_VALUE"""),13.29)</f>
        <v>13.29</v>
      </c>
      <c r="G2407" s="112">
        <f ca="1">IFERROR(__xludf.DUMMYFUNCTION("""COMPUTED_VALUE"""),43818.7055555555)</f>
        <v>43818.705555555498</v>
      </c>
      <c r="H2407" s="111">
        <f ca="1">IFERROR(__xludf.DUMMYFUNCTION("""COMPUTED_VALUE"""),30.61)</f>
        <v>30.61</v>
      </c>
      <c r="K2407" s="112">
        <f ca="1">IFERROR(__xludf.DUMMYFUNCTION("""COMPUTED_VALUE"""),44273.7055555555)</f>
        <v>44273.705555555498</v>
      </c>
      <c r="L2407" s="111">
        <f ca="1">IFERROR(__xludf.DUMMYFUNCTION("""COMPUTED_VALUE"""),22.29)</f>
        <v>22.29</v>
      </c>
      <c r="M2407" s="112">
        <f ca="1">IFERROR(__xludf.DUMMYFUNCTION("""COMPUTED_VALUE"""),43728.7055555555)</f>
        <v>43728.705555555498</v>
      </c>
      <c r="N2407" s="111">
        <f ca="1">IFERROR(__xludf.DUMMYFUNCTION("""COMPUTED_VALUE"""),28.25)</f>
        <v>28.25</v>
      </c>
      <c r="O2407" s="112">
        <f ca="1">IFERROR(__xludf.DUMMYFUNCTION("""COMPUTED_VALUE"""),43804.7055555555)</f>
        <v>43804.705555555498</v>
      </c>
      <c r="P2407" s="111">
        <f ca="1">IFERROR(__xludf.DUMMYFUNCTION("""COMPUTED_VALUE"""),50.95)</f>
        <v>50.95</v>
      </c>
      <c r="Q2407" s="112">
        <f ca="1">IFERROR(__xludf.DUMMYFUNCTION("""COMPUTED_VALUE"""),43803.7055555555)</f>
        <v>43803.705555555498</v>
      </c>
      <c r="R2407" s="111">
        <f ca="1">IFERROR(__xludf.DUMMYFUNCTION("""COMPUTED_VALUE"""),49.09)</f>
        <v>49.09</v>
      </c>
      <c r="S2407" s="112">
        <f ca="1">IFERROR(__xludf.DUMMYFUNCTION("""COMPUTED_VALUE"""),43816.7055555555)</f>
        <v>43816.705555555498</v>
      </c>
      <c r="T2407" s="111">
        <f ca="1">IFERROR(__xludf.DUMMYFUNCTION("""COMPUTED_VALUE"""),49.22)</f>
        <v>49.22</v>
      </c>
    </row>
    <row r="2408" spans="1:20" x14ac:dyDescent="0.3">
      <c r="A2408" s="112">
        <f ca="1">IFERROR(__xludf.DUMMYFUNCTION("""COMPUTED_VALUE"""),43812.7055555555)</f>
        <v>43812.705555555498</v>
      </c>
      <c r="B2408" s="111">
        <f ca="1">IFERROR(__xludf.DUMMYFUNCTION("""COMPUTED_VALUE"""),35.58)</f>
        <v>35.58</v>
      </c>
      <c r="C2408" s="112">
        <f ca="1">IFERROR(__xludf.DUMMYFUNCTION("""COMPUTED_VALUE"""),43822.7055555555)</f>
        <v>43822.705555555498</v>
      </c>
      <c r="D2408" s="111">
        <f ca="1">IFERROR(__xludf.DUMMYFUNCTION("""COMPUTED_VALUE"""),36.84)</f>
        <v>36.840000000000003</v>
      </c>
      <c r="E2408" s="112">
        <f ca="1">IFERROR(__xludf.DUMMYFUNCTION("""COMPUTED_VALUE"""),43825.7055555555)</f>
        <v>43825.705555555498</v>
      </c>
      <c r="F2408" s="111">
        <f ca="1">IFERROR(__xludf.DUMMYFUNCTION("""COMPUTED_VALUE"""),13.51)</f>
        <v>13.51</v>
      </c>
      <c r="G2408" s="112">
        <f ca="1">IFERROR(__xludf.DUMMYFUNCTION("""COMPUTED_VALUE"""),43819.7055555555)</f>
        <v>43819.705555555498</v>
      </c>
      <c r="H2408" s="111">
        <f ca="1">IFERROR(__xludf.DUMMYFUNCTION("""COMPUTED_VALUE"""),30.26)</f>
        <v>30.26</v>
      </c>
      <c r="K2408" s="112">
        <f ca="1">IFERROR(__xludf.DUMMYFUNCTION("""COMPUTED_VALUE"""),44274.7055555555)</f>
        <v>44274.705555555498</v>
      </c>
      <c r="L2408" s="111">
        <f ca="1">IFERROR(__xludf.DUMMYFUNCTION("""COMPUTED_VALUE"""),22.3)</f>
        <v>22.3</v>
      </c>
      <c r="M2408" s="112">
        <f ca="1">IFERROR(__xludf.DUMMYFUNCTION("""COMPUTED_VALUE"""),43731.7055555555)</f>
        <v>43731.705555555498</v>
      </c>
      <c r="N2408" s="111">
        <f ca="1">IFERROR(__xludf.DUMMYFUNCTION("""COMPUTED_VALUE"""),28.31)</f>
        <v>28.31</v>
      </c>
      <c r="O2408" s="112">
        <f ca="1">IFERROR(__xludf.DUMMYFUNCTION("""COMPUTED_VALUE"""),43805.7055555555)</f>
        <v>43805.705555555498</v>
      </c>
      <c r="P2408" s="111">
        <f ca="1">IFERROR(__xludf.DUMMYFUNCTION("""COMPUTED_VALUE"""),51.35)</f>
        <v>51.35</v>
      </c>
      <c r="Q2408" s="112">
        <f ca="1">IFERROR(__xludf.DUMMYFUNCTION("""COMPUTED_VALUE"""),43804.7055555555)</f>
        <v>43804.705555555498</v>
      </c>
      <c r="R2408" s="111">
        <f ca="1">IFERROR(__xludf.DUMMYFUNCTION("""COMPUTED_VALUE"""),48.67)</f>
        <v>48.67</v>
      </c>
      <c r="S2408" s="112">
        <f ca="1">IFERROR(__xludf.DUMMYFUNCTION("""COMPUTED_VALUE"""),43817.7055555555)</f>
        <v>43817.705555555498</v>
      </c>
      <c r="T2408" s="111">
        <f ca="1">IFERROR(__xludf.DUMMYFUNCTION("""COMPUTED_VALUE"""),50.09)</f>
        <v>50.09</v>
      </c>
    </row>
    <row r="2409" spans="1:20" x14ac:dyDescent="0.3">
      <c r="A2409" s="112">
        <f ca="1">IFERROR(__xludf.DUMMYFUNCTION("""COMPUTED_VALUE"""),43815.7055555555)</f>
        <v>43815.705555555498</v>
      </c>
      <c r="B2409" s="111">
        <f ca="1">IFERROR(__xludf.DUMMYFUNCTION("""COMPUTED_VALUE"""),35.86)</f>
        <v>35.86</v>
      </c>
      <c r="C2409" s="112">
        <f ca="1">IFERROR(__xludf.DUMMYFUNCTION("""COMPUTED_VALUE"""),43825.7055555555)</f>
        <v>43825.705555555498</v>
      </c>
      <c r="D2409" s="111">
        <f ca="1">IFERROR(__xludf.DUMMYFUNCTION("""COMPUTED_VALUE"""),37.4)</f>
        <v>37.4</v>
      </c>
      <c r="E2409" s="112">
        <f ca="1">IFERROR(__xludf.DUMMYFUNCTION("""COMPUTED_VALUE"""),43826.7055555555)</f>
        <v>43826.705555555498</v>
      </c>
      <c r="F2409" s="111">
        <f ca="1">IFERROR(__xludf.DUMMYFUNCTION("""COMPUTED_VALUE"""),13.46)</f>
        <v>13.46</v>
      </c>
      <c r="G2409" s="112">
        <f ca="1">IFERROR(__xludf.DUMMYFUNCTION("""COMPUTED_VALUE"""),43822.7055555555)</f>
        <v>43822.705555555498</v>
      </c>
      <c r="H2409" s="111">
        <f ca="1">IFERROR(__xludf.DUMMYFUNCTION("""COMPUTED_VALUE"""),30.5)</f>
        <v>30.5</v>
      </c>
      <c r="K2409" s="112">
        <f ca="1">IFERROR(__xludf.DUMMYFUNCTION("""COMPUTED_VALUE"""),44277.7055555555)</f>
        <v>44277.705555555498</v>
      </c>
      <c r="L2409" s="111">
        <f ca="1">IFERROR(__xludf.DUMMYFUNCTION("""COMPUTED_VALUE"""),21.92)</f>
        <v>21.92</v>
      </c>
      <c r="M2409" s="112">
        <f ca="1">IFERROR(__xludf.DUMMYFUNCTION("""COMPUTED_VALUE"""),43732.7055555555)</f>
        <v>43732.705555555498</v>
      </c>
      <c r="N2409" s="111">
        <f ca="1">IFERROR(__xludf.DUMMYFUNCTION("""COMPUTED_VALUE"""),27.94)</f>
        <v>27.94</v>
      </c>
      <c r="O2409" s="112">
        <f ca="1">IFERROR(__xludf.DUMMYFUNCTION("""COMPUTED_VALUE"""),43808.7055555555)</f>
        <v>43808.705555555498</v>
      </c>
      <c r="P2409" s="111">
        <f ca="1">IFERROR(__xludf.DUMMYFUNCTION("""COMPUTED_VALUE"""),51.44)</f>
        <v>51.44</v>
      </c>
      <c r="Q2409" s="112">
        <f ca="1">IFERROR(__xludf.DUMMYFUNCTION("""COMPUTED_VALUE"""),43805.7055555555)</f>
        <v>43805.705555555498</v>
      </c>
      <c r="R2409" s="111">
        <f ca="1">IFERROR(__xludf.DUMMYFUNCTION("""COMPUTED_VALUE"""),48.47)</f>
        <v>48.47</v>
      </c>
      <c r="S2409" s="112">
        <f ca="1">IFERROR(__xludf.DUMMYFUNCTION("""COMPUTED_VALUE"""),43818.7055555555)</f>
        <v>43818.705555555498</v>
      </c>
      <c r="T2409" s="111">
        <f ca="1">IFERROR(__xludf.DUMMYFUNCTION("""COMPUTED_VALUE"""),50.58)</f>
        <v>50.58</v>
      </c>
    </row>
    <row r="2410" spans="1:20" x14ac:dyDescent="0.3">
      <c r="A2410" s="112">
        <f ca="1">IFERROR(__xludf.DUMMYFUNCTION("""COMPUTED_VALUE"""),43816.7055555555)</f>
        <v>43816.705555555498</v>
      </c>
      <c r="B2410" s="111">
        <f ca="1">IFERROR(__xludf.DUMMYFUNCTION("""COMPUTED_VALUE"""),35.55)</f>
        <v>35.549999999999997</v>
      </c>
      <c r="C2410" s="112">
        <f ca="1">IFERROR(__xludf.DUMMYFUNCTION("""COMPUTED_VALUE"""),43826.7055555555)</f>
        <v>43826.705555555498</v>
      </c>
      <c r="D2410" s="111">
        <f ca="1">IFERROR(__xludf.DUMMYFUNCTION("""COMPUTED_VALUE"""),37.3)</f>
        <v>37.299999999999997</v>
      </c>
      <c r="E2410" s="112">
        <f ca="1">IFERROR(__xludf.DUMMYFUNCTION("""COMPUTED_VALUE"""),43829.7055555555)</f>
        <v>43829.705555555498</v>
      </c>
      <c r="F2410" s="111">
        <f ca="1">IFERROR(__xludf.DUMMYFUNCTION("""COMPUTED_VALUE"""),13.42)</f>
        <v>13.42</v>
      </c>
      <c r="G2410" s="112">
        <f ca="1">IFERROR(__xludf.DUMMYFUNCTION("""COMPUTED_VALUE"""),43825.7055555555)</f>
        <v>43825.705555555498</v>
      </c>
      <c r="H2410" s="111">
        <f ca="1">IFERROR(__xludf.DUMMYFUNCTION("""COMPUTED_VALUE"""),30.91)</f>
        <v>30.91</v>
      </c>
      <c r="K2410" s="112">
        <f ca="1">IFERROR(__xludf.DUMMYFUNCTION("""COMPUTED_VALUE"""),44278.7055555555)</f>
        <v>44278.705555555498</v>
      </c>
      <c r="L2410" s="111">
        <f ca="1">IFERROR(__xludf.DUMMYFUNCTION("""COMPUTED_VALUE"""),21.52)</f>
        <v>21.52</v>
      </c>
      <c r="M2410" s="112">
        <f ca="1">IFERROR(__xludf.DUMMYFUNCTION("""COMPUTED_VALUE"""),43733.7055555555)</f>
        <v>43733.705555555498</v>
      </c>
      <c r="N2410" s="111">
        <f ca="1">IFERROR(__xludf.DUMMYFUNCTION("""COMPUTED_VALUE"""),28.12)</f>
        <v>28.12</v>
      </c>
      <c r="O2410" s="112">
        <f ca="1">IFERROR(__xludf.DUMMYFUNCTION("""COMPUTED_VALUE"""),43809.7055555555)</f>
        <v>43809.705555555498</v>
      </c>
      <c r="P2410" s="111">
        <f ca="1">IFERROR(__xludf.DUMMYFUNCTION("""COMPUTED_VALUE"""),51.2)</f>
        <v>51.2</v>
      </c>
      <c r="Q2410" s="112">
        <f ca="1">IFERROR(__xludf.DUMMYFUNCTION("""COMPUTED_VALUE"""),43808.7055555555)</f>
        <v>43808.705555555498</v>
      </c>
      <c r="R2410" s="111">
        <f ca="1">IFERROR(__xludf.DUMMYFUNCTION("""COMPUTED_VALUE"""),48.62)</f>
        <v>48.62</v>
      </c>
      <c r="S2410" s="112">
        <f ca="1">IFERROR(__xludf.DUMMYFUNCTION("""COMPUTED_VALUE"""),43819.7055555555)</f>
        <v>43819.705555555498</v>
      </c>
      <c r="T2410" s="111">
        <f ca="1">IFERROR(__xludf.DUMMYFUNCTION("""COMPUTED_VALUE"""),50.65)</f>
        <v>50.65</v>
      </c>
    </row>
    <row r="2411" spans="1:20" x14ac:dyDescent="0.3">
      <c r="A2411" s="112">
        <f ca="1">IFERROR(__xludf.DUMMYFUNCTION("""COMPUTED_VALUE"""),43817.7055555555)</f>
        <v>43817.705555555498</v>
      </c>
      <c r="B2411" s="111">
        <f ca="1">IFERROR(__xludf.DUMMYFUNCTION("""COMPUTED_VALUE"""),35.01)</f>
        <v>35.01</v>
      </c>
      <c r="C2411" s="112">
        <f ca="1">IFERROR(__xludf.DUMMYFUNCTION("""COMPUTED_VALUE"""),43829.7055555555)</f>
        <v>43829.705555555498</v>
      </c>
      <c r="D2411" s="111">
        <f ca="1">IFERROR(__xludf.DUMMYFUNCTION("""COMPUTED_VALUE"""),37.1)</f>
        <v>37.1</v>
      </c>
      <c r="E2411" s="112">
        <f ca="1">IFERROR(__xludf.DUMMYFUNCTION("""COMPUTED_VALUE"""),43832.7055555555)</f>
        <v>43832.705555555498</v>
      </c>
      <c r="F2411" s="111">
        <f ca="1">IFERROR(__xludf.DUMMYFUNCTION("""COMPUTED_VALUE"""),13.67)</f>
        <v>13.67</v>
      </c>
      <c r="G2411" s="112">
        <f ca="1">IFERROR(__xludf.DUMMYFUNCTION("""COMPUTED_VALUE"""),43826.7055555555)</f>
        <v>43826.705555555498</v>
      </c>
      <c r="H2411" s="111">
        <f ca="1">IFERROR(__xludf.DUMMYFUNCTION("""COMPUTED_VALUE"""),30.52)</f>
        <v>30.52</v>
      </c>
      <c r="K2411" s="112">
        <f ca="1">IFERROR(__xludf.DUMMYFUNCTION("""COMPUTED_VALUE"""),44279.7055555555)</f>
        <v>44279.705555555498</v>
      </c>
      <c r="L2411" s="111">
        <f ca="1">IFERROR(__xludf.DUMMYFUNCTION("""COMPUTED_VALUE"""),20.38)</f>
        <v>20.38</v>
      </c>
      <c r="M2411" s="112">
        <f ca="1">IFERROR(__xludf.DUMMYFUNCTION("""COMPUTED_VALUE"""),43734.7055555555)</f>
        <v>43734.705555555498</v>
      </c>
      <c r="N2411" s="111">
        <f ca="1">IFERROR(__xludf.DUMMYFUNCTION("""COMPUTED_VALUE"""),28.53)</f>
        <v>28.53</v>
      </c>
      <c r="O2411" s="112">
        <f ca="1">IFERROR(__xludf.DUMMYFUNCTION("""COMPUTED_VALUE"""),43810.7055555555)</f>
        <v>43810.705555555498</v>
      </c>
      <c r="P2411" s="111">
        <f ca="1">IFERROR(__xludf.DUMMYFUNCTION("""COMPUTED_VALUE"""),51.83)</f>
        <v>51.83</v>
      </c>
      <c r="Q2411" s="112">
        <f ca="1">IFERROR(__xludf.DUMMYFUNCTION("""COMPUTED_VALUE"""),43809.7055555555)</f>
        <v>43809.705555555498</v>
      </c>
      <c r="R2411" s="111">
        <f ca="1">IFERROR(__xludf.DUMMYFUNCTION("""COMPUTED_VALUE"""),47.92)</f>
        <v>47.92</v>
      </c>
      <c r="S2411" s="112">
        <f ca="1">IFERROR(__xludf.DUMMYFUNCTION("""COMPUTED_VALUE"""),43822.7055555555)</f>
        <v>43822.705555555498</v>
      </c>
      <c r="T2411" s="111">
        <f ca="1">IFERROR(__xludf.DUMMYFUNCTION("""COMPUTED_VALUE"""),51)</f>
        <v>51</v>
      </c>
    </row>
    <row r="2412" spans="1:20" x14ac:dyDescent="0.3">
      <c r="A2412" s="112">
        <f ca="1">IFERROR(__xludf.DUMMYFUNCTION("""COMPUTED_VALUE"""),43818.7055555555)</f>
        <v>43818.705555555498</v>
      </c>
      <c r="B2412" s="111">
        <f ca="1">IFERROR(__xludf.DUMMYFUNCTION("""COMPUTED_VALUE"""),35.49)</f>
        <v>35.49</v>
      </c>
      <c r="C2412" s="112">
        <f ca="1">IFERROR(__xludf.DUMMYFUNCTION("""COMPUTED_VALUE"""),43832.7055555555)</f>
        <v>43832.705555555498</v>
      </c>
      <c r="D2412" s="111">
        <f ca="1">IFERROR(__xludf.DUMMYFUNCTION("""COMPUTED_VALUE"""),38.03)</f>
        <v>38.03</v>
      </c>
      <c r="E2412" s="112">
        <f ca="1">IFERROR(__xludf.DUMMYFUNCTION("""COMPUTED_VALUE"""),43833.7430555555)</f>
        <v>43833.743055555497</v>
      </c>
      <c r="F2412" s="111">
        <f ca="1">IFERROR(__xludf.DUMMYFUNCTION("""COMPUTED_VALUE"""),13.47)</f>
        <v>13.47</v>
      </c>
      <c r="G2412" s="112">
        <f ca="1">IFERROR(__xludf.DUMMYFUNCTION("""COMPUTED_VALUE"""),43829.7055555555)</f>
        <v>43829.705555555498</v>
      </c>
      <c r="H2412" s="111">
        <f ca="1">IFERROR(__xludf.DUMMYFUNCTION("""COMPUTED_VALUE"""),30.18)</f>
        <v>30.18</v>
      </c>
      <c r="K2412" s="112">
        <f ca="1">IFERROR(__xludf.DUMMYFUNCTION("""COMPUTED_VALUE"""),44280.7055555555)</f>
        <v>44280.705555555498</v>
      </c>
      <c r="L2412" s="111">
        <f ca="1">IFERROR(__xludf.DUMMYFUNCTION("""COMPUTED_VALUE"""),20.31)</f>
        <v>20.309999999999999</v>
      </c>
      <c r="M2412" s="112">
        <f ca="1">IFERROR(__xludf.DUMMYFUNCTION("""COMPUTED_VALUE"""),43735.7055555555)</f>
        <v>43735.705555555498</v>
      </c>
      <c r="N2412" s="111">
        <f ca="1">IFERROR(__xludf.DUMMYFUNCTION("""COMPUTED_VALUE"""),28.51)</f>
        <v>28.51</v>
      </c>
      <c r="O2412" s="112">
        <f ca="1">IFERROR(__xludf.DUMMYFUNCTION("""COMPUTED_VALUE"""),43811.7055555555)</f>
        <v>43811.705555555498</v>
      </c>
      <c r="P2412" s="111">
        <f ca="1">IFERROR(__xludf.DUMMYFUNCTION("""COMPUTED_VALUE"""),52.95)</f>
        <v>52.95</v>
      </c>
      <c r="Q2412" s="112">
        <f ca="1">IFERROR(__xludf.DUMMYFUNCTION("""COMPUTED_VALUE"""),43810.7055555555)</f>
        <v>43810.705555555498</v>
      </c>
      <c r="R2412" s="111">
        <f ca="1">IFERROR(__xludf.DUMMYFUNCTION("""COMPUTED_VALUE"""),47.85)</f>
        <v>47.85</v>
      </c>
      <c r="S2412" s="112">
        <f ca="1">IFERROR(__xludf.DUMMYFUNCTION("""COMPUTED_VALUE"""),43825.7055555555)</f>
        <v>43825.705555555498</v>
      </c>
      <c r="T2412" s="111">
        <f ca="1">IFERROR(__xludf.DUMMYFUNCTION("""COMPUTED_VALUE"""),51.7)</f>
        <v>51.7</v>
      </c>
    </row>
    <row r="2413" spans="1:20" x14ac:dyDescent="0.3">
      <c r="A2413" s="112">
        <f ca="1">IFERROR(__xludf.DUMMYFUNCTION("""COMPUTED_VALUE"""),43819.7055555555)</f>
        <v>43819.705555555498</v>
      </c>
      <c r="B2413" s="111">
        <f ca="1">IFERROR(__xludf.DUMMYFUNCTION("""COMPUTED_VALUE"""),35.6)</f>
        <v>35.6</v>
      </c>
      <c r="C2413" s="112">
        <f ca="1">IFERROR(__xludf.DUMMYFUNCTION("""COMPUTED_VALUE"""),43833.7430555555)</f>
        <v>43833.743055555497</v>
      </c>
      <c r="D2413" s="111">
        <f ca="1">IFERROR(__xludf.DUMMYFUNCTION("""COMPUTED_VALUE"""),37.63)</f>
        <v>37.630000000000003</v>
      </c>
      <c r="E2413" s="112">
        <f ca="1">IFERROR(__xludf.DUMMYFUNCTION("""COMPUTED_VALUE"""),43837.7055555555)</f>
        <v>43837.705555555498</v>
      </c>
      <c r="F2413" s="111">
        <f ca="1">IFERROR(__xludf.DUMMYFUNCTION("""COMPUTED_VALUE"""),13.26)</f>
        <v>13.26</v>
      </c>
      <c r="G2413" s="112">
        <f ca="1">IFERROR(__xludf.DUMMYFUNCTION("""COMPUTED_VALUE"""),43832.7055555555)</f>
        <v>43832.705555555498</v>
      </c>
      <c r="H2413" s="111">
        <f ca="1">IFERROR(__xludf.DUMMYFUNCTION("""COMPUTED_VALUE"""),30.7)</f>
        <v>30.7</v>
      </c>
      <c r="K2413" s="112">
        <f ca="1">IFERROR(__xludf.DUMMYFUNCTION("""COMPUTED_VALUE"""),44281.7055555555)</f>
        <v>44281.705555555498</v>
      </c>
      <c r="L2413" s="111">
        <f ca="1">IFERROR(__xludf.DUMMYFUNCTION("""COMPUTED_VALUE"""),19.99)</f>
        <v>19.989999999999998</v>
      </c>
      <c r="M2413" s="112">
        <f ca="1">IFERROR(__xludf.DUMMYFUNCTION("""COMPUTED_VALUE"""),43738.7055555555)</f>
        <v>43738.705555555498</v>
      </c>
      <c r="N2413" s="111">
        <f ca="1">IFERROR(__xludf.DUMMYFUNCTION("""COMPUTED_VALUE"""),28.03)</f>
        <v>28.03</v>
      </c>
      <c r="O2413" s="112">
        <f ca="1">IFERROR(__xludf.DUMMYFUNCTION("""COMPUTED_VALUE"""),43812.7055555555)</f>
        <v>43812.705555555498</v>
      </c>
      <c r="P2413" s="111">
        <f ca="1">IFERROR(__xludf.DUMMYFUNCTION("""COMPUTED_VALUE"""),53.76)</f>
        <v>53.76</v>
      </c>
      <c r="Q2413" s="112">
        <f ca="1">IFERROR(__xludf.DUMMYFUNCTION("""COMPUTED_VALUE"""),43811.7055555555)</f>
        <v>43811.705555555498</v>
      </c>
      <c r="R2413" s="111">
        <f ca="1">IFERROR(__xludf.DUMMYFUNCTION("""COMPUTED_VALUE"""),48.91)</f>
        <v>48.91</v>
      </c>
      <c r="S2413" s="112">
        <f ca="1">IFERROR(__xludf.DUMMYFUNCTION("""COMPUTED_VALUE"""),43826.7055555555)</f>
        <v>43826.705555555498</v>
      </c>
      <c r="T2413" s="111">
        <f ca="1">IFERROR(__xludf.DUMMYFUNCTION("""COMPUTED_VALUE"""),51)</f>
        <v>51</v>
      </c>
    </row>
    <row r="2414" spans="1:20" x14ac:dyDescent="0.3">
      <c r="A2414" s="112">
        <f ca="1">IFERROR(__xludf.DUMMYFUNCTION("""COMPUTED_VALUE"""),43822.7055555555)</f>
        <v>43822.705555555498</v>
      </c>
      <c r="B2414" s="111">
        <f ca="1">IFERROR(__xludf.DUMMYFUNCTION("""COMPUTED_VALUE"""),38.09)</f>
        <v>38.090000000000003</v>
      </c>
      <c r="C2414" s="112">
        <f ca="1">IFERROR(__xludf.DUMMYFUNCTION("""COMPUTED_VALUE"""),43837.7055555555)</f>
        <v>43837.705555555498</v>
      </c>
      <c r="D2414" s="111">
        <f ca="1">IFERROR(__xludf.DUMMYFUNCTION("""COMPUTED_VALUE"""),36.21)</f>
        <v>36.21</v>
      </c>
      <c r="E2414" s="112">
        <f ca="1">IFERROR(__xludf.DUMMYFUNCTION("""COMPUTED_VALUE"""),43838.7055555555)</f>
        <v>43838.705555555498</v>
      </c>
      <c r="F2414" s="111">
        <f ca="1">IFERROR(__xludf.DUMMYFUNCTION("""COMPUTED_VALUE"""),13.06)</f>
        <v>13.06</v>
      </c>
      <c r="G2414" s="112">
        <f ca="1">IFERROR(__xludf.DUMMYFUNCTION("""COMPUTED_VALUE"""),43833.7430555555)</f>
        <v>43833.743055555497</v>
      </c>
      <c r="H2414" s="111">
        <f ca="1">IFERROR(__xludf.DUMMYFUNCTION("""COMPUTED_VALUE"""),30.45)</f>
        <v>30.45</v>
      </c>
      <c r="K2414" s="112">
        <f ca="1">IFERROR(__xludf.DUMMYFUNCTION("""COMPUTED_VALUE"""),44284.7055555555)</f>
        <v>44284.705555555498</v>
      </c>
      <c r="L2414" s="111">
        <f ca="1">IFERROR(__xludf.DUMMYFUNCTION("""COMPUTED_VALUE"""),19.66)</f>
        <v>19.66</v>
      </c>
      <c r="M2414" s="112">
        <f ca="1">IFERROR(__xludf.DUMMYFUNCTION("""COMPUTED_VALUE"""),43739.7055555555)</f>
        <v>43739.705555555498</v>
      </c>
      <c r="N2414" s="111">
        <f ca="1">IFERROR(__xludf.DUMMYFUNCTION("""COMPUTED_VALUE"""),27.65)</f>
        <v>27.65</v>
      </c>
      <c r="O2414" s="112">
        <f ca="1">IFERROR(__xludf.DUMMYFUNCTION("""COMPUTED_VALUE"""),43815.7055555555)</f>
        <v>43815.705555555498</v>
      </c>
      <c r="P2414" s="111">
        <f ca="1">IFERROR(__xludf.DUMMYFUNCTION("""COMPUTED_VALUE"""),53.34)</f>
        <v>53.34</v>
      </c>
      <c r="Q2414" s="112">
        <f ca="1">IFERROR(__xludf.DUMMYFUNCTION("""COMPUTED_VALUE"""),43812.7055555555)</f>
        <v>43812.705555555498</v>
      </c>
      <c r="R2414" s="111">
        <f ca="1">IFERROR(__xludf.DUMMYFUNCTION("""COMPUTED_VALUE"""),48.53)</f>
        <v>48.53</v>
      </c>
      <c r="S2414" s="112">
        <f ca="1">IFERROR(__xludf.DUMMYFUNCTION("""COMPUTED_VALUE"""),43829.7055555555)</f>
        <v>43829.705555555498</v>
      </c>
      <c r="T2414" s="111">
        <f ca="1">IFERROR(__xludf.DUMMYFUNCTION("""COMPUTED_VALUE"""),51.08)</f>
        <v>51.08</v>
      </c>
    </row>
    <row r="2415" spans="1:20" x14ac:dyDescent="0.3">
      <c r="A2415" s="112">
        <f ca="1">IFERROR(__xludf.DUMMYFUNCTION("""COMPUTED_VALUE"""),43825.7055555555)</f>
        <v>43825.705555555498</v>
      </c>
      <c r="B2415" s="111">
        <f ca="1">IFERROR(__xludf.DUMMYFUNCTION("""COMPUTED_VALUE"""),37.49)</f>
        <v>37.49</v>
      </c>
      <c r="C2415" s="112">
        <f ca="1">IFERROR(__xludf.DUMMYFUNCTION("""COMPUTED_VALUE"""),43838.7055555555)</f>
        <v>43838.705555555498</v>
      </c>
      <c r="D2415" s="111">
        <f ca="1">IFERROR(__xludf.DUMMYFUNCTION("""COMPUTED_VALUE"""),35.62)</f>
        <v>35.619999999999997</v>
      </c>
      <c r="E2415" s="112">
        <f ca="1">IFERROR(__xludf.DUMMYFUNCTION("""COMPUTED_VALUE"""),43839.7055555555)</f>
        <v>43839.705555555498</v>
      </c>
      <c r="F2415" s="111">
        <f ca="1">IFERROR(__xludf.DUMMYFUNCTION("""COMPUTED_VALUE"""),12.8)</f>
        <v>12.8</v>
      </c>
      <c r="G2415" s="112">
        <f ca="1">IFERROR(__xludf.DUMMYFUNCTION("""COMPUTED_VALUE"""),43837.7055555555)</f>
        <v>43837.705555555498</v>
      </c>
      <c r="H2415" s="111">
        <f ca="1">IFERROR(__xludf.DUMMYFUNCTION("""COMPUTED_VALUE"""),30.69)</f>
        <v>30.69</v>
      </c>
      <c r="K2415" s="112">
        <f ca="1">IFERROR(__xludf.DUMMYFUNCTION("""COMPUTED_VALUE"""),44285.7055555555)</f>
        <v>44285.705555555498</v>
      </c>
      <c r="L2415" s="111">
        <f ca="1">IFERROR(__xludf.DUMMYFUNCTION("""COMPUTED_VALUE"""),20.07)</f>
        <v>20.07</v>
      </c>
      <c r="M2415" s="112">
        <f ca="1">IFERROR(__xludf.DUMMYFUNCTION("""COMPUTED_VALUE"""),43740.7055555555)</f>
        <v>43740.705555555498</v>
      </c>
      <c r="N2415" s="111">
        <f ca="1">IFERROR(__xludf.DUMMYFUNCTION("""COMPUTED_VALUE"""),26.57)</f>
        <v>26.57</v>
      </c>
      <c r="O2415" s="112">
        <f ca="1">IFERROR(__xludf.DUMMYFUNCTION("""COMPUTED_VALUE"""),43816.7055555555)</f>
        <v>43816.705555555498</v>
      </c>
      <c r="P2415" s="111">
        <f ca="1">IFERROR(__xludf.DUMMYFUNCTION("""COMPUTED_VALUE"""),53.42)</f>
        <v>53.42</v>
      </c>
      <c r="Q2415" s="112">
        <f ca="1">IFERROR(__xludf.DUMMYFUNCTION("""COMPUTED_VALUE"""),43815.7055555555)</f>
        <v>43815.705555555498</v>
      </c>
      <c r="R2415" s="111">
        <f ca="1">IFERROR(__xludf.DUMMYFUNCTION("""COMPUTED_VALUE"""),47.87)</f>
        <v>47.87</v>
      </c>
      <c r="S2415" s="112">
        <f ca="1">IFERROR(__xludf.DUMMYFUNCTION("""COMPUTED_VALUE"""),43832.7055555555)</f>
        <v>43832.705555555498</v>
      </c>
      <c r="T2415" s="111">
        <f ca="1">IFERROR(__xludf.DUMMYFUNCTION("""COMPUTED_VALUE"""),52.27)</f>
        <v>52.27</v>
      </c>
    </row>
    <row r="2416" spans="1:20" x14ac:dyDescent="0.3">
      <c r="A2416" s="112">
        <f ca="1">IFERROR(__xludf.DUMMYFUNCTION("""COMPUTED_VALUE"""),43826.7055555555)</f>
        <v>43826.705555555498</v>
      </c>
      <c r="B2416" s="111">
        <f ca="1">IFERROR(__xludf.DUMMYFUNCTION("""COMPUTED_VALUE"""),37.34)</f>
        <v>37.340000000000003</v>
      </c>
      <c r="C2416" s="112">
        <f ca="1">IFERROR(__xludf.DUMMYFUNCTION("""COMPUTED_VALUE"""),43839.7055555555)</f>
        <v>43839.705555555498</v>
      </c>
      <c r="D2416" s="111">
        <f ca="1">IFERROR(__xludf.DUMMYFUNCTION("""COMPUTED_VALUE"""),34.91)</f>
        <v>34.909999999999997</v>
      </c>
      <c r="E2416" s="112">
        <f ca="1">IFERROR(__xludf.DUMMYFUNCTION("""COMPUTED_VALUE"""),43840.7055555555)</f>
        <v>43840.705555555498</v>
      </c>
      <c r="F2416" s="111">
        <f ca="1">IFERROR(__xludf.DUMMYFUNCTION("""COMPUTED_VALUE"""),12.71)</f>
        <v>12.71</v>
      </c>
      <c r="G2416" s="112">
        <f ca="1">IFERROR(__xludf.DUMMYFUNCTION("""COMPUTED_VALUE"""),43838.7055555555)</f>
        <v>43838.705555555498</v>
      </c>
      <c r="H2416" s="111">
        <f ca="1">IFERROR(__xludf.DUMMYFUNCTION("""COMPUTED_VALUE"""),30.5)</f>
        <v>30.5</v>
      </c>
      <c r="K2416" s="112">
        <f ca="1">IFERROR(__xludf.DUMMYFUNCTION("""COMPUTED_VALUE"""),44286.7055555555)</f>
        <v>44286.705555555498</v>
      </c>
      <c r="L2416" s="111">
        <f ca="1">IFERROR(__xludf.DUMMYFUNCTION("""COMPUTED_VALUE"""),20.25)</f>
        <v>20.25</v>
      </c>
      <c r="M2416" s="112">
        <f ca="1">IFERROR(__xludf.DUMMYFUNCTION("""COMPUTED_VALUE"""),43741.7055555555)</f>
        <v>43741.705555555498</v>
      </c>
      <c r="N2416" s="111">
        <f ca="1">IFERROR(__xludf.DUMMYFUNCTION("""COMPUTED_VALUE"""),26.64)</f>
        <v>26.64</v>
      </c>
      <c r="O2416" s="112">
        <f ca="1">IFERROR(__xludf.DUMMYFUNCTION("""COMPUTED_VALUE"""),43817.7055555555)</f>
        <v>43817.705555555498</v>
      </c>
      <c r="P2416" s="111">
        <f ca="1">IFERROR(__xludf.DUMMYFUNCTION("""COMPUTED_VALUE"""),53.47)</f>
        <v>53.47</v>
      </c>
      <c r="Q2416" s="112">
        <f ca="1">IFERROR(__xludf.DUMMYFUNCTION("""COMPUTED_VALUE"""),43816.7055555555)</f>
        <v>43816.705555555498</v>
      </c>
      <c r="R2416" s="111">
        <f ca="1">IFERROR(__xludf.DUMMYFUNCTION("""COMPUTED_VALUE"""),48.95)</f>
        <v>48.95</v>
      </c>
      <c r="S2416" s="112">
        <f ca="1">IFERROR(__xludf.DUMMYFUNCTION("""COMPUTED_VALUE"""),43833.7430555555)</f>
        <v>43833.743055555497</v>
      </c>
      <c r="T2416" s="111">
        <f ca="1">IFERROR(__xludf.DUMMYFUNCTION("""COMPUTED_VALUE"""),51.91)</f>
        <v>51.91</v>
      </c>
    </row>
    <row r="2417" spans="1:20" x14ac:dyDescent="0.3">
      <c r="A2417" s="112">
        <f ca="1">IFERROR(__xludf.DUMMYFUNCTION("""COMPUTED_VALUE"""),43829.7055555555)</f>
        <v>43829.705555555498</v>
      </c>
      <c r="B2417" s="111">
        <f ca="1">IFERROR(__xludf.DUMMYFUNCTION("""COMPUTED_VALUE"""),37.4)</f>
        <v>37.4</v>
      </c>
      <c r="C2417" s="112">
        <f ca="1">IFERROR(__xludf.DUMMYFUNCTION("""COMPUTED_VALUE"""),43840.7055555555)</f>
        <v>43840.705555555498</v>
      </c>
      <c r="D2417" s="111">
        <f ca="1">IFERROR(__xludf.DUMMYFUNCTION("""COMPUTED_VALUE"""),34.6)</f>
        <v>34.6</v>
      </c>
      <c r="E2417" s="112">
        <f ca="1">IFERROR(__xludf.DUMMYFUNCTION("""COMPUTED_VALUE"""),43843.7055555555)</f>
        <v>43843.705555555498</v>
      </c>
      <c r="F2417" s="111">
        <f ca="1">IFERROR(__xludf.DUMMYFUNCTION("""COMPUTED_VALUE"""),12.89)</f>
        <v>12.89</v>
      </c>
      <c r="G2417" s="112">
        <f ca="1">IFERROR(__xludf.DUMMYFUNCTION("""COMPUTED_VALUE"""),43839.7055555555)</f>
        <v>43839.705555555498</v>
      </c>
      <c r="H2417" s="111">
        <f ca="1">IFERROR(__xludf.DUMMYFUNCTION("""COMPUTED_VALUE"""),30.4)</f>
        <v>30.4</v>
      </c>
      <c r="K2417" s="112">
        <f ca="1">IFERROR(__xludf.DUMMYFUNCTION("""COMPUTED_VALUE"""),44287.7055555555)</f>
        <v>44287.705555555498</v>
      </c>
      <c r="L2417" s="111">
        <f ca="1">IFERROR(__xludf.DUMMYFUNCTION("""COMPUTED_VALUE"""),20.45)</f>
        <v>20.45</v>
      </c>
      <c r="M2417" s="112">
        <f ca="1">IFERROR(__xludf.DUMMYFUNCTION("""COMPUTED_VALUE"""),43742.7055555555)</f>
        <v>43742.705555555498</v>
      </c>
      <c r="N2417" s="111">
        <f ca="1">IFERROR(__xludf.DUMMYFUNCTION("""COMPUTED_VALUE"""),26.92)</f>
        <v>26.92</v>
      </c>
      <c r="O2417" s="112">
        <f ca="1">IFERROR(__xludf.DUMMYFUNCTION("""COMPUTED_VALUE"""),43818.7055555555)</f>
        <v>43818.705555555498</v>
      </c>
      <c r="P2417" s="111">
        <f ca="1">IFERROR(__xludf.DUMMYFUNCTION("""COMPUTED_VALUE"""),54)</f>
        <v>54</v>
      </c>
      <c r="Q2417" s="112">
        <f ca="1">IFERROR(__xludf.DUMMYFUNCTION("""COMPUTED_VALUE"""),43817.7055555555)</f>
        <v>43817.705555555498</v>
      </c>
      <c r="R2417" s="111">
        <f ca="1">IFERROR(__xludf.DUMMYFUNCTION("""COMPUTED_VALUE"""),50.64)</f>
        <v>50.64</v>
      </c>
      <c r="S2417" s="112">
        <f ca="1">IFERROR(__xludf.DUMMYFUNCTION("""COMPUTED_VALUE"""),43837.7055555555)</f>
        <v>43837.705555555498</v>
      </c>
      <c r="T2417" s="111">
        <f ca="1">IFERROR(__xludf.DUMMYFUNCTION("""COMPUTED_VALUE"""),51.84)</f>
        <v>51.84</v>
      </c>
    </row>
    <row r="2418" spans="1:20" x14ac:dyDescent="0.3">
      <c r="A2418" s="112">
        <f ca="1">IFERROR(__xludf.DUMMYFUNCTION("""COMPUTED_VALUE"""),43832.7055555555)</f>
        <v>43832.705555555498</v>
      </c>
      <c r="B2418" s="111">
        <f ca="1">IFERROR(__xludf.DUMMYFUNCTION("""COMPUTED_VALUE"""),37.77)</f>
        <v>37.770000000000003</v>
      </c>
      <c r="C2418" s="112">
        <f ca="1">IFERROR(__xludf.DUMMYFUNCTION("""COMPUTED_VALUE"""),43843.7055555555)</f>
        <v>43843.705555555498</v>
      </c>
      <c r="D2418" s="111">
        <f ca="1">IFERROR(__xludf.DUMMYFUNCTION("""COMPUTED_VALUE"""),35.06)</f>
        <v>35.06</v>
      </c>
      <c r="E2418" s="112">
        <f ca="1">IFERROR(__xludf.DUMMYFUNCTION("""COMPUTED_VALUE"""),43844.7055555555)</f>
        <v>43844.705555555498</v>
      </c>
      <c r="F2418" s="111">
        <f ca="1">IFERROR(__xludf.DUMMYFUNCTION("""COMPUTED_VALUE"""),13.03)</f>
        <v>13.03</v>
      </c>
      <c r="G2418" s="112">
        <f ca="1">IFERROR(__xludf.DUMMYFUNCTION("""COMPUTED_VALUE"""),43840.7055555555)</f>
        <v>43840.705555555498</v>
      </c>
      <c r="H2418" s="111">
        <f ca="1">IFERROR(__xludf.DUMMYFUNCTION("""COMPUTED_VALUE"""),30.27)</f>
        <v>30.27</v>
      </c>
      <c r="K2418" s="112">
        <f ca="1">IFERROR(__xludf.DUMMYFUNCTION("""COMPUTED_VALUE"""),44291.7055555555)</f>
        <v>44291.705555555498</v>
      </c>
      <c r="L2418" s="111">
        <f ca="1">IFERROR(__xludf.DUMMYFUNCTION("""COMPUTED_VALUE"""),20.43)</f>
        <v>20.43</v>
      </c>
      <c r="M2418" s="112">
        <f ca="1">IFERROR(__xludf.DUMMYFUNCTION("""COMPUTED_VALUE"""),43745.7055555555)</f>
        <v>43745.705555555498</v>
      </c>
      <c r="N2418" s="111">
        <f ca="1">IFERROR(__xludf.DUMMYFUNCTION("""COMPUTED_VALUE"""),26.74)</f>
        <v>26.74</v>
      </c>
      <c r="O2418" s="112">
        <f ca="1">IFERROR(__xludf.DUMMYFUNCTION("""COMPUTED_VALUE"""),43819.7055555555)</f>
        <v>43819.705555555498</v>
      </c>
      <c r="P2418" s="111">
        <f ca="1">IFERROR(__xludf.DUMMYFUNCTION("""COMPUTED_VALUE"""),54.79)</f>
        <v>54.79</v>
      </c>
      <c r="Q2418" s="112">
        <f ca="1">IFERROR(__xludf.DUMMYFUNCTION("""COMPUTED_VALUE"""),43818.7055555555)</f>
        <v>43818.705555555498</v>
      </c>
      <c r="R2418" s="111">
        <f ca="1">IFERROR(__xludf.DUMMYFUNCTION("""COMPUTED_VALUE"""),51.16)</f>
        <v>51.16</v>
      </c>
      <c r="S2418" s="112">
        <f ca="1">IFERROR(__xludf.DUMMYFUNCTION("""COMPUTED_VALUE"""),43838.7055555555)</f>
        <v>43838.705555555498</v>
      </c>
      <c r="T2418" s="111">
        <f ca="1">IFERROR(__xludf.DUMMYFUNCTION("""COMPUTED_VALUE"""),52.17)</f>
        <v>52.17</v>
      </c>
    </row>
    <row r="2419" spans="1:20" x14ac:dyDescent="0.3">
      <c r="A2419" s="112">
        <f ca="1">IFERROR(__xludf.DUMMYFUNCTION("""COMPUTED_VALUE"""),43833.7430555555)</f>
        <v>43833.743055555497</v>
      </c>
      <c r="B2419" s="111">
        <f ca="1">IFERROR(__xludf.DUMMYFUNCTION("""COMPUTED_VALUE"""),37.2)</f>
        <v>37.200000000000003</v>
      </c>
      <c r="C2419" s="112">
        <f ca="1">IFERROR(__xludf.DUMMYFUNCTION("""COMPUTED_VALUE"""),43844.7055555555)</f>
        <v>43844.705555555498</v>
      </c>
      <c r="D2419" s="111">
        <f ca="1">IFERROR(__xludf.DUMMYFUNCTION("""COMPUTED_VALUE"""),35.06)</f>
        <v>35.06</v>
      </c>
      <c r="E2419" s="112">
        <f ca="1">IFERROR(__xludf.DUMMYFUNCTION("""COMPUTED_VALUE"""),43845.7055555555)</f>
        <v>43845.705555555498</v>
      </c>
      <c r="F2419" s="111">
        <f ca="1">IFERROR(__xludf.DUMMYFUNCTION("""COMPUTED_VALUE"""),12.82)</f>
        <v>12.82</v>
      </c>
      <c r="G2419" s="112">
        <f ca="1">IFERROR(__xludf.DUMMYFUNCTION("""COMPUTED_VALUE"""),43843.7055555555)</f>
        <v>43843.705555555498</v>
      </c>
      <c r="H2419" s="111">
        <f ca="1">IFERROR(__xludf.DUMMYFUNCTION("""COMPUTED_VALUE"""),30.33)</f>
        <v>30.33</v>
      </c>
      <c r="K2419" s="112">
        <f ca="1">IFERROR(__xludf.DUMMYFUNCTION("""COMPUTED_VALUE"""),44292.7055555555)</f>
        <v>44292.705555555498</v>
      </c>
      <c r="L2419" s="111">
        <f ca="1">IFERROR(__xludf.DUMMYFUNCTION("""COMPUTED_VALUE"""),20.61)</f>
        <v>20.61</v>
      </c>
      <c r="M2419" s="112">
        <f ca="1">IFERROR(__xludf.DUMMYFUNCTION("""COMPUTED_VALUE"""),43746.7055555555)</f>
        <v>43746.705555555498</v>
      </c>
      <c r="N2419" s="111">
        <f ca="1">IFERROR(__xludf.DUMMYFUNCTION("""COMPUTED_VALUE"""),26.72)</f>
        <v>26.72</v>
      </c>
      <c r="O2419" s="112">
        <f ca="1">IFERROR(__xludf.DUMMYFUNCTION("""COMPUTED_VALUE"""),43822.7055555555)</f>
        <v>43822.705555555498</v>
      </c>
      <c r="P2419" s="111">
        <f ca="1">IFERROR(__xludf.DUMMYFUNCTION("""COMPUTED_VALUE"""),54.58)</f>
        <v>54.58</v>
      </c>
      <c r="Q2419" s="112">
        <f ca="1">IFERROR(__xludf.DUMMYFUNCTION("""COMPUTED_VALUE"""),43819.7055555555)</f>
        <v>43819.705555555498</v>
      </c>
      <c r="R2419" s="111">
        <f ca="1">IFERROR(__xludf.DUMMYFUNCTION("""COMPUTED_VALUE"""),51.06)</f>
        <v>51.06</v>
      </c>
      <c r="S2419" s="112">
        <f ca="1">IFERROR(__xludf.DUMMYFUNCTION("""COMPUTED_VALUE"""),43839.7055555555)</f>
        <v>43839.705555555498</v>
      </c>
      <c r="T2419" s="111">
        <f ca="1">IFERROR(__xludf.DUMMYFUNCTION("""COMPUTED_VALUE"""),51.77)</f>
        <v>51.77</v>
      </c>
    </row>
    <row r="2420" spans="1:20" x14ac:dyDescent="0.3">
      <c r="A2420" s="112">
        <f ca="1">IFERROR(__xludf.DUMMYFUNCTION("""COMPUTED_VALUE"""),43836.7055555555)</f>
        <v>43836.705555555498</v>
      </c>
      <c r="B2420" s="111">
        <f ca="1">IFERROR(__xludf.DUMMYFUNCTION("""COMPUTED_VALUE"""),37.38)</f>
        <v>37.380000000000003</v>
      </c>
      <c r="C2420" s="112">
        <f ca="1">IFERROR(__xludf.DUMMYFUNCTION("""COMPUTED_VALUE"""),43845.7055555555)</f>
        <v>43845.705555555498</v>
      </c>
      <c r="D2420" s="111">
        <f ca="1">IFERROR(__xludf.DUMMYFUNCTION("""COMPUTED_VALUE"""),34.63)</f>
        <v>34.630000000000003</v>
      </c>
      <c r="E2420" s="112">
        <f ca="1">IFERROR(__xludf.DUMMYFUNCTION("""COMPUTED_VALUE"""),43846.7055555555)</f>
        <v>43846.705555555498</v>
      </c>
      <c r="F2420" s="111">
        <f ca="1">IFERROR(__xludf.DUMMYFUNCTION("""COMPUTED_VALUE"""),12.85)</f>
        <v>12.85</v>
      </c>
      <c r="G2420" s="112">
        <f ca="1">IFERROR(__xludf.DUMMYFUNCTION("""COMPUTED_VALUE"""),43844.7055555555)</f>
        <v>43844.705555555498</v>
      </c>
      <c r="H2420" s="111">
        <f ca="1">IFERROR(__xludf.DUMMYFUNCTION("""COMPUTED_VALUE"""),30)</f>
        <v>30</v>
      </c>
      <c r="K2420" s="112">
        <f ca="1">IFERROR(__xludf.DUMMYFUNCTION("""COMPUTED_VALUE"""),44293.7055555555)</f>
        <v>44293.705555555498</v>
      </c>
      <c r="L2420" s="111">
        <f ca="1">IFERROR(__xludf.DUMMYFUNCTION("""COMPUTED_VALUE"""),20.19)</f>
        <v>20.190000000000001</v>
      </c>
      <c r="M2420" s="112">
        <f ca="1">IFERROR(__xludf.DUMMYFUNCTION("""COMPUTED_VALUE"""),43747.7055555555)</f>
        <v>43747.705555555498</v>
      </c>
      <c r="N2420" s="111">
        <f ca="1">IFERROR(__xludf.DUMMYFUNCTION("""COMPUTED_VALUE"""),27.48)</f>
        <v>27.48</v>
      </c>
      <c r="O2420" s="112">
        <f ca="1">IFERROR(__xludf.DUMMYFUNCTION("""COMPUTED_VALUE"""),43825.7055555555)</f>
        <v>43825.705555555498</v>
      </c>
      <c r="P2420" s="111">
        <f ca="1">IFERROR(__xludf.DUMMYFUNCTION("""COMPUTED_VALUE"""),54.79)</f>
        <v>54.79</v>
      </c>
      <c r="Q2420" s="112">
        <f ca="1">IFERROR(__xludf.DUMMYFUNCTION("""COMPUTED_VALUE"""),43822.7055555555)</f>
        <v>43822.705555555498</v>
      </c>
      <c r="R2420" s="111">
        <f ca="1">IFERROR(__xludf.DUMMYFUNCTION("""COMPUTED_VALUE"""),52.6)</f>
        <v>52.6</v>
      </c>
      <c r="S2420" s="112">
        <f ca="1">IFERROR(__xludf.DUMMYFUNCTION("""COMPUTED_VALUE"""),43840.7055555555)</f>
        <v>43840.705555555498</v>
      </c>
      <c r="T2420" s="111">
        <f ca="1">IFERROR(__xludf.DUMMYFUNCTION("""COMPUTED_VALUE"""),51.94)</f>
        <v>51.94</v>
      </c>
    </row>
    <row r="2421" spans="1:20" x14ac:dyDescent="0.3">
      <c r="A2421" s="112">
        <f ca="1">IFERROR(__xludf.DUMMYFUNCTION("""COMPUTED_VALUE"""),43837.7055555555)</f>
        <v>43837.705555555498</v>
      </c>
      <c r="B2421" s="111">
        <f ca="1">IFERROR(__xludf.DUMMYFUNCTION("""COMPUTED_VALUE"""),38.34)</f>
        <v>38.340000000000003</v>
      </c>
      <c r="C2421" s="112">
        <f ca="1">IFERROR(__xludf.DUMMYFUNCTION("""COMPUTED_VALUE"""),43846.7055555555)</f>
        <v>43846.705555555498</v>
      </c>
      <c r="D2421" s="111">
        <f ca="1">IFERROR(__xludf.DUMMYFUNCTION("""COMPUTED_VALUE"""),34.7)</f>
        <v>34.700000000000003</v>
      </c>
      <c r="E2421" s="112">
        <f ca="1">IFERROR(__xludf.DUMMYFUNCTION("""COMPUTED_VALUE"""),43847.7055555555)</f>
        <v>43847.705555555498</v>
      </c>
      <c r="F2421" s="111">
        <f ca="1">IFERROR(__xludf.DUMMYFUNCTION("""COMPUTED_VALUE"""),12.95)</f>
        <v>12.95</v>
      </c>
      <c r="G2421" s="112">
        <f ca="1">IFERROR(__xludf.DUMMYFUNCTION("""COMPUTED_VALUE"""),43845.7055555555)</f>
        <v>43845.705555555498</v>
      </c>
      <c r="H2421" s="111">
        <f ca="1">IFERROR(__xludf.DUMMYFUNCTION("""COMPUTED_VALUE"""),29.55)</f>
        <v>29.55</v>
      </c>
      <c r="K2421" s="112">
        <f ca="1">IFERROR(__xludf.DUMMYFUNCTION("""COMPUTED_VALUE"""),44294.7055555555)</f>
        <v>44294.705555555498</v>
      </c>
      <c r="L2421" s="111">
        <f ca="1">IFERROR(__xludf.DUMMYFUNCTION("""COMPUTED_VALUE"""),21.86)</f>
        <v>21.86</v>
      </c>
      <c r="M2421" s="112">
        <f ca="1">IFERROR(__xludf.DUMMYFUNCTION("""COMPUTED_VALUE"""),43748.7055555555)</f>
        <v>43748.705555555498</v>
      </c>
      <c r="N2421" s="111">
        <f ca="1">IFERROR(__xludf.DUMMYFUNCTION("""COMPUTED_VALUE"""),27.79)</f>
        <v>27.79</v>
      </c>
      <c r="O2421" s="112">
        <f ca="1">IFERROR(__xludf.DUMMYFUNCTION("""COMPUTED_VALUE"""),43826.7055555555)</f>
        <v>43826.705555555498</v>
      </c>
      <c r="P2421" s="111">
        <f ca="1">IFERROR(__xludf.DUMMYFUNCTION("""COMPUTED_VALUE"""),53.6)</f>
        <v>53.6</v>
      </c>
      <c r="Q2421" s="112">
        <f ca="1">IFERROR(__xludf.DUMMYFUNCTION("""COMPUTED_VALUE"""),43825.7055555555)</f>
        <v>43825.705555555498</v>
      </c>
      <c r="R2421" s="111">
        <f ca="1">IFERROR(__xludf.DUMMYFUNCTION("""COMPUTED_VALUE"""),53.2)</f>
        <v>53.2</v>
      </c>
      <c r="S2421" s="112">
        <f ca="1">IFERROR(__xludf.DUMMYFUNCTION("""COMPUTED_VALUE"""),43843.7055555555)</f>
        <v>43843.705555555498</v>
      </c>
      <c r="T2421" s="111">
        <f ca="1">IFERROR(__xludf.DUMMYFUNCTION("""COMPUTED_VALUE"""),53.06)</f>
        <v>53.06</v>
      </c>
    </row>
    <row r="2422" spans="1:20" x14ac:dyDescent="0.3">
      <c r="A2422" s="112">
        <f ca="1">IFERROR(__xludf.DUMMYFUNCTION("""COMPUTED_VALUE"""),43838.7055555555)</f>
        <v>43838.705555555498</v>
      </c>
      <c r="B2422" s="111">
        <f ca="1">IFERROR(__xludf.DUMMYFUNCTION("""COMPUTED_VALUE"""),38.89)</f>
        <v>38.89</v>
      </c>
      <c r="C2422" s="112">
        <f ca="1">IFERROR(__xludf.DUMMYFUNCTION("""COMPUTED_VALUE"""),43847.7055555555)</f>
        <v>43847.705555555498</v>
      </c>
      <c r="D2422" s="111">
        <f ca="1">IFERROR(__xludf.DUMMYFUNCTION("""COMPUTED_VALUE"""),34.94)</f>
        <v>34.94</v>
      </c>
      <c r="E2422" s="112">
        <f ca="1">IFERROR(__xludf.DUMMYFUNCTION("""COMPUTED_VALUE"""),43850.7055555555)</f>
        <v>43850.705555555498</v>
      </c>
      <c r="F2422" s="111">
        <f ca="1">IFERROR(__xludf.DUMMYFUNCTION("""COMPUTED_VALUE"""),12.77)</f>
        <v>12.77</v>
      </c>
      <c r="G2422" s="112">
        <f ca="1">IFERROR(__xludf.DUMMYFUNCTION("""COMPUTED_VALUE"""),43846.7055555555)</f>
        <v>43846.705555555498</v>
      </c>
      <c r="H2422" s="111">
        <f ca="1">IFERROR(__xludf.DUMMYFUNCTION("""COMPUTED_VALUE"""),29.52)</f>
        <v>29.52</v>
      </c>
      <c r="K2422" s="112">
        <f ca="1">IFERROR(__xludf.DUMMYFUNCTION("""COMPUTED_VALUE"""),44295.7055555555)</f>
        <v>44295.705555555498</v>
      </c>
      <c r="L2422" s="111">
        <f ca="1">IFERROR(__xludf.DUMMYFUNCTION("""COMPUTED_VALUE"""),21.68)</f>
        <v>21.68</v>
      </c>
      <c r="M2422" s="112">
        <f ca="1">IFERROR(__xludf.DUMMYFUNCTION("""COMPUTED_VALUE"""),43749.7055555555)</f>
        <v>43749.705555555498</v>
      </c>
      <c r="N2422" s="111">
        <f ca="1">IFERROR(__xludf.DUMMYFUNCTION("""COMPUTED_VALUE"""),28.11)</f>
        <v>28.11</v>
      </c>
      <c r="O2422" s="112">
        <f ca="1">IFERROR(__xludf.DUMMYFUNCTION("""COMPUTED_VALUE"""),43829.7055555555)</f>
        <v>43829.705555555498</v>
      </c>
      <c r="P2422" s="111">
        <f ca="1">IFERROR(__xludf.DUMMYFUNCTION("""COMPUTED_VALUE"""),53.3)</f>
        <v>53.3</v>
      </c>
      <c r="Q2422" s="112">
        <f ca="1">IFERROR(__xludf.DUMMYFUNCTION("""COMPUTED_VALUE"""),43826.7055555555)</f>
        <v>43826.705555555498</v>
      </c>
      <c r="R2422" s="111">
        <f ca="1">IFERROR(__xludf.DUMMYFUNCTION("""COMPUTED_VALUE"""),52.97)</f>
        <v>52.97</v>
      </c>
      <c r="S2422" s="112">
        <f ca="1">IFERROR(__xludf.DUMMYFUNCTION("""COMPUTED_VALUE"""),43844.7055555555)</f>
        <v>43844.705555555498</v>
      </c>
      <c r="T2422" s="111">
        <f ca="1">IFERROR(__xludf.DUMMYFUNCTION("""COMPUTED_VALUE"""),52.39)</f>
        <v>52.39</v>
      </c>
    </row>
    <row r="2423" spans="1:20" x14ac:dyDescent="0.3">
      <c r="A2423" s="112">
        <f ca="1">IFERROR(__xludf.DUMMYFUNCTION("""COMPUTED_VALUE"""),43839.7055555555)</f>
        <v>43839.705555555498</v>
      </c>
      <c r="B2423" s="111">
        <f ca="1">IFERROR(__xludf.DUMMYFUNCTION("""COMPUTED_VALUE"""),38.93)</f>
        <v>38.93</v>
      </c>
      <c r="C2423" s="112">
        <f ca="1">IFERROR(__xludf.DUMMYFUNCTION("""COMPUTED_VALUE"""),43850.7055555555)</f>
        <v>43850.705555555498</v>
      </c>
      <c r="D2423" s="111">
        <f ca="1">IFERROR(__xludf.DUMMYFUNCTION("""COMPUTED_VALUE"""),34.23)</f>
        <v>34.229999999999997</v>
      </c>
      <c r="E2423" s="112">
        <f ca="1">IFERROR(__xludf.DUMMYFUNCTION("""COMPUTED_VALUE"""),43851.7055555555)</f>
        <v>43851.705555555498</v>
      </c>
      <c r="F2423" s="111">
        <f ca="1">IFERROR(__xludf.DUMMYFUNCTION("""COMPUTED_VALUE"""),12.48)</f>
        <v>12.48</v>
      </c>
      <c r="G2423" s="112">
        <f ca="1">IFERROR(__xludf.DUMMYFUNCTION("""COMPUTED_VALUE"""),43847.7055555555)</f>
        <v>43847.705555555498</v>
      </c>
      <c r="H2423" s="111">
        <f ca="1">IFERROR(__xludf.DUMMYFUNCTION("""COMPUTED_VALUE"""),29.85)</f>
        <v>29.85</v>
      </c>
      <c r="K2423" s="112">
        <f ca="1">IFERROR(__xludf.DUMMYFUNCTION("""COMPUTED_VALUE"""),44298.8125)</f>
        <v>44298.8125</v>
      </c>
      <c r="L2423" s="111">
        <f ca="1">IFERROR(__xludf.DUMMYFUNCTION("""COMPUTED_VALUE"""),21.66)</f>
        <v>21.66</v>
      </c>
      <c r="M2423" s="112">
        <f ca="1">IFERROR(__xludf.DUMMYFUNCTION("""COMPUTED_VALUE"""),43752.7055555555)</f>
        <v>43752.705555555498</v>
      </c>
      <c r="N2423" s="111">
        <f ca="1">IFERROR(__xludf.DUMMYFUNCTION("""COMPUTED_VALUE"""),28.5)</f>
        <v>28.5</v>
      </c>
      <c r="O2423" s="112">
        <f ca="1">IFERROR(__xludf.DUMMYFUNCTION("""COMPUTED_VALUE"""),43832.7055555555)</f>
        <v>43832.705555555498</v>
      </c>
      <c r="P2423" s="111">
        <f ca="1">IFERROR(__xludf.DUMMYFUNCTION("""COMPUTED_VALUE"""),54.33)</f>
        <v>54.33</v>
      </c>
      <c r="Q2423" s="112">
        <f ca="1">IFERROR(__xludf.DUMMYFUNCTION("""COMPUTED_VALUE"""),43829.7055555555)</f>
        <v>43829.705555555498</v>
      </c>
      <c r="R2423" s="111">
        <f ca="1">IFERROR(__xludf.DUMMYFUNCTION("""COMPUTED_VALUE"""),52.82)</f>
        <v>52.82</v>
      </c>
      <c r="S2423" s="112">
        <f ca="1">IFERROR(__xludf.DUMMYFUNCTION("""COMPUTED_VALUE"""),43845.7055555555)</f>
        <v>43845.705555555498</v>
      </c>
      <c r="T2423" s="111">
        <f ca="1">IFERROR(__xludf.DUMMYFUNCTION("""COMPUTED_VALUE"""),52.05)</f>
        <v>52.05</v>
      </c>
    </row>
    <row r="2424" spans="1:20" x14ac:dyDescent="0.3">
      <c r="A2424" s="112">
        <f ca="1">IFERROR(__xludf.DUMMYFUNCTION("""COMPUTED_VALUE"""),43840.7055555555)</f>
        <v>43840.705555555498</v>
      </c>
      <c r="B2424" s="111">
        <f ca="1">IFERROR(__xludf.DUMMYFUNCTION("""COMPUTED_VALUE"""),39.67)</f>
        <v>39.67</v>
      </c>
      <c r="C2424" s="112">
        <f ca="1">IFERROR(__xludf.DUMMYFUNCTION("""COMPUTED_VALUE"""),43851.7055555555)</f>
        <v>43851.705555555498</v>
      </c>
      <c r="D2424" s="111">
        <f ca="1">IFERROR(__xludf.DUMMYFUNCTION("""COMPUTED_VALUE"""),33.5)</f>
        <v>33.5</v>
      </c>
      <c r="E2424" s="112">
        <f ca="1">IFERROR(__xludf.DUMMYFUNCTION("""COMPUTED_VALUE"""),43852.7055555555)</f>
        <v>43852.705555555498</v>
      </c>
      <c r="F2424" s="111">
        <f ca="1">IFERROR(__xludf.DUMMYFUNCTION("""COMPUTED_VALUE"""),12.66)</f>
        <v>12.66</v>
      </c>
      <c r="G2424" s="112">
        <f ca="1">IFERROR(__xludf.DUMMYFUNCTION("""COMPUTED_VALUE"""),43850.7055555555)</f>
        <v>43850.705555555498</v>
      </c>
      <c r="H2424" s="111">
        <f ca="1">IFERROR(__xludf.DUMMYFUNCTION("""COMPUTED_VALUE"""),30)</f>
        <v>30</v>
      </c>
      <c r="K2424" s="112">
        <f ca="1">IFERROR(__xludf.DUMMYFUNCTION("""COMPUTED_VALUE"""),44299.7055555555)</f>
        <v>44299.705555555498</v>
      </c>
      <c r="L2424" s="111">
        <f ca="1">IFERROR(__xludf.DUMMYFUNCTION("""COMPUTED_VALUE"""),22.21)</f>
        <v>22.21</v>
      </c>
      <c r="M2424" s="112">
        <f ca="1">IFERROR(__xludf.DUMMYFUNCTION("""COMPUTED_VALUE"""),43753.7055555555)</f>
        <v>43753.705555555498</v>
      </c>
      <c r="N2424" s="111">
        <f ca="1">IFERROR(__xludf.DUMMYFUNCTION("""COMPUTED_VALUE"""),28.74)</f>
        <v>28.74</v>
      </c>
      <c r="O2424" s="112">
        <f ca="1">IFERROR(__xludf.DUMMYFUNCTION("""COMPUTED_VALUE"""),43833.7430555555)</f>
        <v>43833.743055555497</v>
      </c>
      <c r="P2424" s="111">
        <f ca="1">IFERROR(__xludf.DUMMYFUNCTION("""COMPUTED_VALUE"""),53.93)</f>
        <v>53.93</v>
      </c>
      <c r="Q2424" s="112">
        <f ca="1">IFERROR(__xludf.DUMMYFUNCTION("""COMPUTED_VALUE"""),43832.7055555555)</f>
        <v>43832.705555555498</v>
      </c>
      <c r="R2424" s="111">
        <f ca="1">IFERROR(__xludf.DUMMYFUNCTION("""COMPUTED_VALUE"""),53.8)</f>
        <v>53.8</v>
      </c>
      <c r="S2424" s="112">
        <f ca="1">IFERROR(__xludf.DUMMYFUNCTION("""COMPUTED_VALUE"""),43846.7055555555)</f>
        <v>43846.705555555498</v>
      </c>
      <c r="T2424" s="111">
        <f ca="1">IFERROR(__xludf.DUMMYFUNCTION("""COMPUTED_VALUE"""),52.46)</f>
        <v>52.46</v>
      </c>
    </row>
    <row r="2425" spans="1:20" x14ac:dyDescent="0.3">
      <c r="A2425" s="112">
        <f ca="1">IFERROR(__xludf.DUMMYFUNCTION("""COMPUTED_VALUE"""),43843.7055555555)</f>
        <v>43843.705555555498</v>
      </c>
      <c r="B2425" s="111">
        <f ca="1">IFERROR(__xludf.DUMMYFUNCTION("""COMPUTED_VALUE"""),39.77)</f>
        <v>39.770000000000003</v>
      </c>
      <c r="C2425" s="112">
        <f ca="1">IFERROR(__xludf.DUMMYFUNCTION("""COMPUTED_VALUE"""),43852.7055555555)</f>
        <v>43852.705555555498</v>
      </c>
      <c r="D2425" s="111">
        <f ca="1">IFERROR(__xludf.DUMMYFUNCTION("""COMPUTED_VALUE"""),33.7)</f>
        <v>33.700000000000003</v>
      </c>
      <c r="E2425" s="112">
        <f ca="1">IFERROR(__xludf.DUMMYFUNCTION("""COMPUTED_VALUE"""),43853.7055555555)</f>
        <v>43853.705555555498</v>
      </c>
      <c r="F2425" s="111">
        <f ca="1">IFERROR(__xludf.DUMMYFUNCTION("""COMPUTED_VALUE"""),12.9)</f>
        <v>12.9</v>
      </c>
      <c r="G2425" s="112">
        <f ca="1">IFERROR(__xludf.DUMMYFUNCTION("""COMPUTED_VALUE"""),43851.7055555555)</f>
        <v>43851.705555555498</v>
      </c>
      <c r="H2425" s="111">
        <f ca="1">IFERROR(__xludf.DUMMYFUNCTION("""COMPUTED_VALUE"""),29.62)</f>
        <v>29.62</v>
      </c>
      <c r="K2425" s="112">
        <f ca="1">IFERROR(__xludf.DUMMYFUNCTION("""COMPUTED_VALUE"""),44300.7055555555)</f>
        <v>44300.705555555498</v>
      </c>
      <c r="L2425" s="111">
        <f ca="1">IFERROR(__xludf.DUMMYFUNCTION("""COMPUTED_VALUE"""),22.13)</f>
        <v>22.13</v>
      </c>
      <c r="M2425" s="112">
        <f ca="1">IFERROR(__xludf.DUMMYFUNCTION("""COMPUTED_VALUE"""),43754.7055555555)</f>
        <v>43754.705555555498</v>
      </c>
      <c r="N2425" s="111">
        <f ca="1">IFERROR(__xludf.DUMMYFUNCTION("""COMPUTED_VALUE"""),29.42)</f>
        <v>29.42</v>
      </c>
      <c r="O2425" s="112">
        <f ca="1">IFERROR(__xludf.DUMMYFUNCTION("""COMPUTED_VALUE"""),43836.7055555555)</f>
        <v>43836.705555555498</v>
      </c>
      <c r="P2425" s="111">
        <f ca="1">IFERROR(__xludf.DUMMYFUNCTION("""COMPUTED_VALUE"""),53.61)</f>
        <v>53.61</v>
      </c>
      <c r="Q2425" s="112">
        <f ca="1">IFERROR(__xludf.DUMMYFUNCTION("""COMPUTED_VALUE"""),43833.7430555555)</f>
        <v>43833.743055555497</v>
      </c>
      <c r="R2425" s="111">
        <f ca="1">IFERROR(__xludf.DUMMYFUNCTION("""COMPUTED_VALUE"""),53.71)</f>
        <v>53.71</v>
      </c>
      <c r="S2425" s="112">
        <f ca="1">IFERROR(__xludf.DUMMYFUNCTION("""COMPUTED_VALUE"""),43847.7055555555)</f>
        <v>43847.705555555498</v>
      </c>
      <c r="T2425" s="111">
        <f ca="1">IFERROR(__xludf.DUMMYFUNCTION("""COMPUTED_VALUE"""),53.84)</f>
        <v>53.84</v>
      </c>
    </row>
    <row r="2426" spans="1:20" x14ac:dyDescent="0.3">
      <c r="A2426" s="112">
        <f ca="1">IFERROR(__xludf.DUMMYFUNCTION("""COMPUTED_VALUE"""),43844.7055555555)</f>
        <v>43844.705555555498</v>
      </c>
      <c r="B2426" s="111">
        <f ca="1">IFERROR(__xludf.DUMMYFUNCTION("""COMPUTED_VALUE"""),39.08)</f>
        <v>39.08</v>
      </c>
      <c r="C2426" s="112">
        <f ca="1">IFERROR(__xludf.DUMMYFUNCTION("""COMPUTED_VALUE"""),43853.7055555555)</f>
        <v>43853.705555555498</v>
      </c>
      <c r="D2426" s="111">
        <f ca="1">IFERROR(__xludf.DUMMYFUNCTION("""COMPUTED_VALUE"""),34.5)</f>
        <v>34.5</v>
      </c>
      <c r="E2426" s="112">
        <f ca="1">IFERROR(__xludf.DUMMYFUNCTION("""COMPUTED_VALUE"""),43854.7055555555)</f>
        <v>43854.705555555498</v>
      </c>
      <c r="F2426" s="111">
        <f ca="1">IFERROR(__xludf.DUMMYFUNCTION("""COMPUTED_VALUE"""),12.71)</f>
        <v>12.71</v>
      </c>
      <c r="G2426" s="112">
        <f ca="1">IFERROR(__xludf.DUMMYFUNCTION("""COMPUTED_VALUE"""),43852.7055555555)</f>
        <v>43852.705555555498</v>
      </c>
      <c r="H2426" s="111">
        <f ca="1">IFERROR(__xludf.DUMMYFUNCTION("""COMPUTED_VALUE"""),29.29)</f>
        <v>29.29</v>
      </c>
      <c r="K2426" s="112">
        <f ca="1">IFERROR(__xludf.DUMMYFUNCTION("""COMPUTED_VALUE"""),44301.7055555555)</f>
        <v>44301.705555555498</v>
      </c>
      <c r="L2426" s="111">
        <f ca="1">IFERROR(__xludf.DUMMYFUNCTION("""COMPUTED_VALUE"""),22.21)</f>
        <v>22.21</v>
      </c>
      <c r="M2426" s="112">
        <f ca="1">IFERROR(__xludf.DUMMYFUNCTION("""COMPUTED_VALUE"""),43755.7055555555)</f>
        <v>43755.705555555498</v>
      </c>
      <c r="N2426" s="111">
        <f ca="1">IFERROR(__xludf.DUMMYFUNCTION("""COMPUTED_VALUE"""),28.93)</f>
        <v>28.93</v>
      </c>
      <c r="O2426" s="112">
        <f ca="1">IFERROR(__xludf.DUMMYFUNCTION("""COMPUTED_VALUE"""),43837.7055555555)</f>
        <v>43837.705555555498</v>
      </c>
      <c r="P2426" s="111">
        <f ca="1">IFERROR(__xludf.DUMMYFUNCTION("""COMPUTED_VALUE"""),54)</f>
        <v>54</v>
      </c>
      <c r="Q2426" s="112">
        <f ca="1">IFERROR(__xludf.DUMMYFUNCTION("""COMPUTED_VALUE"""),43836.7055555555)</f>
        <v>43836.705555555498</v>
      </c>
      <c r="R2426" s="111">
        <f ca="1">IFERROR(__xludf.DUMMYFUNCTION("""COMPUTED_VALUE"""),53)</f>
        <v>53</v>
      </c>
      <c r="S2426" s="112">
        <f ca="1">IFERROR(__xludf.DUMMYFUNCTION("""COMPUTED_VALUE"""),43850.7055555555)</f>
        <v>43850.705555555498</v>
      </c>
      <c r="T2426" s="111">
        <f ca="1">IFERROR(__xludf.DUMMYFUNCTION("""COMPUTED_VALUE"""),54.09)</f>
        <v>54.09</v>
      </c>
    </row>
    <row r="2427" spans="1:20" x14ac:dyDescent="0.3">
      <c r="A2427" s="112">
        <f ca="1">IFERROR(__xludf.DUMMYFUNCTION("""COMPUTED_VALUE"""),43845.7055555555)</f>
        <v>43845.705555555498</v>
      </c>
      <c r="B2427" s="111">
        <f ca="1">IFERROR(__xludf.DUMMYFUNCTION("""COMPUTED_VALUE"""),38.9)</f>
        <v>38.9</v>
      </c>
      <c r="C2427" s="112">
        <f ca="1">IFERROR(__xludf.DUMMYFUNCTION("""COMPUTED_VALUE"""),43854.7055555555)</f>
        <v>43854.705555555498</v>
      </c>
      <c r="D2427" s="111">
        <f ca="1">IFERROR(__xludf.DUMMYFUNCTION("""COMPUTED_VALUE"""),34.24)</f>
        <v>34.24</v>
      </c>
      <c r="E2427" s="112">
        <f ca="1">IFERROR(__xludf.DUMMYFUNCTION("""COMPUTED_VALUE"""),43857.7055555555)</f>
        <v>43857.705555555498</v>
      </c>
      <c r="F2427" s="111">
        <f ca="1">IFERROR(__xludf.DUMMYFUNCTION("""COMPUTED_VALUE"""),12.44)</f>
        <v>12.44</v>
      </c>
      <c r="G2427" s="112">
        <f ca="1">IFERROR(__xludf.DUMMYFUNCTION("""COMPUTED_VALUE"""),43853.7055555555)</f>
        <v>43853.705555555498</v>
      </c>
      <c r="H2427" s="111">
        <f ca="1">IFERROR(__xludf.DUMMYFUNCTION("""COMPUTED_VALUE"""),29.65)</f>
        <v>29.65</v>
      </c>
      <c r="K2427" s="112">
        <f ca="1">IFERROR(__xludf.DUMMYFUNCTION("""COMPUTED_VALUE"""),44302.7055555555)</f>
        <v>44302.705555555498</v>
      </c>
      <c r="L2427" s="111">
        <f ca="1">IFERROR(__xludf.DUMMYFUNCTION("""COMPUTED_VALUE"""),21.93)</f>
        <v>21.93</v>
      </c>
      <c r="M2427" s="112">
        <f ca="1">IFERROR(__xludf.DUMMYFUNCTION("""COMPUTED_VALUE"""),43756.7055555555)</f>
        <v>43756.705555555498</v>
      </c>
      <c r="N2427" s="111">
        <f ca="1">IFERROR(__xludf.DUMMYFUNCTION("""COMPUTED_VALUE"""),27.93)</f>
        <v>27.93</v>
      </c>
      <c r="O2427" s="112">
        <f ca="1">IFERROR(__xludf.DUMMYFUNCTION("""COMPUTED_VALUE"""),43838.7055555555)</f>
        <v>43838.705555555498</v>
      </c>
      <c r="P2427" s="111">
        <f ca="1">IFERROR(__xludf.DUMMYFUNCTION("""COMPUTED_VALUE"""),54.01)</f>
        <v>54.01</v>
      </c>
      <c r="Q2427" s="112">
        <f ca="1">IFERROR(__xludf.DUMMYFUNCTION("""COMPUTED_VALUE"""),43837.7055555555)</f>
        <v>43837.705555555498</v>
      </c>
      <c r="R2427" s="111">
        <f ca="1">IFERROR(__xludf.DUMMYFUNCTION("""COMPUTED_VALUE"""),52.6)</f>
        <v>52.6</v>
      </c>
      <c r="S2427" s="112">
        <f ca="1">IFERROR(__xludf.DUMMYFUNCTION("""COMPUTED_VALUE"""),43851.7055555555)</f>
        <v>43851.705555555498</v>
      </c>
      <c r="T2427" s="111">
        <f ca="1">IFERROR(__xludf.DUMMYFUNCTION("""COMPUTED_VALUE"""),53.59)</f>
        <v>53.59</v>
      </c>
    </row>
    <row r="2428" spans="1:20" x14ac:dyDescent="0.3">
      <c r="A2428" s="112">
        <f ca="1">IFERROR(__xludf.DUMMYFUNCTION("""COMPUTED_VALUE"""),43846.7055555555)</f>
        <v>43846.705555555498</v>
      </c>
      <c r="B2428" s="111">
        <f ca="1">IFERROR(__xludf.DUMMYFUNCTION("""COMPUTED_VALUE"""),39.77)</f>
        <v>39.770000000000003</v>
      </c>
      <c r="C2428" s="112">
        <f ca="1">IFERROR(__xludf.DUMMYFUNCTION("""COMPUTED_VALUE"""),43857.7055555555)</f>
        <v>43857.705555555498</v>
      </c>
      <c r="D2428" s="111">
        <f ca="1">IFERROR(__xludf.DUMMYFUNCTION("""COMPUTED_VALUE"""),33.5)</f>
        <v>33.5</v>
      </c>
      <c r="E2428" s="112">
        <f ca="1">IFERROR(__xludf.DUMMYFUNCTION("""COMPUTED_VALUE"""),43858.7055555555)</f>
        <v>43858.705555555498</v>
      </c>
      <c r="F2428" s="111">
        <f ca="1">IFERROR(__xludf.DUMMYFUNCTION("""COMPUTED_VALUE"""),12.49)</f>
        <v>12.49</v>
      </c>
      <c r="G2428" s="112">
        <f ca="1">IFERROR(__xludf.DUMMYFUNCTION("""COMPUTED_VALUE"""),43854.7055555555)</f>
        <v>43854.705555555498</v>
      </c>
      <c r="H2428" s="111">
        <f ca="1">IFERROR(__xludf.DUMMYFUNCTION("""COMPUTED_VALUE"""),29.3)</f>
        <v>29.3</v>
      </c>
      <c r="K2428" s="112">
        <f ca="1">IFERROR(__xludf.DUMMYFUNCTION("""COMPUTED_VALUE"""),44305.7055555555)</f>
        <v>44305.705555555498</v>
      </c>
      <c r="L2428" s="111">
        <f ca="1">IFERROR(__xludf.DUMMYFUNCTION("""COMPUTED_VALUE"""),21.66)</f>
        <v>21.66</v>
      </c>
      <c r="M2428" s="112">
        <f ca="1">IFERROR(__xludf.DUMMYFUNCTION("""COMPUTED_VALUE"""),43759.7055555555)</f>
        <v>43759.705555555498</v>
      </c>
      <c r="N2428" s="111">
        <f ca="1">IFERROR(__xludf.DUMMYFUNCTION("""COMPUTED_VALUE"""),28.12)</f>
        <v>28.12</v>
      </c>
      <c r="O2428" s="112">
        <f ca="1">IFERROR(__xludf.DUMMYFUNCTION("""COMPUTED_VALUE"""),43839.7055555555)</f>
        <v>43839.705555555498</v>
      </c>
      <c r="P2428" s="111">
        <f ca="1">IFERROR(__xludf.DUMMYFUNCTION("""COMPUTED_VALUE"""),53.3)</f>
        <v>53.3</v>
      </c>
      <c r="Q2428" s="112">
        <f ca="1">IFERROR(__xludf.DUMMYFUNCTION("""COMPUTED_VALUE"""),43838.7055555555)</f>
        <v>43838.705555555498</v>
      </c>
      <c r="R2428" s="111">
        <f ca="1">IFERROR(__xludf.DUMMYFUNCTION("""COMPUTED_VALUE"""),52.12)</f>
        <v>52.12</v>
      </c>
      <c r="S2428" s="112">
        <f ca="1">IFERROR(__xludf.DUMMYFUNCTION("""COMPUTED_VALUE"""),43852.7055555555)</f>
        <v>43852.705555555498</v>
      </c>
      <c r="T2428" s="111">
        <f ca="1">IFERROR(__xludf.DUMMYFUNCTION("""COMPUTED_VALUE"""),54.41)</f>
        <v>54.41</v>
      </c>
    </row>
    <row r="2429" spans="1:20" x14ac:dyDescent="0.3">
      <c r="A2429" s="112">
        <f ca="1">IFERROR(__xludf.DUMMYFUNCTION("""COMPUTED_VALUE"""),43847.7055555555)</f>
        <v>43847.705555555498</v>
      </c>
      <c r="B2429" s="111">
        <f ca="1">IFERROR(__xludf.DUMMYFUNCTION("""COMPUTED_VALUE"""),39.82)</f>
        <v>39.82</v>
      </c>
      <c r="C2429" s="112">
        <f ca="1">IFERROR(__xludf.DUMMYFUNCTION("""COMPUTED_VALUE"""),43858.7055555555)</f>
        <v>43858.705555555498</v>
      </c>
      <c r="D2429" s="111">
        <f ca="1">IFERROR(__xludf.DUMMYFUNCTION("""COMPUTED_VALUE"""),33.49)</f>
        <v>33.49</v>
      </c>
      <c r="E2429" s="112">
        <f ca="1">IFERROR(__xludf.DUMMYFUNCTION("""COMPUTED_VALUE"""),43859.7055555555)</f>
        <v>43859.705555555498</v>
      </c>
      <c r="F2429" s="111">
        <f ca="1">IFERROR(__xludf.DUMMYFUNCTION("""COMPUTED_VALUE"""),12.35)</f>
        <v>12.35</v>
      </c>
      <c r="G2429" s="112">
        <f ca="1">IFERROR(__xludf.DUMMYFUNCTION("""COMPUTED_VALUE"""),43857.7055555555)</f>
        <v>43857.705555555498</v>
      </c>
      <c r="H2429" s="111">
        <f ca="1">IFERROR(__xludf.DUMMYFUNCTION("""COMPUTED_VALUE"""),28.03)</f>
        <v>28.03</v>
      </c>
      <c r="K2429" s="112">
        <f ca="1">IFERROR(__xludf.DUMMYFUNCTION("""COMPUTED_VALUE"""),44306.7055555555)</f>
        <v>44306.705555555498</v>
      </c>
      <c r="L2429" s="111">
        <f ca="1">IFERROR(__xludf.DUMMYFUNCTION("""COMPUTED_VALUE"""),21.61)</f>
        <v>21.61</v>
      </c>
      <c r="M2429" s="112">
        <f ca="1">IFERROR(__xludf.DUMMYFUNCTION("""COMPUTED_VALUE"""),43760.7055555555)</f>
        <v>43760.705555555498</v>
      </c>
      <c r="N2429" s="111">
        <f ca="1">IFERROR(__xludf.DUMMYFUNCTION("""COMPUTED_VALUE"""),28.93)</f>
        <v>28.93</v>
      </c>
      <c r="O2429" s="112">
        <f ca="1">IFERROR(__xludf.DUMMYFUNCTION("""COMPUTED_VALUE"""),43840.7055555555)</f>
        <v>43840.705555555498</v>
      </c>
      <c r="P2429" s="111">
        <f ca="1">IFERROR(__xludf.DUMMYFUNCTION("""COMPUTED_VALUE"""),53.36)</f>
        <v>53.36</v>
      </c>
      <c r="Q2429" s="112">
        <f ca="1">IFERROR(__xludf.DUMMYFUNCTION("""COMPUTED_VALUE"""),43839.7055555555)</f>
        <v>43839.705555555498</v>
      </c>
      <c r="R2429" s="111">
        <f ca="1">IFERROR(__xludf.DUMMYFUNCTION("""COMPUTED_VALUE"""),51.06)</f>
        <v>51.06</v>
      </c>
      <c r="S2429" s="112">
        <f ca="1">IFERROR(__xludf.DUMMYFUNCTION("""COMPUTED_VALUE"""),43853.7055555555)</f>
        <v>43853.705555555498</v>
      </c>
      <c r="T2429" s="111">
        <f ca="1">IFERROR(__xludf.DUMMYFUNCTION("""COMPUTED_VALUE"""),55.34)</f>
        <v>55.34</v>
      </c>
    </row>
    <row r="2430" spans="1:20" x14ac:dyDescent="0.3">
      <c r="A2430" s="112">
        <f ca="1">IFERROR(__xludf.DUMMYFUNCTION("""COMPUTED_VALUE"""),43850.7055555555)</f>
        <v>43850.705555555498</v>
      </c>
      <c r="B2430" s="111">
        <f ca="1">IFERROR(__xludf.DUMMYFUNCTION("""COMPUTED_VALUE"""),39.92)</f>
        <v>39.92</v>
      </c>
      <c r="C2430" s="112">
        <f ca="1">IFERROR(__xludf.DUMMYFUNCTION("""COMPUTED_VALUE"""),43859.7055555555)</f>
        <v>43859.705555555498</v>
      </c>
      <c r="D2430" s="111">
        <f ca="1">IFERROR(__xludf.DUMMYFUNCTION("""COMPUTED_VALUE"""),32.97)</f>
        <v>32.97</v>
      </c>
      <c r="E2430" s="112">
        <f ca="1">IFERROR(__xludf.DUMMYFUNCTION("""COMPUTED_VALUE"""),43860.7055555555)</f>
        <v>43860.705555555498</v>
      </c>
      <c r="F2430" s="111">
        <f ca="1">IFERROR(__xludf.DUMMYFUNCTION("""COMPUTED_VALUE"""),12.46)</f>
        <v>12.46</v>
      </c>
      <c r="G2430" s="112">
        <f ca="1">IFERROR(__xludf.DUMMYFUNCTION("""COMPUTED_VALUE"""),43858.7055555555)</f>
        <v>43858.705555555498</v>
      </c>
      <c r="H2430" s="111">
        <f ca="1">IFERROR(__xludf.DUMMYFUNCTION("""COMPUTED_VALUE"""),28.8)</f>
        <v>28.8</v>
      </c>
      <c r="K2430" s="112">
        <f ca="1">IFERROR(__xludf.DUMMYFUNCTION("""COMPUTED_VALUE"""),44308.7055555555)</f>
        <v>44308.705555555498</v>
      </c>
      <c r="L2430" s="111">
        <f ca="1">IFERROR(__xludf.DUMMYFUNCTION("""COMPUTED_VALUE"""),21.16)</f>
        <v>21.16</v>
      </c>
      <c r="M2430" s="112">
        <f ca="1">IFERROR(__xludf.DUMMYFUNCTION("""COMPUTED_VALUE"""),43761.7055555555)</f>
        <v>43761.705555555498</v>
      </c>
      <c r="N2430" s="111">
        <f ca="1">IFERROR(__xludf.DUMMYFUNCTION("""COMPUTED_VALUE"""),29.17)</f>
        <v>29.17</v>
      </c>
      <c r="O2430" s="112">
        <f ca="1">IFERROR(__xludf.DUMMYFUNCTION("""COMPUTED_VALUE"""),43843.7055555555)</f>
        <v>43843.705555555498</v>
      </c>
      <c r="P2430" s="111">
        <f ca="1">IFERROR(__xludf.DUMMYFUNCTION("""COMPUTED_VALUE"""),55.3)</f>
        <v>55.3</v>
      </c>
      <c r="Q2430" s="112">
        <f ca="1">IFERROR(__xludf.DUMMYFUNCTION("""COMPUTED_VALUE"""),43840.7055555555)</f>
        <v>43840.705555555498</v>
      </c>
      <c r="R2430" s="111">
        <f ca="1">IFERROR(__xludf.DUMMYFUNCTION("""COMPUTED_VALUE"""),49.86)</f>
        <v>49.86</v>
      </c>
      <c r="S2430" s="112">
        <f ca="1">IFERROR(__xludf.DUMMYFUNCTION("""COMPUTED_VALUE"""),43854.7055555555)</f>
        <v>43854.705555555498</v>
      </c>
      <c r="T2430" s="111">
        <f ca="1">IFERROR(__xludf.DUMMYFUNCTION("""COMPUTED_VALUE"""),54.7)</f>
        <v>54.7</v>
      </c>
    </row>
    <row r="2431" spans="1:20" x14ac:dyDescent="0.3">
      <c r="A2431" s="112">
        <f ca="1">IFERROR(__xludf.DUMMYFUNCTION("""COMPUTED_VALUE"""),43851.7055555555)</f>
        <v>43851.705555555498</v>
      </c>
      <c r="B2431" s="111">
        <f ca="1">IFERROR(__xludf.DUMMYFUNCTION("""COMPUTED_VALUE"""),39.15)</f>
        <v>39.15</v>
      </c>
      <c r="C2431" s="112">
        <f ca="1">IFERROR(__xludf.DUMMYFUNCTION("""COMPUTED_VALUE"""),43860.7055555555)</f>
        <v>43860.705555555498</v>
      </c>
      <c r="D2431" s="111">
        <f ca="1">IFERROR(__xludf.DUMMYFUNCTION("""COMPUTED_VALUE"""),33.45)</f>
        <v>33.450000000000003</v>
      </c>
      <c r="E2431" s="112">
        <f ca="1">IFERROR(__xludf.DUMMYFUNCTION("""COMPUTED_VALUE"""),43861.7055555555)</f>
        <v>43861.705555555498</v>
      </c>
      <c r="F2431" s="111">
        <f ca="1">IFERROR(__xludf.DUMMYFUNCTION("""COMPUTED_VALUE"""),12.25)</f>
        <v>12.25</v>
      </c>
      <c r="G2431" s="112">
        <f ca="1">IFERROR(__xludf.DUMMYFUNCTION("""COMPUTED_VALUE"""),43859.7055555555)</f>
        <v>43859.705555555498</v>
      </c>
      <c r="H2431" s="111">
        <f ca="1">IFERROR(__xludf.DUMMYFUNCTION("""COMPUTED_VALUE"""),28.85)</f>
        <v>28.85</v>
      </c>
      <c r="K2431" s="112">
        <f ca="1">IFERROR(__xludf.DUMMYFUNCTION("""COMPUTED_VALUE"""),44309.7055555555)</f>
        <v>44309.705555555498</v>
      </c>
      <c r="L2431" s="111">
        <f ca="1">IFERROR(__xludf.DUMMYFUNCTION("""COMPUTED_VALUE"""),21.74)</f>
        <v>21.74</v>
      </c>
      <c r="M2431" s="112">
        <f ca="1">IFERROR(__xludf.DUMMYFUNCTION("""COMPUTED_VALUE"""),43762.7055555555)</f>
        <v>43762.705555555498</v>
      </c>
      <c r="N2431" s="111">
        <f ca="1">IFERROR(__xludf.DUMMYFUNCTION("""COMPUTED_VALUE"""),29.14)</f>
        <v>29.14</v>
      </c>
      <c r="O2431" s="112">
        <f ca="1">IFERROR(__xludf.DUMMYFUNCTION("""COMPUTED_VALUE"""),43844.7055555555)</f>
        <v>43844.705555555498</v>
      </c>
      <c r="P2431" s="111">
        <f ca="1">IFERROR(__xludf.DUMMYFUNCTION("""COMPUTED_VALUE"""),55.64)</f>
        <v>55.64</v>
      </c>
      <c r="Q2431" s="112">
        <f ca="1">IFERROR(__xludf.DUMMYFUNCTION("""COMPUTED_VALUE"""),43843.7055555555)</f>
        <v>43843.705555555498</v>
      </c>
      <c r="R2431" s="111">
        <f ca="1">IFERROR(__xludf.DUMMYFUNCTION("""COMPUTED_VALUE"""),50.42)</f>
        <v>50.42</v>
      </c>
      <c r="S2431" s="112">
        <f ca="1">IFERROR(__xludf.DUMMYFUNCTION("""COMPUTED_VALUE"""),43857.7055555555)</f>
        <v>43857.705555555498</v>
      </c>
      <c r="T2431" s="111">
        <f ca="1">IFERROR(__xludf.DUMMYFUNCTION("""COMPUTED_VALUE"""),53.53)</f>
        <v>53.53</v>
      </c>
    </row>
    <row r="2432" spans="1:20" x14ac:dyDescent="0.3">
      <c r="A2432" s="112">
        <f ca="1">IFERROR(__xludf.DUMMYFUNCTION("""COMPUTED_VALUE"""),43852.7055555555)</f>
        <v>43852.705555555498</v>
      </c>
      <c r="B2432" s="111">
        <f ca="1">IFERROR(__xludf.DUMMYFUNCTION("""COMPUTED_VALUE"""),41.33)</f>
        <v>41.33</v>
      </c>
      <c r="C2432" s="112">
        <f ca="1">IFERROR(__xludf.DUMMYFUNCTION("""COMPUTED_VALUE"""),43861.7055555555)</f>
        <v>43861.705555555498</v>
      </c>
      <c r="D2432" s="111">
        <f ca="1">IFERROR(__xludf.DUMMYFUNCTION("""COMPUTED_VALUE"""),32.82)</f>
        <v>32.82</v>
      </c>
      <c r="E2432" s="112">
        <f ca="1">IFERROR(__xludf.DUMMYFUNCTION("""COMPUTED_VALUE"""),43864.7055555555)</f>
        <v>43864.705555555498</v>
      </c>
      <c r="F2432" s="111">
        <f ca="1">IFERROR(__xludf.DUMMYFUNCTION("""COMPUTED_VALUE"""),12.24)</f>
        <v>12.24</v>
      </c>
      <c r="G2432" s="112">
        <f ca="1">IFERROR(__xludf.DUMMYFUNCTION("""COMPUTED_VALUE"""),43860.7055555555)</f>
        <v>43860.705555555498</v>
      </c>
      <c r="H2432" s="111">
        <f ca="1">IFERROR(__xludf.DUMMYFUNCTION("""COMPUTED_VALUE"""),28.94)</f>
        <v>28.94</v>
      </c>
      <c r="K2432" s="112">
        <f ca="1">IFERROR(__xludf.DUMMYFUNCTION("""COMPUTED_VALUE"""),44312.7055555555)</f>
        <v>44312.705555555498</v>
      </c>
      <c r="L2432" s="111">
        <f ca="1">IFERROR(__xludf.DUMMYFUNCTION("""COMPUTED_VALUE"""),21.72)</f>
        <v>21.72</v>
      </c>
      <c r="M2432" s="112">
        <f ca="1">IFERROR(__xludf.DUMMYFUNCTION("""COMPUTED_VALUE"""),43763.7055555555)</f>
        <v>43763.705555555498</v>
      </c>
      <c r="N2432" s="111">
        <f ca="1">IFERROR(__xludf.DUMMYFUNCTION("""COMPUTED_VALUE"""),29.52)</f>
        <v>29.52</v>
      </c>
      <c r="O2432" s="112">
        <f ca="1">IFERROR(__xludf.DUMMYFUNCTION("""COMPUTED_VALUE"""),43845.7055555555)</f>
        <v>43845.705555555498</v>
      </c>
      <c r="P2432" s="111">
        <f ca="1">IFERROR(__xludf.DUMMYFUNCTION("""COMPUTED_VALUE"""),55.46)</f>
        <v>55.46</v>
      </c>
      <c r="Q2432" s="112">
        <f ca="1">IFERROR(__xludf.DUMMYFUNCTION("""COMPUTED_VALUE"""),43844.7055555555)</f>
        <v>43844.705555555498</v>
      </c>
      <c r="R2432" s="111">
        <f ca="1">IFERROR(__xludf.DUMMYFUNCTION("""COMPUTED_VALUE"""),50.15)</f>
        <v>50.15</v>
      </c>
      <c r="S2432" s="112">
        <f ca="1">IFERROR(__xludf.DUMMYFUNCTION("""COMPUTED_VALUE"""),43858.7055555555)</f>
        <v>43858.705555555498</v>
      </c>
      <c r="T2432" s="111">
        <f ca="1">IFERROR(__xludf.DUMMYFUNCTION("""COMPUTED_VALUE"""),54.25)</f>
        <v>54.25</v>
      </c>
    </row>
    <row r="2433" spans="1:20" x14ac:dyDescent="0.3">
      <c r="A2433" s="112">
        <f ca="1">IFERROR(__xludf.DUMMYFUNCTION("""COMPUTED_VALUE"""),43853.7055555555)</f>
        <v>43853.705555555498</v>
      </c>
      <c r="B2433" s="111">
        <f ca="1">IFERROR(__xludf.DUMMYFUNCTION("""COMPUTED_VALUE"""),41.07)</f>
        <v>41.07</v>
      </c>
      <c r="C2433" s="112">
        <f ca="1">IFERROR(__xludf.DUMMYFUNCTION("""COMPUTED_VALUE"""),43864.7055555555)</f>
        <v>43864.705555555498</v>
      </c>
      <c r="D2433" s="111">
        <f ca="1">IFERROR(__xludf.DUMMYFUNCTION("""COMPUTED_VALUE"""),32.9)</f>
        <v>32.9</v>
      </c>
      <c r="E2433" s="112">
        <f ca="1">IFERROR(__xludf.DUMMYFUNCTION("""COMPUTED_VALUE"""),43865.7055555555)</f>
        <v>43865.705555555498</v>
      </c>
      <c r="F2433" s="111">
        <f ca="1">IFERROR(__xludf.DUMMYFUNCTION("""COMPUTED_VALUE"""),12.27)</f>
        <v>12.27</v>
      </c>
      <c r="G2433" s="112">
        <f ca="1">IFERROR(__xludf.DUMMYFUNCTION("""COMPUTED_VALUE"""),43861.7055555555)</f>
        <v>43861.705555555498</v>
      </c>
      <c r="H2433" s="111">
        <f ca="1">IFERROR(__xludf.DUMMYFUNCTION("""COMPUTED_VALUE"""),28.45)</f>
        <v>28.45</v>
      </c>
      <c r="K2433" s="112">
        <f ca="1">IFERROR(__xludf.DUMMYFUNCTION("""COMPUTED_VALUE"""),44313.7055555555)</f>
        <v>44313.705555555498</v>
      </c>
      <c r="L2433" s="111">
        <f ca="1">IFERROR(__xludf.DUMMYFUNCTION("""COMPUTED_VALUE"""),20.96)</f>
        <v>20.96</v>
      </c>
      <c r="M2433" s="112">
        <f ca="1">IFERROR(__xludf.DUMMYFUNCTION("""COMPUTED_VALUE"""),43766.7055555555)</f>
        <v>43766.705555555498</v>
      </c>
      <c r="N2433" s="111">
        <f ca="1">IFERROR(__xludf.DUMMYFUNCTION("""COMPUTED_VALUE"""),30.59)</f>
        <v>30.59</v>
      </c>
      <c r="O2433" s="112">
        <f ca="1">IFERROR(__xludf.DUMMYFUNCTION("""COMPUTED_VALUE"""),43846.7055555555)</f>
        <v>43846.705555555498</v>
      </c>
      <c r="P2433" s="111">
        <f ca="1">IFERROR(__xludf.DUMMYFUNCTION("""COMPUTED_VALUE"""),55.17)</f>
        <v>55.17</v>
      </c>
      <c r="Q2433" s="112">
        <f ca="1">IFERROR(__xludf.DUMMYFUNCTION("""COMPUTED_VALUE"""),43845.7055555555)</f>
        <v>43845.705555555498</v>
      </c>
      <c r="R2433" s="111">
        <f ca="1">IFERROR(__xludf.DUMMYFUNCTION("""COMPUTED_VALUE"""),49.23)</f>
        <v>49.23</v>
      </c>
      <c r="S2433" s="112">
        <f ca="1">IFERROR(__xludf.DUMMYFUNCTION("""COMPUTED_VALUE"""),43859.7055555555)</f>
        <v>43859.705555555498</v>
      </c>
      <c r="T2433" s="111">
        <f ca="1">IFERROR(__xludf.DUMMYFUNCTION("""COMPUTED_VALUE"""),54.55)</f>
        <v>54.55</v>
      </c>
    </row>
    <row r="2434" spans="1:20" x14ac:dyDescent="0.3">
      <c r="A2434" s="112">
        <f ca="1">IFERROR(__xludf.DUMMYFUNCTION("""COMPUTED_VALUE"""),43854.7055555555)</f>
        <v>43854.705555555498</v>
      </c>
      <c r="B2434" s="111">
        <f ca="1">IFERROR(__xludf.DUMMYFUNCTION("""COMPUTED_VALUE"""),40.31)</f>
        <v>40.31</v>
      </c>
      <c r="C2434" s="112">
        <f ca="1">IFERROR(__xludf.DUMMYFUNCTION("""COMPUTED_VALUE"""),43865.7055555555)</f>
        <v>43865.705555555498</v>
      </c>
      <c r="D2434" s="111">
        <f ca="1">IFERROR(__xludf.DUMMYFUNCTION("""COMPUTED_VALUE"""),33.16)</f>
        <v>33.159999999999997</v>
      </c>
      <c r="E2434" s="112">
        <f ca="1">IFERROR(__xludf.DUMMYFUNCTION("""COMPUTED_VALUE"""),43866.7055555555)</f>
        <v>43866.705555555498</v>
      </c>
      <c r="F2434" s="111">
        <f ca="1">IFERROR(__xludf.DUMMYFUNCTION("""COMPUTED_VALUE"""),12.33)</f>
        <v>12.33</v>
      </c>
      <c r="G2434" s="112">
        <f ca="1">IFERROR(__xludf.DUMMYFUNCTION("""COMPUTED_VALUE"""),43864.7055555555)</f>
        <v>43864.705555555498</v>
      </c>
      <c r="H2434" s="111">
        <f ca="1">IFERROR(__xludf.DUMMYFUNCTION("""COMPUTED_VALUE"""),28.18)</f>
        <v>28.18</v>
      </c>
      <c r="K2434" s="112">
        <f ca="1">IFERROR(__xludf.DUMMYFUNCTION("""COMPUTED_VALUE"""),44314.7055555555)</f>
        <v>44314.705555555498</v>
      </c>
      <c r="L2434" s="111">
        <f ca="1">IFERROR(__xludf.DUMMYFUNCTION("""COMPUTED_VALUE"""),20.66)</f>
        <v>20.66</v>
      </c>
      <c r="M2434" s="112">
        <f ca="1">IFERROR(__xludf.DUMMYFUNCTION("""COMPUTED_VALUE"""),43767.7055555555)</f>
        <v>43767.705555555498</v>
      </c>
      <c r="N2434" s="111">
        <f ca="1">IFERROR(__xludf.DUMMYFUNCTION("""COMPUTED_VALUE"""),30.17)</f>
        <v>30.17</v>
      </c>
      <c r="O2434" s="112">
        <f ca="1">IFERROR(__xludf.DUMMYFUNCTION("""COMPUTED_VALUE"""),43847.7055555555)</f>
        <v>43847.705555555498</v>
      </c>
      <c r="P2434" s="111">
        <f ca="1">IFERROR(__xludf.DUMMYFUNCTION("""COMPUTED_VALUE"""),57)</f>
        <v>57</v>
      </c>
      <c r="Q2434" s="112">
        <f ca="1">IFERROR(__xludf.DUMMYFUNCTION("""COMPUTED_VALUE"""),43846.7055555555)</f>
        <v>43846.705555555498</v>
      </c>
      <c r="R2434" s="111">
        <f ca="1">IFERROR(__xludf.DUMMYFUNCTION("""COMPUTED_VALUE"""),49.45)</f>
        <v>49.45</v>
      </c>
      <c r="S2434" s="112">
        <f ca="1">IFERROR(__xludf.DUMMYFUNCTION("""COMPUTED_VALUE"""),43860.7055555555)</f>
        <v>43860.705555555498</v>
      </c>
      <c r="T2434" s="111">
        <f ca="1">IFERROR(__xludf.DUMMYFUNCTION("""COMPUTED_VALUE"""),53.82)</f>
        <v>53.82</v>
      </c>
    </row>
    <row r="2435" spans="1:20" x14ac:dyDescent="0.3">
      <c r="A2435" s="112">
        <f ca="1">IFERROR(__xludf.DUMMYFUNCTION("""COMPUTED_VALUE"""),43857.7055555555)</f>
        <v>43857.705555555498</v>
      </c>
      <c r="B2435" s="111">
        <f ca="1">IFERROR(__xludf.DUMMYFUNCTION("""COMPUTED_VALUE"""),38.14)</f>
        <v>38.14</v>
      </c>
      <c r="C2435" s="112">
        <f ca="1">IFERROR(__xludf.DUMMYFUNCTION("""COMPUTED_VALUE"""),43866.7055555555)</f>
        <v>43866.705555555498</v>
      </c>
      <c r="D2435" s="111">
        <f ca="1">IFERROR(__xludf.DUMMYFUNCTION("""COMPUTED_VALUE"""),33.36)</f>
        <v>33.36</v>
      </c>
      <c r="E2435" s="112">
        <f ca="1">IFERROR(__xludf.DUMMYFUNCTION("""COMPUTED_VALUE"""),43867.7055555555)</f>
        <v>43867.705555555498</v>
      </c>
      <c r="F2435" s="111">
        <f ca="1">IFERROR(__xludf.DUMMYFUNCTION("""COMPUTED_VALUE"""),12.21)</f>
        <v>12.21</v>
      </c>
      <c r="G2435" s="112">
        <f ca="1">IFERROR(__xludf.DUMMYFUNCTION("""COMPUTED_VALUE"""),43865.7055555555)</f>
        <v>43865.705555555498</v>
      </c>
      <c r="H2435" s="111">
        <f ca="1">IFERROR(__xludf.DUMMYFUNCTION("""COMPUTED_VALUE"""),28.63)</f>
        <v>28.63</v>
      </c>
      <c r="K2435" s="112">
        <f ca="1">IFERROR(__xludf.DUMMYFUNCTION("""COMPUTED_VALUE"""),44315.7055555555)</f>
        <v>44315.705555555498</v>
      </c>
      <c r="L2435" s="111">
        <f ca="1">IFERROR(__xludf.DUMMYFUNCTION("""COMPUTED_VALUE"""),20.27)</f>
        <v>20.27</v>
      </c>
      <c r="M2435" s="112">
        <f ca="1">IFERROR(__xludf.DUMMYFUNCTION("""COMPUTED_VALUE"""),43768.7055555555)</f>
        <v>43768.705555555498</v>
      </c>
      <c r="N2435" s="111">
        <f ca="1">IFERROR(__xludf.DUMMYFUNCTION("""COMPUTED_VALUE"""),30.31)</f>
        <v>30.31</v>
      </c>
      <c r="O2435" s="112">
        <f ca="1">IFERROR(__xludf.DUMMYFUNCTION("""COMPUTED_VALUE"""),43850.7055555555)</f>
        <v>43850.705555555498</v>
      </c>
      <c r="P2435" s="111">
        <f ca="1">IFERROR(__xludf.DUMMYFUNCTION("""COMPUTED_VALUE"""),57.36)</f>
        <v>57.36</v>
      </c>
      <c r="Q2435" s="112">
        <f ca="1">IFERROR(__xludf.DUMMYFUNCTION("""COMPUTED_VALUE"""),43847.7055555555)</f>
        <v>43847.705555555498</v>
      </c>
      <c r="R2435" s="111">
        <f ca="1">IFERROR(__xludf.DUMMYFUNCTION("""COMPUTED_VALUE"""),50.12)</f>
        <v>50.12</v>
      </c>
      <c r="S2435" s="112">
        <f ca="1">IFERROR(__xludf.DUMMYFUNCTION("""COMPUTED_VALUE"""),43861.7055555555)</f>
        <v>43861.705555555498</v>
      </c>
      <c r="T2435" s="111">
        <f ca="1">IFERROR(__xludf.DUMMYFUNCTION("""COMPUTED_VALUE"""),52.23)</f>
        <v>52.23</v>
      </c>
    </row>
    <row r="2436" spans="1:20" x14ac:dyDescent="0.3">
      <c r="A2436" s="112">
        <f ca="1">IFERROR(__xludf.DUMMYFUNCTION("""COMPUTED_VALUE"""),43858.7055555555)</f>
        <v>43858.705555555498</v>
      </c>
      <c r="B2436" s="111">
        <f ca="1">IFERROR(__xludf.DUMMYFUNCTION("""COMPUTED_VALUE"""),39.87)</f>
        <v>39.869999999999997</v>
      </c>
      <c r="C2436" s="112">
        <f ca="1">IFERROR(__xludf.DUMMYFUNCTION("""COMPUTED_VALUE"""),43867.7055555555)</f>
        <v>43867.705555555498</v>
      </c>
      <c r="D2436" s="111">
        <f ca="1">IFERROR(__xludf.DUMMYFUNCTION("""COMPUTED_VALUE"""),33.28)</f>
        <v>33.28</v>
      </c>
      <c r="E2436" s="112">
        <f ca="1">IFERROR(__xludf.DUMMYFUNCTION("""COMPUTED_VALUE"""),43868.7055555555)</f>
        <v>43868.705555555498</v>
      </c>
      <c r="F2436" s="111">
        <f ca="1">IFERROR(__xludf.DUMMYFUNCTION("""COMPUTED_VALUE"""),12.18)</f>
        <v>12.18</v>
      </c>
      <c r="G2436" s="112">
        <f ca="1">IFERROR(__xludf.DUMMYFUNCTION("""COMPUTED_VALUE"""),43866.7055555555)</f>
        <v>43866.705555555498</v>
      </c>
      <c r="H2436" s="111">
        <f ca="1">IFERROR(__xludf.DUMMYFUNCTION("""COMPUTED_VALUE"""),28.39)</f>
        <v>28.39</v>
      </c>
      <c r="K2436" s="112">
        <f ca="1">IFERROR(__xludf.DUMMYFUNCTION("""COMPUTED_VALUE"""),44316.7055555555)</f>
        <v>44316.705555555498</v>
      </c>
      <c r="L2436" s="111">
        <f ca="1">IFERROR(__xludf.DUMMYFUNCTION("""COMPUTED_VALUE"""),20.04)</f>
        <v>20.04</v>
      </c>
      <c r="M2436" s="112">
        <f ca="1">IFERROR(__xludf.DUMMYFUNCTION("""COMPUTED_VALUE"""),43769.7055555555)</f>
        <v>43769.705555555498</v>
      </c>
      <c r="N2436" s="111">
        <f ca="1">IFERROR(__xludf.DUMMYFUNCTION("""COMPUTED_VALUE"""),29.07)</f>
        <v>29.07</v>
      </c>
      <c r="O2436" s="112">
        <f ca="1">IFERROR(__xludf.DUMMYFUNCTION("""COMPUTED_VALUE"""),43851.7055555555)</f>
        <v>43851.705555555498</v>
      </c>
      <c r="P2436" s="111">
        <f ca="1">IFERROR(__xludf.DUMMYFUNCTION("""COMPUTED_VALUE"""),56.03)</f>
        <v>56.03</v>
      </c>
      <c r="Q2436" s="112">
        <f ca="1">IFERROR(__xludf.DUMMYFUNCTION("""COMPUTED_VALUE"""),43850.7055555555)</f>
        <v>43850.705555555498</v>
      </c>
      <c r="R2436" s="111">
        <f ca="1">IFERROR(__xludf.DUMMYFUNCTION("""COMPUTED_VALUE"""),49.8)</f>
        <v>49.8</v>
      </c>
      <c r="S2436" s="112">
        <f ca="1">IFERROR(__xludf.DUMMYFUNCTION("""COMPUTED_VALUE"""),43864.7055555555)</f>
        <v>43864.705555555498</v>
      </c>
      <c r="T2436" s="111">
        <f ca="1">IFERROR(__xludf.DUMMYFUNCTION("""COMPUTED_VALUE"""),52.53)</f>
        <v>52.53</v>
      </c>
    </row>
    <row r="2437" spans="1:20" x14ac:dyDescent="0.3">
      <c r="A2437" s="112">
        <f ca="1">IFERROR(__xludf.DUMMYFUNCTION("""COMPUTED_VALUE"""),43859.7055555555)</f>
        <v>43859.705555555498</v>
      </c>
      <c r="B2437" s="111">
        <f ca="1">IFERROR(__xludf.DUMMYFUNCTION("""COMPUTED_VALUE"""),40.09)</f>
        <v>40.090000000000003</v>
      </c>
      <c r="C2437" s="112">
        <f ca="1">IFERROR(__xludf.DUMMYFUNCTION("""COMPUTED_VALUE"""),43868.7055555555)</f>
        <v>43868.705555555498</v>
      </c>
      <c r="D2437" s="111">
        <f ca="1">IFERROR(__xludf.DUMMYFUNCTION("""COMPUTED_VALUE"""),33.71)</f>
        <v>33.71</v>
      </c>
      <c r="E2437" s="112">
        <f ca="1">IFERROR(__xludf.DUMMYFUNCTION("""COMPUTED_VALUE"""),43871.7055555555)</f>
        <v>43871.705555555498</v>
      </c>
      <c r="F2437" s="111">
        <f ca="1">IFERROR(__xludf.DUMMYFUNCTION("""COMPUTED_VALUE"""),12.43)</f>
        <v>12.43</v>
      </c>
      <c r="G2437" s="112">
        <f ca="1">IFERROR(__xludf.DUMMYFUNCTION("""COMPUTED_VALUE"""),43867.7055555555)</f>
        <v>43867.705555555498</v>
      </c>
      <c r="H2437" s="111">
        <f ca="1">IFERROR(__xludf.DUMMYFUNCTION("""COMPUTED_VALUE"""),29.18)</f>
        <v>29.18</v>
      </c>
      <c r="K2437" s="112">
        <f ca="1">IFERROR(__xludf.DUMMYFUNCTION("""COMPUTED_VALUE"""),44319.7055555555)</f>
        <v>44319.705555555498</v>
      </c>
      <c r="L2437" s="111">
        <f ca="1">IFERROR(__xludf.DUMMYFUNCTION("""COMPUTED_VALUE"""),20.19)</f>
        <v>20.190000000000001</v>
      </c>
      <c r="M2437" s="112">
        <f ca="1">IFERROR(__xludf.DUMMYFUNCTION("""COMPUTED_VALUE"""),43770.7055555555)</f>
        <v>43770.705555555498</v>
      </c>
      <c r="N2437" s="111">
        <f ca="1">IFERROR(__xludf.DUMMYFUNCTION("""COMPUTED_VALUE"""),28.82)</f>
        <v>28.82</v>
      </c>
      <c r="O2437" s="112">
        <f ca="1">IFERROR(__xludf.DUMMYFUNCTION("""COMPUTED_VALUE"""),43852.7055555555)</f>
        <v>43852.705555555498</v>
      </c>
      <c r="P2437" s="111">
        <f ca="1">IFERROR(__xludf.DUMMYFUNCTION("""COMPUTED_VALUE"""),56.3)</f>
        <v>56.3</v>
      </c>
      <c r="Q2437" s="112">
        <f ca="1">IFERROR(__xludf.DUMMYFUNCTION("""COMPUTED_VALUE"""),43851.7055555555)</f>
        <v>43851.705555555498</v>
      </c>
      <c r="R2437" s="111">
        <f ca="1">IFERROR(__xludf.DUMMYFUNCTION("""COMPUTED_VALUE"""),48.36)</f>
        <v>48.36</v>
      </c>
      <c r="S2437" s="112">
        <f ca="1">IFERROR(__xludf.DUMMYFUNCTION("""COMPUTED_VALUE"""),43865.7055555555)</f>
        <v>43865.705555555498</v>
      </c>
      <c r="T2437" s="111">
        <f ca="1">IFERROR(__xludf.DUMMYFUNCTION("""COMPUTED_VALUE"""),51.73)</f>
        <v>51.73</v>
      </c>
    </row>
    <row r="2438" spans="1:20" x14ac:dyDescent="0.3">
      <c r="A2438" s="112">
        <f ca="1">IFERROR(__xludf.DUMMYFUNCTION("""COMPUTED_VALUE"""),43860.7055555555)</f>
        <v>43860.705555555498</v>
      </c>
      <c r="B2438" s="111">
        <f ca="1">IFERROR(__xludf.DUMMYFUNCTION("""COMPUTED_VALUE"""),39.25)</f>
        <v>39.25</v>
      </c>
      <c r="C2438" s="112">
        <f ca="1">IFERROR(__xludf.DUMMYFUNCTION("""COMPUTED_VALUE"""),43871.7055555555)</f>
        <v>43871.705555555498</v>
      </c>
      <c r="D2438" s="111">
        <f ca="1">IFERROR(__xludf.DUMMYFUNCTION("""COMPUTED_VALUE"""),34.28)</f>
        <v>34.28</v>
      </c>
      <c r="E2438" s="112">
        <f ca="1">IFERROR(__xludf.DUMMYFUNCTION("""COMPUTED_VALUE"""),43872.7055555555)</f>
        <v>43872.705555555498</v>
      </c>
      <c r="F2438" s="111">
        <f ca="1">IFERROR(__xludf.DUMMYFUNCTION("""COMPUTED_VALUE"""),12.65)</f>
        <v>12.65</v>
      </c>
      <c r="G2438" s="112">
        <f ca="1">IFERROR(__xludf.DUMMYFUNCTION("""COMPUTED_VALUE"""),43868.7055555555)</f>
        <v>43868.705555555498</v>
      </c>
      <c r="H2438" s="111">
        <f ca="1">IFERROR(__xludf.DUMMYFUNCTION("""COMPUTED_VALUE"""),28.93)</f>
        <v>28.93</v>
      </c>
      <c r="K2438" s="112">
        <f ca="1">IFERROR(__xludf.DUMMYFUNCTION("""COMPUTED_VALUE"""),44320.7055555555)</f>
        <v>44320.705555555498</v>
      </c>
      <c r="L2438" s="111">
        <f ca="1">IFERROR(__xludf.DUMMYFUNCTION("""COMPUTED_VALUE"""),19.76)</f>
        <v>19.760000000000002</v>
      </c>
      <c r="M2438" s="112">
        <f ca="1">IFERROR(__xludf.DUMMYFUNCTION("""COMPUTED_VALUE"""),43773.7055555555)</f>
        <v>43773.705555555498</v>
      </c>
      <c r="N2438" s="111">
        <f ca="1">IFERROR(__xludf.DUMMYFUNCTION("""COMPUTED_VALUE"""),28.83)</f>
        <v>28.83</v>
      </c>
      <c r="O2438" s="112">
        <f ca="1">IFERROR(__xludf.DUMMYFUNCTION("""COMPUTED_VALUE"""),43853.7055555555)</f>
        <v>43853.705555555498</v>
      </c>
      <c r="P2438" s="111">
        <f ca="1">IFERROR(__xludf.DUMMYFUNCTION("""COMPUTED_VALUE"""),55.5)</f>
        <v>55.5</v>
      </c>
      <c r="Q2438" s="112">
        <f ca="1">IFERROR(__xludf.DUMMYFUNCTION("""COMPUTED_VALUE"""),43852.7055555555)</f>
        <v>43852.705555555498</v>
      </c>
      <c r="R2438" s="111">
        <f ca="1">IFERROR(__xludf.DUMMYFUNCTION("""COMPUTED_VALUE"""),48.74)</f>
        <v>48.74</v>
      </c>
      <c r="S2438" s="112">
        <f ca="1">IFERROR(__xludf.DUMMYFUNCTION("""COMPUTED_VALUE"""),43866.7055555555)</f>
        <v>43866.705555555498</v>
      </c>
      <c r="T2438" s="111">
        <f ca="1">IFERROR(__xludf.DUMMYFUNCTION("""COMPUTED_VALUE"""),52)</f>
        <v>52</v>
      </c>
    </row>
    <row r="2439" spans="1:20" x14ac:dyDescent="0.3">
      <c r="A2439" s="112">
        <f ca="1">IFERROR(__xludf.DUMMYFUNCTION("""COMPUTED_VALUE"""),43861.7055555555)</f>
        <v>43861.705555555498</v>
      </c>
      <c r="B2439" s="111">
        <f ca="1">IFERROR(__xludf.DUMMYFUNCTION("""COMPUTED_VALUE"""),38.8)</f>
        <v>38.799999999999997</v>
      </c>
      <c r="C2439" s="112">
        <f ca="1">IFERROR(__xludf.DUMMYFUNCTION("""COMPUTED_VALUE"""),43872.7055555555)</f>
        <v>43872.705555555498</v>
      </c>
      <c r="D2439" s="111">
        <f ca="1">IFERROR(__xludf.DUMMYFUNCTION("""COMPUTED_VALUE"""),35.07)</f>
        <v>35.07</v>
      </c>
      <c r="E2439" s="112">
        <f ca="1">IFERROR(__xludf.DUMMYFUNCTION("""COMPUTED_VALUE"""),43873.7055555555)</f>
        <v>43873.705555555498</v>
      </c>
      <c r="F2439" s="111">
        <f ca="1">IFERROR(__xludf.DUMMYFUNCTION("""COMPUTED_VALUE"""),12.73)</f>
        <v>12.73</v>
      </c>
      <c r="G2439" s="112">
        <f ca="1">IFERROR(__xludf.DUMMYFUNCTION("""COMPUTED_VALUE"""),43871.7055555555)</f>
        <v>43871.705555555498</v>
      </c>
      <c r="H2439" s="111">
        <f ca="1">IFERROR(__xludf.DUMMYFUNCTION("""COMPUTED_VALUE"""),29.13)</f>
        <v>29.13</v>
      </c>
      <c r="K2439" s="112">
        <f ca="1">IFERROR(__xludf.DUMMYFUNCTION("""COMPUTED_VALUE"""),44321.7055555555)</f>
        <v>44321.705555555498</v>
      </c>
      <c r="L2439" s="111">
        <f ca="1">IFERROR(__xludf.DUMMYFUNCTION("""COMPUTED_VALUE"""),19.91)</f>
        <v>19.91</v>
      </c>
      <c r="M2439" s="112">
        <f ca="1">IFERROR(__xludf.DUMMYFUNCTION("""COMPUTED_VALUE"""),43774.7055555555)</f>
        <v>43774.705555555498</v>
      </c>
      <c r="N2439" s="111">
        <f ca="1">IFERROR(__xludf.DUMMYFUNCTION("""COMPUTED_VALUE"""),29.22)</f>
        <v>29.22</v>
      </c>
      <c r="O2439" s="112">
        <f ca="1">IFERROR(__xludf.DUMMYFUNCTION("""COMPUTED_VALUE"""),43854.7055555555)</f>
        <v>43854.705555555498</v>
      </c>
      <c r="P2439" s="111">
        <f ca="1">IFERROR(__xludf.DUMMYFUNCTION("""COMPUTED_VALUE"""),53.8)</f>
        <v>53.8</v>
      </c>
      <c r="Q2439" s="112">
        <f ca="1">IFERROR(__xludf.DUMMYFUNCTION("""COMPUTED_VALUE"""),43853.7055555555)</f>
        <v>43853.705555555498</v>
      </c>
      <c r="R2439" s="111">
        <f ca="1">IFERROR(__xludf.DUMMYFUNCTION("""COMPUTED_VALUE"""),51.48)</f>
        <v>51.48</v>
      </c>
      <c r="S2439" s="112">
        <f ca="1">IFERROR(__xludf.DUMMYFUNCTION("""COMPUTED_VALUE"""),43867.7055555555)</f>
        <v>43867.705555555498</v>
      </c>
      <c r="T2439" s="111">
        <f ca="1">IFERROR(__xludf.DUMMYFUNCTION("""COMPUTED_VALUE"""),50.2)</f>
        <v>50.2</v>
      </c>
    </row>
    <row r="2440" spans="1:20" x14ac:dyDescent="0.3">
      <c r="A2440" s="112">
        <f ca="1">IFERROR(__xludf.DUMMYFUNCTION("""COMPUTED_VALUE"""),43864.7055555555)</f>
        <v>43864.705555555498</v>
      </c>
      <c r="B2440" s="111">
        <f ca="1">IFERROR(__xludf.DUMMYFUNCTION("""COMPUTED_VALUE"""),38.45)</f>
        <v>38.450000000000003</v>
      </c>
      <c r="C2440" s="112">
        <f ca="1">IFERROR(__xludf.DUMMYFUNCTION("""COMPUTED_VALUE"""),43873.7055555555)</f>
        <v>43873.705555555498</v>
      </c>
      <c r="D2440" s="111">
        <f ca="1">IFERROR(__xludf.DUMMYFUNCTION("""COMPUTED_VALUE"""),34.93)</f>
        <v>34.93</v>
      </c>
      <c r="E2440" s="112">
        <f ca="1">IFERROR(__xludf.DUMMYFUNCTION("""COMPUTED_VALUE"""),43874.7055555555)</f>
        <v>43874.705555555498</v>
      </c>
      <c r="F2440" s="111">
        <f ca="1">IFERROR(__xludf.DUMMYFUNCTION("""COMPUTED_VALUE"""),12.54)</f>
        <v>12.54</v>
      </c>
      <c r="G2440" s="112">
        <f ca="1">IFERROR(__xludf.DUMMYFUNCTION("""COMPUTED_VALUE"""),43872.7055555555)</f>
        <v>43872.705555555498</v>
      </c>
      <c r="H2440" s="111">
        <f ca="1">IFERROR(__xludf.DUMMYFUNCTION("""COMPUTED_VALUE"""),29.48)</f>
        <v>29.48</v>
      </c>
      <c r="K2440" s="112">
        <f ca="1">IFERROR(__xludf.DUMMYFUNCTION("""COMPUTED_VALUE"""),44322.7055555555)</f>
        <v>44322.705555555498</v>
      </c>
      <c r="L2440" s="111">
        <f ca="1">IFERROR(__xludf.DUMMYFUNCTION("""COMPUTED_VALUE"""),19.47)</f>
        <v>19.47</v>
      </c>
      <c r="M2440" s="112">
        <f ca="1">IFERROR(__xludf.DUMMYFUNCTION("""COMPUTED_VALUE"""),43775.7055555555)</f>
        <v>43775.705555555498</v>
      </c>
      <c r="N2440" s="111">
        <f ca="1">IFERROR(__xludf.DUMMYFUNCTION("""COMPUTED_VALUE"""),29.07)</f>
        <v>29.07</v>
      </c>
      <c r="O2440" s="112">
        <f ca="1">IFERROR(__xludf.DUMMYFUNCTION("""COMPUTED_VALUE"""),43857.7055555555)</f>
        <v>43857.705555555498</v>
      </c>
      <c r="P2440" s="111">
        <f ca="1">IFERROR(__xludf.DUMMYFUNCTION("""COMPUTED_VALUE"""),50.51)</f>
        <v>50.51</v>
      </c>
      <c r="Q2440" s="112">
        <f ca="1">IFERROR(__xludf.DUMMYFUNCTION("""COMPUTED_VALUE"""),43854.7055555555)</f>
        <v>43854.705555555498</v>
      </c>
      <c r="R2440" s="111">
        <f ca="1">IFERROR(__xludf.DUMMYFUNCTION("""COMPUTED_VALUE"""),50.8)</f>
        <v>50.8</v>
      </c>
      <c r="S2440" s="112">
        <f ca="1">IFERROR(__xludf.DUMMYFUNCTION("""COMPUTED_VALUE"""),43868.7055555555)</f>
        <v>43868.705555555498</v>
      </c>
      <c r="T2440" s="111">
        <f ca="1">IFERROR(__xludf.DUMMYFUNCTION("""COMPUTED_VALUE"""),50.52)</f>
        <v>50.52</v>
      </c>
    </row>
    <row r="2441" spans="1:20" x14ac:dyDescent="0.3">
      <c r="A2441" s="112">
        <f ca="1">IFERROR(__xludf.DUMMYFUNCTION("""COMPUTED_VALUE"""),43865.7055555555)</f>
        <v>43865.705555555498</v>
      </c>
      <c r="B2441" s="111">
        <f ca="1">IFERROR(__xludf.DUMMYFUNCTION("""COMPUTED_VALUE"""),38.21)</f>
        <v>38.21</v>
      </c>
      <c r="C2441" s="112">
        <f ca="1">IFERROR(__xludf.DUMMYFUNCTION("""COMPUTED_VALUE"""),43874.7055555555)</f>
        <v>43874.705555555498</v>
      </c>
      <c r="D2441" s="111">
        <f ca="1">IFERROR(__xludf.DUMMYFUNCTION("""COMPUTED_VALUE"""),34.39)</f>
        <v>34.39</v>
      </c>
      <c r="E2441" s="112">
        <f ca="1">IFERROR(__xludf.DUMMYFUNCTION("""COMPUTED_VALUE"""),43875.7055555555)</f>
        <v>43875.705555555498</v>
      </c>
      <c r="F2441" s="111">
        <f ca="1">IFERROR(__xludf.DUMMYFUNCTION("""COMPUTED_VALUE"""),12.38)</f>
        <v>12.38</v>
      </c>
      <c r="G2441" s="112">
        <f ca="1">IFERROR(__xludf.DUMMYFUNCTION("""COMPUTED_VALUE"""),43873.7055555555)</f>
        <v>43873.705555555498</v>
      </c>
      <c r="H2441" s="111">
        <f ca="1">IFERROR(__xludf.DUMMYFUNCTION("""COMPUTED_VALUE"""),30.13)</f>
        <v>30.13</v>
      </c>
      <c r="K2441" s="112">
        <f ca="1">IFERROR(__xludf.DUMMYFUNCTION("""COMPUTED_VALUE"""),44323.7055555555)</f>
        <v>44323.705555555498</v>
      </c>
      <c r="L2441" s="111">
        <f ca="1">IFERROR(__xludf.DUMMYFUNCTION("""COMPUTED_VALUE"""),19.9)</f>
        <v>19.899999999999999</v>
      </c>
      <c r="M2441" s="112">
        <f ca="1">IFERROR(__xludf.DUMMYFUNCTION("""COMPUTED_VALUE"""),43776.7055555555)</f>
        <v>43776.705555555498</v>
      </c>
      <c r="N2441" s="111">
        <f ca="1">IFERROR(__xludf.DUMMYFUNCTION("""COMPUTED_VALUE"""),29.14)</f>
        <v>29.14</v>
      </c>
      <c r="O2441" s="112">
        <f ca="1">IFERROR(__xludf.DUMMYFUNCTION("""COMPUTED_VALUE"""),43858.7055555555)</f>
        <v>43858.705555555498</v>
      </c>
      <c r="P2441" s="111">
        <f ca="1">IFERROR(__xludf.DUMMYFUNCTION("""COMPUTED_VALUE"""),51.2)</f>
        <v>51.2</v>
      </c>
      <c r="Q2441" s="112">
        <f ca="1">IFERROR(__xludf.DUMMYFUNCTION("""COMPUTED_VALUE"""),43857.7055555555)</f>
        <v>43857.705555555498</v>
      </c>
      <c r="R2441" s="111">
        <f ca="1">IFERROR(__xludf.DUMMYFUNCTION("""COMPUTED_VALUE"""),50.3)</f>
        <v>50.3</v>
      </c>
      <c r="S2441" s="112">
        <f ca="1">IFERROR(__xludf.DUMMYFUNCTION("""COMPUTED_VALUE"""),43871.7055555555)</f>
        <v>43871.705555555498</v>
      </c>
      <c r="T2441" s="111">
        <f ca="1">IFERROR(__xludf.DUMMYFUNCTION("""COMPUTED_VALUE"""),49.96)</f>
        <v>49.96</v>
      </c>
    </row>
    <row r="2442" spans="1:20" x14ac:dyDescent="0.3">
      <c r="A2442" s="112">
        <f ca="1">IFERROR(__xludf.DUMMYFUNCTION("""COMPUTED_VALUE"""),43866.7055555555)</f>
        <v>43866.705555555498</v>
      </c>
      <c r="B2442" s="111">
        <f ca="1">IFERROR(__xludf.DUMMYFUNCTION("""COMPUTED_VALUE"""),37.59)</f>
        <v>37.590000000000003</v>
      </c>
      <c r="C2442" s="112">
        <f ca="1">IFERROR(__xludf.DUMMYFUNCTION("""COMPUTED_VALUE"""),43875.7055555555)</f>
        <v>43875.705555555498</v>
      </c>
      <c r="D2442" s="111">
        <f ca="1">IFERROR(__xludf.DUMMYFUNCTION("""COMPUTED_VALUE"""),33.81)</f>
        <v>33.81</v>
      </c>
      <c r="E2442" s="112">
        <f ca="1">IFERROR(__xludf.DUMMYFUNCTION("""COMPUTED_VALUE"""),43878.7055555555)</f>
        <v>43878.705555555498</v>
      </c>
      <c r="F2442" s="111">
        <f ca="1">IFERROR(__xludf.DUMMYFUNCTION("""COMPUTED_VALUE"""),12.38)</f>
        <v>12.38</v>
      </c>
      <c r="G2442" s="112">
        <f ca="1">IFERROR(__xludf.DUMMYFUNCTION("""COMPUTED_VALUE"""),43874.7055555555)</f>
        <v>43874.705555555498</v>
      </c>
      <c r="H2442" s="111">
        <f ca="1">IFERROR(__xludf.DUMMYFUNCTION("""COMPUTED_VALUE"""),29.72)</f>
        <v>29.72</v>
      </c>
      <c r="K2442" s="112">
        <f ca="1">IFERROR(__xludf.DUMMYFUNCTION("""COMPUTED_VALUE"""),44326.7055555555)</f>
        <v>44326.705555555498</v>
      </c>
      <c r="L2442" s="111">
        <f ca="1">IFERROR(__xludf.DUMMYFUNCTION("""COMPUTED_VALUE"""),19.21)</f>
        <v>19.21</v>
      </c>
      <c r="M2442" s="112">
        <f ca="1">IFERROR(__xludf.DUMMYFUNCTION("""COMPUTED_VALUE"""),43777.7055555555)</f>
        <v>43777.705555555498</v>
      </c>
      <c r="N2442" s="111">
        <f ca="1">IFERROR(__xludf.DUMMYFUNCTION("""COMPUTED_VALUE"""),28.3)</f>
        <v>28.3</v>
      </c>
      <c r="O2442" s="112">
        <f ca="1">IFERROR(__xludf.DUMMYFUNCTION("""COMPUTED_VALUE"""),43859.7055555555)</f>
        <v>43859.705555555498</v>
      </c>
      <c r="P2442" s="111">
        <f ca="1">IFERROR(__xludf.DUMMYFUNCTION("""COMPUTED_VALUE"""),50.75)</f>
        <v>50.75</v>
      </c>
      <c r="Q2442" s="112">
        <f ca="1">IFERROR(__xludf.DUMMYFUNCTION("""COMPUTED_VALUE"""),43858.7055555555)</f>
        <v>43858.705555555498</v>
      </c>
      <c r="R2442" s="111">
        <f ca="1">IFERROR(__xludf.DUMMYFUNCTION("""COMPUTED_VALUE"""),50.71)</f>
        <v>50.71</v>
      </c>
      <c r="S2442" s="112">
        <f ca="1">IFERROR(__xludf.DUMMYFUNCTION("""COMPUTED_VALUE"""),43872.7055555555)</f>
        <v>43872.705555555498</v>
      </c>
      <c r="T2442" s="111">
        <f ca="1">IFERROR(__xludf.DUMMYFUNCTION("""COMPUTED_VALUE"""),51.35)</f>
        <v>51.35</v>
      </c>
    </row>
    <row r="2443" spans="1:20" x14ac:dyDescent="0.3">
      <c r="A2443" s="112">
        <f ca="1">IFERROR(__xludf.DUMMYFUNCTION("""COMPUTED_VALUE"""),43867.7055555555)</f>
        <v>43867.705555555498</v>
      </c>
      <c r="B2443" s="111">
        <f ca="1">IFERROR(__xludf.DUMMYFUNCTION("""COMPUTED_VALUE"""),35.9)</f>
        <v>35.9</v>
      </c>
      <c r="C2443" s="112">
        <f ca="1">IFERROR(__xludf.DUMMYFUNCTION("""COMPUTED_VALUE"""),43878.7055555555)</f>
        <v>43878.705555555498</v>
      </c>
      <c r="D2443" s="111">
        <f ca="1">IFERROR(__xludf.DUMMYFUNCTION("""COMPUTED_VALUE"""),33.5)</f>
        <v>33.5</v>
      </c>
      <c r="E2443" s="112">
        <f ca="1">IFERROR(__xludf.DUMMYFUNCTION("""COMPUTED_VALUE"""),43879.7055555555)</f>
        <v>43879.705555555498</v>
      </c>
      <c r="F2443" s="111">
        <f ca="1">IFERROR(__xludf.DUMMYFUNCTION("""COMPUTED_VALUE"""),12.56)</f>
        <v>12.56</v>
      </c>
      <c r="G2443" s="112">
        <f ca="1">IFERROR(__xludf.DUMMYFUNCTION("""COMPUTED_VALUE"""),43875.7055555555)</f>
        <v>43875.705555555498</v>
      </c>
      <c r="H2443" s="111">
        <f ca="1">IFERROR(__xludf.DUMMYFUNCTION("""COMPUTED_VALUE"""),29.42)</f>
        <v>29.42</v>
      </c>
      <c r="K2443" s="112">
        <f ca="1">IFERROR(__xludf.DUMMYFUNCTION("""COMPUTED_VALUE"""),44327.7055555555)</f>
        <v>44327.705555555498</v>
      </c>
      <c r="L2443" s="111">
        <f ca="1">IFERROR(__xludf.DUMMYFUNCTION("""COMPUTED_VALUE"""),19.33)</f>
        <v>19.329999999999998</v>
      </c>
      <c r="M2443" s="112">
        <f ca="1">IFERROR(__xludf.DUMMYFUNCTION("""COMPUTED_VALUE"""),43780.7055555555)</f>
        <v>43780.705555555498</v>
      </c>
      <c r="N2443" s="111">
        <f ca="1">IFERROR(__xludf.DUMMYFUNCTION("""COMPUTED_VALUE"""),28.23)</f>
        <v>28.23</v>
      </c>
      <c r="O2443" s="112">
        <f ca="1">IFERROR(__xludf.DUMMYFUNCTION("""COMPUTED_VALUE"""),43860.7055555555)</f>
        <v>43860.705555555498</v>
      </c>
      <c r="P2443" s="111">
        <f ca="1">IFERROR(__xludf.DUMMYFUNCTION("""COMPUTED_VALUE"""),51.5)</f>
        <v>51.5</v>
      </c>
      <c r="Q2443" s="112">
        <f ca="1">IFERROR(__xludf.DUMMYFUNCTION("""COMPUTED_VALUE"""),43859.7055555555)</f>
        <v>43859.705555555498</v>
      </c>
      <c r="R2443" s="111">
        <f ca="1">IFERROR(__xludf.DUMMYFUNCTION("""COMPUTED_VALUE"""),49.46)</f>
        <v>49.46</v>
      </c>
      <c r="S2443" s="112">
        <f ca="1">IFERROR(__xludf.DUMMYFUNCTION("""COMPUTED_VALUE"""),43873.7055555555)</f>
        <v>43873.705555555498</v>
      </c>
      <c r="T2443" s="111">
        <f ca="1">IFERROR(__xludf.DUMMYFUNCTION("""COMPUTED_VALUE"""),51.5)</f>
        <v>51.5</v>
      </c>
    </row>
    <row r="2444" spans="1:20" x14ac:dyDescent="0.3">
      <c r="A2444" s="112">
        <f ca="1">IFERROR(__xludf.DUMMYFUNCTION("""COMPUTED_VALUE"""),43868.7055555555)</f>
        <v>43868.705555555498</v>
      </c>
      <c r="B2444" s="111">
        <f ca="1">IFERROR(__xludf.DUMMYFUNCTION("""COMPUTED_VALUE"""),35.29)</f>
        <v>35.29</v>
      </c>
      <c r="C2444" s="112">
        <f ca="1">IFERROR(__xludf.DUMMYFUNCTION("""COMPUTED_VALUE"""),43879.7055555555)</f>
        <v>43879.705555555498</v>
      </c>
      <c r="D2444" s="111">
        <f ca="1">IFERROR(__xludf.DUMMYFUNCTION("""COMPUTED_VALUE"""),33.64)</f>
        <v>33.64</v>
      </c>
      <c r="E2444" s="112">
        <f ca="1">IFERROR(__xludf.DUMMYFUNCTION("""COMPUTED_VALUE"""),43880.7055555555)</f>
        <v>43880.705555555498</v>
      </c>
      <c r="F2444" s="111">
        <f ca="1">IFERROR(__xludf.DUMMYFUNCTION("""COMPUTED_VALUE"""),12.7)</f>
        <v>12.7</v>
      </c>
      <c r="G2444" s="112">
        <f ca="1">IFERROR(__xludf.DUMMYFUNCTION("""COMPUTED_VALUE"""),43878.7055555555)</f>
        <v>43878.705555555498</v>
      </c>
      <c r="H2444" s="111">
        <f ca="1">IFERROR(__xludf.DUMMYFUNCTION("""COMPUTED_VALUE"""),29.36)</f>
        <v>29.36</v>
      </c>
      <c r="K2444" s="112">
        <f ca="1">IFERROR(__xludf.DUMMYFUNCTION("""COMPUTED_VALUE"""),44328.7055555555)</f>
        <v>44328.705555555498</v>
      </c>
      <c r="L2444" s="111">
        <f ca="1">IFERROR(__xludf.DUMMYFUNCTION("""COMPUTED_VALUE"""),18.6)</f>
        <v>18.600000000000001</v>
      </c>
      <c r="M2444" s="112">
        <f ca="1">IFERROR(__xludf.DUMMYFUNCTION("""COMPUTED_VALUE"""),43781.7055555555)</f>
        <v>43781.705555555498</v>
      </c>
      <c r="N2444" s="111">
        <f ca="1">IFERROR(__xludf.DUMMYFUNCTION("""COMPUTED_VALUE"""),27.97)</f>
        <v>27.97</v>
      </c>
      <c r="O2444" s="112">
        <f ca="1">IFERROR(__xludf.DUMMYFUNCTION("""COMPUTED_VALUE"""),43861.7055555555)</f>
        <v>43861.705555555498</v>
      </c>
      <c r="P2444" s="111">
        <f ca="1">IFERROR(__xludf.DUMMYFUNCTION("""COMPUTED_VALUE"""),50.27)</f>
        <v>50.27</v>
      </c>
      <c r="Q2444" s="112">
        <f ca="1">IFERROR(__xludf.DUMMYFUNCTION("""COMPUTED_VALUE"""),43860.7055555555)</f>
        <v>43860.705555555498</v>
      </c>
      <c r="R2444" s="111">
        <f ca="1">IFERROR(__xludf.DUMMYFUNCTION("""COMPUTED_VALUE"""),49.8)</f>
        <v>49.8</v>
      </c>
      <c r="S2444" s="112">
        <f ca="1">IFERROR(__xludf.DUMMYFUNCTION("""COMPUTED_VALUE"""),43874.7055555555)</f>
        <v>43874.705555555498</v>
      </c>
      <c r="T2444" s="111">
        <f ca="1">IFERROR(__xludf.DUMMYFUNCTION("""COMPUTED_VALUE"""),52.1)</f>
        <v>52.1</v>
      </c>
    </row>
    <row r="2445" spans="1:20" x14ac:dyDescent="0.3">
      <c r="A2445" s="112">
        <f ca="1">IFERROR(__xludf.DUMMYFUNCTION("""COMPUTED_VALUE"""),43871.7055555555)</f>
        <v>43871.705555555498</v>
      </c>
      <c r="B2445" s="111">
        <f ca="1">IFERROR(__xludf.DUMMYFUNCTION("""COMPUTED_VALUE"""),33.95)</f>
        <v>33.950000000000003</v>
      </c>
      <c r="C2445" s="112">
        <f ca="1">IFERROR(__xludf.DUMMYFUNCTION("""COMPUTED_VALUE"""),43880.7055555555)</f>
        <v>43880.705555555498</v>
      </c>
      <c r="D2445" s="111">
        <f ca="1">IFERROR(__xludf.DUMMYFUNCTION("""COMPUTED_VALUE"""),34.12)</f>
        <v>34.119999999999997</v>
      </c>
      <c r="E2445" s="112">
        <f ca="1">IFERROR(__xludf.DUMMYFUNCTION("""COMPUTED_VALUE"""),43881.7055555555)</f>
        <v>43881.705555555498</v>
      </c>
      <c r="F2445" s="111">
        <f ca="1">IFERROR(__xludf.DUMMYFUNCTION("""COMPUTED_VALUE"""),12.62)</f>
        <v>12.62</v>
      </c>
      <c r="G2445" s="112">
        <f ca="1">IFERROR(__xludf.DUMMYFUNCTION("""COMPUTED_VALUE"""),43879.7055555555)</f>
        <v>43879.705555555498</v>
      </c>
      <c r="H2445" s="111">
        <f ca="1">IFERROR(__xludf.DUMMYFUNCTION("""COMPUTED_VALUE"""),29.75)</f>
        <v>29.75</v>
      </c>
      <c r="K2445" s="112">
        <f ca="1">IFERROR(__xludf.DUMMYFUNCTION("""COMPUTED_VALUE"""),44329.7055555555)</f>
        <v>44329.705555555498</v>
      </c>
      <c r="L2445" s="111">
        <f ca="1">IFERROR(__xludf.DUMMYFUNCTION("""COMPUTED_VALUE"""),19.14)</f>
        <v>19.14</v>
      </c>
      <c r="M2445" s="112">
        <f ca="1">IFERROR(__xludf.DUMMYFUNCTION("""COMPUTED_VALUE"""),43782.7055555555)</f>
        <v>43782.705555555498</v>
      </c>
      <c r="N2445" s="111">
        <f ca="1">IFERROR(__xludf.DUMMYFUNCTION("""COMPUTED_VALUE"""),27.68)</f>
        <v>27.68</v>
      </c>
      <c r="O2445" s="112">
        <f ca="1">IFERROR(__xludf.DUMMYFUNCTION("""COMPUTED_VALUE"""),43864.7055555555)</f>
        <v>43864.705555555498</v>
      </c>
      <c r="P2445" s="111">
        <f ca="1">IFERROR(__xludf.DUMMYFUNCTION("""COMPUTED_VALUE"""),50.91)</f>
        <v>50.91</v>
      </c>
      <c r="Q2445" s="112">
        <f ca="1">IFERROR(__xludf.DUMMYFUNCTION("""COMPUTED_VALUE"""),43861.7055555555)</f>
        <v>43861.705555555498</v>
      </c>
      <c r="R2445" s="111">
        <f ca="1">IFERROR(__xludf.DUMMYFUNCTION("""COMPUTED_VALUE"""),48.54)</f>
        <v>48.54</v>
      </c>
      <c r="S2445" s="112">
        <f ca="1">IFERROR(__xludf.DUMMYFUNCTION("""COMPUTED_VALUE"""),43875.7055555555)</f>
        <v>43875.705555555498</v>
      </c>
      <c r="T2445" s="111">
        <f ca="1">IFERROR(__xludf.DUMMYFUNCTION("""COMPUTED_VALUE"""),51.32)</f>
        <v>51.32</v>
      </c>
    </row>
    <row r="2446" spans="1:20" x14ac:dyDescent="0.3">
      <c r="A2446" s="112">
        <f ca="1">IFERROR(__xludf.DUMMYFUNCTION("""COMPUTED_VALUE"""),43872.7055555555)</f>
        <v>43872.705555555498</v>
      </c>
      <c r="B2446" s="111">
        <f ca="1">IFERROR(__xludf.DUMMYFUNCTION("""COMPUTED_VALUE"""),34.44)</f>
        <v>34.44</v>
      </c>
      <c r="C2446" s="112">
        <f ca="1">IFERROR(__xludf.DUMMYFUNCTION("""COMPUTED_VALUE"""),43881.7055555555)</f>
        <v>43881.705555555498</v>
      </c>
      <c r="D2446" s="111">
        <f ca="1">IFERROR(__xludf.DUMMYFUNCTION("""COMPUTED_VALUE"""),34)</f>
        <v>34</v>
      </c>
      <c r="E2446" s="112">
        <f ca="1">IFERROR(__xludf.DUMMYFUNCTION("""COMPUTED_VALUE"""),43882.7055555555)</f>
        <v>43882.705555555498</v>
      </c>
      <c r="F2446" s="111">
        <f ca="1">IFERROR(__xludf.DUMMYFUNCTION("""COMPUTED_VALUE"""),12.2)</f>
        <v>12.2</v>
      </c>
      <c r="G2446" s="112">
        <f ca="1">IFERROR(__xludf.DUMMYFUNCTION("""COMPUTED_VALUE"""),43880.7055555555)</f>
        <v>43880.705555555498</v>
      </c>
      <c r="H2446" s="111">
        <f ca="1">IFERROR(__xludf.DUMMYFUNCTION("""COMPUTED_VALUE"""),30.55)</f>
        <v>30.55</v>
      </c>
      <c r="K2446" s="112">
        <f ca="1">IFERROR(__xludf.DUMMYFUNCTION("""COMPUTED_VALUE"""),44330.7055555555)</f>
        <v>44330.705555555498</v>
      </c>
      <c r="L2446" s="111">
        <f ca="1">IFERROR(__xludf.DUMMYFUNCTION("""COMPUTED_VALUE"""),19.16)</f>
        <v>19.16</v>
      </c>
      <c r="M2446" s="112">
        <f ca="1">IFERROR(__xludf.DUMMYFUNCTION("""COMPUTED_VALUE"""),43783.7055555555)</f>
        <v>43783.705555555498</v>
      </c>
      <c r="N2446" s="111">
        <f ca="1">IFERROR(__xludf.DUMMYFUNCTION("""COMPUTED_VALUE"""),27.56)</f>
        <v>27.56</v>
      </c>
      <c r="O2446" s="112">
        <f ca="1">IFERROR(__xludf.DUMMYFUNCTION("""COMPUTED_VALUE"""),43865.7055555555)</f>
        <v>43865.705555555498</v>
      </c>
      <c r="P2446" s="111">
        <f ca="1">IFERROR(__xludf.DUMMYFUNCTION("""COMPUTED_VALUE"""),52.27)</f>
        <v>52.27</v>
      </c>
      <c r="Q2446" s="112">
        <f ca="1">IFERROR(__xludf.DUMMYFUNCTION("""COMPUTED_VALUE"""),43864.7055555555)</f>
        <v>43864.705555555498</v>
      </c>
      <c r="R2446" s="111">
        <f ca="1">IFERROR(__xludf.DUMMYFUNCTION("""COMPUTED_VALUE"""),48.78)</f>
        <v>48.78</v>
      </c>
      <c r="S2446" s="112">
        <f ca="1">IFERROR(__xludf.DUMMYFUNCTION("""COMPUTED_VALUE"""),43878.7055555555)</f>
        <v>43878.705555555498</v>
      </c>
      <c r="T2446" s="111">
        <f ca="1">IFERROR(__xludf.DUMMYFUNCTION("""COMPUTED_VALUE"""),52)</f>
        <v>52</v>
      </c>
    </row>
    <row r="2447" spans="1:20" x14ac:dyDescent="0.3">
      <c r="A2447" s="112">
        <f ca="1">IFERROR(__xludf.DUMMYFUNCTION("""COMPUTED_VALUE"""),43873.7055555555)</f>
        <v>43873.705555555498</v>
      </c>
      <c r="B2447" s="111">
        <f ca="1">IFERROR(__xludf.DUMMYFUNCTION("""COMPUTED_VALUE"""),35.04)</f>
        <v>35.04</v>
      </c>
      <c r="C2447" s="112">
        <f ca="1">IFERROR(__xludf.DUMMYFUNCTION("""COMPUTED_VALUE"""),43882.7055555555)</f>
        <v>43882.705555555498</v>
      </c>
      <c r="D2447" s="111">
        <f ca="1">IFERROR(__xludf.DUMMYFUNCTION("""COMPUTED_VALUE"""),32.68)</f>
        <v>32.68</v>
      </c>
      <c r="E2447" s="112">
        <f ca="1">IFERROR(__xludf.DUMMYFUNCTION("""COMPUTED_VALUE"""),43887.7055555555)</f>
        <v>43887.705555555498</v>
      </c>
      <c r="F2447" s="111">
        <f ca="1">IFERROR(__xludf.DUMMYFUNCTION("""COMPUTED_VALUE"""),11.5)</f>
        <v>11.5</v>
      </c>
      <c r="G2447" s="112">
        <f ca="1">IFERROR(__xludf.DUMMYFUNCTION("""COMPUTED_VALUE"""),43881.7055555555)</f>
        <v>43881.705555555498</v>
      </c>
      <c r="H2447" s="111">
        <f ca="1">IFERROR(__xludf.DUMMYFUNCTION("""COMPUTED_VALUE"""),29.92)</f>
        <v>29.92</v>
      </c>
      <c r="K2447" s="112">
        <f ca="1">IFERROR(__xludf.DUMMYFUNCTION("""COMPUTED_VALUE"""),44333.7055555555)</f>
        <v>44333.705555555498</v>
      </c>
      <c r="L2447" s="111">
        <f ca="1">IFERROR(__xludf.DUMMYFUNCTION("""COMPUTED_VALUE"""),18.87)</f>
        <v>18.87</v>
      </c>
      <c r="M2447" s="112">
        <f ca="1">IFERROR(__xludf.DUMMYFUNCTION("""COMPUTED_VALUE"""),43787.7055555555)</f>
        <v>43787.705555555498</v>
      </c>
      <c r="N2447" s="111">
        <f ca="1">IFERROR(__xludf.DUMMYFUNCTION("""COMPUTED_VALUE"""),27.38)</f>
        <v>27.38</v>
      </c>
      <c r="O2447" s="112">
        <f ca="1">IFERROR(__xludf.DUMMYFUNCTION("""COMPUTED_VALUE"""),43866.7055555555)</f>
        <v>43866.705555555498</v>
      </c>
      <c r="P2447" s="111">
        <f ca="1">IFERROR(__xludf.DUMMYFUNCTION("""COMPUTED_VALUE"""),52.99)</f>
        <v>52.99</v>
      </c>
      <c r="Q2447" s="112">
        <f ca="1">IFERROR(__xludf.DUMMYFUNCTION("""COMPUTED_VALUE"""),43865.7055555555)</f>
        <v>43865.705555555498</v>
      </c>
      <c r="R2447" s="111">
        <f ca="1">IFERROR(__xludf.DUMMYFUNCTION("""COMPUTED_VALUE"""),48.25)</f>
        <v>48.25</v>
      </c>
      <c r="S2447" s="112">
        <f ca="1">IFERROR(__xludf.DUMMYFUNCTION("""COMPUTED_VALUE"""),43879.7055555555)</f>
        <v>43879.705555555498</v>
      </c>
      <c r="T2447" s="111">
        <f ca="1">IFERROR(__xludf.DUMMYFUNCTION("""COMPUTED_VALUE"""),51.68)</f>
        <v>51.68</v>
      </c>
    </row>
    <row r="2448" spans="1:20" x14ac:dyDescent="0.3">
      <c r="A2448" s="112">
        <f ca="1">IFERROR(__xludf.DUMMYFUNCTION("""COMPUTED_VALUE"""),43874.7055555555)</f>
        <v>43874.705555555498</v>
      </c>
      <c r="B2448" s="111">
        <f ca="1">IFERROR(__xludf.DUMMYFUNCTION("""COMPUTED_VALUE"""),34.88)</f>
        <v>34.880000000000003</v>
      </c>
      <c r="C2448" s="112">
        <f ca="1">IFERROR(__xludf.DUMMYFUNCTION("""COMPUTED_VALUE"""),43887.7055555555)</f>
        <v>43887.705555555498</v>
      </c>
      <c r="D2448" s="111">
        <f ca="1">IFERROR(__xludf.DUMMYFUNCTION("""COMPUTED_VALUE"""),31.05)</f>
        <v>31.05</v>
      </c>
      <c r="E2448" s="112">
        <f ca="1">IFERROR(__xludf.DUMMYFUNCTION("""COMPUTED_VALUE"""),43888.7055555555)</f>
        <v>43888.705555555498</v>
      </c>
      <c r="F2448" s="111">
        <f ca="1">IFERROR(__xludf.DUMMYFUNCTION("""COMPUTED_VALUE"""),11.3)</f>
        <v>11.3</v>
      </c>
      <c r="G2448" s="112">
        <f ca="1">IFERROR(__xludf.DUMMYFUNCTION("""COMPUTED_VALUE"""),43882.7055555555)</f>
        <v>43882.705555555498</v>
      </c>
      <c r="H2448" s="111">
        <f ca="1">IFERROR(__xludf.DUMMYFUNCTION("""COMPUTED_VALUE"""),29.14)</f>
        <v>29.14</v>
      </c>
      <c r="K2448" s="112">
        <f ca="1">IFERROR(__xludf.DUMMYFUNCTION("""COMPUTED_VALUE"""),44334.7055555555)</f>
        <v>44334.705555555498</v>
      </c>
      <c r="L2448" s="111">
        <f ca="1">IFERROR(__xludf.DUMMYFUNCTION("""COMPUTED_VALUE"""),18.98)</f>
        <v>18.98</v>
      </c>
      <c r="M2448" s="112">
        <f ca="1">IFERROR(__xludf.DUMMYFUNCTION("""COMPUTED_VALUE"""),43788.7055555555)</f>
        <v>43788.705555555498</v>
      </c>
      <c r="N2448" s="111">
        <f ca="1">IFERROR(__xludf.DUMMYFUNCTION("""COMPUTED_VALUE"""),27.33)</f>
        <v>27.33</v>
      </c>
      <c r="O2448" s="112">
        <f ca="1">IFERROR(__xludf.DUMMYFUNCTION("""COMPUTED_VALUE"""),43867.7055555555)</f>
        <v>43867.705555555498</v>
      </c>
      <c r="P2448" s="111">
        <f ca="1">IFERROR(__xludf.DUMMYFUNCTION("""COMPUTED_VALUE"""),53.28)</f>
        <v>53.28</v>
      </c>
      <c r="Q2448" s="112">
        <f ca="1">IFERROR(__xludf.DUMMYFUNCTION("""COMPUTED_VALUE"""),43866.7055555555)</f>
        <v>43866.705555555498</v>
      </c>
      <c r="R2448" s="111">
        <f ca="1">IFERROR(__xludf.DUMMYFUNCTION("""COMPUTED_VALUE"""),50.4)</f>
        <v>50.4</v>
      </c>
      <c r="S2448" s="112">
        <f ca="1">IFERROR(__xludf.DUMMYFUNCTION("""COMPUTED_VALUE"""),43880.7055555555)</f>
        <v>43880.705555555498</v>
      </c>
      <c r="T2448" s="111">
        <f ca="1">IFERROR(__xludf.DUMMYFUNCTION("""COMPUTED_VALUE"""),51.37)</f>
        <v>51.37</v>
      </c>
    </row>
    <row r="2449" spans="1:20" x14ac:dyDescent="0.3">
      <c r="A2449" s="112">
        <f ca="1">IFERROR(__xludf.DUMMYFUNCTION("""COMPUTED_VALUE"""),43875.7055555555)</f>
        <v>43875.705555555498</v>
      </c>
      <c r="B2449" s="111">
        <f ca="1">IFERROR(__xludf.DUMMYFUNCTION("""COMPUTED_VALUE"""),35.61)</f>
        <v>35.61</v>
      </c>
      <c r="C2449" s="112">
        <f ca="1">IFERROR(__xludf.DUMMYFUNCTION("""COMPUTED_VALUE"""),43888.7055555555)</f>
        <v>43888.705555555498</v>
      </c>
      <c r="D2449" s="111">
        <f ca="1">IFERROR(__xludf.DUMMYFUNCTION("""COMPUTED_VALUE"""),31.07)</f>
        <v>31.07</v>
      </c>
      <c r="E2449" s="112">
        <f ca="1">IFERROR(__xludf.DUMMYFUNCTION("""COMPUTED_VALUE"""),43889.7055555555)</f>
        <v>43889.705555555498</v>
      </c>
      <c r="F2449" s="111">
        <f ca="1">IFERROR(__xludf.DUMMYFUNCTION("""COMPUTED_VALUE"""),11.44)</f>
        <v>11.44</v>
      </c>
      <c r="G2449" s="112">
        <f ca="1">IFERROR(__xludf.DUMMYFUNCTION("""COMPUTED_VALUE"""),43887.7055555555)</f>
        <v>43887.705555555498</v>
      </c>
      <c r="H2449" s="111">
        <f ca="1">IFERROR(__xludf.DUMMYFUNCTION("""COMPUTED_VALUE"""),26.21)</f>
        <v>26.21</v>
      </c>
      <c r="K2449" s="112">
        <f ca="1">IFERROR(__xludf.DUMMYFUNCTION("""COMPUTED_VALUE"""),44335.7055555555)</f>
        <v>44335.705555555498</v>
      </c>
      <c r="L2449" s="111">
        <f ca="1">IFERROR(__xludf.DUMMYFUNCTION("""COMPUTED_VALUE"""),18.69)</f>
        <v>18.690000000000001</v>
      </c>
      <c r="M2449" s="112">
        <f ca="1">IFERROR(__xludf.DUMMYFUNCTION("""COMPUTED_VALUE"""),43790.7055555555)</f>
        <v>43790.705555555498</v>
      </c>
      <c r="N2449" s="111">
        <f ca="1">IFERROR(__xludf.DUMMYFUNCTION("""COMPUTED_VALUE"""),27.49)</f>
        <v>27.49</v>
      </c>
      <c r="O2449" s="112">
        <f ca="1">IFERROR(__xludf.DUMMYFUNCTION("""COMPUTED_VALUE"""),43868.7055555555)</f>
        <v>43868.705555555498</v>
      </c>
      <c r="P2449" s="111">
        <f ca="1">IFERROR(__xludf.DUMMYFUNCTION("""COMPUTED_VALUE"""),52.1)</f>
        <v>52.1</v>
      </c>
      <c r="Q2449" s="112">
        <f ca="1">IFERROR(__xludf.DUMMYFUNCTION("""COMPUTED_VALUE"""),43867.7055555555)</f>
        <v>43867.705555555498</v>
      </c>
      <c r="R2449" s="111">
        <f ca="1">IFERROR(__xludf.DUMMYFUNCTION("""COMPUTED_VALUE"""),49.55)</f>
        <v>49.55</v>
      </c>
      <c r="S2449" s="112">
        <f ca="1">IFERROR(__xludf.DUMMYFUNCTION("""COMPUTED_VALUE"""),43881.7055555555)</f>
        <v>43881.705555555498</v>
      </c>
      <c r="T2449" s="111">
        <f ca="1">IFERROR(__xludf.DUMMYFUNCTION("""COMPUTED_VALUE"""),50.48)</f>
        <v>50.48</v>
      </c>
    </row>
    <row r="2450" spans="1:20" x14ac:dyDescent="0.3">
      <c r="A2450" s="112">
        <f ca="1">IFERROR(__xludf.DUMMYFUNCTION("""COMPUTED_VALUE"""),43878.7055555555)</f>
        <v>43878.705555555498</v>
      </c>
      <c r="B2450" s="111">
        <f ca="1">IFERROR(__xludf.DUMMYFUNCTION("""COMPUTED_VALUE"""),35.76)</f>
        <v>35.76</v>
      </c>
      <c r="C2450" s="112">
        <f ca="1">IFERROR(__xludf.DUMMYFUNCTION("""COMPUTED_VALUE"""),43889.7055555555)</f>
        <v>43889.705555555498</v>
      </c>
      <c r="D2450" s="111">
        <f ca="1">IFERROR(__xludf.DUMMYFUNCTION("""COMPUTED_VALUE"""),32)</f>
        <v>32</v>
      </c>
      <c r="E2450" s="112">
        <f ca="1">IFERROR(__xludf.DUMMYFUNCTION("""COMPUTED_VALUE"""),43892.7055555555)</f>
        <v>43892.705555555498</v>
      </c>
      <c r="F2450" s="111">
        <f ca="1">IFERROR(__xludf.DUMMYFUNCTION("""COMPUTED_VALUE"""),11.72)</f>
        <v>11.72</v>
      </c>
      <c r="G2450" s="112">
        <f ca="1">IFERROR(__xludf.DUMMYFUNCTION("""COMPUTED_VALUE"""),43888.7055555555)</f>
        <v>43888.705555555498</v>
      </c>
      <c r="H2450" s="111">
        <f ca="1">IFERROR(__xludf.DUMMYFUNCTION("""COMPUTED_VALUE"""),25.3)</f>
        <v>25.3</v>
      </c>
      <c r="K2450" s="112">
        <f ca="1">IFERROR(__xludf.DUMMYFUNCTION("""COMPUTED_VALUE"""),44336.7055555555)</f>
        <v>44336.705555555498</v>
      </c>
      <c r="L2450" s="111">
        <f ca="1">IFERROR(__xludf.DUMMYFUNCTION("""COMPUTED_VALUE"""),18.75)</f>
        <v>18.75</v>
      </c>
      <c r="M2450" s="112">
        <f ca="1">IFERROR(__xludf.DUMMYFUNCTION("""COMPUTED_VALUE"""),43791.7055555555)</f>
        <v>43791.705555555498</v>
      </c>
      <c r="N2450" s="111">
        <f ca="1">IFERROR(__xludf.DUMMYFUNCTION("""COMPUTED_VALUE"""),27.94)</f>
        <v>27.94</v>
      </c>
      <c r="O2450" s="112">
        <f ca="1">IFERROR(__xludf.DUMMYFUNCTION("""COMPUTED_VALUE"""),43871.7055555555)</f>
        <v>43871.705555555498</v>
      </c>
      <c r="P2450" s="111">
        <f ca="1">IFERROR(__xludf.DUMMYFUNCTION("""COMPUTED_VALUE"""),50.19)</f>
        <v>50.19</v>
      </c>
      <c r="Q2450" s="112">
        <f ca="1">IFERROR(__xludf.DUMMYFUNCTION("""COMPUTED_VALUE"""),43868.7055555555)</f>
        <v>43868.705555555498</v>
      </c>
      <c r="R2450" s="111">
        <f ca="1">IFERROR(__xludf.DUMMYFUNCTION("""COMPUTED_VALUE"""),49.6)</f>
        <v>49.6</v>
      </c>
      <c r="S2450" s="112">
        <f ca="1">IFERROR(__xludf.DUMMYFUNCTION("""COMPUTED_VALUE"""),43882.7055555555)</f>
        <v>43882.705555555498</v>
      </c>
      <c r="T2450" s="111">
        <f ca="1">IFERROR(__xludf.DUMMYFUNCTION("""COMPUTED_VALUE"""),50.91)</f>
        <v>50.91</v>
      </c>
    </row>
    <row r="2451" spans="1:20" x14ac:dyDescent="0.3">
      <c r="A2451" s="112">
        <f ca="1">IFERROR(__xludf.DUMMYFUNCTION("""COMPUTED_VALUE"""),43879.7055555555)</f>
        <v>43879.705555555498</v>
      </c>
      <c r="B2451" s="111">
        <f ca="1">IFERROR(__xludf.DUMMYFUNCTION("""COMPUTED_VALUE"""),37.89)</f>
        <v>37.89</v>
      </c>
      <c r="C2451" s="112">
        <f ca="1">IFERROR(__xludf.DUMMYFUNCTION("""COMPUTED_VALUE"""),43892.7055555555)</f>
        <v>43892.705555555498</v>
      </c>
      <c r="D2451" s="111">
        <f ca="1">IFERROR(__xludf.DUMMYFUNCTION("""COMPUTED_VALUE"""),31.88)</f>
        <v>31.88</v>
      </c>
      <c r="E2451" s="112">
        <f ca="1">IFERROR(__xludf.DUMMYFUNCTION("""COMPUTED_VALUE"""),43893.7055555555)</f>
        <v>43893.705555555498</v>
      </c>
      <c r="F2451" s="111">
        <f ca="1">IFERROR(__xludf.DUMMYFUNCTION("""COMPUTED_VALUE"""),11.55)</f>
        <v>11.55</v>
      </c>
      <c r="G2451" s="112">
        <f ca="1">IFERROR(__xludf.DUMMYFUNCTION("""COMPUTED_VALUE"""),43889.7055555555)</f>
        <v>43889.705555555498</v>
      </c>
      <c r="H2451" s="111">
        <f ca="1">IFERROR(__xludf.DUMMYFUNCTION("""COMPUTED_VALUE"""),25.34)</f>
        <v>25.34</v>
      </c>
      <c r="K2451" s="112">
        <f ca="1">IFERROR(__xludf.DUMMYFUNCTION("""COMPUTED_VALUE"""),44337.7055555555)</f>
        <v>44337.705555555498</v>
      </c>
      <c r="L2451" s="111">
        <f ca="1">IFERROR(__xludf.DUMMYFUNCTION("""COMPUTED_VALUE"""),18.54)</f>
        <v>18.54</v>
      </c>
      <c r="M2451" s="112">
        <f ca="1">IFERROR(__xludf.DUMMYFUNCTION("""COMPUTED_VALUE"""),43794.7055555555)</f>
        <v>43794.705555555498</v>
      </c>
      <c r="N2451" s="111">
        <f ca="1">IFERROR(__xludf.DUMMYFUNCTION("""COMPUTED_VALUE"""),27.8)</f>
        <v>27.8</v>
      </c>
      <c r="O2451" s="112">
        <f ca="1">IFERROR(__xludf.DUMMYFUNCTION("""COMPUTED_VALUE"""),43872.7055555555)</f>
        <v>43872.705555555498</v>
      </c>
      <c r="P2451" s="111">
        <f ca="1">IFERROR(__xludf.DUMMYFUNCTION("""COMPUTED_VALUE"""),52.05)</f>
        <v>52.05</v>
      </c>
      <c r="Q2451" s="112">
        <f ca="1">IFERROR(__xludf.DUMMYFUNCTION("""COMPUTED_VALUE"""),43871.7055555555)</f>
        <v>43871.705555555498</v>
      </c>
      <c r="R2451" s="111">
        <f ca="1">IFERROR(__xludf.DUMMYFUNCTION("""COMPUTED_VALUE"""),49.11)</f>
        <v>49.11</v>
      </c>
      <c r="S2451" s="112">
        <f ca="1">IFERROR(__xludf.DUMMYFUNCTION("""COMPUTED_VALUE"""),43887.7055555555)</f>
        <v>43887.705555555498</v>
      </c>
      <c r="T2451" s="111">
        <f ca="1">IFERROR(__xludf.DUMMYFUNCTION("""COMPUTED_VALUE"""),47.86)</f>
        <v>47.86</v>
      </c>
    </row>
    <row r="2452" spans="1:20" x14ac:dyDescent="0.3">
      <c r="A2452" s="112">
        <f ca="1">IFERROR(__xludf.DUMMYFUNCTION("""COMPUTED_VALUE"""),43880.7055555555)</f>
        <v>43880.705555555498</v>
      </c>
      <c r="B2452" s="111">
        <f ca="1">IFERROR(__xludf.DUMMYFUNCTION("""COMPUTED_VALUE"""),38.78)</f>
        <v>38.78</v>
      </c>
      <c r="C2452" s="112">
        <f ca="1">IFERROR(__xludf.DUMMYFUNCTION("""COMPUTED_VALUE"""),43893.7055555555)</f>
        <v>43893.705555555498</v>
      </c>
      <c r="D2452" s="111">
        <f ca="1">IFERROR(__xludf.DUMMYFUNCTION("""COMPUTED_VALUE"""),31.3)</f>
        <v>31.3</v>
      </c>
      <c r="E2452" s="112">
        <f ca="1">IFERROR(__xludf.DUMMYFUNCTION("""COMPUTED_VALUE"""),43894.7055555555)</f>
        <v>43894.705555555498</v>
      </c>
      <c r="F2452" s="111">
        <f ca="1">IFERROR(__xludf.DUMMYFUNCTION("""COMPUTED_VALUE"""),11.62)</f>
        <v>11.62</v>
      </c>
      <c r="G2452" s="112">
        <f ca="1">IFERROR(__xludf.DUMMYFUNCTION("""COMPUTED_VALUE"""),43892.7055555555)</f>
        <v>43892.705555555498</v>
      </c>
      <c r="H2452" s="111">
        <f ca="1">IFERROR(__xludf.DUMMYFUNCTION("""COMPUTED_VALUE"""),26.53)</f>
        <v>26.53</v>
      </c>
      <c r="K2452" s="112">
        <f ca="1">IFERROR(__xludf.DUMMYFUNCTION("""COMPUTED_VALUE"""),44340.7055555555)</f>
        <v>44340.705555555498</v>
      </c>
      <c r="L2452" s="111">
        <f ca="1">IFERROR(__xludf.DUMMYFUNCTION("""COMPUTED_VALUE"""),20.01)</f>
        <v>20.010000000000002</v>
      </c>
      <c r="M2452" s="112">
        <f ca="1">IFERROR(__xludf.DUMMYFUNCTION("""COMPUTED_VALUE"""),43795.7055555555)</f>
        <v>43795.705555555498</v>
      </c>
      <c r="N2452" s="111">
        <f ca="1">IFERROR(__xludf.DUMMYFUNCTION("""COMPUTED_VALUE"""),27.21)</f>
        <v>27.21</v>
      </c>
      <c r="O2452" s="112">
        <f ca="1">IFERROR(__xludf.DUMMYFUNCTION("""COMPUTED_VALUE"""),43873.7055555555)</f>
        <v>43873.705555555498</v>
      </c>
      <c r="P2452" s="111">
        <f ca="1">IFERROR(__xludf.DUMMYFUNCTION("""COMPUTED_VALUE"""),53.07)</f>
        <v>53.07</v>
      </c>
      <c r="Q2452" s="112">
        <f ca="1">IFERROR(__xludf.DUMMYFUNCTION("""COMPUTED_VALUE"""),43872.7055555555)</f>
        <v>43872.705555555498</v>
      </c>
      <c r="R2452" s="111">
        <f ca="1">IFERROR(__xludf.DUMMYFUNCTION("""COMPUTED_VALUE"""),51.32)</f>
        <v>51.32</v>
      </c>
      <c r="S2452" s="112">
        <f ca="1">IFERROR(__xludf.DUMMYFUNCTION("""COMPUTED_VALUE"""),43888.7055555555)</f>
        <v>43888.705555555498</v>
      </c>
      <c r="T2452" s="111">
        <f ca="1">IFERROR(__xludf.DUMMYFUNCTION("""COMPUTED_VALUE"""),46.41)</f>
        <v>46.41</v>
      </c>
    </row>
    <row r="2453" spans="1:20" x14ac:dyDescent="0.3">
      <c r="A2453" s="112">
        <f ca="1">IFERROR(__xludf.DUMMYFUNCTION("""COMPUTED_VALUE"""),43881.7055555555)</f>
        <v>43881.705555555498</v>
      </c>
      <c r="B2453" s="111">
        <f ca="1">IFERROR(__xludf.DUMMYFUNCTION("""COMPUTED_VALUE"""),37.79)</f>
        <v>37.79</v>
      </c>
      <c r="C2453" s="112">
        <f ca="1">IFERROR(__xludf.DUMMYFUNCTION("""COMPUTED_VALUE"""),43894.7055555555)</f>
        <v>43894.705555555498</v>
      </c>
      <c r="D2453" s="111">
        <f ca="1">IFERROR(__xludf.DUMMYFUNCTION("""COMPUTED_VALUE"""),31.6)</f>
        <v>31.6</v>
      </c>
      <c r="E2453" s="112">
        <f ca="1">IFERROR(__xludf.DUMMYFUNCTION("""COMPUTED_VALUE"""),43895.7055555555)</f>
        <v>43895.705555555498</v>
      </c>
      <c r="F2453" s="111">
        <f ca="1">IFERROR(__xludf.DUMMYFUNCTION("""COMPUTED_VALUE"""),11.27)</f>
        <v>11.27</v>
      </c>
      <c r="G2453" s="112">
        <f ca="1">IFERROR(__xludf.DUMMYFUNCTION("""COMPUTED_VALUE"""),43893.7055555555)</f>
        <v>43893.705555555498</v>
      </c>
      <c r="H2453" s="111">
        <f ca="1">IFERROR(__xludf.DUMMYFUNCTION("""COMPUTED_VALUE"""),26.05)</f>
        <v>26.05</v>
      </c>
      <c r="K2453" s="112">
        <f ca="1">IFERROR(__xludf.DUMMYFUNCTION("""COMPUTED_VALUE"""),44341.7055555555)</f>
        <v>44341.705555555498</v>
      </c>
      <c r="L2453" s="111">
        <f ca="1">IFERROR(__xludf.DUMMYFUNCTION("""COMPUTED_VALUE"""),20.03)</f>
        <v>20.03</v>
      </c>
      <c r="M2453" s="112">
        <f ca="1">IFERROR(__xludf.DUMMYFUNCTION("""COMPUTED_VALUE"""),43796.7055555555)</f>
        <v>43796.705555555498</v>
      </c>
      <c r="N2453" s="111">
        <f ca="1">IFERROR(__xludf.DUMMYFUNCTION("""COMPUTED_VALUE"""),27.66)</f>
        <v>27.66</v>
      </c>
      <c r="O2453" s="112">
        <f ca="1">IFERROR(__xludf.DUMMYFUNCTION("""COMPUTED_VALUE"""),43874.7055555555)</f>
        <v>43874.705555555498</v>
      </c>
      <c r="P2453" s="111">
        <f ca="1">IFERROR(__xludf.DUMMYFUNCTION("""COMPUTED_VALUE"""),52.14)</f>
        <v>52.14</v>
      </c>
      <c r="Q2453" s="112">
        <f ca="1">IFERROR(__xludf.DUMMYFUNCTION("""COMPUTED_VALUE"""),43873.7055555555)</f>
        <v>43873.705555555498</v>
      </c>
      <c r="R2453" s="111">
        <f ca="1">IFERROR(__xludf.DUMMYFUNCTION("""COMPUTED_VALUE"""),51.62)</f>
        <v>51.62</v>
      </c>
      <c r="S2453" s="112">
        <f ca="1">IFERROR(__xludf.DUMMYFUNCTION("""COMPUTED_VALUE"""),43889.7055555555)</f>
        <v>43889.705555555498</v>
      </c>
      <c r="T2453" s="111">
        <f ca="1">IFERROR(__xludf.DUMMYFUNCTION("""COMPUTED_VALUE"""),48.45)</f>
        <v>48.45</v>
      </c>
    </row>
    <row r="2454" spans="1:20" x14ac:dyDescent="0.3">
      <c r="A2454" s="112">
        <f ca="1">IFERROR(__xludf.DUMMYFUNCTION("""COMPUTED_VALUE"""),43882.7055555555)</f>
        <v>43882.705555555498</v>
      </c>
      <c r="B2454" s="111">
        <f ca="1">IFERROR(__xludf.DUMMYFUNCTION("""COMPUTED_VALUE"""),37.26)</f>
        <v>37.26</v>
      </c>
      <c r="C2454" s="112">
        <f ca="1">IFERROR(__xludf.DUMMYFUNCTION("""COMPUTED_VALUE"""),43895.7055555555)</f>
        <v>43895.705555555498</v>
      </c>
      <c r="D2454" s="111">
        <f ca="1">IFERROR(__xludf.DUMMYFUNCTION("""COMPUTED_VALUE"""),30.52)</f>
        <v>30.52</v>
      </c>
      <c r="E2454" s="112">
        <f ca="1">IFERROR(__xludf.DUMMYFUNCTION("""COMPUTED_VALUE"""),43896.7055555555)</f>
        <v>43896.705555555498</v>
      </c>
      <c r="F2454" s="111">
        <f ca="1">IFERROR(__xludf.DUMMYFUNCTION("""COMPUTED_VALUE"""),11.01)</f>
        <v>11.01</v>
      </c>
      <c r="G2454" s="112">
        <f ca="1">IFERROR(__xludf.DUMMYFUNCTION("""COMPUTED_VALUE"""),43894.7055555555)</f>
        <v>43894.705555555498</v>
      </c>
      <c r="H2454" s="111">
        <f ca="1">IFERROR(__xludf.DUMMYFUNCTION("""COMPUTED_VALUE"""),26.89)</f>
        <v>26.89</v>
      </c>
      <c r="K2454" s="112">
        <f ca="1">IFERROR(__xludf.DUMMYFUNCTION("""COMPUTED_VALUE"""),44342.7055555555)</f>
        <v>44342.705555555498</v>
      </c>
      <c r="L2454" s="111">
        <f ca="1">IFERROR(__xludf.DUMMYFUNCTION("""COMPUTED_VALUE"""),19.68)</f>
        <v>19.68</v>
      </c>
      <c r="M2454" s="112">
        <f ca="1">IFERROR(__xludf.DUMMYFUNCTION("""COMPUTED_VALUE"""),43797.7055555555)</f>
        <v>43797.705555555498</v>
      </c>
      <c r="N2454" s="111">
        <f ca="1">IFERROR(__xludf.DUMMYFUNCTION("""COMPUTED_VALUE"""),27.45)</f>
        <v>27.45</v>
      </c>
      <c r="O2454" s="112">
        <f ca="1">IFERROR(__xludf.DUMMYFUNCTION("""COMPUTED_VALUE"""),43875.7055555555)</f>
        <v>43875.705555555498</v>
      </c>
      <c r="P2454" s="111">
        <f ca="1">IFERROR(__xludf.DUMMYFUNCTION("""COMPUTED_VALUE"""),51)</f>
        <v>51</v>
      </c>
      <c r="Q2454" s="112">
        <f ca="1">IFERROR(__xludf.DUMMYFUNCTION("""COMPUTED_VALUE"""),43874.7055555555)</f>
        <v>43874.705555555498</v>
      </c>
      <c r="R2454" s="111">
        <f ca="1">IFERROR(__xludf.DUMMYFUNCTION("""COMPUTED_VALUE"""),50.82)</f>
        <v>50.82</v>
      </c>
      <c r="S2454" s="112">
        <f ca="1">IFERROR(__xludf.DUMMYFUNCTION("""COMPUTED_VALUE"""),43892.7055555555)</f>
        <v>43892.705555555498</v>
      </c>
      <c r="T2454" s="111">
        <f ca="1">IFERROR(__xludf.DUMMYFUNCTION("""COMPUTED_VALUE"""),48.18)</f>
        <v>48.18</v>
      </c>
    </row>
    <row r="2455" spans="1:20" x14ac:dyDescent="0.3">
      <c r="A2455" s="112">
        <f ca="1">IFERROR(__xludf.DUMMYFUNCTION("""COMPUTED_VALUE"""),43887.7055555555)</f>
        <v>43887.705555555498</v>
      </c>
      <c r="B2455" s="111">
        <f ca="1">IFERROR(__xludf.DUMMYFUNCTION("""COMPUTED_VALUE"""),33.78)</f>
        <v>33.78</v>
      </c>
      <c r="C2455" s="112">
        <f ca="1">IFERROR(__xludf.DUMMYFUNCTION("""COMPUTED_VALUE"""),43896.7055555555)</f>
        <v>43896.705555555498</v>
      </c>
      <c r="D2455" s="111">
        <f ca="1">IFERROR(__xludf.DUMMYFUNCTION("""COMPUTED_VALUE"""),29.87)</f>
        <v>29.87</v>
      </c>
      <c r="E2455" s="112">
        <f ca="1">IFERROR(__xludf.DUMMYFUNCTION("""COMPUTED_VALUE"""),43899.7055555555)</f>
        <v>43899.705555555498</v>
      </c>
      <c r="F2455" s="111">
        <f ca="1">IFERROR(__xludf.DUMMYFUNCTION("""COMPUTED_VALUE"""),10.31)</f>
        <v>10.31</v>
      </c>
      <c r="G2455" s="112">
        <f ca="1">IFERROR(__xludf.DUMMYFUNCTION("""COMPUTED_VALUE"""),43895.7055555555)</f>
        <v>43895.705555555498</v>
      </c>
      <c r="H2455" s="111">
        <f ca="1">IFERROR(__xludf.DUMMYFUNCTION("""COMPUTED_VALUE"""),25.29)</f>
        <v>25.29</v>
      </c>
      <c r="K2455" s="112">
        <f ca="1">IFERROR(__xludf.DUMMYFUNCTION("""COMPUTED_VALUE"""),44343.7055555555)</f>
        <v>44343.705555555498</v>
      </c>
      <c r="L2455" s="111">
        <f ca="1">IFERROR(__xludf.DUMMYFUNCTION("""COMPUTED_VALUE"""),19.6)</f>
        <v>19.600000000000001</v>
      </c>
      <c r="M2455" s="112">
        <f ca="1">IFERROR(__xludf.DUMMYFUNCTION("""COMPUTED_VALUE"""),43798.7055555555)</f>
        <v>43798.705555555498</v>
      </c>
      <c r="N2455" s="111">
        <f ca="1">IFERROR(__xludf.DUMMYFUNCTION("""COMPUTED_VALUE"""),27.58)</f>
        <v>27.58</v>
      </c>
      <c r="O2455" s="112">
        <f ca="1">IFERROR(__xludf.DUMMYFUNCTION("""COMPUTED_VALUE"""),43878.7055555555)</f>
        <v>43878.705555555498</v>
      </c>
      <c r="P2455" s="111">
        <f ca="1">IFERROR(__xludf.DUMMYFUNCTION("""COMPUTED_VALUE"""),53.41)</f>
        <v>53.41</v>
      </c>
      <c r="Q2455" s="112">
        <f ca="1">IFERROR(__xludf.DUMMYFUNCTION("""COMPUTED_VALUE"""),43875.7055555555)</f>
        <v>43875.705555555498</v>
      </c>
      <c r="R2455" s="111">
        <f ca="1">IFERROR(__xludf.DUMMYFUNCTION("""COMPUTED_VALUE"""),49.85)</f>
        <v>49.85</v>
      </c>
      <c r="S2455" s="112">
        <f ca="1">IFERROR(__xludf.DUMMYFUNCTION("""COMPUTED_VALUE"""),43893.7055555555)</f>
        <v>43893.705555555498</v>
      </c>
      <c r="T2455" s="111">
        <f ca="1">IFERROR(__xludf.DUMMYFUNCTION("""COMPUTED_VALUE"""),48.48)</f>
        <v>48.48</v>
      </c>
    </row>
    <row r="2456" spans="1:20" x14ac:dyDescent="0.3">
      <c r="A2456" s="112">
        <f ca="1">IFERROR(__xludf.DUMMYFUNCTION("""COMPUTED_VALUE"""),43888.7055555555)</f>
        <v>43888.705555555498</v>
      </c>
      <c r="B2456" s="111">
        <f ca="1">IFERROR(__xludf.DUMMYFUNCTION("""COMPUTED_VALUE"""),33.14)</f>
        <v>33.14</v>
      </c>
      <c r="C2456" s="112">
        <f ca="1">IFERROR(__xludf.DUMMYFUNCTION("""COMPUTED_VALUE"""),43899.7055555555)</f>
        <v>43899.705555555498</v>
      </c>
      <c r="D2456" s="111">
        <f ca="1">IFERROR(__xludf.DUMMYFUNCTION("""COMPUTED_VALUE"""),27.8)</f>
        <v>27.8</v>
      </c>
      <c r="E2456" s="112">
        <f ca="1">IFERROR(__xludf.DUMMYFUNCTION("""COMPUTED_VALUE"""),43900.7055555555)</f>
        <v>43900.705555555498</v>
      </c>
      <c r="F2456" s="111">
        <f ca="1">IFERROR(__xludf.DUMMYFUNCTION("""COMPUTED_VALUE"""),10.53)</f>
        <v>10.53</v>
      </c>
      <c r="G2456" s="112">
        <f ca="1">IFERROR(__xludf.DUMMYFUNCTION("""COMPUTED_VALUE"""),43896.7055555555)</f>
        <v>43896.705555555498</v>
      </c>
      <c r="H2456" s="111">
        <f ca="1">IFERROR(__xludf.DUMMYFUNCTION("""COMPUTED_VALUE"""),22.83)</f>
        <v>22.83</v>
      </c>
      <c r="K2456" s="112">
        <f ca="1">IFERROR(__xludf.DUMMYFUNCTION("""COMPUTED_VALUE"""),44344.7055555555)</f>
        <v>44344.705555555498</v>
      </c>
      <c r="L2456" s="111">
        <f ca="1">IFERROR(__xludf.DUMMYFUNCTION("""COMPUTED_VALUE"""),20.26)</f>
        <v>20.260000000000002</v>
      </c>
      <c r="M2456" s="112">
        <f ca="1">IFERROR(__xludf.DUMMYFUNCTION("""COMPUTED_VALUE"""),43801.7055555555)</f>
        <v>43801.705555555498</v>
      </c>
      <c r="N2456" s="111">
        <f ca="1">IFERROR(__xludf.DUMMYFUNCTION("""COMPUTED_VALUE"""),27.76)</f>
        <v>27.76</v>
      </c>
      <c r="O2456" s="112">
        <f ca="1">IFERROR(__xludf.DUMMYFUNCTION("""COMPUTED_VALUE"""),43879.7055555555)</f>
        <v>43879.705555555498</v>
      </c>
      <c r="P2456" s="111">
        <f ca="1">IFERROR(__xludf.DUMMYFUNCTION("""COMPUTED_VALUE"""),52.8)</f>
        <v>52.8</v>
      </c>
      <c r="Q2456" s="112">
        <f ca="1">IFERROR(__xludf.DUMMYFUNCTION("""COMPUTED_VALUE"""),43878.7055555555)</f>
        <v>43878.705555555498</v>
      </c>
      <c r="R2456" s="111">
        <f ca="1">IFERROR(__xludf.DUMMYFUNCTION("""COMPUTED_VALUE"""),49.1)</f>
        <v>49.1</v>
      </c>
      <c r="S2456" s="112">
        <f ca="1">IFERROR(__xludf.DUMMYFUNCTION("""COMPUTED_VALUE"""),43894.7055555555)</f>
        <v>43894.705555555498</v>
      </c>
      <c r="T2456" s="111">
        <f ca="1">IFERROR(__xludf.DUMMYFUNCTION("""COMPUTED_VALUE"""),49.59)</f>
        <v>49.59</v>
      </c>
    </row>
    <row r="2457" spans="1:20" x14ac:dyDescent="0.3">
      <c r="A2457" s="112">
        <f ca="1">IFERROR(__xludf.DUMMYFUNCTION("""COMPUTED_VALUE"""),43889.7055555555)</f>
        <v>43889.705555555498</v>
      </c>
      <c r="B2457" s="111">
        <f ca="1">IFERROR(__xludf.DUMMYFUNCTION("""COMPUTED_VALUE"""),34.16)</f>
        <v>34.159999999999997</v>
      </c>
      <c r="C2457" s="112">
        <f ca="1">IFERROR(__xludf.DUMMYFUNCTION("""COMPUTED_VALUE"""),43900.7055555555)</f>
        <v>43900.705555555498</v>
      </c>
      <c r="D2457" s="111">
        <f ca="1">IFERROR(__xludf.DUMMYFUNCTION("""COMPUTED_VALUE"""),28.49)</f>
        <v>28.49</v>
      </c>
      <c r="E2457" s="112">
        <f ca="1">IFERROR(__xludf.DUMMYFUNCTION("""COMPUTED_VALUE"""),43901.7055555555)</f>
        <v>43901.705555555498</v>
      </c>
      <c r="F2457" s="111">
        <f ca="1">IFERROR(__xludf.DUMMYFUNCTION("""COMPUTED_VALUE"""),9.9)</f>
        <v>9.9</v>
      </c>
      <c r="G2457" s="112">
        <f ca="1">IFERROR(__xludf.DUMMYFUNCTION("""COMPUTED_VALUE"""),43899.7055555555)</f>
        <v>43899.705555555498</v>
      </c>
      <c r="H2457" s="111">
        <f ca="1">IFERROR(__xludf.DUMMYFUNCTION("""COMPUTED_VALUE"""),16.05)</f>
        <v>16.05</v>
      </c>
      <c r="K2457" s="112">
        <f ca="1">IFERROR(__xludf.DUMMYFUNCTION("""COMPUTED_VALUE"""),44347.7055555555)</f>
        <v>44347.705555555498</v>
      </c>
      <c r="L2457" s="111">
        <f ca="1">IFERROR(__xludf.DUMMYFUNCTION("""COMPUTED_VALUE"""),20.17)</f>
        <v>20.170000000000002</v>
      </c>
      <c r="M2457" s="112">
        <f ca="1">IFERROR(__xludf.DUMMYFUNCTION("""COMPUTED_VALUE"""),43802.7055555555)</f>
        <v>43802.705555555498</v>
      </c>
      <c r="N2457" s="111">
        <f ca="1">IFERROR(__xludf.DUMMYFUNCTION("""COMPUTED_VALUE"""),27.84)</f>
        <v>27.84</v>
      </c>
      <c r="O2457" s="112">
        <f ca="1">IFERROR(__xludf.DUMMYFUNCTION("""COMPUTED_VALUE"""),43880.7055555555)</f>
        <v>43880.705555555498</v>
      </c>
      <c r="P2457" s="111">
        <f ca="1">IFERROR(__xludf.DUMMYFUNCTION("""COMPUTED_VALUE"""),52.81)</f>
        <v>52.81</v>
      </c>
      <c r="Q2457" s="112">
        <f ca="1">IFERROR(__xludf.DUMMYFUNCTION("""COMPUTED_VALUE"""),43879.7055555555)</f>
        <v>43879.705555555498</v>
      </c>
      <c r="R2457" s="111">
        <f ca="1">IFERROR(__xludf.DUMMYFUNCTION("""COMPUTED_VALUE"""),49.57)</f>
        <v>49.57</v>
      </c>
      <c r="S2457" s="112">
        <f ca="1">IFERROR(__xludf.DUMMYFUNCTION("""COMPUTED_VALUE"""),43895.7055555555)</f>
        <v>43895.705555555498</v>
      </c>
      <c r="T2457" s="111">
        <f ca="1">IFERROR(__xludf.DUMMYFUNCTION("""COMPUTED_VALUE"""),47.09)</f>
        <v>47.09</v>
      </c>
    </row>
    <row r="2458" spans="1:20" x14ac:dyDescent="0.3">
      <c r="A2458" s="112">
        <f ca="1">IFERROR(__xludf.DUMMYFUNCTION("""COMPUTED_VALUE"""),43892.7055555555)</f>
        <v>43892.705555555498</v>
      </c>
      <c r="B2458" s="111">
        <f ca="1">IFERROR(__xludf.DUMMYFUNCTION("""COMPUTED_VALUE"""),35.05)</f>
        <v>35.049999999999997</v>
      </c>
      <c r="C2458" s="112">
        <f ca="1">IFERROR(__xludf.DUMMYFUNCTION("""COMPUTED_VALUE"""),43901.7055555555)</f>
        <v>43901.705555555498</v>
      </c>
      <c r="D2458" s="111">
        <f ca="1">IFERROR(__xludf.DUMMYFUNCTION("""COMPUTED_VALUE"""),26.17)</f>
        <v>26.17</v>
      </c>
      <c r="E2458" s="112">
        <f ca="1">IFERROR(__xludf.DUMMYFUNCTION("""COMPUTED_VALUE"""),43902.7055555555)</f>
        <v>43902.705555555498</v>
      </c>
      <c r="F2458" s="111">
        <f ca="1">IFERROR(__xludf.DUMMYFUNCTION("""COMPUTED_VALUE"""),8.83)</f>
        <v>8.83</v>
      </c>
      <c r="G2458" s="112">
        <f ca="1">IFERROR(__xludf.DUMMYFUNCTION("""COMPUTED_VALUE"""),43900.7055555555)</f>
        <v>43900.705555555498</v>
      </c>
      <c r="H2458" s="111">
        <f ca="1">IFERROR(__xludf.DUMMYFUNCTION("""COMPUTED_VALUE"""),17.56)</f>
        <v>17.559999999999999</v>
      </c>
      <c r="K2458" s="112">
        <f ca="1">IFERROR(__xludf.DUMMYFUNCTION("""COMPUTED_VALUE"""),44348.7055555555)</f>
        <v>44348.705555555498</v>
      </c>
      <c r="L2458" s="111">
        <f ca="1">IFERROR(__xludf.DUMMYFUNCTION("""COMPUTED_VALUE"""),20.36)</f>
        <v>20.36</v>
      </c>
      <c r="M2458" s="112">
        <f ca="1">IFERROR(__xludf.DUMMYFUNCTION("""COMPUTED_VALUE"""),43803.7055555555)</f>
        <v>43803.705555555498</v>
      </c>
      <c r="N2458" s="111">
        <f ca="1">IFERROR(__xludf.DUMMYFUNCTION("""COMPUTED_VALUE"""),28.56)</f>
        <v>28.56</v>
      </c>
      <c r="O2458" s="112">
        <f ca="1">IFERROR(__xludf.DUMMYFUNCTION("""COMPUTED_VALUE"""),43881.7055555555)</f>
        <v>43881.705555555498</v>
      </c>
      <c r="P2458" s="111">
        <f ca="1">IFERROR(__xludf.DUMMYFUNCTION("""COMPUTED_VALUE"""),52.2)</f>
        <v>52.2</v>
      </c>
      <c r="Q2458" s="112">
        <f ca="1">IFERROR(__xludf.DUMMYFUNCTION("""COMPUTED_VALUE"""),43880.7055555555)</f>
        <v>43880.705555555498</v>
      </c>
      <c r="R2458" s="111">
        <f ca="1">IFERROR(__xludf.DUMMYFUNCTION("""COMPUTED_VALUE"""),49.69)</f>
        <v>49.69</v>
      </c>
      <c r="S2458" s="112">
        <f ca="1">IFERROR(__xludf.DUMMYFUNCTION("""COMPUTED_VALUE"""),43896.7055555555)</f>
        <v>43896.705555555498</v>
      </c>
      <c r="T2458" s="111">
        <f ca="1">IFERROR(__xludf.DUMMYFUNCTION("""COMPUTED_VALUE"""),46.16)</f>
        <v>46.16</v>
      </c>
    </row>
    <row r="2459" spans="1:20" x14ac:dyDescent="0.3">
      <c r="A2459" s="112">
        <f ca="1">IFERROR(__xludf.DUMMYFUNCTION("""COMPUTED_VALUE"""),43893.7055555555)</f>
        <v>43893.705555555498</v>
      </c>
      <c r="B2459" s="111">
        <f ca="1">IFERROR(__xludf.DUMMYFUNCTION("""COMPUTED_VALUE"""),34.66)</f>
        <v>34.659999999999997</v>
      </c>
      <c r="C2459" s="112">
        <f ca="1">IFERROR(__xludf.DUMMYFUNCTION("""COMPUTED_VALUE"""),43902.7055555555)</f>
        <v>43902.705555555498</v>
      </c>
      <c r="D2459" s="111">
        <f ca="1">IFERROR(__xludf.DUMMYFUNCTION("""COMPUTED_VALUE"""),23.6)</f>
        <v>23.6</v>
      </c>
      <c r="E2459" s="112">
        <f ca="1">IFERROR(__xludf.DUMMYFUNCTION("""COMPUTED_VALUE"""),43903.7055555555)</f>
        <v>43903.705555555498</v>
      </c>
      <c r="F2459" s="111">
        <f ca="1">IFERROR(__xludf.DUMMYFUNCTION("""COMPUTED_VALUE"""),9.71)</f>
        <v>9.7100000000000009</v>
      </c>
      <c r="G2459" s="112">
        <f ca="1">IFERROR(__xludf.DUMMYFUNCTION("""COMPUTED_VALUE"""),43901.7055555555)</f>
        <v>43901.705555555498</v>
      </c>
      <c r="H2459" s="111">
        <f ca="1">IFERROR(__xludf.DUMMYFUNCTION("""COMPUTED_VALUE"""),15.85)</f>
        <v>15.85</v>
      </c>
      <c r="K2459" s="112">
        <f ca="1">IFERROR(__xludf.DUMMYFUNCTION("""COMPUTED_VALUE"""),44349.7055555555)</f>
        <v>44349.705555555498</v>
      </c>
      <c r="L2459" s="111">
        <f ca="1">IFERROR(__xludf.DUMMYFUNCTION("""COMPUTED_VALUE"""),20.51)</f>
        <v>20.51</v>
      </c>
      <c r="M2459" s="112">
        <f ca="1">IFERROR(__xludf.DUMMYFUNCTION("""COMPUTED_VALUE"""),43804.7055555555)</f>
        <v>43804.705555555498</v>
      </c>
      <c r="N2459" s="111">
        <f ca="1">IFERROR(__xludf.DUMMYFUNCTION("""COMPUTED_VALUE"""),28.68)</f>
        <v>28.68</v>
      </c>
      <c r="O2459" s="112">
        <f ca="1">IFERROR(__xludf.DUMMYFUNCTION("""COMPUTED_VALUE"""),43882.7055555555)</f>
        <v>43882.705555555498</v>
      </c>
      <c r="P2459" s="111">
        <f ca="1">IFERROR(__xludf.DUMMYFUNCTION("""COMPUTED_VALUE"""),50.13)</f>
        <v>50.13</v>
      </c>
      <c r="Q2459" s="112">
        <f ca="1">IFERROR(__xludf.DUMMYFUNCTION("""COMPUTED_VALUE"""),43881.7055555555)</f>
        <v>43881.705555555498</v>
      </c>
      <c r="R2459" s="111">
        <f ca="1">IFERROR(__xludf.DUMMYFUNCTION("""COMPUTED_VALUE"""),49.18)</f>
        <v>49.18</v>
      </c>
      <c r="S2459" s="112">
        <f ca="1">IFERROR(__xludf.DUMMYFUNCTION("""COMPUTED_VALUE"""),43899.7055555555)</f>
        <v>43899.705555555498</v>
      </c>
      <c r="T2459" s="111">
        <f ca="1">IFERROR(__xludf.DUMMYFUNCTION("""COMPUTED_VALUE"""),41.82)</f>
        <v>41.82</v>
      </c>
    </row>
    <row r="2460" spans="1:20" x14ac:dyDescent="0.3">
      <c r="A2460" s="112">
        <f ca="1">IFERROR(__xludf.DUMMYFUNCTION("""COMPUTED_VALUE"""),43894.7055555555)</f>
        <v>43894.705555555498</v>
      </c>
      <c r="B2460" s="111">
        <f ca="1">IFERROR(__xludf.DUMMYFUNCTION("""COMPUTED_VALUE"""),35.79)</f>
        <v>35.79</v>
      </c>
      <c r="C2460" s="112">
        <f ca="1">IFERROR(__xludf.DUMMYFUNCTION("""COMPUTED_VALUE"""),43903.7055555555)</f>
        <v>43903.705555555498</v>
      </c>
      <c r="D2460" s="111">
        <f ca="1">IFERROR(__xludf.DUMMYFUNCTION("""COMPUTED_VALUE"""),26.21)</f>
        <v>26.21</v>
      </c>
      <c r="E2460" s="112">
        <f ca="1">IFERROR(__xludf.DUMMYFUNCTION("""COMPUTED_VALUE"""),43906.7055555555)</f>
        <v>43906.705555555498</v>
      </c>
      <c r="F2460" s="111">
        <f ca="1">IFERROR(__xludf.DUMMYFUNCTION("""COMPUTED_VALUE"""),8.67)</f>
        <v>8.67</v>
      </c>
      <c r="G2460" s="112">
        <f ca="1">IFERROR(__xludf.DUMMYFUNCTION("""COMPUTED_VALUE"""),43902.7055555555)</f>
        <v>43902.705555555498</v>
      </c>
      <c r="H2460" s="111">
        <f ca="1">IFERROR(__xludf.DUMMYFUNCTION("""COMPUTED_VALUE"""),12.6)</f>
        <v>12.6</v>
      </c>
      <c r="K2460" s="112">
        <f ca="1">IFERROR(__xludf.DUMMYFUNCTION("""COMPUTED_VALUE"""),44351.7055555555)</f>
        <v>44351.705555555498</v>
      </c>
      <c r="L2460" s="111">
        <f ca="1">IFERROR(__xludf.DUMMYFUNCTION("""COMPUTED_VALUE"""),20.86)</f>
        <v>20.86</v>
      </c>
      <c r="M2460" s="112">
        <f ca="1">IFERROR(__xludf.DUMMYFUNCTION("""COMPUTED_VALUE"""),43805.7055555555)</f>
        <v>43805.705555555498</v>
      </c>
      <c r="N2460" s="111">
        <f ca="1">IFERROR(__xludf.DUMMYFUNCTION("""COMPUTED_VALUE"""),28.36)</f>
        <v>28.36</v>
      </c>
      <c r="O2460" s="112">
        <f ca="1">IFERROR(__xludf.DUMMYFUNCTION("""COMPUTED_VALUE"""),43887.7055555555)</f>
        <v>43887.705555555498</v>
      </c>
      <c r="P2460" s="111">
        <f ca="1">IFERROR(__xludf.DUMMYFUNCTION("""COMPUTED_VALUE"""),45.35)</f>
        <v>45.35</v>
      </c>
      <c r="Q2460" s="112">
        <f ca="1">IFERROR(__xludf.DUMMYFUNCTION("""COMPUTED_VALUE"""),43882.7055555555)</f>
        <v>43882.705555555498</v>
      </c>
      <c r="R2460" s="111">
        <f ca="1">IFERROR(__xludf.DUMMYFUNCTION("""COMPUTED_VALUE"""),49.22)</f>
        <v>49.22</v>
      </c>
      <c r="S2460" s="112">
        <f ca="1">IFERROR(__xludf.DUMMYFUNCTION("""COMPUTED_VALUE"""),43900.7055555555)</f>
        <v>43900.705555555498</v>
      </c>
      <c r="T2460" s="111">
        <f ca="1">IFERROR(__xludf.DUMMYFUNCTION("""COMPUTED_VALUE"""),45.68)</f>
        <v>45.68</v>
      </c>
    </row>
    <row r="2461" spans="1:20" x14ac:dyDescent="0.3">
      <c r="A2461" s="112">
        <f ca="1">IFERROR(__xludf.DUMMYFUNCTION("""COMPUTED_VALUE"""),43895.7055555555)</f>
        <v>43895.705555555498</v>
      </c>
      <c r="B2461" s="111">
        <f ca="1">IFERROR(__xludf.DUMMYFUNCTION("""COMPUTED_VALUE"""),34.71)</f>
        <v>34.71</v>
      </c>
      <c r="C2461" s="112">
        <f ca="1">IFERROR(__xludf.DUMMYFUNCTION("""COMPUTED_VALUE"""),43906.7055555555)</f>
        <v>43906.705555555498</v>
      </c>
      <c r="D2461" s="111">
        <f ca="1">IFERROR(__xludf.DUMMYFUNCTION("""COMPUTED_VALUE"""),23.8)</f>
        <v>23.8</v>
      </c>
      <c r="E2461" s="112">
        <f ca="1">IFERROR(__xludf.DUMMYFUNCTION("""COMPUTED_VALUE"""),43907.7055555555)</f>
        <v>43907.705555555498</v>
      </c>
      <c r="F2461" s="111">
        <f ca="1">IFERROR(__xludf.DUMMYFUNCTION("""COMPUTED_VALUE"""),9.09)</f>
        <v>9.09</v>
      </c>
      <c r="G2461" s="112">
        <f ca="1">IFERROR(__xludf.DUMMYFUNCTION("""COMPUTED_VALUE"""),43903.7055555555)</f>
        <v>43903.705555555498</v>
      </c>
      <c r="H2461" s="111">
        <f ca="1">IFERROR(__xludf.DUMMYFUNCTION("""COMPUTED_VALUE"""),15.4)</f>
        <v>15.4</v>
      </c>
      <c r="K2461" s="112">
        <f ca="1">IFERROR(__xludf.DUMMYFUNCTION("""COMPUTED_VALUE"""),44354.7055555555)</f>
        <v>44354.705555555498</v>
      </c>
      <c r="L2461" s="111">
        <f ca="1">IFERROR(__xludf.DUMMYFUNCTION("""COMPUTED_VALUE"""),20.81)</f>
        <v>20.81</v>
      </c>
      <c r="M2461" s="112">
        <f ca="1">IFERROR(__xludf.DUMMYFUNCTION("""COMPUTED_VALUE"""),43808.7055555555)</f>
        <v>43808.705555555498</v>
      </c>
      <c r="N2461" s="111">
        <f ca="1">IFERROR(__xludf.DUMMYFUNCTION("""COMPUTED_VALUE"""),28.6)</f>
        <v>28.6</v>
      </c>
      <c r="O2461" s="112">
        <f ca="1">IFERROR(__xludf.DUMMYFUNCTION("""COMPUTED_VALUE"""),43888.7055555555)</f>
        <v>43888.705555555498</v>
      </c>
      <c r="P2461" s="111">
        <f ca="1">IFERROR(__xludf.DUMMYFUNCTION("""COMPUTED_VALUE"""),44.47)</f>
        <v>44.47</v>
      </c>
      <c r="Q2461" s="112">
        <f ca="1">IFERROR(__xludf.DUMMYFUNCTION("""COMPUTED_VALUE"""),43887.7055555555)</f>
        <v>43887.705555555498</v>
      </c>
      <c r="R2461" s="111">
        <f ca="1">IFERROR(__xludf.DUMMYFUNCTION("""COMPUTED_VALUE"""),45.23)</f>
        <v>45.23</v>
      </c>
      <c r="S2461" s="112">
        <f ca="1">IFERROR(__xludf.DUMMYFUNCTION("""COMPUTED_VALUE"""),43901.7055555555)</f>
        <v>43901.705555555498</v>
      </c>
      <c r="T2461" s="111">
        <f ca="1">IFERROR(__xludf.DUMMYFUNCTION("""COMPUTED_VALUE"""),42.81)</f>
        <v>42.81</v>
      </c>
    </row>
    <row r="2462" spans="1:20" x14ac:dyDescent="0.3">
      <c r="A2462" s="112">
        <f ca="1">IFERROR(__xludf.DUMMYFUNCTION("""COMPUTED_VALUE"""),43896.7055555555)</f>
        <v>43896.705555555498</v>
      </c>
      <c r="B2462" s="111">
        <f ca="1">IFERROR(__xludf.DUMMYFUNCTION("""COMPUTED_VALUE"""),32)</f>
        <v>32</v>
      </c>
      <c r="C2462" s="112">
        <f ca="1">IFERROR(__xludf.DUMMYFUNCTION("""COMPUTED_VALUE"""),43907.7055555555)</f>
        <v>43907.705555555498</v>
      </c>
      <c r="D2462" s="111">
        <f ca="1">IFERROR(__xludf.DUMMYFUNCTION("""COMPUTED_VALUE"""),25.2)</f>
        <v>25.2</v>
      </c>
      <c r="E2462" s="112">
        <f ca="1">IFERROR(__xludf.DUMMYFUNCTION("""COMPUTED_VALUE"""),43908.7055555555)</f>
        <v>43908.705555555498</v>
      </c>
      <c r="F2462" s="111">
        <f ca="1">IFERROR(__xludf.DUMMYFUNCTION("""COMPUTED_VALUE"""),8.64)</f>
        <v>8.64</v>
      </c>
      <c r="G2462" s="112">
        <f ca="1">IFERROR(__xludf.DUMMYFUNCTION("""COMPUTED_VALUE"""),43906.7055555555)</f>
        <v>43906.705555555498</v>
      </c>
      <c r="H2462" s="111">
        <f ca="1">IFERROR(__xludf.DUMMYFUNCTION("""COMPUTED_VALUE"""),13.09)</f>
        <v>13.09</v>
      </c>
      <c r="K2462" s="112">
        <f ca="1">IFERROR(__xludf.DUMMYFUNCTION("""COMPUTED_VALUE"""),44355.7055555555)</f>
        <v>44355.705555555498</v>
      </c>
      <c r="L2462" s="111">
        <f ca="1">IFERROR(__xludf.DUMMYFUNCTION("""COMPUTED_VALUE"""),21.06)</f>
        <v>21.06</v>
      </c>
      <c r="M2462" s="112">
        <f ca="1">IFERROR(__xludf.DUMMYFUNCTION("""COMPUTED_VALUE"""),43809.7055555555)</f>
        <v>43809.705555555498</v>
      </c>
      <c r="N2462" s="111">
        <f ca="1">IFERROR(__xludf.DUMMYFUNCTION("""COMPUTED_VALUE"""),28.5)</f>
        <v>28.5</v>
      </c>
      <c r="O2462" s="112">
        <f ca="1">IFERROR(__xludf.DUMMYFUNCTION("""COMPUTED_VALUE"""),43889.7055555555)</f>
        <v>43889.705555555498</v>
      </c>
      <c r="P2462" s="111">
        <f ca="1">IFERROR(__xludf.DUMMYFUNCTION("""COMPUTED_VALUE"""),44.31)</f>
        <v>44.31</v>
      </c>
      <c r="Q2462" s="112">
        <f ca="1">IFERROR(__xludf.DUMMYFUNCTION("""COMPUTED_VALUE"""),43888.7055555555)</f>
        <v>43888.705555555498</v>
      </c>
      <c r="R2462" s="111">
        <f ca="1">IFERROR(__xludf.DUMMYFUNCTION("""COMPUTED_VALUE"""),45.79)</f>
        <v>45.79</v>
      </c>
      <c r="S2462" s="112">
        <f ca="1">IFERROR(__xludf.DUMMYFUNCTION("""COMPUTED_VALUE"""),43902.7055555555)</f>
        <v>43902.705555555498</v>
      </c>
      <c r="T2462" s="111">
        <f ca="1">IFERROR(__xludf.DUMMYFUNCTION("""COMPUTED_VALUE"""),39.28)</f>
        <v>39.28</v>
      </c>
    </row>
    <row r="2463" spans="1:20" x14ac:dyDescent="0.3">
      <c r="A2463" s="112">
        <f ca="1">IFERROR(__xludf.DUMMYFUNCTION("""COMPUTED_VALUE"""),43899.7055555555)</f>
        <v>43899.705555555498</v>
      </c>
      <c r="B2463" s="111">
        <f ca="1">IFERROR(__xludf.DUMMYFUNCTION("""COMPUTED_VALUE"""),27.26)</f>
        <v>27.26</v>
      </c>
      <c r="C2463" s="112">
        <f ca="1">IFERROR(__xludf.DUMMYFUNCTION("""COMPUTED_VALUE"""),43908.7055555555)</f>
        <v>43908.705555555498</v>
      </c>
      <c r="D2463" s="111">
        <f ca="1">IFERROR(__xludf.DUMMYFUNCTION("""COMPUTED_VALUE"""),23.45)</f>
        <v>23.45</v>
      </c>
      <c r="E2463" s="112">
        <f ca="1">IFERROR(__xludf.DUMMYFUNCTION("""COMPUTED_VALUE"""),43909.7055555555)</f>
        <v>43909.705555555498</v>
      </c>
      <c r="F2463" s="111">
        <f ca="1">IFERROR(__xludf.DUMMYFUNCTION("""COMPUTED_VALUE"""),8.34)</f>
        <v>8.34</v>
      </c>
      <c r="G2463" s="112">
        <f ca="1">IFERROR(__xludf.DUMMYFUNCTION("""COMPUTED_VALUE"""),43907.7055555555)</f>
        <v>43907.705555555498</v>
      </c>
      <c r="H2463" s="111">
        <f ca="1">IFERROR(__xludf.DUMMYFUNCTION("""COMPUTED_VALUE"""),13)</f>
        <v>13</v>
      </c>
      <c r="K2463" s="112">
        <f ca="1">IFERROR(__xludf.DUMMYFUNCTION("""COMPUTED_VALUE"""),44356.7055555555)</f>
        <v>44356.705555555498</v>
      </c>
      <c r="L2463" s="111">
        <f ca="1">IFERROR(__xludf.DUMMYFUNCTION("""COMPUTED_VALUE"""),20.28)</f>
        <v>20.28</v>
      </c>
      <c r="M2463" s="112">
        <f ca="1">IFERROR(__xludf.DUMMYFUNCTION("""COMPUTED_VALUE"""),43810.7055555555)</f>
        <v>43810.705555555498</v>
      </c>
      <c r="N2463" s="111">
        <f ca="1">IFERROR(__xludf.DUMMYFUNCTION("""COMPUTED_VALUE"""),28.33)</f>
        <v>28.33</v>
      </c>
      <c r="O2463" s="112">
        <f ca="1">IFERROR(__xludf.DUMMYFUNCTION("""COMPUTED_VALUE"""),43892.7055555555)</f>
        <v>43892.705555555498</v>
      </c>
      <c r="P2463" s="111">
        <f ca="1">IFERROR(__xludf.DUMMYFUNCTION("""COMPUTED_VALUE"""),46.36)</f>
        <v>46.36</v>
      </c>
      <c r="Q2463" s="112">
        <f ca="1">IFERROR(__xludf.DUMMYFUNCTION("""COMPUTED_VALUE"""),43889.7055555555)</f>
        <v>43889.705555555498</v>
      </c>
      <c r="R2463" s="111">
        <f ca="1">IFERROR(__xludf.DUMMYFUNCTION("""COMPUTED_VALUE"""),46.86)</f>
        <v>46.86</v>
      </c>
      <c r="S2463" s="112">
        <f ca="1">IFERROR(__xludf.DUMMYFUNCTION("""COMPUTED_VALUE"""),43903.7055555555)</f>
        <v>43903.705555555498</v>
      </c>
      <c r="T2463" s="111">
        <f ca="1">IFERROR(__xludf.DUMMYFUNCTION("""COMPUTED_VALUE"""),42.53)</f>
        <v>42.53</v>
      </c>
    </row>
    <row r="2464" spans="1:20" x14ac:dyDescent="0.3">
      <c r="A2464" s="112">
        <f ca="1">IFERROR(__xludf.DUMMYFUNCTION("""COMPUTED_VALUE"""),43900.7055555555)</f>
        <v>43900.705555555498</v>
      </c>
      <c r="B2464" s="111">
        <f ca="1">IFERROR(__xludf.DUMMYFUNCTION("""COMPUTED_VALUE"""),31.34)</f>
        <v>31.34</v>
      </c>
      <c r="C2464" s="112">
        <f ca="1">IFERROR(__xludf.DUMMYFUNCTION("""COMPUTED_VALUE"""),43909.7055555555)</f>
        <v>43909.705555555498</v>
      </c>
      <c r="D2464" s="111">
        <f ca="1">IFERROR(__xludf.DUMMYFUNCTION("""COMPUTED_VALUE"""),22.85)</f>
        <v>22.85</v>
      </c>
      <c r="E2464" s="112">
        <f ca="1">IFERROR(__xludf.DUMMYFUNCTION("""COMPUTED_VALUE"""),43910.7055555555)</f>
        <v>43910.705555555498</v>
      </c>
      <c r="F2464" s="111">
        <f ca="1">IFERROR(__xludf.DUMMYFUNCTION("""COMPUTED_VALUE"""),7.91)</f>
        <v>7.91</v>
      </c>
      <c r="G2464" s="112">
        <f ca="1">IFERROR(__xludf.DUMMYFUNCTION("""COMPUTED_VALUE"""),43908.7055555555)</f>
        <v>43908.705555555498</v>
      </c>
      <c r="H2464" s="111">
        <f ca="1">IFERROR(__xludf.DUMMYFUNCTION("""COMPUTED_VALUE"""),11.29)</f>
        <v>11.29</v>
      </c>
      <c r="K2464" s="112">
        <f ca="1">IFERROR(__xludf.DUMMYFUNCTION("""COMPUTED_VALUE"""),44357.7055555555)</f>
        <v>44357.705555555498</v>
      </c>
      <c r="L2464" s="111">
        <f ca="1">IFERROR(__xludf.DUMMYFUNCTION("""COMPUTED_VALUE"""),20.29)</f>
        <v>20.29</v>
      </c>
      <c r="M2464" s="112">
        <f ca="1">IFERROR(__xludf.DUMMYFUNCTION("""COMPUTED_VALUE"""),43811.7055555555)</f>
        <v>43811.705555555498</v>
      </c>
      <c r="N2464" s="111">
        <f ca="1">IFERROR(__xludf.DUMMYFUNCTION("""COMPUTED_VALUE"""),28.71)</f>
        <v>28.71</v>
      </c>
      <c r="O2464" s="112">
        <f ca="1">IFERROR(__xludf.DUMMYFUNCTION("""COMPUTED_VALUE"""),43893.7055555555)</f>
        <v>43893.705555555498</v>
      </c>
      <c r="P2464" s="111">
        <f ca="1">IFERROR(__xludf.DUMMYFUNCTION("""COMPUTED_VALUE"""),46.35)</f>
        <v>46.35</v>
      </c>
      <c r="Q2464" s="112">
        <f ca="1">IFERROR(__xludf.DUMMYFUNCTION("""COMPUTED_VALUE"""),43892.7055555555)</f>
        <v>43892.705555555498</v>
      </c>
      <c r="R2464" s="111">
        <f ca="1">IFERROR(__xludf.DUMMYFUNCTION("""COMPUTED_VALUE"""),47.15)</f>
        <v>47.15</v>
      </c>
      <c r="S2464" s="112">
        <f ca="1">IFERROR(__xludf.DUMMYFUNCTION("""COMPUTED_VALUE"""),43906.7055555555)</f>
        <v>43906.705555555498</v>
      </c>
      <c r="T2464" s="111">
        <f ca="1">IFERROR(__xludf.DUMMYFUNCTION("""COMPUTED_VALUE"""),33.55)</f>
        <v>33.549999999999997</v>
      </c>
    </row>
    <row r="2465" spans="1:20" x14ac:dyDescent="0.3">
      <c r="A2465" s="112">
        <f ca="1">IFERROR(__xludf.DUMMYFUNCTION("""COMPUTED_VALUE"""),43901.7055555555)</f>
        <v>43901.705555555498</v>
      </c>
      <c r="B2465" s="111">
        <f ca="1">IFERROR(__xludf.DUMMYFUNCTION("""COMPUTED_VALUE"""),28.7)</f>
        <v>28.7</v>
      </c>
      <c r="C2465" s="112">
        <f ca="1">IFERROR(__xludf.DUMMYFUNCTION("""COMPUTED_VALUE"""),43910.7055555555)</f>
        <v>43910.705555555498</v>
      </c>
      <c r="D2465" s="111">
        <f ca="1">IFERROR(__xludf.DUMMYFUNCTION("""COMPUTED_VALUE"""),22.05)</f>
        <v>22.05</v>
      </c>
      <c r="E2465" s="112">
        <f ca="1">IFERROR(__xludf.DUMMYFUNCTION("""COMPUTED_VALUE"""),43913.7055555555)</f>
        <v>43913.705555555498</v>
      </c>
      <c r="F2465" s="111">
        <f ca="1">IFERROR(__xludf.DUMMYFUNCTION("""COMPUTED_VALUE"""),7.17)</f>
        <v>7.17</v>
      </c>
      <c r="G2465" s="112">
        <f ca="1">IFERROR(__xludf.DUMMYFUNCTION("""COMPUTED_VALUE"""),43909.7055555555)</f>
        <v>43909.705555555498</v>
      </c>
      <c r="H2465" s="111">
        <f ca="1">IFERROR(__xludf.DUMMYFUNCTION("""COMPUTED_VALUE"""),12.21)</f>
        <v>12.21</v>
      </c>
      <c r="K2465" s="112">
        <f ca="1">IFERROR(__xludf.DUMMYFUNCTION("""COMPUTED_VALUE"""),44358.7055555555)</f>
        <v>44358.705555555498</v>
      </c>
      <c r="L2465" s="111">
        <f ca="1">IFERROR(__xludf.DUMMYFUNCTION("""COMPUTED_VALUE"""),20.39)</f>
        <v>20.39</v>
      </c>
      <c r="M2465" s="112">
        <f ca="1">IFERROR(__xludf.DUMMYFUNCTION("""COMPUTED_VALUE"""),43812.7055555555)</f>
        <v>43812.705555555498</v>
      </c>
      <c r="N2465" s="111">
        <f ca="1">IFERROR(__xludf.DUMMYFUNCTION("""COMPUTED_VALUE"""),28.76)</f>
        <v>28.76</v>
      </c>
      <c r="O2465" s="112">
        <f ca="1">IFERROR(__xludf.DUMMYFUNCTION("""COMPUTED_VALUE"""),43894.7055555555)</f>
        <v>43894.705555555498</v>
      </c>
      <c r="P2465" s="111">
        <f ca="1">IFERROR(__xludf.DUMMYFUNCTION("""COMPUTED_VALUE"""),48.57)</f>
        <v>48.57</v>
      </c>
      <c r="Q2465" s="112">
        <f ca="1">IFERROR(__xludf.DUMMYFUNCTION("""COMPUTED_VALUE"""),43893.7055555555)</f>
        <v>43893.705555555498</v>
      </c>
      <c r="R2465" s="111">
        <f ca="1">IFERROR(__xludf.DUMMYFUNCTION("""COMPUTED_VALUE"""),45.77)</f>
        <v>45.77</v>
      </c>
      <c r="S2465" s="112">
        <f ca="1">IFERROR(__xludf.DUMMYFUNCTION("""COMPUTED_VALUE"""),43907.7055555555)</f>
        <v>43907.705555555498</v>
      </c>
      <c r="T2465" s="111">
        <f ca="1">IFERROR(__xludf.DUMMYFUNCTION("""COMPUTED_VALUE"""),35.04)</f>
        <v>35.04</v>
      </c>
    </row>
    <row r="2466" spans="1:20" x14ac:dyDescent="0.3">
      <c r="A2466" s="112">
        <f ca="1">IFERROR(__xludf.DUMMYFUNCTION("""COMPUTED_VALUE"""),43902.7055555555)</f>
        <v>43902.705555555498</v>
      </c>
      <c r="B2466" s="111">
        <f ca="1">IFERROR(__xludf.DUMMYFUNCTION("""COMPUTED_VALUE"""),23.47)</f>
        <v>23.47</v>
      </c>
      <c r="C2466" s="112">
        <f ca="1">IFERROR(__xludf.DUMMYFUNCTION("""COMPUTED_VALUE"""),43913.7055555555)</f>
        <v>43913.705555555498</v>
      </c>
      <c r="D2466" s="111">
        <f ca="1">IFERROR(__xludf.DUMMYFUNCTION("""COMPUTED_VALUE"""),20.52)</f>
        <v>20.52</v>
      </c>
      <c r="E2466" s="112">
        <f ca="1">IFERROR(__xludf.DUMMYFUNCTION("""COMPUTED_VALUE"""),43914.7055555555)</f>
        <v>43914.705555555498</v>
      </c>
      <c r="F2466" s="111">
        <f ca="1">IFERROR(__xludf.DUMMYFUNCTION("""COMPUTED_VALUE"""),7.69)</f>
        <v>7.69</v>
      </c>
      <c r="G2466" s="112">
        <f ca="1">IFERROR(__xludf.DUMMYFUNCTION("""COMPUTED_VALUE"""),43910.7055555555)</f>
        <v>43910.705555555498</v>
      </c>
      <c r="H2466" s="111">
        <f ca="1">IFERROR(__xludf.DUMMYFUNCTION("""COMPUTED_VALUE"""),12)</f>
        <v>12</v>
      </c>
      <c r="K2466" s="112">
        <f ca="1">IFERROR(__xludf.DUMMYFUNCTION("""COMPUTED_VALUE"""),44361.7055555555)</f>
        <v>44361.705555555498</v>
      </c>
      <c r="L2466" s="111">
        <f ca="1">IFERROR(__xludf.DUMMYFUNCTION("""COMPUTED_VALUE"""),20.6)</f>
        <v>20.6</v>
      </c>
      <c r="M2466" s="112">
        <f ca="1">IFERROR(__xludf.DUMMYFUNCTION("""COMPUTED_VALUE"""),43815.7055555555)</f>
        <v>43815.705555555498</v>
      </c>
      <c r="N2466" s="111">
        <f ca="1">IFERROR(__xludf.DUMMYFUNCTION("""COMPUTED_VALUE"""),28.26)</f>
        <v>28.26</v>
      </c>
      <c r="O2466" s="112">
        <f ca="1">IFERROR(__xludf.DUMMYFUNCTION("""COMPUTED_VALUE"""),43895.7055555555)</f>
        <v>43895.705555555498</v>
      </c>
      <c r="P2466" s="111">
        <f ca="1">IFERROR(__xludf.DUMMYFUNCTION("""COMPUTED_VALUE"""),46.85)</f>
        <v>46.85</v>
      </c>
      <c r="Q2466" s="112">
        <f ca="1">IFERROR(__xludf.DUMMYFUNCTION("""COMPUTED_VALUE"""),43894.7055555555)</f>
        <v>43894.705555555498</v>
      </c>
      <c r="R2466" s="111">
        <f ca="1">IFERROR(__xludf.DUMMYFUNCTION("""COMPUTED_VALUE"""),45.82)</f>
        <v>45.82</v>
      </c>
      <c r="S2466" s="112">
        <f ca="1">IFERROR(__xludf.DUMMYFUNCTION("""COMPUTED_VALUE"""),43908.7055555555)</f>
        <v>43908.705555555498</v>
      </c>
      <c r="T2466" s="111">
        <f ca="1">IFERROR(__xludf.DUMMYFUNCTION("""COMPUTED_VALUE"""),29.09)</f>
        <v>29.09</v>
      </c>
    </row>
    <row r="2467" spans="1:20" x14ac:dyDescent="0.3">
      <c r="A2467" s="112">
        <f ca="1">IFERROR(__xludf.DUMMYFUNCTION("""COMPUTED_VALUE"""),43903.7055555555)</f>
        <v>43903.705555555498</v>
      </c>
      <c r="B2467" s="111">
        <f ca="1">IFERROR(__xludf.DUMMYFUNCTION("""COMPUTED_VALUE"""),27.77)</f>
        <v>27.77</v>
      </c>
      <c r="C2467" s="112">
        <f ca="1">IFERROR(__xludf.DUMMYFUNCTION("""COMPUTED_VALUE"""),43914.7055555555)</f>
        <v>43914.705555555498</v>
      </c>
      <c r="D2467" s="111">
        <f ca="1">IFERROR(__xludf.DUMMYFUNCTION("""COMPUTED_VALUE"""),22.5)</f>
        <v>22.5</v>
      </c>
      <c r="E2467" s="112">
        <f ca="1">IFERROR(__xludf.DUMMYFUNCTION("""COMPUTED_VALUE"""),43915.7055555555)</f>
        <v>43915.705555555498</v>
      </c>
      <c r="F2467" s="111">
        <f ca="1">IFERROR(__xludf.DUMMYFUNCTION("""COMPUTED_VALUE"""),8.2)</f>
        <v>8.1999999999999993</v>
      </c>
      <c r="G2467" s="112">
        <f ca="1">IFERROR(__xludf.DUMMYFUNCTION("""COMPUTED_VALUE"""),43913.7055555555)</f>
        <v>43913.705555555498</v>
      </c>
      <c r="H2467" s="111">
        <f ca="1">IFERROR(__xludf.DUMMYFUNCTION("""COMPUTED_VALUE"""),11.5)</f>
        <v>11.5</v>
      </c>
      <c r="K2467" s="112">
        <f ca="1">IFERROR(__xludf.DUMMYFUNCTION("""COMPUTED_VALUE"""),44362.7055555555)</f>
        <v>44362.705555555498</v>
      </c>
      <c r="L2467" s="111">
        <f ca="1">IFERROR(__xludf.DUMMYFUNCTION("""COMPUTED_VALUE"""),20.9)</f>
        <v>20.9</v>
      </c>
      <c r="M2467" s="112">
        <f ca="1">IFERROR(__xludf.DUMMYFUNCTION("""COMPUTED_VALUE"""),43816.7055555555)</f>
        <v>43816.705555555498</v>
      </c>
      <c r="N2467" s="111">
        <f ca="1">IFERROR(__xludf.DUMMYFUNCTION("""COMPUTED_VALUE"""),28.78)</f>
        <v>28.78</v>
      </c>
      <c r="O2467" s="112">
        <f ca="1">IFERROR(__xludf.DUMMYFUNCTION("""COMPUTED_VALUE"""),43896.7055555555)</f>
        <v>43896.705555555498</v>
      </c>
      <c r="P2467" s="111">
        <f ca="1">IFERROR(__xludf.DUMMYFUNCTION("""COMPUTED_VALUE"""),44.61)</f>
        <v>44.61</v>
      </c>
      <c r="Q2467" s="112">
        <f ca="1">IFERROR(__xludf.DUMMYFUNCTION("""COMPUTED_VALUE"""),43895.7055555555)</f>
        <v>43895.705555555498</v>
      </c>
      <c r="R2467" s="111">
        <f ca="1">IFERROR(__xludf.DUMMYFUNCTION("""COMPUTED_VALUE"""),43.11)</f>
        <v>43.11</v>
      </c>
      <c r="S2467" s="112">
        <f ca="1">IFERROR(__xludf.DUMMYFUNCTION("""COMPUTED_VALUE"""),43909.7055555555)</f>
        <v>43909.705555555498</v>
      </c>
      <c r="T2467" s="111">
        <f ca="1">IFERROR(__xludf.DUMMYFUNCTION("""COMPUTED_VALUE"""),33.45)</f>
        <v>33.450000000000003</v>
      </c>
    </row>
    <row r="2468" spans="1:20" x14ac:dyDescent="0.3">
      <c r="A2468" s="112">
        <f ca="1">IFERROR(__xludf.DUMMYFUNCTION("""COMPUTED_VALUE"""),43906.7055555555)</f>
        <v>43906.705555555498</v>
      </c>
      <c r="B2468" s="111">
        <f ca="1">IFERROR(__xludf.DUMMYFUNCTION("""COMPUTED_VALUE"""),23.26)</f>
        <v>23.26</v>
      </c>
      <c r="C2468" s="112">
        <f ca="1">IFERROR(__xludf.DUMMYFUNCTION("""COMPUTED_VALUE"""),43915.7055555555)</f>
        <v>43915.705555555498</v>
      </c>
      <c r="D2468" s="111">
        <f ca="1">IFERROR(__xludf.DUMMYFUNCTION("""COMPUTED_VALUE"""),23.6)</f>
        <v>23.6</v>
      </c>
      <c r="E2468" s="112">
        <f ca="1">IFERROR(__xludf.DUMMYFUNCTION("""COMPUTED_VALUE"""),43916.7055555555)</f>
        <v>43916.705555555498</v>
      </c>
      <c r="F2468" s="111">
        <f ca="1">IFERROR(__xludf.DUMMYFUNCTION("""COMPUTED_VALUE"""),8.55)</f>
        <v>8.5500000000000007</v>
      </c>
      <c r="G2468" s="112">
        <f ca="1">IFERROR(__xludf.DUMMYFUNCTION("""COMPUTED_VALUE"""),43914.7055555555)</f>
        <v>43914.705555555498</v>
      </c>
      <c r="H2468" s="111">
        <f ca="1">IFERROR(__xludf.DUMMYFUNCTION("""COMPUTED_VALUE"""),13.25)</f>
        <v>13.25</v>
      </c>
      <c r="K2468" s="112">
        <f ca="1">IFERROR(__xludf.DUMMYFUNCTION("""COMPUTED_VALUE"""),44363.7055555555)</f>
        <v>44363.705555555498</v>
      </c>
      <c r="L2468" s="111">
        <f ca="1">IFERROR(__xludf.DUMMYFUNCTION("""COMPUTED_VALUE"""),20.32)</f>
        <v>20.32</v>
      </c>
      <c r="M2468" s="112">
        <f ca="1">IFERROR(__xludf.DUMMYFUNCTION("""COMPUTED_VALUE"""),43817.7055555555)</f>
        <v>43817.705555555498</v>
      </c>
      <c r="N2468" s="111">
        <f ca="1">IFERROR(__xludf.DUMMYFUNCTION("""COMPUTED_VALUE"""),29.58)</f>
        <v>29.58</v>
      </c>
      <c r="O2468" s="112">
        <f ca="1">IFERROR(__xludf.DUMMYFUNCTION("""COMPUTED_VALUE"""),43899.7055555555)</f>
        <v>43899.705555555498</v>
      </c>
      <c r="P2468" s="111">
        <f ca="1">IFERROR(__xludf.DUMMYFUNCTION("""COMPUTED_VALUE"""),37.83)</f>
        <v>37.83</v>
      </c>
      <c r="Q2468" s="112">
        <f ca="1">IFERROR(__xludf.DUMMYFUNCTION("""COMPUTED_VALUE"""),43896.7055555555)</f>
        <v>43896.705555555498</v>
      </c>
      <c r="R2468" s="111">
        <f ca="1">IFERROR(__xludf.DUMMYFUNCTION("""COMPUTED_VALUE"""),42.3)</f>
        <v>42.3</v>
      </c>
      <c r="S2468" s="112">
        <f ca="1">IFERROR(__xludf.DUMMYFUNCTION("""COMPUTED_VALUE"""),43910.7055555555)</f>
        <v>43910.705555555498</v>
      </c>
      <c r="T2468" s="111">
        <f ca="1">IFERROR(__xludf.DUMMYFUNCTION("""COMPUTED_VALUE"""),31.28)</f>
        <v>31.28</v>
      </c>
    </row>
    <row r="2469" spans="1:20" x14ac:dyDescent="0.3">
      <c r="A2469" s="112">
        <f ca="1">IFERROR(__xludf.DUMMYFUNCTION("""COMPUTED_VALUE"""),43907.7055555555)</f>
        <v>43907.705555555498</v>
      </c>
      <c r="B2469" s="111">
        <f ca="1">IFERROR(__xludf.DUMMYFUNCTION("""COMPUTED_VALUE"""),23.99)</f>
        <v>23.99</v>
      </c>
      <c r="C2469" s="112">
        <f ca="1">IFERROR(__xludf.DUMMYFUNCTION("""COMPUTED_VALUE"""),43916.7055555555)</f>
        <v>43916.705555555498</v>
      </c>
      <c r="D2469" s="111">
        <f ca="1">IFERROR(__xludf.DUMMYFUNCTION("""COMPUTED_VALUE"""),24.25)</f>
        <v>24.25</v>
      </c>
      <c r="E2469" s="112">
        <f ca="1">IFERROR(__xludf.DUMMYFUNCTION("""COMPUTED_VALUE"""),43917.7055555555)</f>
        <v>43917.705555555498</v>
      </c>
      <c r="F2469" s="111">
        <f ca="1">IFERROR(__xludf.DUMMYFUNCTION("""COMPUTED_VALUE"""),8.1)</f>
        <v>8.1</v>
      </c>
      <c r="G2469" s="112">
        <f ca="1">IFERROR(__xludf.DUMMYFUNCTION("""COMPUTED_VALUE"""),43915.7055555555)</f>
        <v>43915.705555555498</v>
      </c>
      <c r="H2469" s="111">
        <f ca="1">IFERROR(__xludf.DUMMYFUNCTION("""COMPUTED_VALUE"""),14.32)</f>
        <v>14.32</v>
      </c>
      <c r="K2469" s="112">
        <f ca="1">IFERROR(__xludf.DUMMYFUNCTION("""COMPUTED_VALUE"""),44364.7055555555)</f>
        <v>44364.705555555498</v>
      </c>
      <c r="L2469" s="111">
        <f ca="1">IFERROR(__xludf.DUMMYFUNCTION("""COMPUTED_VALUE"""),21.32)</f>
        <v>21.32</v>
      </c>
      <c r="M2469" s="112">
        <f ca="1">IFERROR(__xludf.DUMMYFUNCTION("""COMPUTED_VALUE"""),43818.7055555555)</f>
        <v>43818.705555555498</v>
      </c>
      <c r="N2469" s="111">
        <f ca="1">IFERROR(__xludf.DUMMYFUNCTION("""COMPUTED_VALUE"""),30.12)</f>
        <v>30.12</v>
      </c>
      <c r="O2469" s="112">
        <f ca="1">IFERROR(__xludf.DUMMYFUNCTION("""COMPUTED_VALUE"""),43900.7055555555)</f>
        <v>43900.705555555498</v>
      </c>
      <c r="P2469" s="111">
        <f ca="1">IFERROR(__xludf.DUMMYFUNCTION("""COMPUTED_VALUE"""),44.81)</f>
        <v>44.81</v>
      </c>
      <c r="Q2469" s="112">
        <f ca="1">IFERROR(__xludf.DUMMYFUNCTION("""COMPUTED_VALUE"""),43899.7055555555)</f>
        <v>43899.705555555498</v>
      </c>
      <c r="R2469" s="111">
        <f ca="1">IFERROR(__xludf.DUMMYFUNCTION("""COMPUTED_VALUE"""),37.63)</f>
        <v>37.630000000000003</v>
      </c>
      <c r="S2469" s="112">
        <f ca="1">IFERROR(__xludf.DUMMYFUNCTION("""COMPUTED_VALUE"""),43913.7055555555)</f>
        <v>43913.705555555498</v>
      </c>
      <c r="T2469" s="111">
        <f ca="1">IFERROR(__xludf.DUMMYFUNCTION("""COMPUTED_VALUE"""),27.27)</f>
        <v>27.27</v>
      </c>
    </row>
    <row r="2470" spans="1:20" x14ac:dyDescent="0.3">
      <c r="A2470" s="112">
        <f ca="1">IFERROR(__xludf.DUMMYFUNCTION("""COMPUTED_VALUE"""),43908.7055555555)</f>
        <v>43908.705555555498</v>
      </c>
      <c r="B2470" s="111">
        <f ca="1">IFERROR(__xludf.DUMMYFUNCTION("""COMPUTED_VALUE"""),19.31)</f>
        <v>19.309999999999999</v>
      </c>
      <c r="C2470" s="112">
        <f ca="1">IFERROR(__xludf.DUMMYFUNCTION("""COMPUTED_VALUE"""),43917.7055555555)</f>
        <v>43917.705555555498</v>
      </c>
      <c r="D2470" s="111">
        <f ca="1">IFERROR(__xludf.DUMMYFUNCTION("""COMPUTED_VALUE"""),22.97)</f>
        <v>22.97</v>
      </c>
      <c r="E2470" s="112">
        <f ca="1">IFERROR(__xludf.DUMMYFUNCTION("""COMPUTED_VALUE"""),43920.7055555555)</f>
        <v>43920.705555555498</v>
      </c>
      <c r="F2470" s="111">
        <f ca="1">IFERROR(__xludf.DUMMYFUNCTION("""COMPUTED_VALUE"""),8.4)</f>
        <v>8.4</v>
      </c>
      <c r="G2470" s="112">
        <f ca="1">IFERROR(__xludf.DUMMYFUNCTION("""COMPUTED_VALUE"""),43916.7055555555)</f>
        <v>43916.705555555498</v>
      </c>
      <c r="H2470" s="111">
        <f ca="1">IFERROR(__xludf.DUMMYFUNCTION("""COMPUTED_VALUE"""),14.39)</f>
        <v>14.39</v>
      </c>
      <c r="K2470" s="112">
        <f ca="1">IFERROR(__xludf.DUMMYFUNCTION("""COMPUTED_VALUE"""),44365.7055555555)</f>
        <v>44365.705555555498</v>
      </c>
      <c r="L2470" s="111">
        <f ca="1">IFERROR(__xludf.DUMMYFUNCTION("""COMPUTED_VALUE"""),21.08)</f>
        <v>21.08</v>
      </c>
      <c r="M2470" s="112">
        <f ca="1">IFERROR(__xludf.DUMMYFUNCTION("""COMPUTED_VALUE"""),43819.7055555555)</f>
        <v>43819.705555555498</v>
      </c>
      <c r="N2470" s="111">
        <f ca="1">IFERROR(__xludf.DUMMYFUNCTION("""COMPUTED_VALUE"""),29.5)</f>
        <v>29.5</v>
      </c>
      <c r="O2470" s="112">
        <f ca="1">IFERROR(__xludf.DUMMYFUNCTION("""COMPUTED_VALUE"""),43901.7055555555)</f>
        <v>43901.705555555498</v>
      </c>
      <c r="P2470" s="111">
        <f ca="1">IFERROR(__xludf.DUMMYFUNCTION("""COMPUTED_VALUE"""),40.74)</f>
        <v>40.74</v>
      </c>
      <c r="Q2470" s="112">
        <f ca="1">IFERROR(__xludf.DUMMYFUNCTION("""COMPUTED_VALUE"""),43900.7055555555)</f>
        <v>43900.705555555498</v>
      </c>
      <c r="R2470" s="111">
        <f ca="1">IFERROR(__xludf.DUMMYFUNCTION("""COMPUTED_VALUE"""),39.61)</f>
        <v>39.61</v>
      </c>
      <c r="S2470" s="112">
        <f ca="1">IFERROR(__xludf.DUMMYFUNCTION("""COMPUTED_VALUE"""),43914.7055555555)</f>
        <v>43914.705555555498</v>
      </c>
      <c r="T2470" s="111">
        <f ca="1">IFERROR(__xludf.DUMMYFUNCTION("""COMPUTED_VALUE"""),29.99)</f>
        <v>29.99</v>
      </c>
    </row>
    <row r="2471" spans="1:20" x14ac:dyDescent="0.3">
      <c r="A2471" s="112">
        <f ca="1">IFERROR(__xludf.DUMMYFUNCTION("""COMPUTED_VALUE"""),43909.7055555555)</f>
        <v>43909.705555555498</v>
      </c>
      <c r="B2471" s="111">
        <f ca="1">IFERROR(__xludf.DUMMYFUNCTION("""COMPUTED_VALUE"""),17.21)</f>
        <v>17.21</v>
      </c>
      <c r="C2471" s="112">
        <f ca="1">IFERROR(__xludf.DUMMYFUNCTION("""COMPUTED_VALUE"""),43920.7055555555)</f>
        <v>43920.705555555498</v>
      </c>
      <c r="D2471" s="111">
        <f ca="1">IFERROR(__xludf.DUMMYFUNCTION("""COMPUTED_VALUE"""),24.11)</f>
        <v>24.11</v>
      </c>
      <c r="E2471" s="112">
        <f ca="1">IFERROR(__xludf.DUMMYFUNCTION("""COMPUTED_VALUE"""),43921.7055555555)</f>
        <v>43921.705555555498</v>
      </c>
      <c r="F2471" s="111">
        <f ca="1">IFERROR(__xludf.DUMMYFUNCTION("""COMPUTED_VALUE"""),8.35)</f>
        <v>8.35</v>
      </c>
      <c r="G2471" s="112">
        <f ca="1">IFERROR(__xludf.DUMMYFUNCTION("""COMPUTED_VALUE"""),43917.7055555555)</f>
        <v>43917.705555555498</v>
      </c>
      <c r="H2471" s="111">
        <f ca="1">IFERROR(__xludf.DUMMYFUNCTION("""COMPUTED_VALUE"""),13.3)</f>
        <v>13.3</v>
      </c>
      <c r="K2471" s="112">
        <f ca="1">IFERROR(__xludf.DUMMYFUNCTION("""COMPUTED_VALUE"""),44368.7055555555)</f>
        <v>44368.705555555498</v>
      </c>
      <c r="L2471" s="111">
        <f ca="1">IFERROR(__xludf.DUMMYFUNCTION("""COMPUTED_VALUE"""),21.28)</f>
        <v>21.28</v>
      </c>
      <c r="M2471" s="112">
        <f ca="1">IFERROR(__xludf.DUMMYFUNCTION("""COMPUTED_VALUE"""),43822.7055555555)</f>
        <v>43822.705555555498</v>
      </c>
      <c r="N2471" s="111">
        <f ca="1">IFERROR(__xludf.DUMMYFUNCTION("""COMPUTED_VALUE"""),29.68)</f>
        <v>29.68</v>
      </c>
      <c r="O2471" s="112">
        <f ca="1">IFERROR(__xludf.DUMMYFUNCTION("""COMPUTED_VALUE"""),43902.7055555555)</f>
        <v>43902.705555555498</v>
      </c>
      <c r="P2471" s="111">
        <f ca="1">IFERROR(__xludf.DUMMYFUNCTION("""COMPUTED_VALUE"""),35.35)</f>
        <v>35.35</v>
      </c>
      <c r="Q2471" s="112">
        <f ca="1">IFERROR(__xludf.DUMMYFUNCTION("""COMPUTED_VALUE"""),43901.7055555555)</f>
        <v>43901.705555555498</v>
      </c>
      <c r="R2471" s="111">
        <f ca="1">IFERROR(__xludf.DUMMYFUNCTION("""COMPUTED_VALUE"""),36.19)</f>
        <v>36.19</v>
      </c>
      <c r="S2471" s="112">
        <f ca="1">IFERROR(__xludf.DUMMYFUNCTION("""COMPUTED_VALUE"""),43915.7055555555)</f>
        <v>43915.705555555498</v>
      </c>
      <c r="T2471" s="111">
        <f ca="1">IFERROR(__xludf.DUMMYFUNCTION("""COMPUTED_VALUE"""),33.45)</f>
        <v>33.450000000000003</v>
      </c>
    </row>
    <row r="2472" spans="1:20" x14ac:dyDescent="0.3">
      <c r="A2472" s="112">
        <f ca="1">IFERROR(__xludf.DUMMYFUNCTION("""COMPUTED_VALUE"""),43910.7055555555)</f>
        <v>43910.705555555498</v>
      </c>
      <c r="B2472" s="111">
        <f ca="1">IFERROR(__xludf.DUMMYFUNCTION("""COMPUTED_VALUE"""),16.63)</f>
        <v>16.63</v>
      </c>
      <c r="C2472" s="112">
        <f ca="1">IFERROR(__xludf.DUMMYFUNCTION("""COMPUTED_VALUE"""),43921.7055555555)</f>
        <v>43921.705555555498</v>
      </c>
      <c r="D2472" s="111">
        <f ca="1">IFERROR(__xludf.DUMMYFUNCTION("""COMPUTED_VALUE"""),23.09)</f>
        <v>23.09</v>
      </c>
      <c r="E2472" s="112">
        <f ca="1">IFERROR(__xludf.DUMMYFUNCTION("""COMPUTED_VALUE"""),43922.7055555555)</f>
        <v>43922.705555555498</v>
      </c>
      <c r="F2472" s="111">
        <f ca="1">IFERROR(__xludf.DUMMYFUNCTION("""COMPUTED_VALUE"""),7.87)</f>
        <v>7.87</v>
      </c>
      <c r="G2472" s="112">
        <f ca="1">IFERROR(__xludf.DUMMYFUNCTION("""COMPUTED_VALUE"""),43920.7055555555)</f>
        <v>43920.705555555498</v>
      </c>
      <c r="H2472" s="111">
        <f ca="1">IFERROR(__xludf.DUMMYFUNCTION("""COMPUTED_VALUE"""),13.38)</f>
        <v>13.38</v>
      </c>
      <c r="K2472" s="112">
        <f ca="1">IFERROR(__xludf.DUMMYFUNCTION("""COMPUTED_VALUE"""),44369.7055555555)</f>
        <v>44369.705555555498</v>
      </c>
      <c r="L2472" s="111">
        <f ca="1">IFERROR(__xludf.DUMMYFUNCTION("""COMPUTED_VALUE"""),20.98)</f>
        <v>20.98</v>
      </c>
      <c r="M2472" s="112">
        <f ca="1">IFERROR(__xludf.DUMMYFUNCTION("""COMPUTED_VALUE"""),43825.7055555555)</f>
        <v>43825.705555555498</v>
      </c>
      <c r="N2472" s="111">
        <f ca="1">IFERROR(__xludf.DUMMYFUNCTION("""COMPUTED_VALUE"""),30.05)</f>
        <v>30.05</v>
      </c>
      <c r="O2472" s="112">
        <f ca="1">IFERROR(__xludf.DUMMYFUNCTION("""COMPUTED_VALUE"""),43903.7055555555)</f>
        <v>43903.705555555498</v>
      </c>
      <c r="P2472" s="111">
        <f ca="1">IFERROR(__xludf.DUMMYFUNCTION("""COMPUTED_VALUE"""),42.9)</f>
        <v>42.9</v>
      </c>
      <c r="Q2472" s="112">
        <f ca="1">IFERROR(__xludf.DUMMYFUNCTION("""COMPUTED_VALUE"""),43902.7055555555)</f>
        <v>43902.705555555498</v>
      </c>
      <c r="R2472" s="111">
        <f ca="1">IFERROR(__xludf.DUMMYFUNCTION("""COMPUTED_VALUE"""),31.25)</f>
        <v>31.25</v>
      </c>
      <c r="S2472" s="112">
        <f ca="1">IFERROR(__xludf.DUMMYFUNCTION("""COMPUTED_VALUE"""),43916.7055555555)</f>
        <v>43916.705555555498</v>
      </c>
      <c r="T2472" s="111">
        <f ca="1">IFERROR(__xludf.DUMMYFUNCTION("""COMPUTED_VALUE"""),35.17)</f>
        <v>35.17</v>
      </c>
    </row>
    <row r="2473" spans="1:20" x14ac:dyDescent="0.3">
      <c r="A2473" s="112">
        <f ca="1">IFERROR(__xludf.DUMMYFUNCTION("""COMPUTED_VALUE"""),43913.7055555555)</f>
        <v>43913.705555555498</v>
      </c>
      <c r="B2473" s="111">
        <f ca="1">IFERROR(__xludf.DUMMYFUNCTION("""COMPUTED_VALUE"""),15.08)</f>
        <v>15.08</v>
      </c>
      <c r="C2473" s="112">
        <f ca="1">IFERROR(__xludf.DUMMYFUNCTION("""COMPUTED_VALUE"""),43922.7055555555)</f>
        <v>43922.705555555498</v>
      </c>
      <c r="D2473" s="111">
        <f ca="1">IFERROR(__xludf.DUMMYFUNCTION("""COMPUTED_VALUE"""),21.4)</f>
        <v>21.4</v>
      </c>
      <c r="E2473" s="112">
        <f ca="1">IFERROR(__xludf.DUMMYFUNCTION("""COMPUTED_VALUE"""),43923.7055555555)</f>
        <v>43923.705555555498</v>
      </c>
      <c r="F2473" s="111">
        <f ca="1">IFERROR(__xludf.DUMMYFUNCTION("""COMPUTED_VALUE"""),7.97)</f>
        <v>7.97</v>
      </c>
      <c r="G2473" s="112">
        <f ca="1">IFERROR(__xludf.DUMMYFUNCTION("""COMPUTED_VALUE"""),43921.7055555555)</f>
        <v>43921.705555555498</v>
      </c>
      <c r="H2473" s="111">
        <f ca="1">IFERROR(__xludf.DUMMYFUNCTION("""COMPUTED_VALUE"""),13.99)</f>
        <v>13.99</v>
      </c>
      <c r="K2473" s="112">
        <f ca="1">IFERROR(__xludf.DUMMYFUNCTION("""COMPUTED_VALUE"""),44370.7055555555)</f>
        <v>44370.705555555498</v>
      </c>
      <c r="L2473" s="111">
        <f ca="1">IFERROR(__xludf.DUMMYFUNCTION("""COMPUTED_VALUE"""),20.59)</f>
        <v>20.59</v>
      </c>
      <c r="M2473" s="112">
        <f ca="1">IFERROR(__xludf.DUMMYFUNCTION("""COMPUTED_VALUE"""),43826.7055555555)</f>
        <v>43826.705555555498</v>
      </c>
      <c r="N2473" s="111">
        <f ca="1">IFERROR(__xludf.DUMMYFUNCTION("""COMPUTED_VALUE"""),29.93)</f>
        <v>29.93</v>
      </c>
      <c r="O2473" s="112">
        <f ca="1">IFERROR(__xludf.DUMMYFUNCTION("""COMPUTED_VALUE"""),43906.7055555555)</f>
        <v>43906.705555555498</v>
      </c>
      <c r="P2473" s="111">
        <f ca="1">IFERROR(__xludf.DUMMYFUNCTION("""COMPUTED_VALUE"""),39.04)</f>
        <v>39.04</v>
      </c>
      <c r="Q2473" s="112">
        <f ca="1">IFERROR(__xludf.DUMMYFUNCTION("""COMPUTED_VALUE"""),43903.7055555555)</f>
        <v>43903.705555555498</v>
      </c>
      <c r="R2473" s="111">
        <f ca="1">IFERROR(__xludf.DUMMYFUNCTION("""COMPUTED_VALUE"""),36.49)</f>
        <v>36.49</v>
      </c>
      <c r="S2473" s="112">
        <f ca="1">IFERROR(__xludf.DUMMYFUNCTION("""COMPUTED_VALUE"""),43917.7055555555)</f>
        <v>43917.705555555498</v>
      </c>
      <c r="T2473" s="111">
        <f ca="1">IFERROR(__xludf.DUMMYFUNCTION("""COMPUTED_VALUE"""),32.73)</f>
        <v>32.729999999999997</v>
      </c>
    </row>
    <row r="2474" spans="1:20" x14ac:dyDescent="0.3">
      <c r="A2474" s="112">
        <f ca="1">IFERROR(__xludf.DUMMYFUNCTION("""COMPUTED_VALUE"""),43914.7055555555)</f>
        <v>43914.705555555498</v>
      </c>
      <c r="B2474" s="111">
        <f ca="1">IFERROR(__xludf.DUMMYFUNCTION("""COMPUTED_VALUE"""),17.16)</f>
        <v>17.16</v>
      </c>
      <c r="C2474" s="112">
        <f ca="1">IFERROR(__xludf.DUMMYFUNCTION("""COMPUTED_VALUE"""),43923.7055555555)</f>
        <v>43923.705555555498</v>
      </c>
      <c r="D2474" s="111">
        <f ca="1">IFERROR(__xludf.DUMMYFUNCTION("""COMPUTED_VALUE"""),21.5)</f>
        <v>21.5</v>
      </c>
      <c r="E2474" s="112">
        <f ca="1">IFERROR(__xludf.DUMMYFUNCTION("""COMPUTED_VALUE"""),43924.7055555555)</f>
        <v>43924.705555555498</v>
      </c>
      <c r="F2474" s="111">
        <f ca="1">IFERROR(__xludf.DUMMYFUNCTION("""COMPUTED_VALUE"""),7.72)</f>
        <v>7.72</v>
      </c>
      <c r="G2474" s="112">
        <f ca="1">IFERROR(__xludf.DUMMYFUNCTION("""COMPUTED_VALUE"""),43922.7055555555)</f>
        <v>43922.705555555498</v>
      </c>
      <c r="H2474" s="111">
        <f ca="1">IFERROR(__xludf.DUMMYFUNCTION("""COMPUTED_VALUE"""),14.3)</f>
        <v>14.3</v>
      </c>
      <c r="K2474" s="112">
        <f ca="1">IFERROR(__xludf.DUMMYFUNCTION("""COMPUTED_VALUE"""),44371.7055555555)</f>
        <v>44371.705555555498</v>
      </c>
      <c r="L2474" s="111">
        <f ca="1">IFERROR(__xludf.DUMMYFUNCTION("""COMPUTED_VALUE"""),21.66)</f>
        <v>21.66</v>
      </c>
      <c r="M2474" s="112">
        <f ca="1">IFERROR(__xludf.DUMMYFUNCTION("""COMPUTED_VALUE"""),43829.7055555555)</f>
        <v>43829.705555555498</v>
      </c>
      <c r="N2474" s="111">
        <f ca="1">IFERROR(__xludf.DUMMYFUNCTION("""COMPUTED_VALUE"""),29.89)</f>
        <v>29.89</v>
      </c>
      <c r="O2474" s="112">
        <f ca="1">IFERROR(__xludf.DUMMYFUNCTION("""COMPUTED_VALUE"""),43907.7055555555)</f>
        <v>43907.705555555498</v>
      </c>
      <c r="P2474" s="111">
        <f ca="1">IFERROR(__xludf.DUMMYFUNCTION("""COMPUTED_VALUE"""),41.51)</f>
        <v>41.51</v>
      </c>
      <c r="Q2474" s="112">
        <f ca="1">IFERROR(__xludf.DUMMYFUNCTION("""COMPUTED_VALUE"""),43906.7055555555)</f>
        <v>43906.705555555498</v>
      </c>
      <c r="R2474" s="111">
        <f ca="1">IFERROR(__xludf.DUMMYFUNCTION("""COMPUTED_VALUE"""),30.4)</f>
        <v>30.4</v>
      </c>
      <c r="S2474" s="112">
        <f ca="1">IFERROR(__xludf.DUMMYFUNCTION("""COMPUTED_VALUE"""),43920.7055555555)</f>
        <v>43920.705555555498</v>
      </c>
      <c r="T2474" s="111">
        <f ca="1">IFERROR(__xludf.DUMMYFUNCTION("""COMPUTED_VALUE"""),32.45)</f>
        <v>32.450000000000003</v>
      </c>
    </row>
    <row r="2475" spans="1:20" x14ac:dyDescent="0.3">
      <c r="A2475" s="112">
        <f ca="1">IFERROR(__xludf.DUMMYFUNCTION("""COMPUTED_VALUE"""),43915.7055555555)</f>
        <v>43915.705555555498</v>
      </c>
      <c r="B2475" s="111">
        <f ca="1">IFERROR(__xludf.DUMMYFUNCTION("""COMPUTED_VALUE"""),19.66)</f>
        <v>19.66</v>
      </c>
      <c r="C2475" s="112">
        <f ca="1">IFERROR(__xludf.DUMMYFUNCTION("""COMPUTED_VALUE"""),43924.7055555555)</f>
        <v>43924.705555555498</v>
      </c>
      <c r="D2475" s="111">
        <f ca="1">IFERROR(__xludf.DUMMYFUNCTION("""COMPUTED_VALUE"""),20.66)</f>
        <v>20.66</v>
      </c>
      <c r="E2475" s="112">
        <f ca="1">IFERROR(__xludf.DUMMYFUNCTION("""COMPUTED_VALUE"""),43927.7055555555)</f>
        <v>43927.705555555498</v>
      </c>
      <c r="F2475" s="111">
        <f ca="1">IFERROR(__xludf.DUMMYFUNCTION("""COMPUTED_VALUE"""),8.3)</f>
        <v>8.3000000000000007</v>
      </c>
      <c r="G2475" s="112">
        <f ca="1">IFERROR(__xludf.DUMMYFUNCTION("""COMPUTED_VALUE"""),43923.7055555555)</f>
        <v>43923.705555555498</v>
      </c>
      <c r="H2475" s="111">
        <f ca="1">IFERROR(__xludf.DUMMYFUNCTION("""COMPUTED_VALUE"""),15.51)</f>
        <v>15.51</v>
      </c>
      <c r="K2475" s="112">
        <f ca="1">IFERROR(__xludf.DUMMYFUNCTION("""COMPUTED_VALUE"""),44372.7055555555)</f>
        <v>44372.705555555498</v>
      </c>
      <c r="L2475" s="111">
        <f ca="1">IFERROR(__xludf.DUMMYFUNCTION("""COMPUTED_VALUE"""),21.4)</f>
        <v>21.4</v>
      </c>
      <c r="M2475" s="112">
        <f ca="1">IFERROR(__xludf.DUMMYFUNCTION("""COMPUTED_VALUE"""),43832.7055555555)</f>
        <v>43832.705555555498</v>
      </c>
      <c r="N2475" s="111">
        <f ca="1">IFERROR(__xludf.DUMMYFUNCTION("""COMPUTED_VALUE"""),31)</f>
        <v>31</v>
      </c>
      <c r="O2475" s="112">
        <f ca="1">IFERROR(__xludf.DUMMYFUNCTION("""COMPUTED_VALUE"""),43908.7055555555)</f>
        <v>43908.705555555498</v>
      </c>
      <c r="P2475" s="111">
        <f ca="1">IFERROR(__xludf.DUMMYFUNCTION("""COMPUTED_VALUE"""),38.65)</f>
        <v>38.65</v>
      </c>
      <c r="Q2475" s="112">
        <f ca="1">IFERROR(__xludf.DUMMYFUNCTION("""COMPUTED_VALUE"""),43907.7055555555)</f>
        <v>43907.705555555498</v>
      </c>
      <c r="R2475" s="111">
        <f ca="1">IFERROR(__xludf.DUMMYFUNCTION("""COMPUTED_VALUE"""),31.87)</f>
        <v>31.87</v>
      </c>
      <c r="S2475" s="112">
        <f ca="1">IFERROR(__xludf.DUMMYFUNCTION("""COMPUTED_VALUE"""),43921.7055555555)</f>
        <v>43921.705555555498</v>
      </c>
      <c r="T2475" s="111">
        <f ca="1">IFERROR(__xludf.DUMMYFUNCTION("""COMPUTED_VALUE"""),30.51)</f>
        <v>30.51</v>
      </c>
    </row>
    <row r="2476" spans="1:20" x14ac:dyDescent="0.3">
      <c r="A2476" s="112">
        <f ca="1">IFERROR(__xludf.DUMMYFUNCTION("""COMPUTED_VALUE"""),43916.7055555555)</f>
        <v>43916.705555555498</v>
      </c>
      <c r="B2476" s="111">
        <f ca="1">IFERROR(__xludf.DUMMYFUNCTION("""COMPUTED_VALUE"""),21.12)</f>
        <v>21.12</v>
      </c>
      <c r="C2476" s="112">
        <f ca="1">IFERROR(__xludf.DUMMYFUNCTION("""COMPUTED_VALUE"""),43927.7055555555)</f>
        <v>43927.705555555498</v>
      </c>
      <c r="D2476" s="111">
        <f ca="1">IFERROR(__xludf.DUMMYFUNCTION("""COMPUTED_VALUE"""),22.18)</f>
        <v>22.18</v>
      </c>
      <c r="E2476" s="112">
        <f ca="1">IFERROR(__xludf.DUMMYFUNCTION("""COMPUTED_VALUE"""),43928.7055555555)</f>
        <v>43928.705555555498</v>
      </c>
      <c r="F2476" s="111">
        <f ca="1">IFERROR(__xludf.DUMMYFUNCTION("""COMPUTED_VALUE"""),8.54)</f>
        <v>8.5399999999999991</v>
      </c>
      <c r="G2476" s="112">
        <f ca="1">IFERROR(__xludf.DUMMYFUNCTION("""COMPUTED_VALUE"""),43924.7055555555)</f>
        <v>43924.705555555498</v>
      </c>
      <c r="H2476" s="111">
        <f ca="1">IFERROR(__xludf.DUMMYFUNCTION("""COMPUTED_VALUE"""),15.34)</f>
        <v>15.34</v>
      </c>
      <c r="K2476" s="112">
        <f ca="1">IFERROR(__xludf.DUMMYFUNCTION("""COMPUTED_VALUE"""),44375.7055555555)</f>
        <v>44375.705555555498</v>
      </c>
      <c r="L2476" s="111">
        <f ca="1">IFERROR(__xludf.DUMMYFUNCTION("""COMPUTED_VALUE"""),21.54)</f>
        <v>21.54</v>
      </c>
      <c r="M2476" s="112">
        <f ca="1">IFERROR(__xludf.DUMMYFUNCTION("""COMPUTED_VALUE"""),43833.7430555555)</f>
        <v>43833.743055555497</v>
      </c>
      <c r="N2476" s="111">
        <f ca="1">IFERROR(__xludf.DUMMYFUNCTION("""COMPUTED_VALUE"""),31)</f>
        <v>31</v>
      </c>
      <c r="O2476" s="112">
        <f ca="1">IFERROR(__xludf.DUMMYFUNCTION("""COMPUTED_VALUE"""),43909.7055555555)</f>
        <v>43909.705555555498</v>
      </c>
      <c r="P2476" s="111">
        <f ca="1">IFERROR(__xludf.DUMMYFUNCTION("""COMPUTED_VALUE"""),36.4)</f>
        <v>36.4</v>
      </c>
      <c r="Q2476" s="112">
        <f ca="1">IFERROR(__xludf.DUMMYFUNCTION("""COMPUTED_VALUE"""),43908.7055555555)</f>
        <v>43908.705555555498</v>
      </c>
      <c r="R2476" s="111">
        <f ca="1">IFERROR(__xludf.DUMMYFUNCTION("""COMPUTED_VALUE"""),26.61)</f>
        <v>26.61</v>
      </c>
      <c r="S2476" s="112">
        <f ca="1">IFERROR(__xludf.DUMMYFUNCTION("""COMPUTED_VALUE"""),43922.7055555555)</f>
        <v>43922.705555555498</v>
      </c>
      <c r="T2476" s="111">
        <f ca="1">IFERROR(__xludf.DUMMYFUNCTION("""COMPUTED_VALUE"""),29.32)</f>
        <v>29.32</v>
      </c>
    </row>
    <row r="2477" spans="1:20" x14ac:dyDescent="0.3">
      <c r="A2477" s="112">
        <f ca="1">IFERROR(__xludf.DUMMYFUNCTION("""COMPUTED_VALUE"""),43917.7055555555)</f>
        <v>43917.705555555498</v>
      </c>
      <c r="B2477" s="111">
        <f ca="1">IFERROR(__xludf.DUMMYFUNCTION("""COMPUTED_VALUE"""),20.85)</f>
        <v>20.85</v>
      </c>
      <c r="C2477" s="112">
        <f ca="1">IFERROR(__xludf.DUMMYFUNCTION("""COMPUTED_VALUE"""),43928.7055555555)</f>
        <v>43928.705555555498</v>
      </c>
      <c r="D2477" s="111">
        <f ca="1">IFERROR(__xludf.DUMMYFUNCTION("""COMPUTED_VALUE"""),23)</f>
        <v>23</v>
      </c>
      <c r="E2477" s="112">
        <f ca="1">IFERROR(__xludf.DUMMYFUNCTION("""COMPUTED_VALUE"""),43929.7055555555)</f>
        <v>43929.705555555498</v>
      </c>
      <c r="F2477" s="111">
        <f ca="1">IFERROR(__xludf.DUMMYFUNCTION("""COMPUTED_VALUE"""),8.88)</f>
        <v>8.8800000000000008</v>
      </c>
      <c r="G2477" s="112">
        <f ca="1">IFERROR(__xludf.DUMMYFUNCTION("""COMPUTED_VALUE"""),43927.7055555555)</f>
        <v>43927.705555555498</v>
      </c>
      <c r="H2477" s="111">
        <f ca="1">IFERROR(__xludf.DUMMYFUNCTION("""COMPUTED_VALUE"""),15.77)</f>
        <v>15.77</v>
      </c>
      <c r="K2477" s="112">
        <f ca="1">IFERROR(__xludf.DUMMYFUNCTION("""COMPUTED_VALUE"""),44376.7055555555)</f>
        <v>44376.705555555498</v>
      </c>
      <c r="L2477" s="111">
        <f ca="1">IFERROR(__xludf.DUMMYFUNCTION("""COMPUTED_VALUE"""),21.68)</f>
        <v>21.68</v>
      </c>
      <c r="M2477" s="112">
        <f ca="1">IFERROR(__xludf.DUMMYFUNCTION("""COMPUTED_VALUE"""),43836.7055555555)</f>
        <v>43836.705555555498</v>
      </c>
      <c r="N2477" s="111">
        <f ca="1">IFERROR(__xludf.DUMMYFUNCTION("""COMPUTED_VALUE"""),30.45)</f>
        <v>30.45</v>
      </c>
      <c r="O2477" s="112">
        <f ca="1">IFERROR(__xludf.DUMMYFUNCTION("""COMPUTED_VALUE"""),43910.7055555555)</f>
        <v>43910.705555555498</v>
      </c>
      <c r="P2477" s="111">
        <f ca="1">IFERROR(__xludf.DUMMYFUNCTION("""COMPUTED_VALUE"""),35.19)</f>
        <v>35.19</v>
      </c>
      <c r="Q2477" s="112">
        <f ca="1">IFERROR(__xludf.DUMMYFUNCTION("""COMPUTED_VALUE"""),43909.7055555555)</f>
        <v>43909.705555555498</v>
      </c>
      <c r="R2477" s="111">
        <f ca="1">IFERROR(__xludf.DUMMYFUNCTION("""COMPUTED_VALUE"""),25.57)</f>
        <v>25.57</v>
      </c>
      <c r="S2477" s="112">
        <f ca="1">IFERROR(__xludf.DUMMYFUNCTION("""COMPUTED_VALUE"""),43923.7055555555)</f>
        <v>43923.705555555498</v>
      </c>
      <c r="T2477" s="111">
        <f ca="1">IFERROR(__xludf.DUMMYFUNCTION("""COMPUTED_VALUE"""),29.22)</f>
        <v>29.22</v>
      </c>
    </row>
    <row r="2478" spans="1:20" x14ac:dyDescent="0.3">
      <c r="A2478" s="112">
        <f ca="1">IFERROR(__xludf.DUMMYFUNCTION("""COMPUTED_VALUE"""),43920.7055555555)</f>
        <v>43920.705555555498</v>
      </c>
      <c r="B2478" s="111">
        <f ca="1">IFERROR(__xludf.DUMMYFUNCTION("""COMPUTED_VALUE"""),23.06)</f>
        <v>23.06</v>
      </c>
      <c r="C2478" s="112">
        <f ca="1">IFERROR(__xludf.DUMMYFUNCTION("""COMPUTED_VALUE"""),43929.7055555555)</f>
        <v>43929.705555555498</v>
      </c>
      <c r="D2478" s="111">
        <f ca="1">IFERROR(__xludf.DUMMYFUNCTION("""COMPUTED_VALUE"""),24.18)</f>
        <v>24.18</v>
      </c>
      <c r="E2478" s="112">
        <f ca="1">IFERROR(__xludf.DUMMYFUNCTION("""COMPUTED_VALUE"""),43930.7055555555)</f>
        <v>43930.705555555498</v>
      </c>
      <c r="F2478" s="111">
        <f ca="1">IFERROR(__xludf.DUMMYFUNCTION("""COMPUTED_VALUE"""),8.8)</f>
        <v>8.8000000000000007</v>
      </c>
      <c r="G2478" s="112">
        <f ca="1">IFERROR(__xludf.DUMMYFUNCTION("""COMPUTED_VALUE"""),43928.7055555555)</f>
        <v>43928.705555555498</v>
      </c>
      <c r="H2478" s="111">
        <f ca="1">IFERROR(__xludf.DUMMYFUNCTION("""COMPUTED_VALUE"""),16.4)</f>
        <v>16.399999999999999</v>
      </c>
      <c r="K2478" s="112">
        <f ca="1">IFERROR(__xludf.DUMMYFUNCTION("""COMPUTED_VALUE"""),44377.7055555555)</f>
        <v>44377.705555555498</v>
      </c>
      <c r="L2478" s="111">
        <f ca="1">IFERROR(__xludf.DUMMYFUNCTION("""COMPUTED_VALUE"""),21.16)</f>
        <v>21.16</v>
      </c>
      <c r="M2478" s="112">
        <f ca="1">IFERROR(__xludf.DUMMYFUNCTION("""COMPUTED_VALUE"""),43837.7055555555)</f>
        <v>43837.705555555498</v>
      </c>
      <c r="N2478" s="111">
        <f ca="1">IFERROR(__xludf.DUMMYFUNCTION("""COMPUTED_VALUE"""),29.92)</f>
        <v>29.92</v>
      </c>
      <c r="O2478" s="112">
        <f ca="1">IFERROR(__xludf.DUMMYFUNCTION("""COMPUTED_VALUE"""),43913.7055555555)</f>
        <v>43913.705555555498</v>
      </c>
      <c r="P2478" s="111">
        <f ca="1">IFERROR(__xludf.DUMMYFUNCTION("""COMPUTED_VALUE"""),34.1)</f>
        <v>34.1</v>
      </c>
      <c r="Q2478" s="112">
        <f ca="1">IFERROR(__xludf.DUMMYFUNCTION("""COMPUTED_VALUE"""),43910.7055555555)</f>
        <v>43910.705555555498</v>
      </c>
      <c r="R2478" s="111">
        <f ca="1">IFERROR(__xludf.DUMMYFUNCTION("""COMPUTED_VALUE"""),24.6)</f>
        <v>24.6</v>
      </c>
      <c r="S2478" s="112">
        <f ca="1">IFERROR(__xludf.DUMMYFUNCTION("""COMPUTED_VALUE"""),43924.7055555555)</f>
        <v>43924.705555555498</v>
      </c>
      <c r="T2478" s="111">
        <f ca="1">IFERROR(__xludf.DUMMYFUNCTION("""COMPUTED_VALUE"""),28.15)</f>
        <v>28.15</v>
      </c>
    </row>
    <row r="2479" spans="1:20" x14ac:dyDescent="0.3">
      <c r="A2479" s="112">
        <f ca="1">IFERROR(__xludf.DUMMYFUNCTION("""COMPUTED_VALUE"""),43921.7055555555)</f>
        <v>43921.705555555498</v>
      </c>
      <c r="B2479" s="111">
        <f ca="1">IFERROR(__xludf.DUMMYFUNCTION("""COMPUTED_VALUE"""),23.6)</f>
        <v>23.6</v>
      </c>
      <c r="C2479" s="112">
        <f ca="1">IFERROR(__xludf.DUMMYFUNCTION("""COMPUTED_VALUE"""),43930.7055555555)</f>
        <v>43930.705555555498</v>
      </c>
      <c r="D2479" s="111">
        <f ca="1">IFERROR(__xludf.DUMMYFUNCTION("""COMPUTED_VALUE"""),23.5)</f>
        <v>23.5</v>
      </c>
      <c r="E2479" s="112">
        <f ca="1">IFERROR(__xludf.DUMMYFUNCTION("""COMPUTED_VALUE"""),43934.7055555555)</f>
        <v>43934.705555555498</v>
      </c>
      <c r="F2479" s="111">
        <f ca="1">IFERROR(__xludf.DUMMYFUNCTION("""COMPUTED_VALUE"""),9.04)</f>
        <v>9.0399999999999991</v>
      </c>
      <c r="G2479" s="112">
        <f ca="1">IFERROR(__xludf.DUMMYFUNCTION("""COMPUTED_VALUE"""),43929.7055555555)</f>
        <v>43929.705555555498</v>
      </c>
      <c r="H2479" s="111">
        <f ca="1">IFERROR(__xludf.DUMMYFUNCTION("""COMPUTED_VALUE"""),17.32)</f>
        <v>17.32</v>
      </c>
      <c r="K2479" s="112">
        <f ca="1">IFERROR(__xludf.DUMMYFUNCTION("""COMPUTED_VALUE"""),44378.7055555555)</f>
        <v>44378.705555555498</v>
      </c>
      <c r="L2479" s="111">
        <f ca="1">IFERROR(__xludf.DUMMYFUNCTION("""COMPUTED_VALUE"""),20.7)</f>
        <v>20.7</v>
      </c>
      <c r="M2479" s="112">
        <f ca="1">IFERROR(__xludf.DUMMYFUNCTION("""COMPUTED_VALUE"""),43838.7055555555)</f>
        <v>43838.705555555498</v>
      </c>
      <c r="N2479" s="111">
        <f ca="1">IFERROR(__xludf.DUMMYFUNCTION("""COMPUTED_VALUE"""),29.45)</f>
        <v>29.45</v>
      </c>
      <c r="O2479" s="112">
        <f ca="1">IFERROR(__xludf.DUMMYFUNCTION("""COMPUTED_VALUE"""),43914.7055555555)</f>
        <v>43914.705555555498</v>
      </c>
      <c r="P2479" s="111">
        <f ca="1">IFERROR(__xludf.DUMMYFUNCTION("""COMPUTED_VALUE"""),37.64)</f>
        <v>37.64</v>
      </c>
      <c r="Q2479" s="112">
        <f ca="1">IFERROR(__xludf.DUMMYFUNCTION("""COMPUTED_VALUE"""),43913.7055555555)</f>
        <v>43913.705555555498</v>
      </c>
      <c r="R2479" s="111">
        <f ca="1">IFERROR(__xludf.DUMMYFUNCTION("""COMPUTED_VALUE"""),22.13)</f>
        <v>22.13</v>
      </c>
      <c r="S2479" s="112">
        <f ca="1">IFERROR(__xludf.DUMMYFUNCTION("""COMPUTED_VALUE"""),43927.7055555555)</f>
        <v>43927.705555555498</v>
      </c>
      <c r="T2479" s="111">
        <f ca="1">IFERROR(__xludf.DUMMYFUNCTION("""COMPUTED_VALUE"""),31.59)</f>
        <v>31.59</v>
      </c>
    </row>
    <row r="2480" spans="1:20" x14ac:dyDescent="0.3">
      <c r="A2480" s="112">
        <f ca="1">IFERROR(__xludf.DUMMYFUNCTION("""COMPUTED_VALUE"""),43922.7055555555)</f>
        <v>43922.705555555498</v>
      </c>
      <c r="B2480" s="111">
        <f ca="1">IFERROR(__xludf.DUMMYFUNCTION("""COMPUTED_VALUE"""),21.92)</f>
        <v>21.92</v>
      </c>
      <c r="C2480" s="112">
        <f ca="1">IFERROR(__xludf.DUMMYFUNCTION("""COMPUTED_VALUE"""),43934.7055555555)</f>
        <v>43934.705555555498</v>
      </c>
      <c r="D2480" s="111">
        <f ca="1">IFERROR(__xludf.DUMMYFUNCTION("""COMPUTED_VALUE"""),24)</f>
        <v>24</v>
      </c>
      <c r="E2480" s="112">
        <f ca="1">IFERROR(__xludf.DUMMYFUNCTION("""COMPUTED_VALUE"""),43935.7055555555)</f>
        <v>43935.705555555498</v>
      </c>
      <c r="F2480" s="111">
        <f ca="1">IFERROR(__xludf.DUMMYFUNCTION("""COMPUTED_VALUE"""),9.14)</f>
        <v>9.14</v>
      </c>
      <c r="G2480" s="112">
        <f ca="1">IFERROR(__xludf.DUMMYFUNCTION("""COMPUTED_VALUE"""),43930.7055555555)</f>
        <v>43930.705555555498</v>
      </c>
      <c r="H2480" s="111">
        <f ca="1">IFERROR(__xludf.DUMMYFUNCTION("""COMPUTED_VALUE"""),16.82)</f>
        <v>16.82</v>
      </c>
      <c r="K2480" s="112">
        <f ca="1">IFERROR(__xludf.DUMMYFUNCTION("""COMPUTED_VALUE"""),44379.7055555555)</f>
        <v>44379.705555555498</v>
      </c>
      <c r="L2480" s="111">
        <f ca="1">IFERROR(__xludf.DUMMYFUNCTION("""COMPUTED_VALUE"""),21.65)</f>
        <v>21.65</v>
      </c>
      <c r="M2480" s="112">
        <f ca="1">IFERROR(__xludf.DUMMYFUNCTION("""COMPUTED_VALUE"""),43839.7055555555)</f>
        <v>43839.705555555498</v>
      </c>
      <c r="N2480" s="111">
        <f ca="1">IFERROR(__xludf.DUMMYFUNCTION("""COMPUTED_VALUE"""),28.98)</f>
        <v>28.98</v>
      </c>
      <c r="O2480" s="112">
        <f ca="1">IFERROR(__xludf.DUMMYFUNCTION("""COMPUTED_VALUE"""),43915.7055555555)</f>
        <v>43915.705555555498</v>
      </c>
      <c r="P2480" s="111">
        <f ca="1">IFERROR(__xludf.DUMMYFUNCTION("""COMPUTED_VALUE"""),40.85)</f>
        <v>40.85</v>
      </c>
      <c r="Q2480" s="112">
        <f ca="1">IFERROR(__xludf.DUMMYFUNCTION("""COMPUTED_VALUE"""),43914.7055555555)</f>
        <v>43914.705555555498</v>
      </c>
      <c r="R2480" s="111">
        <f ca="1">IFERROR(__xludf.DUMMYFUNCTION("""COMPUTED_VALUE"""),25.92)</f>
        <v>25.92</v>
      </c>
      <c r="S2480" s="112">
        <f ca="1">IFERROR(__xludf.DUMMYFUNCTION("""COMPUTED_VALUE"""),43928.7055555555)</f>
        <v>43928.705555555498</v>
      </c>
      <c r="T2480" s="111">
        <f ca="1">IFERROR(__xludf.DUMMYFUNCTION("""COMPUTED_VALUE"""),33.64)</f>
        <v>33.64</v>
      </c>
    </row>
    <row r="2481" spans="1:20" x14ac:dyDescent="0.3">
      <c r="A2481" s="112">
        <f ca="1">IFERROR(__xludf.DUMMYFUNCTION("""COMPUTED_VALUE"""),43923.7055555555)</f>
        <v>43923.705555555498</v>
      </c>
      <c r="B2481" s="111">
        <f ca="1">IFERROR(__xludf.DUMMYFUNCTION("""COMPUTED_VALUE"""),22.25)</f>
        <v>22.25</v>
      </c>
      <c r="C2481" s="112">
        <f ca="1">IFERROR(__xludf.DUMMYFUNCTION("""COMPUTED_VALUE"""),43935.7055555555)</f>
        <v>43935.705555555498</v>
      </c>
      <c r="D2481" s="111">
        <f ca="1">IFERROR(__xludf.DUMMYFUNCTION("""COMPUTED_VALUE"""),24.3)</f>
        <v>24.3</v>
      </c>
      <c r="E2481" s="112">
        <f ca="1">IFERROR(__xludf.DUMMYFUNCTION("""COMPUTED_VALUE"""),43936.7055555555)</f>
        <v>43936.705555555498</v>
      </c>
      <c r="F2481" s="111">
        <f ca="1">IFERROR(__xludf.DUMMYFUNCTION("""COMPUTED_VALUE"""),8.86)</f>
        <v>8.86</v>
      </c>
      <c r="G2481" s="112">
        <f ca="1">IFERROR(__xludf.DUMMYFUNCTION("""COMPUTED_VALUE"""),43934.7055555555)</f>
        <v>43934.705555555498</v>
      </c>
      <c r="H2481" s="111">
        <f ca="1">IFERROR(__xludf.DUMMYFUNCTION("""COMPUTED_VALUE"""),16.93)</f>
        <v>16.93</v>
      </c>
      <c r="K2481" s="112">
        <f ca="1">IFERROR(__xludf.DUMMYFUNCTION("""COMPUTED_VALUE"""),44382.7055555555)</f>
        <v>44382.705555555498</v>
      </c>
      <c r="L2481" s="111">
        <f ca="1">IFERROR(__xludf.DUMMYFUNCTION("""COMPUTED_VALUE"""),21.39)</f>
        <v>21.39</v>
      </c>
      <c r="M2481" s="112">
        <f ca="1">IFERROR(__xludf.DUMMYFUNCTION("""COMPUTED_VALUE"""),43840.7055555555)</f>
        <v>43840.705555555498</v>
      </c>
      <c r="N2481" s="111">
        <f ca="1">IFERROR(__xludf.DUMMYFUNCTION("""COMPUTED_VALUE"""),28.45)</f>
        <v>28.45</v>
      </c>
      <c r="O2481" s="112">
        <f ca="1">IFERROR(__xludf.DUMMYFUNCTION("""COMPUTED_VALUE"""),43916.7055555555)</f>
        <v>43916.705555555498</v>
      </c>
      <c r="P2481" s="111">
        <f ca="1">IFERROR(__xludf.DUMMYFUNCTION("""COMPUTED_VALUE"""),42)</f>
        <v>42</v>
      </c>
      <c r="Q2481" s="112">
        <f ca="1">IFERROR(__xludf.DUMMYFUNCTION("""COMPUTED_VALUE"""),43915.7055555555)</f>
        <v>43915.705555555498</v>
      </c>
      <c r="R2481" s="111">
        <f ca="1">IFERROR(__xludf.DUMMYFUNCTION("""COMPUTED_VALUE"""),29.03)</f>
        <v>29.03</v>
      </c>
      <c r="S2481" s="112">
        <f ca="1">IFERROR(__xludf.DUMMYFUNCTION("""COMPUTED_VALUE"""),43929.7055555555)</f>
        <v>43929.705555555498</v>
      </c>
      <c r="T2481" s="111">
        <f ca="1">IFERROR(__xludf.DUMMYFUNCTION("""COMPUTED_VALUE"""),34.32)</f>
        <v>34.32</v>
      </c>
    </row>
    <row r="2482" spans="1:20" x14ac:dyDescent="0.3">
      <c r="A2482" s="112">
        <f ca="1">IFERROR(__xludf.DUMMYFUNCTION("""COMPUTED_VALUE"""),43924.7055555555)</f>
        <v>43924.705555555498</v>
      </c>
      <c r="B2482" s="111">
        <f ca="1">IFERROR(__xludf.DUMMYFUNCTION("""COMPUTED_VALUE"""),21.44)</f>
        <v>21.44</v>
      </c>
      <c r="C2482" s="112">
        <f ca="1">IFERROR(__xludf.DUMMYFUNCTION("""COMPUTED_VALUE"""),43936.7055555555)</f>
        <v>43936.705555555498</v>
      </c>
      <c r="D2482" s="111">
        <f ca="1">IFERROR(__xludf.DUMMYFUNCTION("""COMPUTED_VALUE"""),23.4)</f>
        <v>23.4</v>
      </c>
      <c r="E2482" s="112">
        <f ca="1">IFERROR(__xludf.DUMMYFUNCTION("""COMPUTED_VALUE"""),43937.7055555555)</f>
        <v>43937.705555555498</v>
      </c>
      <c r="F2482" s="111">
        <f ca="1">IFERROR(__xludf.DUMMYFUNCTION("""COMPUTED_VALUE"""),8.59)</f>
        <v>8.59</v>
      </c>
      <c r="G2482" s="112">
        <f ca="1">IFERROR(__xludf.DUMMYFUNCTION("""COMPUTED_VALUE"""),43935.7055555555)</f>
        <v>43935.705555555498</v>
      </c>
      <c r="H2482" s="111">
        <f ca="1">IFERROR(__xludf.DUMMYFUNCTION("""COMPUTED_VALUE"""),16.73)</f>
        <v>16.73</v>
      </c>
      <c r="K2482" s="112">
        <f ca="1">IFERROR(__xludf.DUMMYFUNCTION("""COMPUTED_VALUE"""),44383.7055555555)</f>
        <v>44383.705555555498</v>
      </c>
      <c r="L2482" s="111">
        <f ca="1">IFERROR(__xludf.DUMMYFUNCTION("""COMPUTED_VALUE"""),21.08)</f>
        <v>21.08</v>
      </c>
      <c r="M2482" s="112">
        <f ca="1">IFERROR(__xludf.DUMMYFUNCTION("""COMPUTED_VALUE"""),43843.7055555555)</f>
        <v>43843.705555555498</v>
      </c>
      <c r="N2482" s="111">
        <f ca="1">IFERROR(__xludf.DUMMYFUNCTION("""COMPUTED_VALUE"""),28.76)</f>
        <v>28.76</v>
      </c>
      <c r="O2482" s="112">
        <f ca="1">IFERROR(__xludf.DUMMYFUNCTION("""COMPUTED_VALUE"""),43917.7055555555)</f>
        <v>43917.705555555498</v>
      </c>
      <c r="P2482" s="111">
        <f ca="1">IFERROR(__xludf.DUMMYFUNCTION("""COMPUTED_VALUE"""),40.1)</f>
        <v>40.1</v>
      </c>
      <c r="Q2482" s="112">
        <f ca="1">IFERROR(__xludf.DUMMYFUNCTION("""COMPUTED_VALUE"""),43916.7055555555)</f>
        <v>43916.705555555498</v>
      </c>
      <c r="R2482" s="111">
        <f ca="1">IFERROR(__xludf.DUMMYFUNCTION("""COMPUTED_VALUE"""),30.49)</f>
        <v>30.49</v>
      </c>
      <c r="S2482" s="112">
        <f ca="1">IFERROR(__xludf.DUMMYFUNCTION("""COMPUTED_VALUE"""),43930.7055555555)</f>
        <v>43930.705555555498</v>
      </c>
      <c r="T2482" s="111">
        <f ca="1">IFERROR(__xludf.DUMMYFUNCTION("""COMPUTED_VALUE"""),33.25)</f>
        <v>33.25</v>
      </c>
    </row>
    <row r="2483" spans="1:20" x14ac:dyDescent="0.3">
      <c r="A2483" s="112">
        <f ca="1">IFERROR(__xludf.DUMMYFUNCTION("""COMPUTED_VALUE"""),43927.7055555555)</f>
        <v>43927.705555555498</v>
      </c>
      <c r="B2483" s="111">
        <f ca="1">IFERROR(__xludf.DUMMYFUNCTION("""COMPUTED_VALUE"""),21.36)</f>
        <v>21.36</v>
      </c>
      <c r="C2483" s="112">
        <f ca="1">IFERROR(__xludf.DUMMYFUNCTION("""COMPUTED_VALUE"""),43937.7055555555)</f>
        <v>43937.705555555498</v>
      </c>
      <c r="D2483" s="111">
        <f ca="1">IFERROR(__xludf.DUMMYFUNCTION("""COMPUTED_VALUE"""),22.81)</f>
        <v>22.81</v>
      </c>
      <c r="E2483" s="112">
        <f ca="1">IFERROR(__xludf.DUMMYFUNCTION("""COMPUTED_VALUE"""),43938.7055555555)</f>
        <v>43938.705555555498</v>
      </c>
      <c r="F2483" s="111">
        <f ca="1">IFERROR(__xludf.DUMMYFUNCTION("""COMPUTED_VALUE"""),8.7)</f>
        <v>8.6999999999999993</v>
      </c>
      <c r="G2483" s="112">
        <f ca="1">IFERROR(__xludf.DUMMYFUNCTION("""COMPUTED_VALUE"""),43936.7055555555)</f>
        <v>43936.705555555498</v>
      </c>
      <c r="H2483" s="111">
        <f ca="1">IFERROR(__xludf.DUMMYFUNCTION("""COMPUTED_VALUE"""),16.38)</f>
        <v>16.38</v>
      </c>
      <c r="K2483" s="112">
        <f ca="1">IFERROR(__xludf.DUMMYFUNCTION("""COMPUTED_VALUE"""),44384.7055555555)</f>
        <v>44384.705555555498</v>
      </c>
      <c r="L2483" s="111">
        <f ca="1">IFERROR(__xludf.DUMMYFUNCTION("""COMPUTED_VALUE"""),22.02)</f>
        <v>22.02</v>
      </c>
      <c r="M2483" s="112">
        <f ca="1">IFERROR(__xludf.DUMMYFUNCTION("""COMPUTED_VALUE"""),43844.7055555555)</f>
        <v>43844.705555555498</v>
      </c>
      <c r="N2483" s="111">
        <f ca="1">IFERROR(__xludf.DUMMYFUNCTION("""COMPUTED_VALUE"""),28.73)</f>
        <v>28.73</v>
      </c>
      <c r="O2483" s="112">
        <f ca="1">IFERROR(__xludf.DUMMYFUNCTION("""COMPUTED_VALUE"""),43920.7055555555)</f>
        <v>43920.705555555498</v>
      </c>
      <c r="P2483" s="111">
        <f ca="1">IFERROR(__xludf.DUMMYFUNCTION("""COMPUTED_VALUE"""),41.77)</f>
        <v>41.77</v>
      </c>
      <c r="Q2483" s="112">
        <f ca="1">IFERROR(__xludf.DUMMYFUNCTION("""COMPUTED_VALUE"""),43917.7055555555)</f>
        <v>43917.705555555498</v>
      </c>
      <c r="R2483" s="111">
        <f ca="1">IFERROR(__xludf.DUMMYFUNCTION("""COMPUTED_VALUE"""),28.24)</f>
        <v>28.24</v>
      </c>
      <c r="S2483" s="112">
        <f ca="1">IFERROR(__xludf.DUMMYFUNCTION("""COMPUTED_VALUE"""),43934.7055555555)</f>
        <v>43934.705555555498</v>
      </c>
      <c r="T2483" s="111">
        <f ca="1">IFERROR(__xludf.DUMMYFUNCTION("""COMPUTED_VALUE"""),32.76)</f>
        <v>32.76</v>
      </c>
    </row>
    <row r="2484" spans="1:20" x14ac:dyDescent="0.3">
      <c r="A2484" s="112">
        <f ca="1">IFERROR(__xludf.DUMMYFUNCTION("""COMPUTED_VALUE"""),43928.7055555555)</f>
        <v>43928.705555555498</v>
      </c>
      <c r="B2484" s="111">
        <f ca="1">IFERROR(__xludf.DUMMYFUNCTION("""COMPUTED_VALUE"""),22.05)</f>
        <v>22.05</v>
      </c>
      <c r="C2484" s="112">
        <f ca="1">IFERROR(__xludf.DUMMYFUNCTION("""COMPUTED_VALUE"""),43938.7055555555)</f>
        <v>43938.705555555498</v>
      </c>
      <c r="D2484" s="111">
        <f ca="1">IFERROR(__xludf.DUMMYFUNCTION("""COMPUTED_VALUE"""),23.22)</f>
        <v>23.22</v>
      </c>
      <c r="E2484" s="112">
        <f ca="1">IFERROR(__xludf.DUMMYFUNCTION("""COMPUTED_VALUE"""),43941.7055555555)</f>
        <v>43941.705555555498</v>
      </c>
      <c r="F2484" s="111">
        <f ca="1">IFERROR(__xludf.DUMMYFUNCTION("""COMPUTED_VALUE"""),8.54)</f>
        <v>8.5399999999999991</v>
      </c>
      <c r="G2484" s="112">
        <f ca="1">IFERROR(__xludf.DUMMYFUNCTION("""COMPUTED_VALUE"""),43937.7055555555)</f>
        <v>43937.705555555498</v>
      </c>
      <c r="H2484" s="111">
        <f ca="1">IFERROR(__xludf.DUMMYFUNCTION("""COMPUTED_VALUE"""),15.72)</f>
        <v>15.72</v>
      </c>
      <c r="K2484" s="112">
        <f ca="1">IFERROR(__xludf.DUMMYFUNCTION("""COMPUTED_VALUE"""),44385.7055555555)</f>
        <v>44385.705555555498</v>
      </c>
      <c r="L2484" s="111">
        <f ca="1">IFERROR(__xludf.DUMMYFUNCTION("""COMPUTED_VALUE"""),21.93)</f>
        <v>21.93</v>
      </c>
      <c r="M2484" s="112">
        <f ca="1">IFERROR(__xludf.DUMMYFUNCTION("""COMPUTED_VALUE"""),43845.7055555555)</f>
        <v>43845.705555555498</v>
      </c>
      <c r="N2484" s="111">
        <f ca="1">IFERROR(__xludf.DUMMYFUNCTION("""COMPUTED_VALUE"""),28.22)</f>
        <v>28.22</v>
      </c>
      <c r="O2484" s="112">
        <f ca="1">IFERROR(__xludf.DUMMYFUNCTION("""COMPUTED_VALUE"""),43921.7055555555)</f>
        <v>43921.705555555498</v>
      </c>
      <c r="P2484" s="111">
        <f ca="1">IFERROR(__xludf.DUMMYFUNCTION("""COMPUTED_VALUE"""),43.22)</f>
        <v>43.22</v>
      </c>
      <c r="Q2484" s="112">
        <f ca="1">IFERROR(__xludf.DUMMYFUNCTION("""COMPUTED_VALUE"""),43920.7055555555)</f>
        <v>43920.705555555498</v>
      </c>
      <c r="R2484" s="111">
        <f ca="1">IFERROR(__xludf.DUMMYFUNCTION("""COMPUTED_VALUE"""),28.99)</f>
        <v>28.99</v>
      </c>
      <c r="S2484" s="112">
        <f ca="1">IFERROR(__xludf.DUMMYFUNCTION("""COMPUTED_VALUE"""),43935.7055555555)</f>
        <v>43935.705555555498</v>
      </c>
      <c r="T2484" s="111">
        <f ca="1">IFERROR(__xludf.DUMMYFUNCTION("""COMPUTED_VALUE"""),32.78)</f>
        <v>32.78</v>
      </c>
    </row>
    <row r="2485" spans="1:20" x14ac:dyDescent="0.3">
      <c r="A2485" s="112">
        <f ca="1">IFERROR(__xludf.DUMMYFUNCTION("""COMPUTED_VALUE"""),43929.7055555555)</f>
        <v>43929.705555555498</v>
      </c>
      <c r="B2485" s="111">
        <f ca="1">IFERROR(__xludf.DUMMYFUNCTION("""COMPUTED_VALUE"""),23.73)</f>
        <v>23.73</v>
      </c>
      <c r="C2485" s="112">
        <f ca="1">IFERROR(__xludf.DUMMYFUNCTION("""COMPUTED_VALUE"""),43941.7055555555)</f>
        <v>43941.705555555498</v>
      </c>
      <c r="D2485" s="111">
        <f ca="1">IFERROR(__xludf.DUMMYFUNCTION("""COMPUTED_VALUE"""),22.64)</f>
        <v>22.64</v>
      </c>
      <c r="E2485" s="112">
        <f ca="1">IFERROR(__xludf.DUMMYFUNCTION("""COMPUTED_VALUE"""),43943.7055555555)</f>
        <v>43943.705555555498</v>
      </c>
      <c r="F2485" s="111">
        <f ca="1">IFERROR(__xludf.DUMMYFUNCTION("""COMPUTED_VALUE"""),8.53)</f>
        <v>8.5299999999999994</v>
      </c>
      <c r="G2485" s="112">
        <f ca="1">IFERROR(__xludf.DUMMYFUNCTION("""COMPUTED_VALUE"""),43938.7055555555)</f>
        <v>43938.705555555498</v>
      </c>
      <c r="H2485" s="111">
        <f ca="1">IFERROR(__xludf.DUMMYFUNCTION("""COMPUTED_VALUE"""),16.13)</f>
        <v>16.13</v>
      </c>
      <c r="K2485" s="112">
        <f ca="1">IFERROR(__xludf.DUMMYFUNCTION("""COMPUTED_VALUE"""),44389.8125)</f>
        <v>44389.8125</v>
      </c>
      <c r="L2485" s="111">
        <f ca="1">IFERROR(__xludf.DUMMYFUNCTION("""COMPUTED_VALUE"""),22.11)</f>
        <v>22.11</v>
      </c>
      <c r="M2485" s="112">
        <f ca="1">IFERROR(__xludf.DUMMYFUNCTION("""COMPUTED_VALUE"""),43846.7055555555)</f>
        <v>43846.705555555498</v>
      </c>
      <c r="N2485" s="111">
        <f ca="1">IFERROR(__xludf.DUMMYFUNCTION("""COMPUTED_VALUE"""),28.63)</f>
        <v>28.63</v>
      </c>
      <c r="O2485" s="112">
        <f ca="1">IFERROR(__xludf.DUMMYFUNCTION("""COMPUTED_VALUE"""),43922.7055555555)</f>
        <v>43922.705555555498</v>
      </c>
      <c r="P2485" s="111">
        <f ca="1">IFERROR(__xludf.DUMMYFUNCTION("""COMPUTED_VALUE"""),43.37)</f>
        <v>43.37</v>
      </c>
      <c r="Q2485" s="112">
        <f ca="1">IFERROR(__xludf.DUMMYFUNCTION("""COMPUTED_VALUE"""),43921.7055555555)</f>
        <v>43921.705555555498</v>
      </c>
      <c r="R2485" s="111">
        <f ca="1">IFERROR(__xludf.DUMMYFUNCTION("""COMPUTED_VALUE"""),27.89)</f>
        <v>27.89</v>
      </c>
      <c r="S2485" s="112">
        <f ca="1">IFERROR(__xludf.DUMMYFUNCTION("""COMPUTED_VALUE"""),43936.7055555555)</f>
        <v>43936.705555555498</v>
      </c>
      <c r="T2485" s="111">
        <f ca="1">IFERROR(__xludf.DUMMYFUNCTION("""COMPUTED_VALUE"""),32.5)</f>
        <v>32.5</v>
      </c>
    </row>
    <row r="2486" spans="1:20" x14ac:dyDescent="0.3">
      <c r="A2486" s="112">
        <f ca="1">IFERROR(__xludf.DUMMYFUNCTION("""COMPUTED_VALUE"""),43930.7055555555)</f>
        <v>43930.705555555498</v>
      </c>
      <c r="B2486" s="111">
        <f ca="1">IFERROR(__xludf.DUMMYFUNCTION("""COMPUTED_VALUE"""),24.99)</f>
        <v>24.99</v>
      </c>
      <c r="C2486" s="112">
        <f ca="1">IFERROR(__xludf.DUMMYFUNCTION("""COMPUTED_VALUE"""),43943.7055555555)</f>
        <v>43943.705555555498</v>
      </c>
      <c r="D2486" s="111">
        <f ca="1">IFERROR(__xludf.DUMMYFUNCTION("""COMPUTED_VALUE"""),22.37)</f>
        <v>22.37</v>
      </c>
      <c r="E2486" s="112">
        <f ca="1">IFERROR(__xludf.DUMMYFUNCTION("""COMPUTED_VALUE"""),43944.7055555555)</f>
        <v>43944.705555555498</v>
      </c>
      <c r="F2486" s="111">
        <f ca="1">IFERROR(__xludf.DUMMYFUNCTION("""COMPUTED_VALUE"""),8.42)</f>
        <v>8.42</v>
      </c>
      <c r="G2486" s="112">
        <f ca="1">IFERROR(__xludf.DUMMYFUNCTION("""COMPUTED_VALUE"""),43941.7055555555)</f>
        <v>43941.705555555498</v>
      </c>
      <c r="H2486" s="111">
        <f ca="1">IFERROR(__xludf.DUMMYFUNCTION("""COMPUTED_VALUE"""),15.95)</f>
        <v>15.95</v>
      </c>
      <c r="K2486" s="112">
        <f ca="1">IFERROR(__xludf.DUMMYFUNCTION("""COMPUTED_VALUE"""),44390.7055555555)</f>
        <v>44390.705555555498</v>
      </c>
      <c r="L2486" s="111">
        <f ca="1">IFERROR(__xludf.DUMMYFUNCTION("""COMPUTED_VALUE"""),22.5)</f>
        <v>22.5</v>
      </c>
      <c r="M2486" s="112">
        <f ca="1">IFERROR(__xludf.DUMMYFUNCTION("""COMPUTED_VALUE"""),43847.7055555555)</f>
        <v>43847.705555555498</v>
      </c>
      <c r="N2486" s="111">
        <f ca="1">IFERROR(__xludf.DUMMYFUNCTION("""COMPUTED_VALUE"""),29.3)</f>
        <v>29.3</v>
      </c>
      <c r="O2486" s="112">
        <f ca="1">IFERROR(__xludf.DUMMYFUNCTION("""COMPUTED_VALUE"""),43923.7055555555)</f>
        <v>43923.705555555498</v>
      </c>
      <c r="P2486" s="111">
        <f ca="1">IFERROR(__xludf.DUMMYFUNCTION("""COMPUTED_VALUE"""),42.78)</f>
        <v>42.78</v>
      </c>
      <c r="Q2486" s="112">
        <f ca="1">IFERROR(__xludf.DUMMYFUNCTION("""COMPUTED_VALUE"""),43922.7055555555)</f>
        <v>43922.705555555498</v>
      </c>
      <c r="R2486" s="111">
        <f ca="1">IFERROR(__xludf.DUMMYFUNCTION("""COMPUTED_VALUE"""),26.71)</f>
        <v>26.71</v>
      </c>
      <c r="S2486" s="112">
        <f ca="1">IFERROR(__xludf.DUMMYFUNCTION("""COMPUTED_VALUE"""),43937.7055555555)</f>
        <v>43937.705555555498</v>
      </c>
      <c r="T2486" s="111">
        <f ca="1">IFERROR(__xludf.DUMMYFUNCTION("""COMPUTED_VALUE"""),32.41)</f>
        <v>32.409999999999997</v>
      </c>
    </row>
    <row r="2487" spans="1:20" x14ac:dyDescent="0.3">
      <c r="A2487" s="112">
        <f ca="1">IFERROR(__xludf.DUMMYFUNCTION("""COMPUTED_VALUE"""),43934.7055555555)</f>
        <v>43934.705555555498</v>
      </c>
      <c r="B2487" s="111">
        <f ca="1">IFERROR(__xludf.DUMMYFUNCTION("""COMPUTED_VALUE"""),26.12)</f>
        <v>26.12</v>
      </c>
      <c r="C2487" s="112">
        <f ca="1">IFERROR(__xludf.DUMMYFUNCTION("""COMPUTED_VALUE"""),43944.7055555555)</f>
        <v>43944.705555555498</v>
      </c>
      <c r="D2487" s="111">
        <f ca="1">IFERROR(__xludf.DUMMYFUNCTION("""COMPUTED_VALUE"""),22.05)</f>
        <v>22.05</v>
      </c>
      <c r="E2487" s="112">
        <f ca="1">IFERROR(__xludf.DUMMYFUNCTION("""COMPUTED_VALUE"""),43945.7055555555)</f>
        <v>43945.705555555498</v>
      </c>
      <c r="F2487" s="111">
        <f ca="1">IFERROR(__xludf.DUMMYFUNCTION("""COMPUTED_VALUE"""),8)</f>
        <v>8</v>
      </c>
      <c r="G2487" s="112">
        <f ca="1">IFERROR(__xludf.DUMMYFUNCTION("""COMPUTED_VALUE"""),43943.7055555555)</f>
        <v>43943.705555555498</v>
      </c>
      <c r="H2487" s="111">
        <f ca="1">IFERROR(__xludf.DUMMYFUNCTION("""COMPUTED_VALUE"""),16.75)</f>
        <v>16.75</v>
      </c>
      <c r="K2487" s="112">
        <f ca="1">IFERROR(__xludf.DUMMYFUNCTION("""COMPUTED_VALUE"""),44391.7055555555)</f>
        <v>44391.705555555498</v>
      </c>
      <c r="L2487" s="111">
        <f ca="1">IFERROR(__xludf.DUMMYFUNCTION("""COMPUTED_VALUE"""),22.93)</f>
        <v>22.93</v>
      </c>
      <c r="M2487" s="112">
        <f ca="1">IFERROR(__xludf.DUMMYFUNCTION("""COMPUTED_VALUE"""),43850.7055555555)</f>
        <v>43850.705555555498</v>
      </c>
      <c r="N2487" s="111">
        <f ca="1">IFERROR(__xludf.DUMMYFUNCTION("""COMPUTED_VALUE"""),28.73)</f>
        <v>28.73</v>
      </c>
      <c r="O2487" s="112">
        <f ca="1">IFERROR(__xludf.DUMMYFUNCTION("""COMPUTED_VALUE"""),43924.7055555555)</f>
        <v>43924.705555555498</v>
      </c>
      <c r="P2487" s="111">
        <f ca="1">IFERROR(__xludf.DUMMYFUNCTION("""COMPUTED_VALUE"""),40.5)</f>
        <v>40.5</v>
      </c>
      <c r="Q2487" s="112">
        <f ca="1">IFERROR(__xludf.DUMMYFUNCTION("""COMPUTED_VALUE"""),43923.7055555555)</f>
        <v>43923.705555555498</v>
      </c>
      <c r="R2487" s="111">
        <f ca="1">IFERROR(__xludf.DUMMYFUNCTION("""COMPUTED_VALUE"""),27.02)</f>
        <v>27.02</v>
      </c>
      <c r="S2487" s="112">
        <f ca="1">IFERROR(__xludf.DUMMYFUNCTION("""COMPUTED_VALUE"""),43938.7055555555)</f>
        <v>43938.705555555498</v>
      </c>
      <c r="T2487" s="111">
        <f ca="1">IFERROR(__xludf.DUMMYFUNCTION("""COMPUTED_VALUE"""),34.09)</f>
        <v>34.090000000000003</v>
      </c>
    </row>
    <row r="2488" spans="1:20" x14ac:dyDescent="0.3">
      <c r="A2488" s="112">
        <f ca="1">IFERROR(__xludf.DUMMYFUNCTION("""COMPUTED_VALUE"""),43935.7055555555)</f>
        <v>43935.705555555498</v>
      </c>
      <c r="B2488" s="111">
        <f ca="1">IFERROR(__xludf.DUMMYFUNCTION("""COMPUTED_VALUE"""),27.21)</f>
        <v>27.21</v>
      </c>
      <c r="C2488" s="112">
        <f ca="1">IFERROR(__xludf.DUMMYFUNCTION("""COMPUTED_VALUE"""),43945.7055555555)</f>
        <v>43945.705555555498</v>
      </c>
      <c r="D2488" s="111">
        <f ca="1">IFERROR(__xludf.DUMMYFUNCTION("""COMPUTED_VALUE"""),20.88)</f>
        <v>20.88</v>
      </c>
      <c r="E2488" s="112">
        <f ca="1">IFERROR(__xludf.DUMMYFUNCTION("""COMPUTED_VALUE"""),43948.7055555555)</f>
        <v>43948.705555555498</v>
      </c>
      <c r="F2488" s="111">
        <f ca="1">IFERROR(__xludf.DUMMYFUNCTION("""COMPUTED_VALUE"""),8.26)</f>
        <v>8.26</v>
      </c>
      <c r="G2488" s="112">
        <f ca="1">IFERROR(__xludf.DUMMYFUNCTION("""COMPUTED_VALUE"""),43944.7055555555)</f>
        <v>43944.705555555498</v>
      </c>
      <c r="H2488" s="111">
        <f ca="1">IFERROR(__xludf.DUMMYFUNCTION("""COMPUTED_VALUE"""),16.95)</f>
        <v>16.95</v>
      </c>
      <c r="K2488" s="112">
        <f ca="1">IFERROR(__xludf.DUMMYFUNCTION("""COMPUTED_VALUE"""),44392.7055555555)</f>
        <v>44392.705555555498</v>
      </c>
      <c r="L2488" s="111">
        <f ca="1">IFERROR(__xludf.DUMMYFUNCTION("""COMPUTED_VALUE"""),23.72)</f>
        <v>23.72</v>
      </c>
      <c r="M2488" s="112">
        <f ca="1">IFERROR(__xludf.DUMMYFUNCTION("""COMPUTED_VALUE"""),43851.7055555555)</f>
        <v>43851.705555555498</v>
      </c>
      <c r="N2488" s="111">
        <f ca="1">IFERROR(__xludf.DUMMYFUNCTION("""COMPUTED_VALUE"""),27.77)</f>
        <v>27.77</v>
      </c>
      <c r="O2488" s="112">
        <f ca="1">IFERROR(__xludf.DUMMYFUNCTION("""COMPUTED_VALUE"""),43927.7055555555)</f>
        <v>43927.705555555498</v>
      </c>
      <c r="P2488" s="111">
        <f ca="1">IFERROR(__xludf.DUMMYFUNCTION("""COMPUTED_VALUE"""),43.13)</f>
        <v>43.13</v>
      </c>
      <c r="Q2488" s="112">
        <f ca="1">IFERROR(__xludf.DUMMYFUNCTION("""COMPUTED_VALUE"""),43924.7055555555)</f>
        <v>43924.705555555498</v>
      </c>
      <c r="R2488" s="111">
        <f ca="1">IFERROR(__xludf.DUMMYFUNCTION("""COMPUTED_VALUE"""),25.5)</f>
        <v>25.5</v>
      </c>
      <c r="S2488" s="112">
        <f ca="1">IFERROR(__xludf.DUMMYFUNCTION("""COMPUTED_VALUE"""),43941.7055555555)</f>
        <v>43941.705555555498</v>
      </c>
      <c r="T2488" s="111">
        <f ca="1">IFERROR(__xludf.DUMMYFUNCTION("""COMPUTED_VALUE"""),35.45)</f>
        <v>35.450000000000003</v>
      </c>
    </row>
    <row r="2489" spans="1:20" x14ac:dyDescent="0.3">
      <c r="A2489" s="112">
        <f ca="1">IFERROR(__xludf.DUMMYFUNCTION("""COMPUTED_VALUE"""),43936.7055555555)</f>
        <v>43936.705555555498</v>
      </c>
      <c r="B2489" s="111">
        <f ca="1">IFERROR(__xludf.DUMMYFUNCTION("""COMPUTED_VALUE"""),26.28)</f>
        <v>26.28</v>
      </c>
      <c r="C2489" s="112">
        <f ca="1">IFERROR(__xludf.DUMMYFUNCTION("""COMPUTED_VALUE"""),43948.7055555555)</f>
        <v>43948.705555555498</v>
      </c>
      <c r="D2489" s="111">
        <f ca="1">IFERROR(__xludf.DUMMYFUNCTION("""COMPUTED_VALUE"""),21.57)</f>
        <v>21.57</v>
      </c>
      <c r="E2489" s="112">
        <f ca="1">IFERROR(__xludf.DUMMYFUNCTION("""COMPUTED_VALUE"""),43949.7055555555)</f>
        <v>43949.705555555498</v>
      </c>
      <c r="F2489" s="111">
        <f ca="1">IFERROR(__xludf.DUMMYFUNCTION("""COMPUTED_VALUE"""),8.84)</f>
        <v>8.84</v>
      </c>
      <c r="G2489" s="112">
        <f ca="1">IFERROR(__xludf.DUMMYFUNCTION("""COMPUTED_VALUE"""),43945.7055555555)</f>
        <v>43945.705555555498</v>
      </c>
      <c r="H2489" s="111">
        <f ca="1">IFERROR(__xludf.DUMMYFUNCTION("""COMPUTED_VALUE"""),15.95)</f>
        <v>15.95</v>
      </c>
      <c r="K2489" s="112">
        <f ca="1">IFERROR(__xludf.DUMMYFUNCTION("""COMPUTED_VALUE"""),44393.7055555555)</f>
        <v>44393.705555555498</v>
      </c>
      <c r="L2489" s="111">
        <f ca="1">IFERROR(__xludf.DUMMYFUNCTION("""COMPUTED_VALUE"""),23.9)</f>
        <v>23.9</v>
      </c>
      <c r="M2489" s="112">
        <f ca="1">IFERROR(__xludf.DUMMYFUNCTION("""COMPUTED_VALUE"""),43852.7055555555)</f>
        <v>43852.705555555498</v>
      </c>
      <c r="N2489" s="111">
        <f ca="1">IFERROR(__xludf.DUMMYFUNCTION("""COMPUTED_VALUE"""),27.87)</f>
        <v>27.87</v>
      </c>
      <c r="O2489" s="112">
        <f ca="1">IFERROR(__xludf.DUMMYFUNCTION("""COMPUTED_VALUE"""),43928.7055555555)</f>
        <v>43928.705555555498</v>
      </c>
      <c r="P2489" s="111">
        <f ca="1">IFERROR(__xludf.DUMMYFUNCTION("""COMPUTED_VALUE"""),43.78)</f>
        <v>43.78</v>
      </c>
      <c r="Q2489" s="112">
        <f ca="1">IFERROR(__xludf.DUMMYFUNCTION("""COMPUTED_VALUE"""),43927.7055555555)</f>
        <v>43927.705555555498</v>
      </c>
      <c r="R2489" s="111">
        <f ca="1">IFERROR(__xludf.DUMMYFUNCTION("""COMPUTED_VALUE"""),27.86)</f>
        <v>27.86</v>
      </c>
      <c r="S2489" s="112">
        <f ca="1">IFERROR(__xludf.DUMMYFUNCTION("""COMPUTED_VALUE"""),43943.7055555555)</f>
        <v>43943.705555555498</v>
      </c>
      <c r="T2489" s="111">
        <f ca="1">IFERROR(__xludf.DUMMYFUNCTION("""COMPUTED_VALUE"""),37.21)</f>
        <v>37.21</v>
      </c>
    </row>
    <row r="2490" spans="1:20" x14ac:dyDescent="0.3">
      <c r="A2490" s="112">
        <f ca="1">IFERROR(__xludf.DUMMYFUNCTION("""COMPUTED_VALUE"""),43937.7055555555)</f>
        <v>43937.705555555498</v>
      </c>
      <c r="B2490" s="111">
        <f ca="1">IFERROR(__xludf.DUMMYFUNCTION("""COMPUTED_VALUE"""),25.58)</f>
        <v>25.58</v>
      </c>
      <c r="C2490" s="112">
        <f ca="1">IFERROR(__xludf.DUMMYFUNCTION("""COMPUTED_VALUE"""),43949.7055555555)</f>
        <v>43949.705555555498</v>
      </c>
      <c r="D2490" s="111">
        <f ca="1">IFERROR(__xludf.DUMMYFUNCTION("""COMPUTED_VALUE"""),23.35)</f>
        <v>23.35</v>
      </c>
      <c r="E2490" s="112">
        <f ca="1">IFERROR(__xludf.DUMMYFUNCTION("""COMPUTED_VALUE"""),43950.7055555555)</f>
        <v>43950.705555555498</v>
      </c>
      <c r="F2490" s="111">
        <f ca="1">IFERROR(__xludf.DUMMYFUNCTION("""COMPUTED_VALUE"""),8.82)</f>
        <v>8.82</v>
      </c>
      <c r="G2490" s="112">
        <f ca="1">IFERROR(__xludf.DUMMYFUNCTION("""COMPUTED_VALUE"""),43948.7055555555)</f>
        <v>43948.705555555498</v>
      </c>
      <c r="H2490" s="111">
        <f ca="1">IFERROR(__xludf.DUMMYFUNCTION("""COMPUTED_VALUE"""),16.45)</f>
        <v>16.45</v>
      </c>
      <c r="K2490" s="112">
        <f ca="1">IFERROR(__xludf.DUMMYFUNCTION("""COMPUTED_VALUE"""),44396.7055555555)</f>
        <v>44396.705555555498</v>
      </c>
      <c r="L2490" s="111">
        <f ca="1">IFERROR(__xludf.DUMMYFUNCTION("""COMPUTED_VALUE"""),23.12)</f>
        <v>23.12</v>
      </c>
      <c r="M2490" s="112">
        <f ca="1">IFERROR(__xludf.DUMMYFUNCTION("""COMPUTED_VALUE"""),43853.7055555555)</f>
        <v>43853.705555555498</v>
      </c>
      <c r="N2490" s="111">
        <f ca="1">IFERROR(__xludf.DUMMYFUNCTION("""COMPUTED_VALUE"""),28.6)</f>
        <v>28.6</v>
      </c>
      <c r="O2490" s="112">
        <f ca="1">IFERROR(__xludf.DUMMYFUNCTION("""COMPUTED_VALUE"""),43929.7055555555)</f>
        <v>43929.705555555498</v>
      </c>
      <c r="P2490" s="111">
        <f ca="1">IFERROR(__xludf.DUMMYFUNCTION("""COMPUTED_VALUE"""),43.51)</f>
        <v>43.51</v>
      </c>
      <c r="Q2490" s="112">
        <f ca="1">IFERROR(__xludf.DUMMYFUNCTION("""COMPUTED_VALUE"""),43928.7055555555)</f>
        <v>43928.705555555498</v>
      </c>
      <c r="R2490" s="111">
        <f ca="1">IFERROR(__xludf.DUMMYFUNCTION("""COMPUTED_VALUE"""),29.17)</f>
        <v>29.17</v>
      </c>
      <c r="S2490" s="112">
        <f ca="1">IFERROR(__xludf.DUMMYFUNCTION("""COMPUTED_VALUE"""),43944.7055555555)</f>
        <v>43944.705555555498</v>
      </c>
      <c r="T2490" s="111">
        <f ca="1">IFERROR(__xludf.DUMMYFUNCTION("""COMPUTED_VALUE"""),35.86)</f>
        <v>35.86</v>
      </c>
    </row>
    <row r="2491" spans="1:20" x14ac:dyDescent="0.3">
      <c r="A2491" s="112">
        <f ca="1">IFERROR(__xludf.DUMMYFUNCTION("""COMPUTED_VALUE"""),43938.7055555555)</f>
        <v>43938.705555555498</v>
      </c>
      <c r="B2491" s="111">
        <f ca="1">IFERROR(__xludf.DUMMYFUNCTION("""COMPUTED_VALUE"""),25.67)</f>
        <v>25.67</v>
      </c>
      <c r="C2491" s="112">
        <f ca="1">IFERROR(__xludf.DUMMYFUNCTION("""COMPUTED_VALUE"""),43950.7055555555)</f>
        <v>43950.705555555498</v>
      </c>
      <c r="D2491" s="111">
        <f ca="1">IFERROR(__xludf.DUMMYFUNCTION("""COMPUTED_VALUE"""),23.66)</f>
        <v>23.66</v>
      </c>
      <c r="E2491" s="112">
        <f ca="1">IFERROR(__xludf.DUMMYFUNCTION("""COMPUTED_VALUE"""),43951.7055555555)</f>
        <v>43951.705555555498</v>
      </c>
      <c r="F2491" s="111">
        <f ca="1">IFERROR(__xludf.DUMMYFUNCTION("""COMPUTED_VALUE"""),8.57)</f>
        <v>8.57</v>
      </c>
      <c r="G2491" s="112">
        <f ca="1">IFERROR(__xludf.DUMMYFUNCTION("""COMPUTED_VALUE"""),43949.7055555555)</f>
        <v>43949.705555555498</v>
      </c>
      <c r="H2491" s="111">
        <f ca="1">IFERROR(__xludf.DUMMYFUNCTION("""COMPUTED_VALUE"""),17.25)</f>
        <v>17.25</v>
      </c>
      <c r="K2491" s="112">
        <f ca="1">IFERROR(__xludf.DUMMYFUNCTION("""COMPUTED_VALUE"""),44397.7055555555)</f>
        <v>44397.705555555498</v>
      </c>
      <c r="L2491" s="111">
        <f ca="1">IFERROR(__xludf.DUMMYFUNCTION("""COMPUTED_VALUE"""),23.37)</f>
        <v>23.37</v>
      </c>
      <c r="M2491" s="112">
        <f ca="1">IFERROR(__xludf.DUMMYFUNCTION("""COMPUTED_VALUE"""),43854.7055555555)</f>
        <v>43854.705555555498</v>
      </c>
      <c r="N2491" s="111">
        <f ca="1">IFERROR(__xludf.DUMMYFUNCTION("""COMPUTED_VALUE"""),28.39)</f>
        <v>28.39</v>
      </c>
      <c r="O2491" s="112">
        <f ca="1">IFERROR(__xludf.DUMMYFUNCTION("""COMPUTED_VALUE"""),43930.7055555555)</f>
        <v>43930.705555555498</v>
      </c>
      <c r="P2491" s="111">
        <f ca="1">IFERROR(__xludf.DUMMYFUNCTION("""COMPUTED_VALUE"""),43.28)</f>
        <v>43.28</v>
      </c>
      <c r="Q2491" s="112">
        <f ca="1">IFERROR(__xludf.DUMMYFUNCTION("""COMPUTED_VALUE"""),43929.7055555555)</f>
        <v>43929.705555555498</v>
      </c>
      <c r="R2491" s="111">
        <f ca="1">IFERROR(__xludf.DUMMYFUNCTION("""COMPUTED_VALUE"""),29.73)</f>
        <v>29.73</v>
      </c>
      <c r="S2491" s="112">
        <f ca="1">IFERROR(__xludf.DUMMYFUNCTION("""COMPUTED_VALUE"""),43945.7055555555)</f>
        <v>43945.705555555498</v>
      </c>
      <c r="T2491" s="111">
        <f ca="1">IFERROR(__xludf.DUMMYFUNCTION("""COMPUTED_VALUE"""),34.25)</f>
        <v>34.25</v>
      </c>
    </row>
    <row r="2492" spans="1:20" x14ac:dyDescent="0.3">
      <c r="A2492" s="112">
        <f ca="1">IFERROR(__xludf.DUMMYFUNCTION("""COMPUTED_VALUE"""),43941.7055555555)</f>
        <v>43941.705555555498</v>
      </c>
      <c r="B2492" s="111">
        <f ca="1">IFERROR(__xludf.DUMMYFUNCTION("""COMPUTED_VALUE"""),25.43)</f>
        <v>25.43</v>
      </c>
      <c r="C2492" s="112">
        <f ca="1">IFERROR(__xludf.DUMMYFUNCTION("""COMPUTED_VALUE"""),43951.7055555555)</f>
        <v>43951.705555555498</v>
      </c>
      <c r="D2492" s="111">
        <f ca="1">IFERROR(__xludf.DUMMYFUNCTION("""COMPUTED_VALUE"""),22.77)</f>
        <v>22.77</v>
      </c>
      <c r="E2492" s="112">
        <f ca="1">IFERROR(__xludf.DUMMYFUNCTION("""COMPUTED_VALUE"""),43955.7055555555)</f>
        <v>43955.705555555498</v>
      </c>
      <c r="F2492" s="111">
        <f ca="1">IFERROR(__xludf.DUMMYFUNCTION("""COMPUTED_VALUE"""),8.29)</f>
        <v>8.2899999999999991</v>
      </c>
      <c r="G2492" s="112">
        <f ca="1">IFERROR(__xludf.DUMMYFUNCTION("""COMPUTED_VALUE"""),43950.7055555555)</f>
        <v>43950.705555555498</v>
      </c>
      <c r="H2492" s="111">
        <f ca="1">IFERROR(__xludf.DUMMYFUNCTION("""COMPUTED_VALUE"""),18.2)</f>
        <v>18.2</v>
      </c>
      <c r="K2492" s="112">
        <f ca="1">IFERROR(__xludf.DUMMYFUNCTION("""COMPUTED_VALUE"""),44398.7055555555)</f>
        <v>44398.705555555498</v>
      </c>
      <c r="L2492" s="111">
        <f ca="1">IFERROR(__xludf.DUMMYFUNCTION("""COMPUTED_VALUE"""),23.36)</f>
        <v>23.36</v>
      </c>
      <c r="M2492" s="112">
        <f ca="1">IFERROR(__xludf.DUMMYFUNCTION("""COMPUTED_VALUE"""),43857.7055555555)</f>
        <v>43857.705555555498</v>
      </c>
      <c r="N2492" s="111">
        <f ca="1">IFERROR(__xludf.DUMMYFUNCTION("""COMPUTED_VALUE"""),27.74)</f>
        <v>27.74</v>
      </c>
      <c r="O2492" s="112">
        <f ca="1">IFERROR(__xludf.DUMMYFUNCTION("""COMPUTED_VALUE"""),43934.7055555555)</f>
        <v>43934.705555555498</v>
      </c>
      <c r="P2492" s="111">
        <f ca="1">IFERROR(__xludf.DUMMYFUNCTION("""COMPUTED_VALUE"""),44.57)</f>
        <v>44.57</v>
      </c>
      <c r="Q2492" s="112">
        <f ca="1">IFERROR(__xludf.DUMMYFUNCTION("""COMPUTED_VALUE"""),43930.7055555555)</f>
        <v>43930.705555555498</v>
      </c>
      <c r="R2492" s="111">
        <f ca="1">IFERROR(__xludf.DUMMYFUNCTION("""COMPUTED_VALUE"""),29.65)</f>
        <v>29.65</v>
      </c>
      <c r="S2492" s="112">
        <f ca="1">IFERROR(__xludf.DUMMYFUNCTION("""COMPUTED_VALUE"""),43948.7055555555)</f>
        <v>43948.705555555498</v>
      </c>
      <c r="T2492" s="111">
        <f ca="1">IFERROR(__xludf.DUMMYFUNCTION("""COMPUTED_VALUE"""),35.15)</f>
        <v>35.15</v>
      </c>
    </row>
    <row r="2493" spans="1:20" x14ac:dyDescent="0.3">
      <c r="A2493" s="112">
        <f ca="1">IFERROR(__xludf.DUMMYFUNCTION("""COMPUTED_VALUE"""),43943.7055555555)</f>
        <v>43943.705555555498</v>
      </c>
      <c r="B2493" s="111">
        <f ca="1">IFERROR(__xludf.DUMMYFUNCTION("""COMPUTED_VALUE"""),26.38)</f>
        <v>26.38</v>
      </c>
      <c r="C2493" s="112">
        <f ca="1">IFERROR(__xludf.DUMMYFUNCTION("""COMPUTED_VALUE"""),43955.7055555555)</f>
        <v>43955.705555555498</v>
      </c>
      <c r="D2493" s="111">
        <f ca="1">IFERROR(__xludf.DUMMYFUNCTION("""COMPUTED_VALUE"""),21.89)</f>
        <v>21.89</v>
      </c>
      <c r="E2493" s="112">
        <f ca="1">IFERROR(__xludf.DUMMYFUNCTION("""COMPUTED_VALUE"""),43956.7055555555)</f>
        <v>43956.705555555498</v>
      </c>
      <c r="F2493" s="111">
        <f ca="1">IFERROR(__xludf.DUMMYFUNCTION("""COMPUTED_VALUE"""),8.49)</f>
        <v>8.49</v>
      </c>
      <c r="G2493" s="112">
        <f ca="1">IFERROR(__xludf.DUMMYFUNCTION("""COMPUTED_VALUE"""),43951.7055555555)</f>
        <v>43951.705555555498</v>
      </c>
      <c r="H2493" s="111">
        <f ca="1">IFERROR(__xludf.DUMMYFUNCTION("""COMPUTED_VALUE"""),18.05)</f>
        <v>18.05</v>
      </c>
      <c r="K2493" s="112">
        <f ca="1">IFERROR(__xludf.DUMMYFUNCTION("""COMPUTED_VALUE"""),44399.7055555555)</f>
        <v>44399.705555555498</v>
      </c>
      <c r="L2493" s="111">
        <f ca="1">IFERROR(__xludf.DUMMYFUNCTION("""COMPUTED_VALUE"""),23.25)</f>
        <v>23.25</v>
      </c>
      <c r="M2493" s="112">
        <f ca="1">IFERROR(__xludf.DUMMYFUNCTION("""COMPUTED_VALUE"""),43858.7055555555)</f>
        <v>43858.705555555498</v>
      </c>
      <c r="N2493" s="111">
        <f ca="1">IFERROR(__xludf.DUMMYFUNCTION("""COMPUTED_VALUE"""),27.77)</f>
        <v>27.77</v>
      </c>
      <c r="O2493" s="112">
        <f ca="1">IFERROR(__xludf.DUMMYFUNCTION("""COMPUTED_VALUE"""),43935.7055555555)</f>
        <v>43935.705555555498</v>
      </c>
      <c r="P2493" s="111">
        <f ca="1">IFERROR(__xludf.DUMMYFUNCTION("""COMPUTED_VALUE"""),44.53)</f>
        <v>44.53</v>
      </c>
      <c r="Q2493" s="112">
        <f ca="1">IFERROR(__xludf.DUMMYFUNCTION("""COMPUTED_VALUE"""),43934.7055555555)</f>
        <v>43934.705555555498</v>
      </c>
      <c r="R2493" s="111">
        <f ca="1">IFERROR(__xludf.DUMMYFUNCTION("""COMPUTED_VALUE"""),30.24)</f>
        <v>30.24</v>
      </c>
      <c r="S2493" s="112">
        <f ca="1">IFERROR(__xludf.DUMMYFUNCTION("""COMPUTED_VALUE"""),43949.7055555555)</f>
        <v>43949.705555555498</v>
      </c>
      <c r="T2493" s="111">
        <f ca="1">IFERROR(__xludf.DUMMYFUNCTION("""COMPUTED_VALUE"""),36.56)</f>
        <v>36.56</v>
      </c>
    </row>
    <row r="2494" spans="1:20" x14ac:dyDescent="0.3">
      <c r="A2494" s="112">
        <f ca="1">IFERROR(__xludf.DUMMYFUNCTION("""COMPUTED_VALUE"""),43944.7055555555)</f>
        <v>43944.705555555498</v>
      </c>
      <c r="B2494" s="111">
        <f ca="1">IFERROR(__xludf.DUMMYFUNCTION("""COMPUTED_VALUE"""),24.78)</f>
        <v>24.78</v>
      </c>
      <c r="C2494" s="112">
        <f ca="1">IFERROR(__xludf.DUMMYFUNCTION("""COMPUTED_VALUE"""),43956.7055555555)</f>
        <v>43956.705555555498</v>
      </c>
      <c r="D2494" s="111">
        <f ca="1">IFERROR(__xludf.DUMMYFUNCTION("""COMPUTED_VALUE"""),22.7)</f>
        <v>22.7</v>
      </c>
      <c r="E2494" s="112">
        <f ca="1">IFERROR(__xludf.DUMMYFUNCTION("""COMPUTED_VALUE"""),43957.7055555555)</f>
        <v>43957.705555555498</v>
      </c>
      <c r="F2494" s="111">
        <f ca="1">IFERROR(__xludf.DUMMYFUNCTION("""COMPUTED_VALUE"""),8.29)</f>
        <v>8.2899999999999991</v>
      </c>
      <c r="G2494" s="112">
        <f ca="1">IFERROR(__xludf.DUMMYFUNCTION("""COMPUTED_VALUE"""),43955.7055555555)</f>
        <v>43955.705555555498</v>
      </c>
      <c r="H2494" s="111">
        <f ca="1">IFERROR(__xludf.DUMMYFUNCTION("""COMPUTED_VALUE"""),17.38)</f>
        <v>17.38</v>
      </c>
      <c r="K2494" s="112">
        <f ca="1">IFERROR(__xludf.DUMMYFUNCTION("""COMPUTED_VALUE"""),44400.7055555555)</f>
        <v>44400.705555555498</v>
      </c>
      <c r="L2494" s="111">
        <f ca="1">IFERROR(__xludf.DUMMYFUNCTION("""COMPUTED_VALUE"""),22.6)</f>
        <v>22.6</v>
      </c>
      <c r="M2494" s="112">
        <f ca="1">IFERROR(__xludf.DUMMYFUNCTION("""COMPUTED_VALUE"""),43859.7055555555)</f>
        <v>43859.705555555498</v>
      </c>
      <c r="N2494" s="111">
        <f ca="1">IFERROR(__xludf.DUMMYFUNCTION("""COMPUTED_VALUE"""),27.37)</f>
        <v>27.37</v>
      </c>
      <c r="O2494" s="112">
        <f ca="1">IFERROR(__xludf.DUMMYFUNCTION("""COMPUTED_VALUE"""),43936.7055555555)</f>
        <v>43936.705555555498</v>
      </c>
      <c r="P2494" s="111">
        <f ca="1">IFERROR(__xludf.DUMMYFUNCTION("""COMPUTED_VALUE"""),43.19)</f>
        <v>43.19</v>
      </c>
      <c r="Q2494" s="112">
        <f ca="1">IFERROR(__xludf.DUMMYFUNCTION("""COMPUTED_VALUE"""),43935.7055555555)</f>
        <v>43935.705555555498</v>
      </c>
      <c r="R2494" s="111">
        <f ca="1">IFERROR(__xludf.DUMMYFUNCTION("""COMPUTED_VALUE"""),30.21)</f>
        <v>30.21</v>
      </c>
      <c r="S2494" s="112">
        <f ca="1">IFERROR(__xludf.DUMMYFUNCTION("""COMPUTED_VALUE"""),43950.7055555555)</f>
        <v>43950.705555555498</v>
      </c>
      <c r="T2494" s="111">
        <f ca="1">IFERROR(__xludf.DUMMYFUNCTION("""COMPUTED_VALUE"""),36.88)</f>
        <v>36.880000000000003</v>
      </c>
    </row>
    <row r="2495" spans="1:20" x14ac:dyDescent="0.3">
      <c r="A2495" s="112">
        <f ca="1">IFERROR(__xludf.DUMMYFUNCTION("""COMPUTED_VALUE"""),43945.7055555555)</f>
        <v>43945.705555555498</v>
      </c>
      <c r="B2495" s="111">
        <f ca="1">IFERROR(__xludf.DUMMYFUNCTION("""COMPUTED_VALUE"""),21.55)</f>
        <v>21.55</v>
      </c>
      <c r="C2495" s="112">
        <f ca="1">IFERROR(__xludf.DUMMYFUNCTION("""COMPUTED_VALUE"""),43957.7055555555)</f>
        <v>43957.705555555498</v>
      </c>
      <c r="D2495" s="111">
        <f ca="1">IFERROR(__xludf.DUMMYFUNCTION("""COMPUTED_VALUE"""),22.24)</f>
        <v>22.24</v>
      </c>
      <c r="E2495" s="112">
        <f ca="1">IFERROR(__xludf.DUMMYFUNCTION("""COMPUTED_VALUE"""),43958.7055555555)</f>
        <v>43958.705555555498</v>
      </c>
      <c r="F2495" s="111">
        <f ca="1">IFERROR(__xludf.DUMMYFUNCTION("""COMPUTED_VALUE"""),7.9)</f>
        <v>7.9</v>
      </c>
      <c r="G2495" s="112">
        <f ca="1">IFERROR(__xludf.DUMMYFUNCTION("""COMPUTED_VALUE"""),43956.7055555555)</f>
        <v>43956.705555555498</v>
      </c>
      <c r="H2495" s="111">
        <f ca="1">IFERROR(__xludf.DUMMYFUNCTION("""COMPUTED_VALUE"""),17.94)</f>
        <v>17.940000000000001</v>
      </c>
      <c r="K2495" s="112">
        <f ca="1">IFERROR(__xludf.DUMMYFUNCTION("""COMPUTED_VALUE"""),44403.7055555555)</f>
        <v>44403.705555555498</v>
      </c>
      <c r="L2495" s="111">
        <f ca="1">IFERROR(__xludf.DUMMYFUNCTION("""COMPUTED_VALUE"""),22.04)</f>
        <v>22.04</v>
      </c>
      <c r="M2495" s="112">
        <f ca="1">IFERROR(__xludf.DUMMYFUNCTION("""COMPUTED_VALUE"""),43860.7055555555)</f>
        <v>43860.705555555498</v>
      </c>
      <c r="N2495" s="111">
        <f ca="1">IFERROR(__xludf.DUMMYFUNCTION("""COMPUTED_VALUE"""),27.64)</f>
        <v>27.64</v>
      </c>
      <c r="O2495" s="112">
        <f ca="1">IFERROR(__xludf.DUMMYFUNCTION("""COMPUTED_VALUE"""),43937.7055555555)</f>
        <v>43937.705555555498</v>
      </c>
      <c r="P2495" s="111">
        <f ca="1">IFERROR(__xludf.DUMMYFUNCTION("""COMPUTED_VALUE"""),42.76)</f>
        <v>42.76</v>
      </c>
      <c r="Q2495" s="112">
        <f ca="1">IFERROR(__xludf.DUMMYFUNCTION("""COMPUTED_VALUE"""),43936.7055555555)</f>
        <v>43936.705555555498</v>
      </c>
      <c r="R2495" s="111">
        <f ca="1">IFERROR(__xludf.DUMMYFUNCTION("""COMPUTED_VALUE"""),29.65)</f>
        <v>29.65</v>
      </c>
      <c r="S2495" s="112">
        <f ca="1">IFERROR(__xludf.DUMMYFUNCTION("""COMPUTED_VALUE"""),43951.7055555555)</f>
        <v>43951.705555555498</v>
      </c>
      <c r="T2495" s="111">
        <f ca="1">IFERROR(__xludf.DUMMYFUNCTION("""COMPUTED_VALUE"""),34.9)</f>
        <v>34.9</v>
      </c>
    </row>
    <row r="2496" spans="1:20" x14ac:dyDescent="0.3">
      <c r="A2496" s="112">
        <f ca="1">IFERROR(__xludf.DUMMYFUNCTION("""COMPUTED_VALUE"""),43948.7055555555)</f>
        <v>43948.705555555498</v>
      </c>
      <c r="B2496" s="111">
        <f ca="1">IFERROR(__xludf.DUMMYFUNCTION("""COMPUTED_VALUE"""),22.05)</f>
        <v>22.05</v>
      </c>
      <c r="C2496" s="112">
        <f ca="1">IFERROR(__xludf.DUMMYFUNCTION("""COMPUTED_VALUE"""),43958.7055555555)</f>
        <v>43958.705555555498</v>
      </c>
      <c r="D2496" s="111">
        <f ca="1">IFERROR(__xludf.DUMMYFUNCTION("""COMPUTED_VALUE"""),21.44)</f>
        <v>21.44</v>
      </c>
      <c r="E2496" s="112">
        <f ca="1">IFERROR(__xludf.DUMMYFUNCTION("""COMPUTED_VALUE"""),43959.7055555555)</f>
        <v>43959.705555555498</v>
      </c>
      <c r="F2496" s="111">
        <f ca="1">IFERROR(__xludf.DUMMYFUNCTION("""COMPUTED_VALUE"""),8.09)</f>
        <v>8.09</v>
      </c>
      <c r="G2496" s="112">
        <f ca="1">IFERROR(__xludf.DUMMYFUNCTION("""COMPUTED_VALUE"""),43957.7055555555)</f>
        <v>43957.705555555498</v>
      </c>
      <c r="H2496" s="111">
        <f ca="1">IFERROR(__xludf.DUMMYFUNCTION("""COMPUTED_VALUE"""),17.28)</f>
        <v>17.28</v>
      </c>
      <c r="K2496" s="112">
        <f ca="1">IFERROR(__xludf.DUMMYFUNCTION("""COMPUTED_VALUE"""),44404.7055555555)</f>
        <v>44404.705555555498</v>
      </c>
      <c r="L2496" s="111">
        <f ca="1">IFERROR(__xludf.DUMMYFUNCTION("""COMPUTED_VALUE"""),21.45)</f>
        <v>21.45</v>
      </c>
      <c r="M2496" s="112">
        <f ca="1">IFERROR(__xludf.DUMMYFUNCTION("""COMPUTED_VALUE"""),43861.7055555555)</f>
        <v>43861.705555555498</v>
      </c>
      <c r="N2496" s="111">
        <f ca="1">IFERROR(__xludf.DUMMYFUNCTION("""COMPUTED_VALUE"""),27.18)</f>
        <v>27.18</v>
      </c>
      <c r="O2496" s="112">
        <f ca="1">IFERROR(__xludf.DUMMYFUNCTION("""COMPUTED_VALUE"""),43938.7055555555)</f>
        <v>43938.705555555498</v>
      </c>
      <c r="P2496" s="111">
        <f ca="1">IFERROR(__xludf.DUMMYFUNCTION("""COMPUTED_VALUE"""),44)</f>
        <v>44</v>
      </c>
      <c r="Q2496" s="112">
        <f ca="1">IFERROR(__xludf.DUMMYFUNCTION("""COMPUTED_VALUE"""),43937.7055555555)</f>
        <v>43937.705555555498</v>
      </c>
      <c r="R2496" s="111">
        <f ca="1">IFERROR(__xludf.DUMMYFUNCTION("""COMPUTED_VALUE"""),28.8)</f>
        <v>28.8</v>
      </c>
      <c r="S2496" s="112">
        <f ca="1">IFERROR(__xludf.DUMMYFUNCTION("""COMPUTED_VALUE"""),43955.7055555555)</f>
        <v>43955.705555555498</v>
      </c>
      <c r="T2496" s="111">
        <f ca="1">IFERROR(__xludf.DUMMYFUNCTION("""COMPUTED_VALUE"""),33.83)</f>
        <v>33.83</v>
      </c>
    </row>
    <row r="2497" spans="1:20" x14ac:dyDescent="0.3">
      <c r="A2497" s="112">
        <f ca="1">IFERROR(__xludf.DUMMYFUNCTION("""COMPUTED_VALUE"""),43949.7055555555)</f>
        <v>43949.705555555498</v>
      </c>
      <c r="B2497" s="111">
        <f ca="1">IFERROR(__xludf.DUMMYFUNCTION("""COMPUTED_VALUE"""),23.64)</f>
        <v>23.64</v>
      </c>
      <c r="C2497" s="112">
        <f ca="1">IFERROR(__xludf.DUMMYFUNCTION("""COMPUTED_VALUE"""),43959.7055555555)</f>
        <v>43959.705555555498</v>
      </c>
      <c r="D2497" s="111">
        <f ca="1">IFERROR(__xludf.DUMMYFUNCTION("""COMPUTED_VALUE"""),22.32)</f>
        <v>22.32</v>
      </c>
      <c r="E2497" s="112">
        <f ca="1">IFERROR(__xludf.DUMMYFUNCTION("""COMPUTED_VALUE"""),43962.7055555555)</f>
        <v>43962.705555555498</v>
      </c>
      <c r="F2497" s="111">
        <f ca="1">IFERROR(__xludf.DUMMYFUNCTION("""COMPUTED_VALUE"""),8.02)</f>
        <v>8.02</v>
      </c>
      <c r="G2497" s="112">
        <f ca="1">IFERROR(__xludf.DUMMYFUNCTION("""COMPUTED_VALUE"""),43958.7055555555)</f>
        <v>43958.705555555498</v>
      </c>
      <c r="H2497" s="111">
        <f ca="1">IFERROR(__xludf.DUMMYFUNCTION("""COMPUTED_VALUE"""),17.44)</f>
        <v>17.440000000000001</v>
      </c>
      <c r="K2497" s="112">
        <f ca="1">IFERROR(__xludf.DUMMYFUNCTION("""COMPUTED_VALUE"""),44405.7055555555)</f>
        <v>44405.705555555498</v>
      </c>
      <c r="L2497" s="111">
        <f ca="1">IFERROR(__xludf.DUMMYFUNCTION("""COMPUTED_VALUE"""),21.53)</f>
        <v>21.53</v>
      </c>
      <c r="M2497" s="112">
        <f ca="1">IFERROR(__xludf.DUMMYFUNCTION("""COMPUTED_VALUE"""),43864.7055555555)</f>
        <v>43864.705555555498</v>
      </c>
      <c r="N2497" s="111">
        <f ca="1">IFERROR(__xludf.DUMMYFUNCTION("""COMPUTED_VALUE"""),27.36)</f>
        <v>27.36</v>
      </c>
      <c r="O2497" s="112">
        <f ca="1">IFERROR(__xludf.DUMMYFUNCTION("""COMPUTED_VALUE"""),43941.7055555555)</f>
        <v>43941.705555555498</v>
      </c>
      <c r="P2497" s="111">
        <f ca="1">IFERROR(__xludf.DUMMYFUNCTION("""COMPUTED_VALUE"""),42.46)</f>
        <v>42.46</v>
      </c>
      <c r="Q2497" s="112">
        <f ca="1">IFERROR(__xludf.DUMMYFUNCTION("""COMPUTED_VALUE"""),43938.7055555555)</f>
        <v>43938.705555555498</v>
      </c>
      <c r="R2497" s="111">
        <f ca="1">IFERROR(__xludf.DUMMYFUNCTION("""COMPUTED_VALUE"""),29.58)</f>
        <v>29.58</v>
      </c>
      <c r="S2497" s="112">
        <f ca="1">IFERROR(__xludf.DUMMYFUNCTION("""COMPUTED_VALUE"""),43956.7055555555)</f>
        <v>43956.705555555498</v>
      </c>
      <c r="T2497" s="111">
        <f ca="1">IFERROR(__xludf.DUMMYFUNCTION("""COMPUTED_VALUE"""),33.05)</f>
        <v>33.049999999999997</v>
      </c>
    </row>
    <row r="2498" spans="1:20" x14ac:dyDescent="0.3">
      <c r="A2498" s="112">
        <f ca="1">IFERROR(__xludf.DUMMYFUNCTION("""COMPUTED_VALUE"""),43950.7055555555)</f>
        <v>43950.705555555498</v>
      </c>
      <c r="B2498" s="111">
        <f ca="1">IFERROR(__xludf.DUMMYFUNCTION("""COMPUTED_VALUE"""),24.62)</f>
        <v>24.62</v>
      </c>
      <c r="C2498" s="112">
        <f ca="1">IFERROR(__xludf.DUMMYFUNCTION("""COMPUTED_VALUE"""),43962.7055555555)</f>
        <v>43962.705555555498</v>
      </c>
      <c r="D2498" s="111">
        <f ca="1">IFERROR(__xludf.DUMMYFUNCTION("""COMPUTED_VALUE"""),22.38)</f>
        <v>22.38</v>
      </c>
      <c r="E2498" s="112">
        <f ca="1">IFERROR(__xludf.DUMMYFUNCTION("""COMPUTED_VALUE"""),43963.7055555555)</f>
        <v>43963.705555555498</v>
      </c>
      <c r="F2498" s="111">
        <f ca="1">IFERROR(__xludf.DUMMYFUNCTION("""COMPUTED_VALUE"""),7.79)</f>
        <v>7.79</v>
      </c>
      <c r="G2498" s="112">
        <f ca="1">IFERROR(__xludf.DUMMYFUNCTION("""COMPUTED_VALUE"""),43959.7055555555)</f>
        <v>43959.705555555498</v>
      </c>
      <c r="H2498" s="111">
        <f ca="1">IFERROR(__xludf.DUMMYFUNCTION("""COMPUTED_VALUE"""),18.48)</f>
        <v>18.48</v>
      </c>
      <c r="K2498" s="112">
        <f ca="1">IFERROR(__xludf.DUMMYFUNCTION("""COMPUTED_VALUE"""),44406.7055555555)</f>
        <v>44406.705555555498</v>
      </c>
      <c r="L2498" s="111">
        <f ca="1">IFERROR(__xludf.DUMMYFUNCTION("""COMPUTED_VALUE"""),21.72)</f>
        <v>21.72</v>
      </c>
      <c r="M2498" s="112">
        <f ca="1">IFERROR(__xludf.DUMMYFUNCTION("""COMPUTED_VALUE"""),43865.7055555555)</f>
        <v>43865.705555555498</v>
      </c>
      <c r="N2498" s="111">
        <f ca="1">IFERROR(__xludf.DUMMYFUNCTION("""COMPUTED_VALUE"""),27.36)</f>
        <v>27.36</v>
      </c>
      <c r="O2498" s="112">
        <f ca="1">IFERROR(__xludf.DUMMYFUNCTION("""COMPUTED_VALUE"""),43943.7055555555)</f>
        <v>43943.705555555498</v>
      </c>
      <c r="P2498" s="111">
        <f ca="1">IFERROR(__xludf.DUMMYFUNCTION("""COMPUTED_VALUE"""),42.9)</f>
        <v>42.9</v>
      </c>
      <c r="Q2498" s="112">
        <f ca="1">IFERROR(__xludf.DUMMYFUNCTION("""COMPUTED_VALUE"""),43941.7055555555)</f>
        <v>43941.705555555498</v>
      </c>
      <c r="R2498" s="111">
        <f ca="1">IFERROR(__xludf.DUMMYFUNCTION("""COMPUTED_VALUE"""),28.99)</f>
        <v>28.99</v>
      </c>
      <c r="S2498" s="112">
        <f ca="1">IFERROR(__xludf.DUMMYFUNCTION("""COMPUTED_VALUE"""),43957.7055555555)</f>
        <v>43957.705555555498</v>
      </c>
      <c r="T2498" s="111">
        <f ca="1">IFERROR(__xludf.DUMMYFUNCTION("""COMPUTED_VALUE"""),32.39)</f>
        <v>32.39</v>
      </c>
    </row>
    <row r="2499" spans="1:20" x14ac:dyDescent="0.3">
      <c r="A2499" s="112">
        <f ca="1">IFERROR(__xludf.DUMMYFUNCTION("""COMPUTED_VALUE"""),43951.7055555555)</f>
        <v>43951.705555555498</v>
      </c>
      <c r="B2499" s="111">
        <f ca="1">IFERROR(__xludf.DUMMYFUNCTION("""COMPUTED_VALUE"""),23.99)</f>
        <v>23.99</v>
      </c>
      <c r="C2499" s="112">
        <f ca="1">IFERROR(__xludf.DUMMYFUNCTION("""COMPUTED_VALUE"""),43963.7055555555)</f>
        <v>43963.705555555498</v>
      </c>
      <c r="D2499" s="111">
        <f ca="1">IFERROR(__xludf.DUMMYFUNCTION("""COMPUTED_VALUE"""),21.61)</f>
        <v>21.61</v>
      </c>
      <c r="E2499" s="112">
        <f ca="1">IFERROR(__xludf.DUMMYFUNCTION("""COMPUTED_VALUE"""),43964.7055555555)</f>
        <v>43964.705555555498</v>
      </c>
      <c r="F2499" s="111">
        <f ca="1">IFERROR(__xludf.DUMMYFUNCTION("""COMPUTED_VALUE"""),7.83)</f>
        <v>7.83</v>
      </c>
      <c r="G2499" s="112">
        <f ca="1">IFERROR(__xludf.DUMMYFUNCTION("""COMPUTED_VALUE"""),43962.7055555555)</f>
        <v>43962.705555555498</v>
      </c>
      <c r="H2499" s="111">
        <f ca="1">IFERROR(__xludf.DUMMYFUNCTION("""COMPUTED_VALUE"""),18.15)</f>
        <v>18.149999999999999</v>
      </c>
      <c r="K2499" s="112">
        <f ca="1">IFERROR(__xludf.DUMMYFUNCTION("""COMPUTED_VALUE"""),44407.7055555555)</f>
        <v>44407.705555555498</v>
      </c>
      <c r="L2499" s="111">
        <f ca="1">IFERROR(__xludf.DUMMYFUNCTION("""COMPUTED_VALUE"""),20.6)</f>
        <v>20.6</v>
      </c>
      <c r="M2499" s="112">
        <f ca="1">IFERROR(__xludf.DUMMYFUNCTION("""COMPUTED_VALUE"""),43866.7055555555)</f>
        <v>43866.705555555498</v>
      </c>
      <c r="N2499" s="111">
        <f ca="1">IFERROR(__xludf.DUMMYFUNCTION("""COMPUTED_VALUE"""),27.88)</f>
        <v>27.88</v>
      </c>
      <c r="O2499" s="112">
        <f ca="1">IFERROR(__xludf.DUMMYFUNCTION("""COMPUTED_VALUE"""),43944.7055555555)</f>
        <v>43944.705555555498</v>
      </c>
      <c r="P2499" s="111">
        <f ca="1">IFERROR(__xludf.DUMMYFUNCTION("""COMPUTED_VALUE"""),43.51)</f>
        <v>43.51</v>
      </c>
      <c r="Q2499" s="112">
        <f ca="1">IFERROR(__xludf.DUMMYFUNCTION("""COMPUTED_VALUE"""),43943.7055555555)</f>
        <v>43943.705555555498</v>
      </c>
      <c r="R2499" s="111">
        <f ca="1">IFERROR(__xludf.DUMMYFUNCTION("""COMPUTED_VALUE"""),28.86)</f>
        <v>28.86</v>
      </c>
      <c r="S2499" s="112">
        <f ca="1">IFERROR(__xludf.DUMMYFUNCTION("""COMPUTED_VALUE"""),43958.7055555555)</f>
        <v>43958.705555555498</v>
      </c>
      <c r="T2499" s="111">
        <f ca="1">IFERROR(__xludf.DUMMYFUNCTION("""COMPUTED_VALUE"""),30.28)</f>
        <v>30.28</v>
      </c>
    </row>
    <row r="2500" spans="1:20" x14ac:dyDescent="0.3">
      <c r="A2500" s="112">
        <f ca="1">IFERROR(__xludf.DUMMYFUNCTION("""COMPUTED_VALUE"""),43955.7055555555)</f>
        <v>43955.705555555498</v>
      </c>
      <c r="B2500" s="111">
        <f ca="1">IFERROR(__xludf.DUMMYFUNCTION("""COMPUTED_VALUE"""),22.68)</f>
        <v>22.68</v>
      </c>
      <c r="C2500" s="112">
        <f ca="1">IFERROR(__xludf.DUMMYFUNCTION("""COMPUTED_VALUE"""),43964.7055555555)</f>
        <v>43964.705555555498</v>
      </c>
      <c r="D2500" s="111">
        <f ca="1">IFERROR(__xludf.DUMMYFUNCTION("""COMPUTED_VALUE"""),21.6)</f>
        <v>21.6</v>
      </c>
      <c r="E2500" s="112">
        <f ca="1">IFERROR(__xludf.DUMMYFUNCTION("""COMPUTED_VALUE"""),43965.7055555555)</f>
        <v>43965.705555555498</v>
      </c>
      <c r="F2500" s="111">
        <f ca="1">IFERROR(__xludf.DUMMYFUNCTION("""COMPUTED_VALUE"""),8.11)</f>
        <v>8.11</v>
      </c>
      <c r="G2500" s="112">
        <f ca="1">IFERROR(__xludf.DUMMYFUNCTION("""COMPUTED_VALUE"""),43963.7055555555)</f>
        <v>43963.705555555498</v>
      </c>
      <c r="H2500" s="111">
        <f ca="1">IFERROR(__xludf.DUMMYFUNCTION("""COMPUTED_VALUE"""),18.14)</f>
        <v>18.14</v>
      </c>
      <c r="K2500" s="112">
        <f ca="1">IFERROR(__xludf.DUMMYFUNCTION("""COMPUTED_VALUE"""),44410.7055555555)</f>
        <v>44410.705555555498</v>
      </c>
      <c r="L2500" s="111">
        <f ca="1">IFERROR(__xludf.DUMMYFUNCTION("""COMPUTED_VALUE"""),20.63)</f>
        <v>20.63</v>
      </c>
      <c r="M2500" s="112">
        <f ca="1">IFERROR(__xludf.DUMMYFUNCTION("""COMPUTED_VALUE"""),43867.7055555555)</f>
        <v>43867.705555555498</v>
      </c>
      <c r="N2500" s="111">
        <f ca="1">IFERROR(__xludf.DUMMYFUNCTION("""COMPUTED_VALUE"""),27.56)</f>
        <v>27.56</v>
      </c>
      <c r="O2500" s="112">
        <f ca="1">IFERROR(__xludf.DUMMYFUNCTION("""COMPUTED_VALUE"""),43945.7055555555)</f>
        <v>43945.705555555498</v>
      </c>
      <c r="P2500" s="111">
        <f ca="1">IFERROR(__xludf.DUMMYFUNCTION("""COMPUTED_VALUE"""),43.76)</f>
        <v>43.76</v>
      </c>
      <c r="Q2500" s="112">
        <f ca="1">IFERROR(__xludf.DUMMYFUNCTION("""COMPUTED_VALUE"""),43944.7055555555)</f>
        <v>43944.705555555498</v>
      </c>
      <c r="R2500" s="111">
        <f ca="1">IFERROR(__xludf.DUMMYFUNCTION("""COMPUTED_VALUE"""),28.05)</f>
        <v>28.05</v>
      </c>
      <c r="S2500" s="112">
        <f ca="1">IFERROR(__xludf.DUMMYFUNCTION("""COMPUTED_VALUE"""),43959.7055555555)</f>
        <v>43959.705555555498</v>
      </c>
      <c r="T2500" s="111">
        <f ca="1">IFERROR(__xludf.DUMMYFUNCTION("""COMPUTED_VALUE"""),30.82)</f>
        <v>30.82</v>
      </c>
    </row>
    <row r="2501" spans="1:20" x14ac:dyDescent="0.3">
      <c r="A2501" s="112">
        <f ca="1">IFERROR(__xludf.DUMMYFUNCTION("""COMPUTED_VALUE"""),43956.7055555555)</f>
        <v>43956.705555555498</v>
      </c>
      <c r="B2501" s="111">
        <f ca="1">IFERROR(__xludf.DUMMYFUNCTION("""COMPUTED_VALUE"""),22.61)</f>
        <v>22.61</v>
      </c>
      <c r="C2501" s="112">
        <f ca="1">IFERROR(__xludf.DUMMYFUNCTION("""COMPUTED_VALUE"""),43965.7055555555)</f>
        <v>43965.705555555498</v>
      </c>
      <c r="D2501" s="111">
        <f ca="1">IFERROR(__xludf.DUMMYFUNCTION("""COMPUTED_VALUE"""),22.55)</f>
        <v>22.55</v>
      </c>
      <c r="E2501" s="112">
        <f ca="1">IFERROR(__xludf.DUMMYFUNCTION("""COMPUTED_VALUE"""),43966.7055555555)</f>
        <v>43966.705555555498</v>
      </c>
      <c r="F2501" s="111">
        <f ca="1">IFERROR(__xludf.DUMMYFUNCTION("""COMPUTED_VALUE"""),7.75)</f>
        <v>7.75</v>
      </c>
      <c r="G2501" s="112">
        <f ca="1">IFERROR(__xludf.DUMMYFUNCTION("""COMPUTED_VALUE"""),43964.7055555555)</f>
        <v>43964.705555555498</v>
      </c>
      <c r="H2501" s="111">
        <f ca="1">IFERROR(__xludf.DUMMYFUNCTION("""COMPUTED_VALUE"""),17.59)</f>
        <v>17.59</v>
      </c>
      <c r="K2501" s="112">
        <f ca="1">IFERROR(__xludf.DUMMYFUNCTION("""COMPUTED_VALUE"""),44411.7055555555)</f>
        <v>44411.705555555498</v>
      </c>
      <c r="L2501" s="111">
        <f ca="1">IFERROR(__xludf.DUMMYFUNCTION("""COMPUTED_VALUE"""),20.43)</f>
        <v>20.43</v>
      </c>
      <c r="M2501" s="112">
        <f ca="1">IFERROR(__xludf.DUMMYFUNCTION("""COMPUTED_VALUE"""),43868.7055555555)</f>
        <v>43868.705555555498</v>
      </c>
      <c r="N2501" s="111">
        <f ca="1">IFERROR(__xludf.DUMMYFUNCTION("""COMPUTED_VALUE"""),27.88)</f>
        <v>27.88</v>
      </c>
      <c r="O2501" s="112">
        <f ca="1">IFERROR(__xludf.DUMMYFUNCTION("""COMPUTED_VALUE"""),43948.7055555555)</f>
        <v>43948.705555555498</v>
      </c>
      <c r="P2501" s="111">
        <f ca="1">IFERROR(__xludf.DUMMYFUNCTION("""COMPUTED_VALUE"""),44.55)</f>
        <v>44.55</v>
      </c>
      <c r="Q2501" s="112">
        <f ca="1">IFERROR(__xludf.DUMMYFUNCTION("""COMPUTED_VALUE"""),43945.7055555555)</f>
        <v>43945.705555555498</v>
      </c>
      <c r="R2501" s="111">
        <f ca="1">IFERROR(__xludf.DUMMYFUNCTION("""COMPUTED_VALUE"""),24.3)</f>
        <v>24.3</v>
      </c>
      <c r="S2501" s="112">
        <f ca="1">IFERROR(__xludf.DUMMYFUNCTION("""COMPUTED_VALUE"""),43962.7055555555)</f>
        <v>43962.705555555498</v>
      </c>
      <c r="T2501" s="111">
        <f ca="1">IFERROR(__xludf.DUMMYFUNCTION("""COMPUTED_VALUE"""),29.73)</f>
        <v>29.73</v>
      </c>
    </row>
    <row r="2502" spans="1:20" x14ac:dyDescent="0.3">
      <c r="A2502" s="112">
        <f ca="1">IFERROR(__xludf.DUMMYFUNCTION("""COMPUTED_VALUE"""),43957.7055555555)</f>
        <v>43957.705555555498</v>
      </c>
      <c r="B2502" s="111">
        <f ca="1">IFERROR(__xludf.DUMMYFUNCTION("""COMPUTED_VALUE"""),22.26)</f>
        <v>22.26</v>
      </c>
      <c r="C2502" s="112">
        <f ca="1">IFERROR(__xludf.DUMMYFUNCTION("""COMPUTED_VALUE"""),43966.7055555555)</f>
        <v>43966.705555555498</v>
      </c>
      <c r="D2502" s="111">
        <f ca="1">IFERROR(__xludf.DUMMYFUNCTION("""COMPUTED_VALUE"""),21.63)</f>
        <v>21.63</v>
      </c>
      <c r="E2502" s="112">
        <f ca="1">IFERROR(__xludf.DUMMYFUNCTION("""COMPUTED_VALUE"""),43969.7055555555)</f>
        <v>43969.705555555498</v>
      </c>
      <c r="F2502" s="111">
        <f ca="1">IFERROR(__xludf.DUMMYFUNCTION("""COMPUTED_VALUE"""),8.13)</f>
        <v>8.1300000000000008</v>
      </c>
      <c r="G2502" s="112">
        <f ca="1">IFERROR(__xludf.DUMMYFUNCTION("""COMPUTED_VALUE"""),43965.7055555555)</f>
        <v>43965.705555555498</v>
      </c>
      <c r="H2502" s="111">
        <f ca="1">IFERROR(__xludf.DUMMYFUNCTION("""COMPUTED_VALUE"""),17.4)</f>
        <v>17.399999999999999</v>
      </c>
      <c r="K2502" s="112">
        <f ca="1">IFERROR(__xludf.DUMMYFUNCTION("""COMPUTED_VALUE"""),44412.7055555555)</f>
        <v>44412.705555555498</v>
      </c>
      <c r="L2502" s="111">
        <f ca="1">IFERROR(__xludf.DUMMYFUNCTION("""COMPUTED_VALUE"""),19.96)</f>
        <v>19.96</v>
      </c>
      <c r="M2502" s="112">
        <f ca="1">IFERROR(__xludf.DUMMYFUNCTION("""COMPUTED_VALUE"""),43871.7055555555)</f>
        <v>43871.705555555498</v>
      </c>
      <c r="N2502" s="111">
        <f ca="1">IFERROR(__xludf.DUMMYFUNCTION("""COMPUTED_VALUE"""),28.17)</f>
        <v>28.17</v>
      </c>
      <c r="O2502" s="112">
        <f ca="1">IFERROR(__xludf.DUMMYFUNCTION("""COMPUTED_VALUE"""),43949.7055555555)</f>
        <v>43949.705555555498</v>
      </c>
      <c r="P2502" s="111">
        <f ca="1">IFERROR(__xludf.DUMMYFUNCTION("""COMPUTED_VALUE"""),44.61)</f>
        <v>44.61</v>
      </c>
      <c r="Q2502" s="112">
        <f ca="1">IFERROR(__xludf.DUMMYFUNCTION("""COMPUTED_VALUE"""),43948.7055555555)</f>
        <v>43948.705555555498</v>
      </c>
      <c r="R2502" s="111">
        <f ca="1">IFERROR(__xludf.DUMMYFUNCTION("""COMPUTED_VALUE"""),25.69)</f>
        <v>25.69</v>
      </c>
      <c r="S2502" s="112">
        <f ca="1">IFERROR(__xludf.DUMMYFUNCTION("""COMPUTED_VALUE"""),43963.7055555555)</f>
        <v>43963.705555555498</v>
      </c>
      <c r="T2502" s="111">
        <f ca="1">IFERROR(__xludf.DUMMYFUNCTION("""COMPUTED_VALUE"""),30.07)</f>
        <v>30.07</v>
      </c>
    </row>
    <row r="2503" spans="1:20" x14ac:dyDescent="0.3">
      <c r="A2503" s="112">
        <f ca="1">IFERROR(__xludf.DUMMYFUNCTION("""COMPUTED_VALUE"""),43958.7055555555)</f>
        <v>43958.705555555498</v>
      </c>
      <c r="B2503" s="111">
        <f ca="1">IFERROR(__xludf.DUMMYFUNCTION("""COMPUTED_VALUE"""),21.17)</f>
        <v>21.17</v>
      </c>
      <c r="C2503" s="112">
        <f ca="1">IFERROR(__xludf.DUMMYFUNCTION("""COMPUTED_VALUE"""),43969.7055555555)</f>
        <v>43969.705555555498</v>
      </c>
      <c r="D2503" s="111">
        <f ca="1">IFERROR(__xludf.DUMMYFUNCTION("""COMPUTED_VALUE"""),22.67)</f>
        <v>22.67</v>
      </c>
      <c r="E2503" s="112">
        <f ca="1">IFERROR(__xludf.DUMMYFUNCTION("""COMPUTED_VALUE"""),43970.7055555555)</f>
        <v>43970.705555555498</v>
      </c>
      <c r="F2503" s="111">
        <f ca="1">IFERROR(__xludf.DUMMYFUNCTION("""COMPUTED_VALUE"""),7.85)</f>
        <v>7.85</v>
      </c>
      <c r="G2503" s="112">
        <f ca="1">IFERROR(__xludf.DUMMYFUNCTION("""COMPUTED_VALUE"""),43966.7055555555)</f>
        <v>43966.705555555498</v>
      </c>
      <c r="H2503" s="111">
        <f ca="1">IFERROR(__xludf.DUMMYFUNCTION("""COMPUTED_VALUE"""),17.15)</f>
        <v>17.149999999999999</v>
      </c>
      <c r="K2503" s="112">
        <f ca="1">IFERROR(__xludf.DUMMYFUNCTION("""COMPUTED_VALUE"""),44413.7055555555)</f>
        <v>44413.705555555498</v>
      </c>
      <c r="L2503" s="111">
        <f ca="1">IFERROR(__xludf.DUMMYFUNCTION("""COMPUTED_VALUE"""),20.46)</f>
        <v>20.46</v>
      </c>
      <c r="M2503" s="112">
        <f ca="1">IFERROR(__xludf.DUMMYFUNCTION("""COMPUTED_VALUE"""),43872.7055555555)</f>
        <v>43872.705555555498</v>
      </c>
      <c r="N2503" s="111">
        <f ca="1">IFERROR(__xludf.DUMMYFUNCTION("""COMPUTED_VALUE"""),28.42)</f>
        <v>28.42</v>
      </c>
      <c r="O2503" s="112">
        <f ca="1">IFERROR(__xludf.DUMMYFUNCTION("""COMPUTED_VALUE"""),43950.7055555555)</f>
        <v>43950.705555555498</v>
      </c>
      <c r="P2503" s="111">
        <f ca="1">IFERROR(__xludf.DUMMYFUNCTION("""COMPUTED_VALUE"""),46.73)</f>
        <v>46.73</v>
      </c>
      <c r="Q2503" s="112">
        <f ca="1">IFERROR(__xludf.DUMMYFUNCTION("""COMPUTED_VALUE"""),43949.7055555555)</f>
        <v>43949.705555555498</v>
      </c>
      <c r="R2503" s="111">
        <f ca="1">IFERROR(__xludf.DUMMYFUNCTION("""COMPUTED_VALUE"""),29.14)</f>
        <v>29.14</v>
      </c>
      <c r="S2503" s="112">
        <f ca="1">IFERROR(__xludf.DUMMYFUNCTION("""COMPUTED_VALUE"""),43964.7055555555)</f>
        <v>43964.705555555498</v>
      </c>
      <c r="T2503" s="111">
        <f ca="1">IFERROR(__xludf.DUMMYFUNCTION("""COMPUTED_VALUE"""),28.89)</f>
        <v>28.89</v>
      </c>
    </row>
    <row r="2504" spans="1:20" x14ac:dyDescent="0.3">
      <c r="A2504" s="112">
        <f ca="1">IFERROR(__xludf.DUMMYFUNCTION("""COMPUTED_VALUE"""),43959.7055555555)</f>
        <v>43959.705555555498</v>
      </c>
      <c r="B2504" s="111">
        <f ca="1">IFERROR(__xludf.DUMMYFUNCTION("""COMPUTED_VALUE"""),21.98)</f>
        <v>21.98</v>
      </c>
      <c r="C2504" s="112">
        <f ca="1">IFERROR(__xludf.DUMMYFUNCTION("""COMPUTED_VALUE"""),43970.7055555555)</f>
        <v>43970.705555555498</v>
      </c>
      <c r="D2504" s="111">
        <f ca="1">IFERROR(__xludf.DUMMYFUNCTION("""COMPUTED_VALUE"""),21.69)</f>
        <v>21.69</v>
      </c>
      <c r="E2504" s="112">
        <f ca="1">IFERROR(__xludf.DUMMYFUNCTION("""COMPUTED_VALUE"""),43971.7055555555)</f>
        <v>43971.705555555498</v>
      </c>
      <c r="F2504" s="111">
        <f ca="1">IFERROR(__xludf.DUMMYFUNCTION("""COMPUTED_VALUE"""),7.86)</f>
        <v>7.86</v>
      </c>
      <c r="G2504" s="112">
        <f ca="1">IFERROR(__xludf.DUMMYFUNCTION("""COMPUTED_VALUE"""),43969.7055555555)</f>
        <v>43969.705555555498</v>
      </c>
      <c r="H2504" s="111">
        <f ca="1">IFERROR(__xludf.DUMMYFUNCTION("""COMPUTED_VALUE"""),18.54)</f>
        <v>18.54</v>
      </c>
      <c r="K2504" s="112">
        <f ca="1">IFERROR(__xludf.DUMMYFUNCTION("""COMPUTED_VALUE"""),44414.7055555555)</f>
        <v>44414.705555555498</v>
      </c>
      <c r="L2504" s="111">
        <f ca="1">IFERROR(__xludf.DUMMYFUNCTION("""COMPUTED_VALUE"""),20.68)</f>
        <v>20.68</v>
      </c>
      <c r="M2504" s="112">
        <f ca="1">IFERROR(__xludf.DUMMYFUNCTION("""COMPUTED_VALUE"""),43873.7055555555)</f>
        <v>43873.705555555498</v>
      </c>
      <c r="N2504" s="111">
        <f ca="1">IFERROR(__xludf.DUMMYFUNCTION("""COMPUTED_VALUE"""),28.04)</f>
        <v>28.04</v>
      </c>
      <c r="O2504" s="112">
        <f ca="1">IFERROR(__xludf.DUMMYFUNCTION("""COMPUTED_VALUE"""),43951.7055555555)</f>
        <v>43951.705555555498</v>
      </c>
      <c r="P2504" s="111">
        <f ca="1">IFERROR(__xludf.DUMMYFUNCTION("""COMPUTED_VALUE"""),44.86)</f>
        <v>44.86</v>
      </c>
      <c r="Q2504" s="112">
        <f ca="1">IFERROR(__xludf.DUMMYFUNCTION("""COMPUTED_VALUE"""),43950.7055555555)</f>
        <v>43950.705555555498</v>
      </c>
      <c r="R2504" s="111">
        <f ca="1">IFERROR(__xludf.DUMMYFUNCTION("""COMPUTED_VALUE"""),29.56)</f>
        <v>29.56</v>
      </c>
      <c r="S2504" s="112">
        <f ca="1">IFERROR(__xludf.DUMMYFUNCTION("""COMPUTED_VALUE"""),43965.7055555555)</f>
        <v>43965.705555555498</v>
      </c>
      <c r="T2504" s="111">
        <f ca="1">IFERROR(__xludf.DUMMYFUNCTION("""COMPUTED_VALUE"""),30.27)</f>
        <v>30.27</v>
      </c>
    </row>
    <row r="2505" spans="1:20" x14ac:dyDescent="0.3">
      <c r="A2505" s="112">
        <f ca="1">IFERROR(__xludf.DUMMYFUNCTION("""COMPUTED_VALUE"""),43962.7055555555)</f>
        <v>43962.705555555498</v>
      </c>
      <c r="B2505" s="111">
        <f ca="1">IFERROR(__xludf.DUMMYFUNCTION("""COMPUTED_VALUE"""),21.53)</f>
        <v>21.53</v>
      </c>
      <c r="C2505" s="112">
        <f ca="1">IFERROR(__xludf.DUMMYFUNCTION("""COMPUTED_VALUE"""),43971.7055555555)</f>
        <v>43971.705555555498</v>
      </c>
      <c r="D2505" s="111">
        <f ca="1">IFERROR(__xludf.DUMMYFUNCTION("""COMPUTED_VALUE"""),21.6)</f>
        <v>21.6</v>
      </c>
      <c r="E2505" s="112">
        <f ca="1">IFERROR(__xludf.DUMMYFUNCTION("""COMPUTED_VALUE"""),43972.7055555555)</f>
        <v>43972.705555555498</v>
      </c>
      <c r="F2505" s="111">
        <f ca="1">IFERROR(__xludf.DUMMYFUNCTION("""COMPUTED_VALUE"""),8.28)</f>
        <v>8.2799999999999994</v>
      </c>
      <c r="G2505" s="112">
        <f ca="1">IFERROR(__xludf.DUMMYFUNCTION("""COMPUTED_VALUE"""),43970.7055555555)</f>
        <v>43970.705555555498</v>
      </c>
      <c r="H2505" s="111">
        <f ca="1">IFERROR(__xludf.DUMMYFUNCTION("""COMPUTED_VALUE"""),18.68)</f>
        <v>18.68</v>
      </c>
      <c r="K2505" s="112">
        <f ca="1">IFERROR(__xludf.DUMMYFUNCTION("""COMPUTED_VALUE"""),44417.7055555555)</f>
        <v>44417.705555555498</v>
      </c>
      <c r="L2505" s="111">
        <f ca="1">IFERROR(__xludf.DUMMYFUNCTION("""COMPUTED_VALUE"""),20.49)</f>
        <v>20.49</v>
      </c>
      <c r="M2505" s="112">
        <f ca="1">IFERROR(__xludf.DUMMYFUNCTION("""COMPUTED_VALUE"""),43874.7055555555)</f>
        <v>43874.705555555498</v>
      </c>
      <c r="N2505" s="111">
        <f ca="1">IFERROR(__xludf.DUMMYFUNCTION("""COMPUTED_VALUE"""),27.5)</f>
        <v>27.5</v>
      </c>
      <c r="O2505" s="112">
        <f ca="1">IFERROR(__xludf.DUMMYFUNCTION("""COMPUTED_VALUE"""),43955.7055555555)</f>
        <v>43955.705555555498</v>
      </c>
      <c r="P2505" s="111">
        <f ca="1">IFERROR(__xludf.DUMMYFUNCTION("""COMPUTED_VALUE"""),43.93)</f>
        <v>43.93</v>
      </c>
      <c r="Q2505" s="112">
        <f ca="1">IFERROR(__xludf.DUMMYFUNCTION("""COMPUTED_VALUE"""),43951.7055555555)</f>
        <v>43951.705555555498</v>
      </c>
      <c r="R2505" s="111">
        <f ca="1">IFERROR(__xludf.DUMMYFUNCTION("""COMPUTED_VALUE"""),28.5)</f>
        <v>28.5</v>
      </c>
      <c r="S2505" s="112">
        <f ca="1">IFERROR(__xludf.DUMMYFUNCTION("""COMPUTED_VALUE"""),43966.7055555555)</f>
        <v>43966.705555555498</v>
      </c>
      <c r="T2505" s="111">
        <f ca="1">IFERROR(__xludf.DUMMYFUNCTION("""COMPUTED_VALUE"""),30.38)</f>
        <v>30.38</v>
      </c>
    </row>
    <row r="2506" spans="1:20" x14ac:dyDescent="0.3">
      <c r="A2506" s="112">
        <f ca="1">IFERROR(__xludf.DUMMYFUNCTION("""COMPUTED_VALUE"""),43963.7055555555)</f>
        <v>43963.705555555498</v>
      </c>
      <c r="B2506" s="111">
        <f ca="1">IFERROR(__xludf.DUMMYFUNCTION("""COMPUTED_VALUE"""),20.43)</f>
        <v>20.43</v>
      </c>
      <c r="C2506" s="112">
        <f ca="1">IFERROR(__xludf.DUMMYFUNCTION("""COMPUTED_VALUE"""),43972.7055555555)</f>
        <v>43972.705555555498</v>
      </c>
      <c r="D2506" s="111">
        <f ca="1">IFERROR(__xludf.DUMMYFUNCTION("""COMPUTED_VALUE"""),22.84)</f>
        <v>22.84</v>
      </c>
      <c r="E2506" s="112">
        <f ca="1">IFERROR(__xludf.DUMMYFUNCTION("""COMPUTED_VALUE"""),43973.7055555555)</f>
        <v>43973.705555555498</v>
      </c>
      <c r="F2506" s="111">
        <f ca="1">IFERROR(__xludf.DUMMYFUNCTION("""COMPUTED_VALUE"""),8.44)</f>
        <v>8.44</v>
      </c>
      <c r="G2506" s="112">
        <f ca="1">IFERROR(__xludf.DUMMYFUNCTION("""COMPUTED_VALUE"""),43971.7055555555)</f>
        <v>43971.705555555498</v>
      </c>
      <c r="H2506" s="111">
        <f ca="1">IFERROR(__xludf.DUMMYFUNCTION("""COMPUTED_VALUE"""),19.3)</f>
        <v>19.3</v>
      </c>
      <c r="K2506" s="112">
        <f ca="1">IFERROR(__xludf.DUMMYFUNCTION("""COMPUTED_VALUE"""),44418.7055555555)</f>
        <v>44418.705555555498</v>
      </c>
      <c r="L2506" s="111">
        <f ca="1">IFERROR(__xludf.DUMMYFUNCTION("""COMPUTED_VALUE"""),20.4)</f>
        <v>20.399999999999999</v>
      </c>
      <c r="M2506" s="112">
        <f ca="1">IFERROR(__xludf.DUMMYFUNCTION("""COMPUTED_VALUE"""),43875.7055555555)</f>
        <v>43875.705555555498</v>
      </c>
      <c r="N2506" s="111">
        <f ca="1">IFERROR(__xludf.DUMMYFUNCTION("""COMPUTED_VALUE"""),26.88)</f>
        <v>26.88</v>
      </c>
      <c r="O2506" s="112">
        <f ca="1">IFERROR(__xludf.DUMMYFUNCTION("""COMPUTED_VALUE"""),43956.7055555555)</f>
        <v>43956.705555555498</v>
      </c>
      <c r="P2506" s="111">
        <f ca="1">IFERROR(__xludf.DUMMYFUNCTION("""COMPUTED_VALUE"""),43.7)</f>
        <v>43.7</v>
      </c>
      <c r="Q2506" s="112">
        <f ca="1">IFERROR(__xludf.DUMMYFUNCTION("""COMPUTED_VALUE"""),43955.7055555555)</f>
        <v>43955.705555555498</v>
      </c>
      <c r="R2506" s="111">
        <f ca="1">IFERROR(__xludf.DUMMYFUNCTION("""COMPUTED_VALUE"""),27.76)</f>
        <v>27.76</v>
      </c>
      <c r="S2506" s="112">
        <f ca="1">IFERROR(__xludf.DUMMYFUNCTION("""COMPUTED_VALUE"""),43969.7055555555)</f>
        <v>43969.705555555498</v>
      </c>
      <c r="T2506" s="111">
        <f ca="1">IFERROR(__xludf.DUMMYFUNCTION("""COMPUTED_VALUE"""),32.91)</f>
        <v>32.909999999999997</v>
      </c>
    </row>
    <row r="2507" spans="1:20" x14ac:dyDescent="0.3">
      <c r="A2507" s="112">
        <f ca="1">IFERROR(__xludf.DUMMYFUNCTION("""COMPUTED_VALUE"""),43964.7055555555)</f>
        <v>43964.705555555498</v>
      </c>
      <c r="B2507" s="111">
        <f ca="1">IFERROR(__xludf.DUMMYFUNCTION("""COMPUTED_VALUE"""),20.47)</f>
        <v>20.47</v>
      </c>
      <c r="C2507" s="112">
        <f ca="1">IFERROR(__xludf.DUMMYFUNCTION("""COMPUTED_VALUE"""),43973.7055555555)</f>
        <v>43973.705555555498</v>
      </c>
      <c r="D2507" s="111">
        <f ca="1">IFERROR(__xludf.DUMMYFUNCTION("""COMPUTED_VALUE"""),22.96)</f>
        <v>22.96</v>
      </c>
      <c r="E2507" s="112">
        <f ca="1">IFERROR(__xludf.DUMMYFUNCTION("""COMPUTED_VALUE"""),43976.7055555555)</f>
        <v>43976.705555555498</v>
      </c>
      <c r="F2507" s="111">
        <f ca="1">IFERROR(__xludf.DUMMYFUNCTION("""COMPUTED_VALUE"""),8.8)</f>
        <v>8.8000000000000007</v>
      </c>
      <c r="G2507" s="112">
        <f ca="1">IFERROR(__xludf.DUMMYFUNCTION("""COMPUTED_VALUE"""),43972.7055555555)</f>
        <v>43972.705555555498</v>
      </c>
      <c r="H2507" s="111">
        <f ca="1">IFERROR(__xludf.DUMMYFUNCTION("""COMPUTED_VALUE"""),19.19)</f>
        <v>19.190000000000001</v>
      </c>
      <c r="K2507" s="112">
        <f ca="1">IFERROR(__xludf.DUMMYFUNCTION("""COMPUTED_VALUE"""),44419.7055555555)</f>
        <v>44419.705555555498</v>
      </c>
      <c r="L2507" s="111">
        <f ca="1">IFERROR(__xludf.DUMMYFUNCTION("""COMPUTED_VALUE"""),20.91)</f>
        <v>20.91</v>
      </c>
      <c r="M2507" s="112">
        <f ca="1">IFERROR(__xludf.DUMMYFUNCTION("""COMPUTED_VALUE"""),43878.7055555555)</f>
        <v>43878.705555555498</v>
      </c>
      <c r="N2507" s="111">
        <f ca="1">IFERROR(__xludf.DUMMYFUNCTION("""COMPUTED_VALUE"""),26.66)</f>
        <v>26.66</v>
      </c>
      <c r="O2507" s="112">
        <f ca="1">IFERROR(__xludf.DUMMYFUNCTION("""COMPUTED_VALUE"""),43957.7055555555)</f>
        <v>43957.705555555498</v>
      </c>
      <c r="P2507" s="111">
        <f ca="1">IFERROR(__xludf.DUMMYFUNCTION("""COMPUTED_VALUE"""),44.33)</f>
        <v>44.33</v>
      </c>
      <c r="Q2507" s="112">
        <f ca="1">IFERROR(__xludf.DUMMYFUNCTION("""COMPUTED_VALUE"""),43956.7055555555)</f>
        <v>43956.705555555498</v>
      </c>
      <c r="R2507" s="111">
        <f ca="1">IFERROR(__xludf.DUMMYFUNCTION("""COMPUTED_VALUE"""),27.8)</f>
        <v>27.8</v>
      </c>
      <c r="S2507" s="112">
        <f ca="1">IFERROR(__xludf.DUMMYFUNCTION("""COMPUTED_VALUE"""),43970.7055555555)</f>
        <v>43970.705555555498</v>
      </c>
      <c r="T2507" s="111">
        <f ca="1">IFERROR(__xludf.DUMMYFUNCTION("""COMPUTED_VALUE"""),33.45)</f>
        <v>33.450000000000003</v>
      </c>
    </row>
    <row r="2508" spans="1:20" x14ac:dyDescent="0.3">
      <c r="A2508" s="112">
        <f ca="1">IFERROR(__xludf.DUMMYFUNCTION("""COMPUTED_VALUE"""),43965.7055555555)</f>
        <v>43965.705555555498</v>
      </c>
      <c r="B2508" s="111">
        <f ca="1">IFERROR(__xludf.DUMMYFUNCTION("""COMPUTED_VALUE"""),22.48)</f>
        <v>22.48</v>
      </c>
      <c r="C2508" s="112">
        <f ca="1">IFERROR(__xludf.DUMMYFUNCTION("""COMPUTED_VALUE"""),43976.7055555555)</f>
        <v>43976.705555555498</v>
      </c>
      <c r="D2508" s="111">
        <f ca="1">IFERROR(__xludf.DUMMYFUNCTION("""COMPUTED_VALUE"""),23.96)</f>
        <v>23.96</v>
      </c>
      <c r="E2508" s="112">
        <f ca="1">IFERROR(__xludf.DUMMYFUNCTION("""COMPUTED_VALUE"""),43977.7055555555)</f>
        <v>43977.705555555498</v>
      </c>
      <c r="F2508" s="111">
        <f ca="1">IFERROR(__xludf.DUMMYFUNCTION("""COMPUTED_VALUE"""),8.5)</f>
        <v>8.5</v>
      </c>
      <c r="G2508" s="112">
        <f ca="1">IFERROR(__xludf.DUMMYFUNCTION("""COMPUTED_VALUE"""),43973.7055555555)</f>
        <v>43973.705555555498</v>
      </c>
      <c r="H2508" s="111">
        <f ca="1">IFERROR(__xludf.DUMMYFUNCTION("""COMPUTED_VALUE"""),18.67)</f>
        <v>18.670000000000002</v>
      </c>
      <c r="K2508" s="112">
        <f ca="1">IFERROR(__xludf.DUMMYFUNCTION("""COMPUTED_VALUE"""),44420.8125)</f>
        <v>44420.8125</v>
      </c>
      <c r="L2508" s="111">
        <f ca="1">IFERROR(__xludf.DUMMYFUNCTION("""COMPUTED_VALUE"""),20.97)</f>
        <v>20.97</v>
      </c>
      <c r="M2508" s="112">
        <f ca="1">IFERROR(__xludf.DUMMYFUNCTION("""COMPUTED_VALUE"""),43879.7055555555)</f>
        <v>43879.705555555498</v>
      </c>
      <c r="N2508" s="111">
        <f ca="1">IFERROR(__xludf.DUMMYFUNCTION("""COMPUTED_VALUE"""),26.5)</f>
        <v>26.5</v>
      </c>
      <c r="O2508" s="112">
        <f ca="1">IFERROR(__xludf.DUMMYFUNCTION("""COMPUTED_VALUE"""),43958.7055555555)</f>
        <v>43958.705555555498</v>
      </c>
      <c r="P2508" s="111">
        <f ca="1">IFERROR(__xludf.DUMMYFUNCTION("""COMPUTED_VALUE"""),46.05)</f>
        <v>46.05</v>
      </c>
      <c r="Q2508" s="112">
        <f ca="1">IFERROR(__xludf.DUMMYFUNCTION("""COMPUTED_VALUE"""),43957.7055555555)</f>
        <v>43957.705555555498</v>
      </c>
      <c r="R2508" s="111">
        <f ca="1">IFERROR(__xludf.DUMMYFUNCTION("""COMPUTED_VALUE"""),26.99)</f>
        <v>26.99</v>
      </c>
      <c r="S2508" s="112">
        <f ca="1">IFERROR(__xludf.DUMMYFUNCTION("""COMPUTED_VALUE"""),43971.7055555555)</f>
        <v>43971.705555555498</v>
      </c>
      <c r="T2508" s="111">
        <f ca="1">IFERROR(__xludf.DUMMYFUNCTION("""COMPUTED_VALUE"""),34.8)</f>
        <v>34.799999999999997</v>
      </c>
    </row>
    <row r="2509" spans="1:20" x14ac:dyDescent="0.3">
      <c r="A2509" s="112">
        <f ca="1">IFERROR(__xludf.DUMMYFUNCTION("""COMPUTED_VALUE"""),43966.7055555555)</f>
        <v>43966.705555555498</v>
      </c>
      <c r="B2509" s="111">
        <f ca="1">IFERROR(__xludf.DUMMYFUNCTION("""COMPUTED_VALUE"""),22.41)</f>
        <v>22.41</v>
      </c>
      <c r="C2509" s="112">
        <f ca="1">IFERROR(__xludf.DUMMYFUNCTION("""COMPUTED_VALUE"""),43977.7055555555)</f>
        <v>43977.705555555498</v>
      </c>
      <c r="D2509" s="111">
        <f ca="1">IFERROR(__xludf.DUMMYFUNCTION("""COMPUTED_VALUE"""),23.01)</f>
        <v>23.01</v>
      </c>
      <c r="E2509" s="112">
        <f ca="1">IFERROR(__xludf.DUMMYFUNCTION("""COMPUTED_VALUE"""),43978.7055555555)</f>
        <v>43978.705555555498</v>
      </c>
      <c r="F2509" s="111">
        <f ca="1">IFERROR(__xludf.DUMMYFUNCTION("""COMPUTED_VALUE"""),8.68)</f>
        <v>8.68</v>
      </c>
      <c r="G2509" s="112">
        <f ca="1">IFERROR(__xludf.DUMMYFUNCTION("""COMPUTED_VALUE"""),43976.7055555555)</f>
        <v>43976.705555555498</v>
      </c>
      <c r="H2509" s="111">
        <f ca="1">IFERROR(__xludf.DUMMYFUNCTION("""COMPUTED_VALUE"""),19.48)</f>
        <v>19.48</v>
      </c>
      <c r="K2509" s="112">
        <f ca="1">IFERROR(__xludf.DUMMYFUNCTION("""COMPUTED_VALUE"""),44421.7055555555)</f>
        <v>44421.705555555498</v>
      </c>
      <c r="L2509" s="111">
        <f ca="1">IFERROR(__xludf.DUMMYFUNCTION("""COMPUTED_VALUE"""),20.27)</f>
        <v>20.27</v>
      </c>
      <c r="M2509" s="112">
        <f ca="1">IFERROR(__xludf.DUMMYFUNCTION("""COMPUTED_VALUE"""),43880.7055555555)</f>
        <v>43880.705555555498</v>
      </c>
      <c r="N2509" s="111">
        <f ca="1">IFERROR(__xludf.DUMMYFUNCTION("""COMPUTED_VALUE"""),26.88)</f>
        <v>26.88</v>
      </c>
      <c r="O2509" s="112">
        <f ca="1">IFERROR(__xludf.DUMMYFUNCTION("""COMPUTED_VALUE"""),43959.7055555555)</f>
        <v>43959.705555555498</v>
      </c>
      <c r="P2509" s="111">
        <f ca="1">IFERROR(__xludf.DUMMYFUNCTION("""COMPUTED_VALUE"""),48.85)</f>
        <v>48.85</v>
      </c>
      <c r="Q2509" s="112">
        <f ca="1">IFERROR(__xludf.DUMMYFUNCTION("""COMPUTED_VALUE"""),43958.7055555555)</f>
        <v>43958.705555555498</v>
      </c>
      <c r="R2509" s="111">
        <f ca="1">IFERROR(__xludf.DUMMYFUNCTION("""COMPUTED_VALUE"""),26.26)</f>
        <v>26.26</v>
      </c>
      <c r="S2509" s="112">
        <f ca="1">IFERROR(__xludf.DUMMYFUNCTION("""COMPUTED_VALUE"""),43972.7055555555)</f>
        <v>43972.705555555498</v>
      </c>
      <c r="T2509" s="111">
        <f ca="1">IFERROR(__xludf.DUMMYFUNCTION("""COMPUTED_VALUE"""),37.06)</f>
        <v>37.06</v>
      </c>
    </row>
    <row r="2510" spans="1:20" x14ac:dyDescent="0.3">
      <c r="A2510" s="112">
        <f ca="1">IFERROR(__xludf.DUMMYFUNCTION("""COMPUTED_VALUE"""),43969.7055555555)</f>
        <v>43969.705555555498</v>
      </c>
      <c r="B2510" s="111">
        <f ca="1">IFERROR(__xludf.DUMMYFUNCTION("""COMPUTED_VALUE"""),24.13)</f>
        <v>24.13</v>
      </c>
      <c r="C2510" s="112">
        <f ca="1">IFERROR(__xludf.DUMMYFUNCTION("""COMPUTED_VALUE"""),43978.7055555555)</f>
        <v>43978.705555555498</v>
      </c>
      <c r="D2510" s="111">
        <f ca="1">IFERROR(__xludf.DUMMYFUNCTION("""COMPUTED_VALUE"""),23.73)</f>
        <v>23.73</v>
      </c>
      <c r="E2510" s="112">
        <f ca="1">IFERROR(__xludf.DUMMYFUNCTION("""COMPUTED_VALUE"""),43979.7055555555)</f>
        <v>43979.705555555498</v>
      </c>
      <c r="F2510" s="111">
        <f ca="1">IFERROR(__xludf.DUMMYFUNCTION("""COMPUTED_VALUE"""),8.57)</f>
        <v>8.57</v>
      </c>
      <c r="G2510" s="112">
        <f ca="1">IFERROR(__xludf.DUMMYFUNCTION("""COMPUTED_VALUE"""),43977.7055555555)</f>
        <v>43977.705555555498</v>
      </c>
      <c r="H2510" s="111">
        <f ca="1">IFERROR(__xludf.DUMMYFUNCTION("""COMPUTED_VALUE"""),19.67)</f>
        <v>19.670000000000002</v>
      </c>
      <c r="K2510" s="112">
        <f ca="1">IFERROR(__xludf.DUMMYFUNCTION("""COMPUTED_VALUE"""),44424.7055555555)</f>
        <v>44424.705555555498</v>
      </c>
      <c r="L2510" s="111">
        <f ca="1">IFERROR(__xludf.DUMMYFUNCTION("""COMPUTED_VALUE"""),19.42)</f>
        <v>19.420000000000002</v>
      </c>
      <c r="M2510" s="112">
        <f ca="1">IFERROR(__xludf.DUMMYFUNCTION("""COMPUTED_VALUE"""),43881.7055555555)</f>
        <v>43881.705555555498</v>
      </c>
      <c r="N2510" s="111">
        <f ca="1">IFERROR(__xludf.DUMMYFUNCTION("""COMPUTED_VALUE"""),26.5)</f>
        <v>26.5</v>
      </c>
      <c r="O2510" s="112">
        <f ca="1">IFERROR(__xludf.DUMMYFUNCTION("""COMPUTED_VALUE"""),43962.7055555555)</f>
        <v>43962.705555555498</v>
      </c>
      <c r="P2510" s="111">
        <f ca="1">IFERROR(__xludf.DUMMYFUNCTION("""COMPUTED_VALUE"""),47.73)</f>
        <v>47.73</v>
      </c>
      <c r="Q2510" s="112">
        <f ca="1">IFERROR(__xludf.DUMMYFUNCTION("""COMPUTED_VALUE"""),43959.7055555555)</f>
        <v>43959.705555555498</v>
      </c>
      <c r="R2510" s="111">
        <f ca="1">IFERROR(__xludf.DUMMYFUNCTION("""COMPUTED_VALUE"""),27.1)</f>
        <v>27.1</v>
      </c>
      <c r="S2510" s="112">
        <f ca="1">IFERROR(__xludf.DUMMYFUNCTION("""COMPUTED_VALUE"""),43973.7055555555)</f>
        <v>43973.705555555498</v>
      </c>
      <c r="T2510" s="111">
        <f ca="1">IFERROR(__xludf.DUMMYFUNCTION("""COMPUTED_VALUE"""),33.97)</f>
        <v>33.97</v>
      </c>
    </row>
    <row r="2511" spans="1:20" x14ac:dyDescent="0.3">
      <c r="A2511" s="112">
        <f ca="1">IFERROR(__xludf.DUMMYFUNCTION("""COMPUTED_VALUE"""),43970.7055555555)</f>
        <v>43970.705555555498</v>
      </c>
      <c r="B2511" s="111">
        <f ca="1">IFERROR(__xludf.DUMMYFUNCTION("""COMPUTED_VALUE"""),23.44)</f>
        <v>23.44</v>
      </c>
      <c r="C2511" s="112">
        <f ca="1">IFERROR(__xludf.DUMMYFUNCTION("""COMPUTED_VALUE"""),43979.7055555555)</f>
        <v>43979.705555555498</v>
      </c>
      <c r="D2511" s="111">
        <f ca="1">IFERROR(__xludf.DUMMYFUNCTION("""COMPUTED_VALUE"""),23.31)</f>
        <v>23.31</v>
      </c>
      <c r="E2511" s="112">
        <f ca="1">IFERROR(__xludf.DUMMYFUNCTION("""COMPUTED_VALUE"""),43980.7055555555)</f>
        <v>43980.705555555498</v>
      </c>
      <c r="F2511" s="111">
        <f ca="1">IFERROR(__xludf.DUMMYFUNCTION("""COMPUTED_VALUE"""),8.44)</f>
        <v>8.44</v>
      </c>
      <c r="G2511" s="112">
        <f ca="1">IFERROR(__xludf.DUMMYFUNCTION("""COMPUTED_VALUE"""),43978.7055555555)</f>
        <v>43978.705555555498</v>
      </c>
      <c r="H2511" s="111">
        <f ca="1">IFERROR(__xludf.DUMMYFUNCTION("""COMPUTED_VALUE"""),19.93)</f>
        <v>19.93</v>
      </c>
      <c r="K2511" s="112">
        <f ca="1">IFERROR(__xludf.DUMMYFUNCTION("""COMPUTED_VALUE"""),44425.7055555555)</f>
        <v>44425.705555555498</v>
      </c>
      <c r="L2511" s="111">
        <f ca="1">IFERROR(__xludf.DUMMYFUNCTION("""COMPUTED_VALUE"""),19.31)</f>
        <v>19.309999999999999</v>
      </c>
      <c r="M2511" s="112">
        <f ca="1">IFERROR(__xludf.DUMMYFUNCTION("""COMPUTED_VALUE"""),43882.7055555555)</f>
        <v>43882.705555555498</v>
      </c>
      <c r="N2511" s="111">
        <f ca="1">IFERROR(__xludf.DUMMYFUNCTION("""COMPUTED_VALUE"""),26.29)</f>
        <v>26.29</v>
      </c>
      <c r="O2511" s="112">
        <f ca="1">IFERROR(__xludf.DUMMYFUNCTION("""COMPUTED_VALUE"""),43963.7055555555)</f>
        <v>43963.705555555498</v>
      </c>
      <c r="P2511" s="111">
        <f ca="1">IFERROR(__xludf.DUMMYFUNCTION("""COMPUTED_VALUE"""),47.46)</f>
        <v>47.46</v>
      </c>
      <c r="Q2511" s="112">
        <f ca="1">IFERROR(__xludf.DUMMYFUNCTION("""COMPUTED_VALUE"""),43962.7055555555)</f>
        <v>43962.705555555498</v>
      </c>
      <c r="R2511" s="111">
        <f ca="1">IFERROR(__xludf.DUMMYFUNCTION("""COMPUTED_VALUE"""),27.27)</f>
        <v>27.27</v>
      </c>
      <c r="S2511" s="112">
        <f ca="1">IFERROR(__xludf.DUMMYFUNCTION("""COMPUTED_VALUE"""),43976.7055555555)</f>
        <v>43976.705555555498</v>
      </c>
      <c r="T2511" s="111">
        <f ca="1">IFERROR(__xludf.DUMMYFUNCTION("""COMPUTED_VALUE"""),36.7)</f>
        <v>36.700000000000003</v>
      </c>
    </row>
    <row r="2512" spans="1:20" x14ac:dyDescent="0.3">
      <c r="A2512" s="112">
        <f ca="1">IFERROR(__xludf.DUMMYFUNCTION("""COMPUTED_VALUE"""),43971.7055555555)</f>
        <v>43971.705555555498</v>
      </c>
      <c r="B2512" s="111">
        <f ca="1">IFERROR(__xludf.DUMMYFUNCTION("""COMPUTED_VALUE"""),23.23)</f>
        <v>23.23</v>
      </c>
      <c r="C2512" s="112">
        <f ca="1">IFERROR(__xludf.DUMMYFUNCTION("""COMPUTED_VALUE"""),43980.7055555555)</f>
        <v>43980.705555555498</v>
      </c>
      <c r="D2512" s="111">
        <f ca="1">IFERROR(__xludf.DUMMYFUNCTION("""COMPUTED_VALUE"""),23.04)</f>
        <v>23.04</v>
      </c>
      <c r="E2512" s="112">
        <f ca="1">IFERROR(__xludf.DUMMYFUNCTION("""COMPUTED_VALUE"""),43983.7055555555)</f>
        <v>43983.705555555498</v>
      </c>
      <c r="F2512" s="111">
        <f ca="1">IFERROR(__xludf.DUMMYFUNCTION("""COMPUTED_VALUE"""),8.64)</f>
        <v>8.64</v>
      </c>
      <c r="G2512" s="112">
        <f ca="1">IFERROR(__xludf.DUMMYFUNCTION("""COMPUTED_VALUE"""),43979.7055555555)</f>
        <v>43979.705555555498</v>
      </c>
      <c r="H2512" s="111">
        <f ca="1">IFERROR(__xludf.DUMMYFUNCTION("""COMPUTED_VALUE"""),19.77)</f>
        <v>19.77</v>
      </c>
      <c r="K2512" s="112">
        <f ca="1">IFERROR(__xludf.DUMMYFUNCTION("""COMPUTED_VALUE"""),44426.7055555555)</f>
        <v>44426.705555555498</v>
      </c>
      <c r="L2512" s="111">
        <f ca="1">IFERROR(__xludf.DUMMYFUNCTION("""COMPUTED_VALUE"""),18.84)</f>
        <v>18.84</v>
      </c>
      <c r="M2512" s="112">
        <f ca="1">IFERROR(__xludf.DUMMYFUNCTION("""COMPUTED_VALUE"""),43887.7055555555)</f>
        <v>43887.705555555498</v>
      </c>
      <c r="N2512" s="111">
        <f ca="1">IFERROR(__xludf.DUMMYFUNCTION("""COMPUTED_VALUE"""),24.88)</f>
        <v>24.88</v>
      </c>
      <c r="O2512" s="112">
        <f ca="1">IFERROR(__xludf.DUMMYFUNCTION("""COMPUTED_VALUE"""),43964.7055555555)</f>
        <v>43964.705555555498</v>
      </c>
      <c r="P2512" s="111">
        <f ca="1">IFERROR(__xludf.DUMMYFUNCTION("""COMPUTED_VALUE"""),48.54)</f>
        <v>48.54</v>
      </c>
      <c r="Q2512" s="112">
        <f ca="1">IFERROR(__xludf.DUMMYFUNCTION("""COMPUTED_VALUE"""),43963.7055555555)</f>
        <v>43963.705555555498</v>
      </c>
      <c r="R2512" s="111">
        <f ca="1">IFERROR(__xludf.DUMMYFUNCTION("""COMPUTED_VALUE"""),26.31)</f>
        <v>26.31</v>
      </c>
      <c r="S2512" s="112">
        <f ca="1">IFERROR(__xludf.DUMMYFUNCTION("""COMPUTED_VALUE"""),43977.7055555555)</f>
        <v>43977.705555555498</v>
      </c>
      <c r="T2512" s="111">
        <f ca="1">IFERROR(__xludf.DUMMYFUNCTION("""COMPUTED_VALUE"""),34.68)</f>
        <v>34.68</v>
      </c>
    </row>
    <row r="2513" spans="1:20" x14ac:dyDescent="0.3">
      <c r="A2513" s="112">
        <f ca="1">IFERROR(__xludf.DUMMYFUNCTION("""COMPUTED_VALUE"""),43972.7055555555)</f>
        <v>43972.705555555498</v>
      </c>
      <c r="B2513" s="111">
        <f ca="1">IFERROR(__xludf.DUMMYFUNCTION("""COMPUTED_VALUE"""),23.35)</f>
        <v>23.35</v>
      </c>
      <c r="C2513" s="112">
        <f ca="1">IFERROR(__xludf.DUMMYFUNCTION("""COMPUTED_VALUE"""),43983.7055555555)</f>
        <v>43983.705555555498</v>
      </c>
      <c r="D2513" s="111">
        <f ca="1">IFERROR(__xludf.DUMMYFUNCTION("""COMPUTED_VALUE"""),23.66)</f>
        <v>23.66</v>
      </c>
      <c r="E2513" s="112">
        <f ca="1">IFERROR(__xludf.DUMMYFUNCTION("""COMPUTED_VALUE"""),43984.7055555555)</f>
        <v>43984.705555555498</v>
      </c>
      <c r="F2513" s="111">
        <f ca="1">IFERROR(__xludf.DUMMYFUNCTION("""COMPUTED_VALUE"""),9.09)</f>
        <v>9.09</v>
      </c>
      <c r="G2513" s="112">
        <f ca="1">IFERROR(__xludf.DUMMYFUNCTION("""COMPUTED_VALUE"""),43980.7055555555)</f>
        <v>43980.705555555498</v>
      </c>
      <c r="H2513" s="111">
        <f ca="1">IFERROR(__xludf.DUMMYFUNCTION("""COMPUTED_VALUE"""),20.34)</f>
        <v>20.34</v>
      </c>
      <c r="K2513" s="112">
        <f ca="1">IFERROR(__xludf.DUMMYFUNCTION("""COMPUTED_VALUE"""),44427.7055555555)</f>
        <v>44427.705555555498</v>
      </c>
      <c r="L2513" s="111">
        <f ca="1">IFERROR(__xludf.DUMMYFUNCTION("""COMPUTED_VALUE"""),18.95)</f>
        <v>18.95</v>
      </c>
      <c r="M2513" s="112">
        <f ca="1">IFERROR(__xludf.DUMMYFUNCTION("""COMPUTED_VALUE"""),43888.7055555555)</f>
        <v>43888.705555555498</v>
      </c>
      <c r="N2513" s="111">
        <f ca="1">IFERROR(__xludf.DUMMYFUNCTION("""COMPUTED_VALUE"""),24.77)</f>
        <v>24.77</v>
      </c>
      <c r="O2513" s="112">
        <f ca="1">IFERROR(__xludf.DUMMYFUNCTION("""COMPUTED_VALUE"""),43965.7055555555)</f>
        <v>43965.705555555498</v>
      </c>
      <c r="P2513" s="111">
        <f ca="1">IFERROR(__xludf.DUMMYFUNCTION("""COMPUTED_VALUE"""),48.09)</f>
        <v>48.09</v>
      </c>
      <c r="Q2513" s="112">
        <f ca="1">IFERROR(__xludf.DUMMYFUNCTION("""COMPUTED_VALUE"""),43964.7055555555)</f>
        <v>43964.705555555498</v>
      </c>
      <c r="R2513" s="111">
        <f ca="1">IFERROR(__xludf.DUMMYFUNCTION("""COMPUTED_VALUE"""),25.55)</f>
        <v>25.55</v>
      </c>
      <c r="S2513" s="112">
        <f ca="1">IFERROR(__xludf.DUMMYFUNCTION("""COMPUTED_VALUE"""),43978.7055555555)</f>
        <v>43978.705555555498</v>
      </c>
      <c r="T2513" s="111">
        <f ca="1">IFERROR(__xludf.DUMMYFUNCTION("""COMPUTED_VALUE"""),36.17)</f>
        <v>36.17</v>
      </c>
    </row>
    <row r="2514" spans="1:20" x14ac:dyDescent="0.3">
      <c r="A2514" s="112">
        <f ca="1">IFERROR(__xludf.DUMMYFUNCTION("""COMPUTED_VALUE"""),43973.7055555555)</f>
        <v>43973.705555555498</v>
      </c>
      <c r="B2514" s="111">
        <f ca="1">IFERROR(__xludf.DUMMYFUNCTION("""COMPUTED_VALUE"""),25.14)</f>
        <v>25.14</v>
      </c>
      <c r="C2514" s="112">
        <f ca="1">IFERROR(__xludf.DUMMYFUNCTION("""COMPUTED_VALUE"""),43984.7055555555)</f>
        <v>43984.705555555498</v>
      </c>
      <c r="D2514" s="111">
        <f ca="1">IFERROR(__xludf.DUMMYFUNCTION("""COMPUTED_VALUE"""),25.25)</f>
        <v>25.25</v>
      </c>
      <c r="E2514" s="112">
        <f ca="1">IFERROR(__xludf.DUMMYFUNCTION("""COMPUTED_VALUE"""),43985.7055555555)</f>
        <v>43985.705555555498</v>
      </c>
      <c r="F2514" s="111">
        <f ca="1">IFERROR(__xludf.DUMMYFUNCTION("""COMPUTED_VALUE"""),9.34)</f>
        <v>9.34</v>
      </c>
      <c r="G2514" s="112">
        <f ca="1">IFERROR(__xludf.DUMMYFUNCTION("""COMPUTED_VALUE"""),43983.7055555555)</f>
        <v>43983.705555555498</v>
      </c>
      <c r="H2514" s="111">
        <f ca="1">IFERROR(__xludf.DUMMYFUNCTION("""COMPUTED_VALUE"""),20.33)</f>
        <v>20.329999999999998</v>
      </c>
      <c r="K2514" s="112">
        <f ca="1">IFERROR(__xludf.DUMMYFUNCTION("""COMPUTED_VALUE"""),44428.7055555555)</f>
        <v>44428.705555555498</v>
      </c>
      <c r="L2514" s="111">
        <f ca="1">IFERROR(__xludf.DUMMYFUNCTION("""COMPUTED_VALUE"""),18.86)</f>
        <v>18.86</v>
      </c>
      <c r="M2514" s="112">
        <f ca="1">IFERROR(__xludf.DUMMYFUNCTION("""COMPUTED_VALUE"""),43889.7055555555)</f>
        <v>43889.705555555498</v>
      </c>
      <c r="N2514" s="111">
        <f ca="1">IFERROR(__xludf.DUMMYFUNCTION("""COMPUTED_VALUE"""),25.23)</f>
        <v>25.23</v>
      </c>
      <c r="O2514" s="112">
        <f ca="1">IFERROR(__xludf.DUMMYFUNCTION("""COMPUTED_VALUE"""),43966.7055555555)</f>
        <v>43966.705555555498</v>
      </c>
      <c r="P2514" s="111">
        <f ca="1">IFERROR(__xludf.DUMMYFUNCTION("""COMPUTED_VALUE"""),48.05)</f>
        <v>48.05</v>
      </c>
      <c r="Q2514" s="112">
        <f ca="1">IFERROR(__xludf.DUMMYFUNCTION("""COMPUTED_VALUE"""),43965.7055555555)</f>
        <v>43965.705555555498</v>
      </c>
      <c r="R2514" s="111">
        <f ca="1">IFERROR(__xludf.DUMMYFUNCTION("""COMPUTED_VALUE"""),26.65)</f>
        <v>26.65</v>
      </c>
      <c r="S2514" s="112">
        <f ca="1">IFERROR(__xludf.DUMMYFUNCTION("""COMPUTED_VALUE"""),43979.7055555555)</f>
        <v>43979.705555555498</v>
      </c>
      <c r="T2514" s="111">
        <f ca="1">IFERROR(__xludf.DUMMYFUNCTION("""COMPUTED_VALUE"""),35.48)</f>
        <v>35.479999999999997</v>
      </c>
    </row>
    <row r="2515" spans="1:20" x14ac:dyDescent="0.3">
      <c r="A2515" s="112">
        <f ca="1">IFERROR(__xludf.DUMMYFUNCTION("""COMPUTED_VALUE"""),43976.7055555555)</f>
        <v>43976.705555555498</v>
      </c>
      <c r="B2515" s="111">
        <f ca="1">IFERROR(__xludf.DUMMYFUNCTION("""COMPUTED_VALUE"""),26.32)</f>
        <v>26.32</v>
      </c>
      <c r="C2515" s="112">
        <f ca="1">IFERROR(__xludf.DUMMYFUNCTION("""COMPUTED_VALUE"""),43985.7055555555)</f>
        <v>43985.705555555498</v>
      </c>
      <c r="D2515" s="111">
        <f ca="1">IFERROR(__xludf.DUMMYFUNCTION("""COMPUTED_VALUE"""),25.92)</f>
        <v>25.92</v>
      </c>
      <c r="E2515" s="112">
        <f ca="1">IFERROR(__xludf.DUMMYFUNCTION("""COMPUTED_VALUE"""),43986.7055555555)</f>
        <v>43986.705555555498</v>
      </c>
      <c r="F2515" s="111">
        <f ca="1">IFERROR(__xludf.DUMMYFUNCTION("""COMPUTED_VALUE"""),9.45)</f>
        <v>9.4499999999999993</v>
      </c>
      <c r="G2515" s="112">
        <f ca="1">IFERROR(__xludf.DUMMYFUNCTION("""COMPUTED_VALUE"""),43984.7055555555)</f>
        <v>43984.705555555498</v>
      </c>
      <c r="H2515" s="111">
        <f ca="1">IFERROR(__xludf.DUMMYFUNCTION("""COMPUTED_VALUE"""),21.4)</f>
        <v>21.4</v>
      </c>
      <c r="K2515" s="112">
        <f ca="1">IFERROR(__xludf.DUMMYFUNCTION("""COMPUTED_VALUE"""),44431.7055555555)</f>
        <v>44431.705555555498</v>
      </c>
      <c r="L2515" s="111">
        <f ca="1">IFERROR(__xludf.DUMMYFUNCTION("""COMPUTED_VALUE"""),18.13)</f>
        <v>18.13</v>
      </c>
      <c r="M2515" s="112">
        <f ca="1">IFERROR(__xludf.DUMMYFUNCTION("""COMPUTED_VALUE"""),43892.7055555555)</f>
        <v>43892.705555555498</v>
      </c>
      <c r="N2515" s="111">
        <f ca="1">IFERROR(__xludf.DUMMYFUNCTION("""COMPUTED_VALUE"""),25.57)</f>
        <v>25.57</v>
      </c>
      <c r="O2515" s="112">
        <f ca="1">IFERROR(__xludf.DUMMYFUNCTION("""COMPUTED_VALUE"""),43969.7055555555)</f>
        <v>43969.705555555498</v>
      </c>
      <c r="P2515" s="111">
        <f ca="1">IFERROR(__xludf.DUMMYFUNCTION("""COMPUTED_VALUE"""),51.26)</f>
        <v>51.26</v>
      </c>
      <c r="Q2515" s="112">
        <f ca="1">IFERROR(__xludf.DUMMYFUNCTION("""COMPUTED_VALUE"""),43966.7055555555)</f>
        <v>43966.705555555498</v>
      </c>
      <c r="R2515" s="111">
        <f ca="1">IFERROR(__xludf.DUMMYFUNCTION("""COMPUTED_VALUE"""),26.15)</f>
        <v>26.15</v>
      </c>
      <c r="S2515" s="112">
        <f ca="1">IFERROR(__xludf.DUMMYFUNCTION("""COMPUTED_VALUE"""),43980.7055555555)</f>
        <v>43980.705555555498</v>
      </c>
      <c r="T2515" s="111">
        <f ca="1">IFERROR(__xludf.DUMMYFUNCTION("""COMPUTED_VALUE"""),35.05)</f>
        <v>35.049999999999997</v>
      </c>
    </row>
    <row r="2516" spans="1:20" x14ac:dyDescent="0.3">
      <c r="A2516" s="112">
        <f ca="1">IFERROR(__xludf.DUMMYFUNCTION("""COMPUTED_VALUE"""),43977.7055555555)</f>
        <v>43977.705555555498</v>
      </c>
      <c r="B2516" s="111">
        <f ca="1">IFERROR(__xludf.DUMMYFUNCTION("""COMPUTED_VALUE"""),26.95)</f>
        <v>26.95</v>
      </c>
      <c r="C2516" s="112">
        <f ca="1">IFERROR(__xludf.DUMMYFUNCTION("""COMPUTED_VALUE"""),43986.7055555555)</f>
        <v>43986.705555555498</v>
      </c>
      <c r="D2516" s="111">
        <f ca="1">IFERROR(__xludf.DUMMYFUNCTION("""COMPUTED_VALUE"""),26.67)</f>
        <v>26.67</v>
      </c>
      <c r="E2516" s="112">
        <f ca="1">IFERROR(__xludf.DUMMYFUNCTION("""COMPUTED_VALUE"""),43987.7055555555)</f>
        <v>43987.705555555498</v>
      </c>
      <c r="F2516" s="111">
        <f ca="1">IFERROR(__xludf.DUMMYFUNCTION("""COMPUTED_VALUE"""),9.56)</f>
        <v>9.56</v>
      </c>
      <c r="G2516" s="112">
        <f ca="1">IFERROR(__xludf.DUMMYFUNCTION("""COMPUTED_VALUE"""),43985.7055555555)</f>
        <v>43985.705555555498</v>
      </c>
      <c r="H2516" s="111">
        <f ca="1">IFERROR(__xludf.DUMMYFUNCTION("""COMPUTED_VALUE"""),21.47)</f>
        <v>21.47</v>
      </c>
      <c r="K2516" s="112">
        <f ca="1">IFERROR(__xludf.DUMMYFUNCTION("""COMPUTED_VALUE"""),44432.7055555555)</f>
        <v>44432.705555555498</v>
      </c>
      <c r="L2516" s="111">
        <f ca="1">IFERROR(__xludf.DUMMYFUNCTION("""COMPUTED_VALUE"""),19.24)</f>
        <v>19.239999999999998</v>
      </c>
      <c r="M2516" s="112">
        <f ca="1">IFERROR(__xludf.DUMMYFUNCTION("""COMPUTED_VALUE"""),43893.7055555555)</f>
        <v>43893.705555555498</v>
      </c>
      <c r="N2516" s="111">
        <f ca="1">IFERROR(__xludf.DUMMYFUNCTION("""COMPUTED_VALUE"""),24.89)</f>
        <v>24.89</v>
      </c>
      <c r="O2516" s="112">
        <f ca="1">IFERROR(__xludf.DUMMYFUNCTION("""COMPUTED_VALUE"""),43970.7055555555)</f>
        <v>43970.705555555498</v>
      </c>
      <c r="P2516" s="111">
        <f ca="1">IFERROR(__xludf.DUMMYFUNCTION("""COMPUTED_VALUE"""),52.3)</f>
        <v>52.3</v>
      </c>
      <c r="Q2516" s="112">
        <f ca="1">IFERROR(__xludf.DUMMYFUNCTION("""COMPUTED_VALUE"""),43969.7055555555)</f>
        <v>43969.705555555498</v>
      </c>
      <c r="R2516" s="111">
        <f ca="1">IFERROR(__xludf.DUMMYFUNCTION("""COMPUTED_VALUE"""),27.4)</f>
        <v>27.4</v>
      </c>
      <c r="S2516" s="112">
        <f ca="1">IFERROR(__xludf.DUMMYFUNCTION("""COMPUTED_VALUE"""),43983.7055555555)</f>
        <v>43983.705555555498</v>
      </c>
      <c r="T2516" s="111">
        <f ca="1">IFERROR(__xludf.DUMMYFUNCTION("""COMPUTED_VALUE"""),37.26)</f>
        <v>37.26</v>
      </c>
    </row>
    <row r="2517" spans="1:20" x14ac:dyDescent="0.3">
      <c r="A2517" s="112">
        <f ca="1">IFERROR(__xludf.DUMMYFUNCTION("""COMPUTED_VALUE"""),43978.7055555555)</f>
        <v>43978.705555555498</v>
      </c>
      <c r="B2517" s="111">
        <f ca="1">IFERROR(__xludf.DUMMYFUNCTION("""COMPUTED_VALUE"""),28.35)</f>
        <v>28.35</v>
      </c>
      <c r="C2517" s="112">
        <f ca="1">IFERROR(__xludf.DUMMYFUNCTION("""COMPUTED_VALUE"""),43987.7055555555)</f>
        <v>43987.705555555498</v>
      </c>
      <c r="D2517" s="111">
        <f ca="1">IFERROR(__xludf.DUMMYFUNCTION("""COMPUTED_VALUE"""),27.26)</f>
        <v>27.26</v>
      </c>
      <c r="E2517" s="112">
        <f ca="1">IFERROR(__xludf.DUMMYFUNCTION("""COMPUTED_VALUE"""),43990.7055555555)</f>
        <v>43990.705555555498</v>
      </c>
      <c r="F2517" s="111">
        <f ca="1">IFERROR(__xludf.DUMMYFUNCTION("""COMPUTED_VALUE"""),9.9)</f>
        <v>9.9</v>
      </c>
      <c r="G2517" s="112">
        <f ca="1">IFERROR(__xludf.DUMMYFUNCTION("""COMPUTED_VALUE"""),43986.7055555555)</f>
        <v>43986.705555555498</v>
      </c>
      <c r="H2517" s="111">
        <f ca="1">IFERROR(__xludf.DUMMYFUNCTION("""COMPUTED_VALUE"""),21.43)</f>
        <v>21.43</v>
      </c>
      <c r="K2517" s="112">
        <f ca="1">IFERROR(__xludf.DUMMYFUNCTION("""COMPUTED_VALUE"""),44433.7055555555)</f>
        <v>44433.705555555498</v>
      </c>
      <c r="L2517" s="111">
        <f ca="1">IFERROR(__xludf.DUMMYFUNCTION("""COMPUTED_VALUE"""),19.55)</f>
        <v>19.55</v>
      </c>
      <c r="M2517" s="112">
        <f ca="1">IFERROR(__xludf.DUMMYFUNCTION("""COMPUTED_VALUE"""),43894.7055555555)</f>
        <v>43894.705555555498</v>
      </c>
      <c r="N2517" s="111">
        <f ca="1">IFERROR(__xludf.DUMMYFUNCTION("""COMPUTED_VALUE"""),25.17)</f>
        <v>25.17</v>
      </c>
      <c r="O2517" s="112">
        <f ca="1">IFERROR(__xludf.DUMMYFUNCTION("""COMPUTED_VALUE"""),43971.7055555555)</f>
        <v>43971.705555555498</v>
      </c>
      <c r="P2517" s="111">
        <f ca="1">IFERROR(__xludf.DUMMYFUNCTION("""COMPUTED_VALUE"""),52.5)</f>
        <v>52.5</v>
      </c>
      <c r="Q2517" s="112">
        <f ca="1">IFERROR(__xludf.DUMMYFUNCTION("""COMPUTED_VALUE"""),43970.7055555555)</f>
        <v>43970.705555555498</v>
      </c>
      <c r="R2517" s="111">
        <f ca="1">IFERROR(__xludf.DUMMYFUNCTION("""COMPUTED_VALUE"""),26.66)</f>
        <v>26.66</v>
      </c>
      <c r="S2517" s="112">
        <f ca="1">IFERROR(__xludf.DUMMYFUNCTION("""COMPUTED_VALUE"""),43984.7055555555)</f>
        <v>43984.705555555498</v>
      </c>
      <c r="T2517" s="111">
        <f ca="1">IFERROR(__xludf.DUMMYFUNCTION("""COMPUTED_VALUE"""),38.3)</f>
        <v>38.299999999999997</v>
      </c>
    </row>
    <row r="2518" spans="1:20" x14ac:dyDescent="0.3">
      <c r="A2518" s="112">
        <f ca="1">IFERROR(__xludf.DUMMYFUNCTION("""COMPUTED_VALUE"""),43979.7055555555)</f>
        <v>43979.705555555498</v>
      </c>
      <c r="B2518" s="111">
        <f ca="1">IFERROR(__xludf.DUMMYFUNCTION("""COMPUTED_VALUE"""),28.12)</f>
        <v>28.12</v>
      </c>
      <c r="C2518" s="112">
        <f ca="1">IFERROR(__xludf.DUMMYFUNCTION("""COMPUTED_VALUE"""),43990.7055555555)</f>
        <v>43990.705555555498</v>
      </c>
      <c r="D2518" s="111">
        <f ca="1">IFERROR(__xludf.DUMMYFUNCTION("""COMPUTED_VALUE"""),28.36)</f>
        <v>28.36</v>
      </c>
      <c r="E2518" s="112">
        <f ca="1">IFERROR(__xludf.DUMMYFUNCTION("""COMPUTED_VALUE"""),43991.7055555555)</f>
        <v>43991.705555555498</v>
      </c>
      <c r="F2518" s="111">
        <f ca="1">IFERROR(__xludf.DUMMYFUNCTION("""COMPUTED_VALUE"""),9.87)</f>
        <v>9.8699999999999992</v>
      </c>
      <c r="G2518" s="112">
        <f ca="1">IFERROR(__xludf.DUMMYFUNCTION("""COMPUTED_VALUE"""),43987.7055555555)</f>
        <v>43987.705555555498</v>
      </c>
      <c r="H2518" s="111">
        <f ca="1">IFERROR(__xludf.DUMMYFUNCTION("""COMPUTED_VALUE"""),22.1)</f>
        <v>22.1</v>
      </c>
      <c r="K2518" s="112">
        <f ca="1">IFERROR(__xludf.DUMMYFUNCTION("""COMPUTED_VALUE"""),44434.7055555555)</f>
        <v>44434.705555555498</v>
      </c>
      <c r="L2518" s="111">
        <f ca="1">IFERROR(__xludf.DUMMYFUNCTION("""COMPUTED_VALUE"""),18.8)</f>
        <v>18.8</v>
      </c>
      <c r="M2518" s="112">
        <f ca="1">IFERROR(__xludf.DUMMYFUNCTION("""COMPUTED_VALUE"""),43895.7055555555)</f>
        <v>43895.705555555498</v>
      </c>
      <c r="N2518" s="111">
        <f ca="1">IFERROR(__xludf.DUMMYFUNCTION("""COMPUTED_VALUE"""),24.34)</f>
        <v>24.34</v>
      </c>
      <c r="O2518" s="112">
        <f ca="1">IFERROR(__xludf.DUMMYFUNCTION("""COMPUTED_VALUE"""),43972.7055555555)</f>
        <v>43972.705555555498</v>
      </c>
      <c r="P2518" s="111">
        <f ca="1">IFERROR(__xludf.DUMMYFUNCTION("""COMPUTED_VALUE"""),51.13)</f>
        <v>51.13</v>
      </c>
      <c r="Q2518" s="112">
        <f ca="1">IFERROR(__xludf.DUMMYFUNCTION("""COMPUTED_VALUE"""),43971.7055555555)</f>
        <v>43971.705555555498</v>
      </c>
      <c r="R2518" s="111">
        <f ca="1">IFERROR(__xludf.DUMMYFUNCTION("""COMPUTED_VALUE"""),27.33)</f>
        <v>27.33</v>
      </c>
      <c r="S2518" s="112">
        <f ca="1">IFERROR(__xludf.DUMMYFUNCTION("""COMPUTED_VALUE"""),43985.7055555555)</f>
        <v>43985.705555555498</v>
      </c>
      <c r="T2518" s="111">
        <f ca="1">IFERROR(__xludf.DUMMYFUNCTION("""COMPUTED_VALUE"""),40.16)</f>
        <v>40.159999999999997</v>
      </c>
    </row>
    <row r="2519" spans="1:20" x14ac:dyDescent="0.3">
      <c r="A2519" s="112">
        <f ca="1">IFERROR(__xludf.DUMMYFUNCTION("""COMPUTED_VALUE"""),43980.7055555555)</f>
        <v>43980.705555555498</v>
      </c>
      <c r="B2519" s="111">
        <f ca="1">IFERROR(__xludf.DUMMYFUNCTION("""COMPUTED_VALUE"""),27.67)</f>
        <v>27.67</v>
      </c>
      <c r="C2519" s="112">
        <f ca="1">IFERROR(__xludf.DUMMYFUNCTION("""COMPUTED_VALUE"""),43991.7055555555)</f>
        <v>43991.705555555498</v>
      </c>
      <c r="D2519" s="111">
        <f ca="1">IFERROR(__xludf.DUMMYFUNCTION("""COMPUTED_VALUE"""),27.8)</f>
        <v>27.8</v>
      </c>
      <c r="E2519" s="112">
        <f ca="1">IFERROR(__xludf.DUMMYFUNCTION("""COMPUTED_VALUE"""),43992.7055555555)</f>
        <v>43992.705555555498</v>
      </c>
      <c r="F2519" s="111">
        <f ca="1">IFERROR(__xludf.DUMMYFUNCTION("""COMPUTED_VALUE"""),9.55)</f>
        <v>9.5500000000000007</v>
      </c>
      <c r="G2519" s="112">
        <f ca="1">IFERROR(__xludf.DUMMYFUNCTION("""COMPUTED_VALUE"""),43990.7055555555)</f>
        <v>43990.705555555498</v>
      </c>
      <c r="H2519" s="111">
        <f ca="1">IFERROR(__xludf.DUMMYFUNCTION("""COMPUTED_VALUE"""),22.53)</f>
        <v>22.53</v>
      </c>
      <c r="K2519" s="112">
        <f ca="1">IFERROR(__xludf.DUMMYFUNCTION("""COMPUTED_VALUE"""),44435.7055555555)</f>
        <v>44435.705555555498</v>
      </c>
      <c r="L2519" s="111">
        <f ca="1">IFERROR(__xludf.DUMMYFUNCTION("""COMPUTED_VALUE"""),19.03)</f>
        <v>19.03</v>
      </c>
      <c r="M2519" s="112">
        <f ca="1">IFERROR(__xludf.DUMMYFUNCTION("""COMPUTED_VALUE"""),43896.7055555555)</f>
        <v>43896.705555555498</v>
      </c>
      <c r="N2519" s="111">
        <f ca="1">IFERROR(__xludf.DUMMYFUNCTION("""COMPUTED_VALUE"""),23.64)</f>
        <v>23.64</v>
      </c>
      <c r="O2519" s="112">
        <f ca="1">IFERROR(__xludf.DUMMYFUNCTION("""COMPUTED_VALUE"""),43973.7055555555)</f>
        <v>43973.705555555498</v>
      </c>
      <c r="P2519" s="111">
        <f ca="1">IFERROR(__xludf.DUMMYFUNCTION("""COMPUTED_VALUE"""),50.27)</f>
        <v>50.27</v>
      </c>
      <c r="Q2519" s="112">
        <f ca="1">IFERROR(__xludf.DUMMYFUNCTION("""COMPUTED_VALUE"""),43972.7055555555)</f>
        <v>43972.705555555498</v>
      </c>
      <c r="R2519" s="111">
        <f ca="1">IFERROR(__xludf.DUMMYFUNCTION("""COMPUTED_VALUE"""),29.26)</f>
        <v>29.26</v>
      </c>
      <c r="S2519" s="112">
        <f ca="1">IFERROR(__xludf.DUMMYFUNCTION("""COMPUTED_VALUE"""),43986.7055555555)</f>
        <v>43986.705555555498</v>
      </c>
      <c r="T2519" s="111">
        <f ca="1">IFERROR(__xludf.DUMMYFUNCTION("""COMPUTED_VALUE"""),40.51)</f>
        <v>40.51</v>
      </c>
    </row>
    <row r="2520" spans="1:20" x14ac:dyDescent="0.3">
      <c r="A2520" s="112">
        <f ca="1">IFERROR(__xludf.DUMMYFUNCTION("""COMPUTED_VALUE"""),43983.7055555555)</f>
        <v>43983.705555555498</v>
      </c>
      <c r="B2520" s="111">
        <f ca="1">IFERROR(__xludf.DUMMYFUNCTION("""COMPUTED_VALUE"""),29.02)</f>
        <v>29.02</v>
      </c>
      <c r="C2520" s="112">
        <f ca="1">IFERROR(__xludf.DUMMYFUNCTION("""COMPUTED_VALUE"""),43992.7055555555)</f>
        <v>43992.705555555498</v>
      </c>
      <c r="D2520" s="111">
        <f ca="1">IFERROR(__xludf.DUMMYFUNCTION("""COMPUTED_VALUE"""),26.59)</f>
        <v>26.59</v>
      </c>
      <c r="E2520" s="112">
        <f ca="1">IFERROR(__xludf.DUMMYFUNCTION("""COMPUTED_VALUE"""),43994.7055555555)</f>
        <v>43994.705555555498</v>
      </c>
      <c r="F2520" s="111">
        <f ca="1">IFERROR(__xludf.DUMMYFUNCTION("""COMPUTED_VALUE"""),9.32)</f>
        <v>9.32</v>
      </c>
      <c r="G2520" s="112">
        <f ca="1">IFERROR(__xludf.DUMMYFUNCTION("""COMPUTED_VALUE"""),43991.7055555555)</f>
        <v>43991.705555555498</v>
      </c>
      <c r="H2520" s="111">
        <f ca="1">IFERROR(__xludf.DUMMYFUNCTION("""COMPUTED_VALUE"""),21.72)</f>
        <v>21.72</v>
      </c>
      <c r="K2520" s="112">
        <f ca="1">IFERROR(__xludf.DUMMYFUNCTION("""COMPUTED_VALUE"""),44438.7055555555)</f>
        <v>44438.705555555498</v>
      </c>
      <c r="L2520" s="111">
        <f ca="1">IFERROR(__xludf.DUMMYFUNCTION("""COMPUTED_VALUE"""),18.88)</f>
        <v>18.88</v>
      </c>
      <c r="M2520" s="112">
        <f ca="1">IFERROR(__xludf.DUMMYFUNCTION("""COMPUTED_VALUE"""),43899.7055555555)</f>
        <v>43899.705555555498</v>
      </c>
      <c r="N2520" s="111">
        <f ca="1">IFERROR(__xludf.DUMMYFUNCTION("""COMPUTED_VALUE"""),21.94)</f>
        <v>21.94</v>
      </c>
      <c r="O2520" s="112">
        <f ca="1">IFERROR(__xludf.DUMMYFUNCTION("""COMPUTED_VALUE"""),43976.7055555555)</f>
        <v>43976.705555555498</v>
      </c>
      <c r="P2520" s="111">
        <f ca="1">IFERROR(__xludf.DUMMYFUNCTION("""COMPUTED_VALUE"""),50.1)</f>
        <v>50.1</v>
      </c>
      <c r="Q2520" s="112">
        <f ca="1">IFERROR(__xludf.DUMMYFUNCTION("""COMPUTED_VALUE"""),43973.7055555555)</f>
        <v>43973.705555555498</v>
      </c>
      <c r="R2520" s="111">
        <f ca="1">IFERROR(__xludf.DUMMYFUNCTION("""COMPUTED_VALUE"""),28.51)</f>
        <v>28.51</v>
      </c>
      <c r="S2520" s="112">
        <f ca="1">IFERROR(__xludf.DUMMYFUNCTION("""COMPUTED_VALUE"""),43987.7055555555)</f>
        <v>43987.705555555498</v>
      </c>
      <c r="T2520" s="111">
        <f ca="1">IFERROR(__xludf.DUMMYFUNCTION("""COMPUTED_VALUE"""),41.8)</f>
        <v>41.8</v>
      </c>
    </row>
    <row r="2521" spans="1:20" x14ac:dyDescent="0.3">
      <c r="A2521" s="112">
        <f ca="1">IFERROR(__xludf.DUMMYFUNCTION("""COMPUTED_VALUE"""),43984.7055555555)</f>
        <v>43984.705555555498</v>
      </c>
      <c r="B2521" s="111">
        <f ca="1">IFERROR(__xludf.DUMMYFUNCTION("""COMPUTED_VALUE"""),29.47)</f>
        <v>29.47</v>
      </c>
      <c r="C2521" s="112">
        <f ca="1">IFERROR(__xludf.DUMMYFUNCTION("""COMPUTED_VALUE"""),43994.7055555555)</f>
        <v>43994.705555555498</v>
      </c>
      <c r="D2521" s="111">
        <f ca="1">IFERROR(__xludf.DUMMYFUNCTION("""COMPUTED_VALUE"""),26.06)</f>
        <v>26.06</v>
      </c>
      <c r="E2521" s="112">
        <f ca="1">IFERROR(__xludf.DUMMYFUNCTION("""COMPUTED_VALUE"""),43997.7055555555)</f>
        <v>43997.705555555498</v>
      </c>
      <c r="F2521" s="111">
        <f ca="1">IFERROR(__xludf.DUMMYFUNCTION("""COMPUTED_VALUE"""),9.1)</f>
        <v>9.1</v>
      </c>
      <c r="G2521" s="112">
        <f ca="1">IFERROR(__xludf.DUMMYFUNCTION("""COMPUTED_VALUE"""),43992.7055555555)</f>
        <v>43992.705555555498</v>
      </c>
      <c r="H2521" s="111">
        <f ca="1">IFERROR(__xludf.DUMMYFUNCTION("""COMPUTED_VALUE"""),21.4)</f>
        <v>21.4</v>
      </c>
      <c r="K2521" s="112">
        <f ca="1">IFERROR(__xludf.DUMMYFUNCTION("""COMPUTED_VALUE"""),44439.7055555555)</f>
        <v>44439.705555555498</v>
      </c>
      <c r="L2521" s="111">
        <f ca="1">IFERROR(__xludf.DUMMYFUNCTION("""COMPUTED_VALUE"""),18.24)</f>
        <v>18.239999999999998</v>
      </c>
      <c r="M2521" s="112">
        <f ca="1">IFERROR(__xludf.DUMMYFUNCTION("""COMPUTED_VALUE"""),43900.7055555555)</f>
        <v>43900.705555555498</v>
      </c>
      <c r="N2521" s="111">
        <f ca="1">IFERROR(__xludf.DUMMYFUNCTION("""COMPUTED_VALUE"""),22.47)</f>
        <v>22.47</v>
      </c>
      <c r="O2521" s="112">
        <f ca="1">IFERROR(__xludf.DUMMYFUNCTION("""COMPUTED_VALUE"""),43977.7055555555)</f>
        <v>43977.705555555498</v>
      </c>
      <c r="P2521" s="111">
        <f ca="1">IFERROR(__xludf.DUMMYFUNCTION("""COMPUTED_VALUE"""),49.2)</f>
        <v>49.2</v>
      </c>
      <c r="Q2521" s="112">
        <f ca="1">IFERROR(__xludf.DUMMYFUNCTION("""COMPUTED_VALUE"""),43976.7055555555)</f>
        <v>43976.705555555498</v>
      </c>
      <c r="R2521" s="111">
        <f ca="1">IFERROR(__xludf.DUMMYFUNCTION("""COMPUTED_VALUE"""),31.5)</f>
        <v>31.5</v>
      </c>
      <c r="S2521" s="112">
        <f ca="1">IFERROR(__xludf.DUMMYFUNCTION("""COMPUTED_VALUE"""),43990.7055555555)</f>
        <v>43990.705555555498</v>
      </c>
      <c r="T2521" s="111">
        <f ca="1">IFERROR(__xludf.DUMMYFUNCTION("""COMPUTED_VALUE"""),42.01)</f>
        <v>42.01</v>
      </c>
    </row>
    <row r="2522" spans="1:20" x14ac:dyDescent="0.3">
      <c r="A2522" s="112">
        <f ca="1">IFERROR(__xludf.DUMMYFUNCTION("""COMPUTED_VALUE"""),43985.7055555555)</f>
        <v>43985.705555555498</v>
      </c>
      <c r="B2522" s="111">
        <f ca="1">IFERROR(__xludf.DUMMYFUNCTION("""COMPUTED_VALUE"""),29.23)</f>
        <v>29.23</v>
      </c>
      <c r="C2522" s="112">
        <f ca="1">IFERROR(__xludf.DUMMYFUNCTION("""COMPUTED_VALUE"""),43997.7055555555)</f>
        <v>43997.705555555498</v>
      </c>
      <c r="D2522" s="111">
        <f ca="1">IFERROR(__xludf.DUMMYFUNCTION("""COMPUTED_VALUE"""),25.45)</f>
        <v>25.45</v>
      </c>
      <c r="E2522" s="112">
        <f ca="1">IFERROR(__xludf.DUMMYFUNCTION("""COMPUTED_VALUE"""),43998.7055555555)</f>
        <v>43998.705555555498</v>
      </c>
      <c r="F2522" s="111">
        <f ca="1">IFERROR(__xludf.DUMMYFUNCTION("""COMPUTED_VALUE"""),9.3)</f>
        <v>9.3000000000000007</v>
      </c>
      <c r="G2522" s="112">
        <f ca="1">IFERROR(__xludf.DUMMYFUNCTION("""COMPUTED_VALUE"""),43994.7055555555)</f>
        <v>43994.705555555498</v>
      </c>
      <c r="H2522" s="111">
        <f ca="1">IFERROR(__xludf.DUMMYFUNCTION("""COMPUTED_VALUE"""),20.6)</f>
        <v>20.6</v>
      </c>
      <c r="K2522" s="112">
        <f ca="1">IFERROR(__xludf.DUMMYFUNCTION("""COMPUTED_VALUE"""),44440.7055555555)</f>
        <v>44440.705555555498</v>
      </c>
      <c r="L2522" s="111">
        <f ca="1">IFERROR(__xludf.DUMMYFUNCTION("""COMPUTED_VALUE"""),18.68)</f>
        <v>18.68</v>
      </c>
      <c r="M2522" s="112">
        <f ca="1">IFERROR(__xludf.DUMMYFUNCTION("""COMPUTED_VALUE"""),43901.7055555555)</f>
        <v>43901.705555555498</v>
      </c>
      <c r="N2522" s="111">
        <f ca="1">IFERROR(__xludf.DUMMYFUNCTION("""COMPUTED_VALUE"""),20.65)</f>
        <v>20.65</v>
      </c>
      <c r="O2522" s="112">
        <f ca="1">IFERROR(__xludf.DUMMYFUNCTION("""COMPUTED_VALUE"""),43978.7055555555)</f>
        <v>43978.705555555498</v>
      </c>
      <c r="P2522" s="111">
        <f ca="1">IFERROR(__xludf.DUMMYFUNCTION("""COMPUTED_VALUE"""),50.64)</f>
        <v>50.64</v>
      </c>
      <c r="Q2522" s="112">
        <f ca="1">IFERROR(__xludf.DUMMYFUNCTION("""COMPUTED_VALUE"""),43977.7055555555)</f>
        <v>43977.705555555498</v>
      </c>
      <c r="R2522" s="111">
        <f ca="1">IFERROR(__xludf.DUMMYFUNCTION("""COMPUTED_VALUE"""),30.79)</f>
        <v>30.79</v>
      </c>
      <c r="S2522" s="112">
        <f ca="1">IFERROR(__xludf.DUMMYFUNCTION("""COMPUTED_VALUE"""),43991.7055555555)</f>
        <v>43991.705555555498</v>
      </c>
      <c r="T2522" s="111">
        <f ca="1">IFERROR(__xludf.DUMMYFUNCTION("""COMPUTED_VALUE"""),41.65)</f>
        <v>41.65</v>
      </c>
    </row>
    <row r="2523" spans="1:20" x14ac:dyDescent="0.3">
      <c r="A2523" s="112">
        <f ca="1">IFERROR(__xludf.DUMMYFUNCTION("""COMPUTED_VALUE"""),43986.7055555555)</f>
        <v>43986.705555555498</v>
      </c>
      <c r="B2523" s="111">
        <f ca="1">IFERROR(__xludf.DUMMYFUNCTION("""COMPUTED_VALUE"""),29.01)</f>
        <v>29.01</v>
      </c>
      <c r="C2523" s="112">
        <f ca="1">IFERROR(__xludf.DUMMYFUNCTION("""COMPUTED_VALUE"""),43998.7055555555)</f>
        <v>43998.705555555498</v>
      </c>
      <c r="D2523" s="111">
        <f ca="1">IFERROR(__xludf.DUMMYFUNCTION("""COMPUTED_VALUE"""),26.18)</f>
        <v>26.18</v>
      </c>
      <c r="E2523" s="112">
        <f ca="1">IFERROR(__xludf.DUMMYFUNCTION("""COMPUTED_VALUE"""),43999.7055555555)</f>
        <v>43999.705555555498</v>
      </c>
      <c r="F2523" s="111">
        <f ca="1">IFERROR(__xludf.DUMMYFUNCTION("""COMPUTED_VALUE"""),9.46)</f>
        <v>9.4600000000000009</v>
      </c>
      <c r="G2523" s="112">
        <f ca="1">IFERROR(__xludf.DUMMYFUNCTION("""COMPUTED_VALUE"""),43997.7055555555)</f>
        <v>43997.705555555498</v>
      </c>
      <c r="H2523" s="111">
        <f ca="1">IFERROR(__xludf.DUMMYFUNCTION("""COMPUTED_VALUE"""),20.7)</f>
        <v>20.7</v>
      </c>
      <c r="K2523" s="112">
        <f ca="1">IFERROR(__xludf.DUMMYFUNCTION("""COMPUTED_VALUE"""),44441.7055555555)</f>
        <v>44441.705555555498</v>
      </c>
      <c r="L2523" s="111">
        <f ca="1">IFERROR(__xludf.DUMMYFUNCTION("""COMPUTED_VALUE"""),18.01)</f>
        <v>18.010000000000002</v>
      </c>
      <c r="M2523" s="112">
        <f ca="1">IFERROR(__xludf.DUMMYFUNCTION("""COMPUTED_VALUE"""),43902.7055555555)</f>
        <v>43902.705555555498</v>
      </c>
      <c r="N2523" s="111">
        <f ca="1">IFERROR(__xludf.DUMMYFUNCTION("""COMPUTED_VALUE"""),17.88)</f>
        <v>17.88</v>
      </c>
      <c r="O2523" s="112">
        <f ca="1">IFERROR(__xludf.DUMMYFUNCTION("""COMPUTED_VALUE"""),43979.7055555555)</f>
        <v>43979.705555555498</v>
      </c>
      <c r="P2523" s="111">
        <f ca="1">IFERROR(__xludf.DUMMYFUNCTION("""COMPUTED_VALUE"""),50.09)</f>
        <v>50.09</v>
      </c>
      <c r="Q2523" s="112">
        <f ca="1">IFERROR(__xludf.DUMMYFUNCTION("""COMPUTED_VALUE"""),43978.7055555555)</f>
        <v>43978.705555555498</v>
      </c>
      <c r="R2523" s="111">
        <f ca="1">IFERROR(__xludf.DUMMYFUNCTION("""COMPUTED_VALUE"""),30.9)</f>
        <v>30.9</v>
      </c>
      <c r="S2523" s="112">
        <f ca="1">IFERROR(__xludf.DUMMYFUNCTION("""COMPUTED_VALUE"""),43992.7055555555)</f>
        <v>43992.705555555498</v>
      </c>
      <c r="T2523" s="111">
        <f ca="1">IFERROR(__xludf.DUMMYFUNCTION("""COMPUTED_VALUE"""),39.91)</f>
        <v>39.909999999999997</v>
      </c>
    </row>
    <row r="2524" spans="1:20" x14ac:dyDescent="0.3">
      <c r="A2524" s="112">
        <f ca="1">IFERROR(__xludf.DUMMYFUNCTION("""COMPUTED_VALUE"""),43987.7055555555)</f>
        <v>43987.705555555498</v>
      </c>
      <c r="B2524" s="111">
        <f ca="1">IFERROR(__xludf.DUMMYFUNCTION("""COMPUTED_VALUE"""),29.29)</f>
        <v>29.29</v>
      </c>
      <c r="C2524" s="112">
        <f ca="1">IFERROR(__xludf.DUMMYFUNCTION("""COMPUTED_VALUE"""),43999.7055555555)</f>
        <v>43999.705555555498</v>
      </c>
      <c r="D2524" s="111">
        <f ca="1">IFERROR(__xludf.DUMMYFUNCTION("""COMPUTED_VALUE"""),26.51)</f>
        <v>26.51</v>
      </c>
      <c r="E2524" s="112">
        <f ca="1">IFERROR(__xludf.DUMMYFUNCTION("""COMPUTED_VALUE"""),44000.7055555555)</f>
        <v>44000.705555555498</v>
      </c>
      <c r="F2524" s="111">
        <f ca="1">IFERROR(__xludf.DUMMYFUNCTION("""COMPUTED_VALUE"""),9.76)</f>
        <v>9.76</v>
      </c>
      <c r="G2524" s="112">
        <f ca="1">IFERROR(__xludf.DUMMYFUNCTION("""COMPUTED_VALUE"""),43998.7055555555)</f>
        <v>43998.705555555498</v>
      </c>
      <c r="H2524" s="111">
        <f ca="1">IFERROR(__xludf.DUMMYFUNCTION("""COMPUTED_VALUE"""),21.37)</f>
        <v>21.37</v>
      </c>
      <c r="K2524" s="112">
        <f ca="1">IFERROR(__xludf.DUMMYFUNCTION("""COMPUTED_VALUE"""),44442.7055555555)</f>
        <v>44442.705555555498</v>
      </c>
      <c r="L2524" s="111">
        <f ca="1">IFERROR(__xludf.DUMMYFUNCTION("""COMPUTED_VALUE"""),18.9)</f>
        <v>18.899999999999999</v>
      </c>
      <c r="M2524" s="112">
        <f ca="1">IFERROR(__xludf.DUMMYFUNCTION("""COMPUTED_VALUE"""),43903.7055555555)</f>
        <v>43903.705555555498</v>
      </c>
      <c r="N2524" s="111">
        <f ca="1">IFERROR(__xludf.DUMMYFUNCTION("""COMPUTED_VALUE"""),20.9)</f>
        <v>20.9</v>
      </c>
      <c r="O2524" s="112">
        <f ca="1">IFERROR(__xludf.DUMMYFUNCTION("""COMPUTED_VALUE"""),43980.7055555555)</f>
        <v>43980.705555555498</v>
      </c>
      <c r="P2524" s="111">
        <f ca="1">IFERROR(__xludf.DUMMYFUNCTION("""COMPUTED_VALUE"""),53)</f>
        <v>53</v>
      </c>
      <c r="Q2524" s="112">
        <f ca="1">IFERROR(__xludf.DUMMYFUNCTION("""COMPUTED_VALUE"""),43979.7055555555)</f>
        <v>43979.705555555498</v>
      </c>
      <c r="R2524" s="111">
        <f ca="1">IFERROR(__xludf.DUMMYFUNCTION("""COMPUTED_VALUE"""),30.79)</f>
        <v>30.79</v>
      </c>
      <c r="S2524" s="112">
        <f ca="1">IFERROR(__xludf.DUMMYFUNCTION("""COMPUTED_VALUE"""),43994.7055555555)</f>
        <v>43994.705555555498</v>
      </c>
      <c r="T2524" s="111">
        <f ca="1">IFERROR(__xludf.DUMMYFUNCTION("""COMPUTED_VALUE"""),39.07)</f>
        <v>39.07</v>
      </c>
    </row>
    <row r="2525" spans="1:20" x14ac:dyDescent="0.3">
      <c r="A2525" s="112">
        <f ca="1">IFERROR(__xludf.DUMMYFUNCTION("""COMPUTED_VALUE"""),43990.7055555555)</f>
        <v>43990.705555555498</v>
      </c>
      <c r="B2525" s="111">
        <f ca="1">IFERROR(__xludf.DUMMYFUNCTION("""COMPUTED_VALUE"""),31.36)</f>
        <v>31.36</v>
      </c>
      <c r="C2525" s="112">
        <f ca="1">IFERROR(__xludf.DUMMYFUNCTION("""COMPUTED_VALUE"""),44000.7055555555)</f>
        <v>44000.705555555498</v>
      </c>
      <c r="D2525" s="111">
        <f ca="1">IFERROR(__xludf.DUMMYFUNCTION("""COMPUTED_VALUE"""),27.55)</f>
        <v>27.55</v>
      </c>
      <c r="E2525" s="112">
        <f ca="1">IFERROR(__xludf.DUMMYFUNCTION("""COMPUTED_VALUE"""),44001.7055555555)</f>
        <v>44001.705555555498</v>
      </c>
      <c r="F2525" s="111">
        <f ca="1">IFERROR(__xludf.DUMMYFUNCTION("""COMPUTED_VALUE"""),9.91)</f>
        <v>9.91</v>
      </c>
      <c r="G2525" s="112">
        <f ca="1">IFERROR(__xludf.DUMMYFUNCTION("""COMPUTED_VALUE"""),43999.7055555555)</f>
        <v>43999.705555555498</v>
      </c>
      <c r="H2525" s="111">
        <f ca="1">IFERROR(__xludf.DUMMYFUNCTION("""COMPUTED_VALUE"""),21.44)</f>
        <v>21.44</v>
      </c>
      <c r="K2525" s="112">
        <f ca="1">IFERROR(__xludf.DUMMYFUNCTION("""COMPUTED_VALUE"""),44445.7055555555)</f>
        <v>44445.705555555498</v>
      </c>
      <c r="L2525" s="111">
        <f ca="1">IFERROR(__xludf.DUMMYFUNCTION("""COMPUTED_VALUE"""),19.48)</f>
        <v>19.48</v>
      </c>
      <c r="M2525" s="112">
        <f ca="1">IFERROR(__xludf.DUMMYFUNCTION("""COMPUTED_VALUE"""),43906.7055555555)</f>
        <v>43906.705555555498</v>
      </c>
      <c r="N2525" s="111">
        <f ca="1">IFERROR(__xludf.DUMMYFUNCTION("""COMPUTED_VALUE"""),17.92)</f>
        <v>17.920000000000002</v>
      </c>
      <c r="O2525" s="112">
        <f ca="1">IFERROR(__xludf.DUMMYFUNCTION("""COMPUTED_VALUE"""),43983.7055555555)</f>
        <v>43983.705555555498</v>
      </c>
      <c r="P2525" s="111">
        <f ca="1">IFERROR(__xludf.DUMMYFUNCTION("""COMPUTED_VALUE"""),53.42)</f>
        <v>53.42</v>
      </c>
      <c r="Q2525" s="112">
        <f ca="1">IFERROR(__xludf.DUMMYFUNCTION("""COMPUTED_VALUE"""),43980.7055555555)</f>
        <v>43980.705555555498</v>
      </c>
      <c r="R2525" s="111">
        <f ca="1">IFERROR(__xludf.DUMMYFUNCTION("""COMPUTED_VALUE"""),30.84)</f>
        <v>30.84</v>
      </c>
      <c r="S2525" s="112">
        <f ca="1">IFERROR(__xludf.DUMMYFUNCTION("""COMPUTED_VALUE"""),43997.7055555555)</f>
        <v>43997.705555555498</v>
      </c>
      <c r="T2525" s="111">
        <f ca="1">IFERROR(__xludf.DUMMYFUNCTION("""COMPUTED_VALUE"""),38.3)</f>
        <v>38.299999999999997</v>
      </c>
    </row>
    <row r="2526" spans="1:20" x14ac:dyDescent="0.3">
      <c r="A2526" s="112">
        <f ca="1">IFERROR(__xludf.DUMMYFUNCTION("""COMPUTED_VALUE"""),43991.7055555555)</f>
        <v>43991.705555555498</v>
      </c>
      <c r="B2526" s="111">
        <f ca="1">IFERROR(__xludf.DUMMYFUNCTION("""COMPUTED_VALUE"""),31.53)</f>
        <v>31.53</v>
      </c>
      <c r="C2526" s="112">
        <f ca="1">IFERROR(__xludf.DUMMYFUNCTION("""COMPUTED_VALUE"""),44001.7055555555)</f>
        <v>44001.705555555498</v>
      </c>
      <c r="D2526" s="111">
        <f ca="1">IFERROR(__xludf.DUMMYFUNCTION("""COMPUTED_VALUE"""),28.09)</f>
        <v>28.09</v>
      </c>
      <c r="E2526" s="112">
        <f ca="1">IFERROR(__xludf.DUMMYFUNCTION("""COMPUTED_VALUE"""),44004.7055555555)</f>
        <v>44004.705555555498</v>
      </c>
      <c r="F2526" s="111">
        <f ca="1">IFERROR(__xludf.DUMMYFUNCTION("""COMPUTED_VALUE"""),9.67)</f>
        <v>9.67</v>
      </c>
      <c r="G2526" s="112">
        <f ca="1">IFERROR(__xludf.DUMMYFUNCTION("""COMPUTED_VALUE"""),44000.7055555555)</f>
        <v>44000.705555555498</v>
      </c>
      <c r="H2526" s="111">
        <f ca="1">IFERROR(__xludf.DUMMYFUNCTION("""COMPUTED_VALUE"""),21.6)</f>
        <v>21.6</v>
      </c>
      <c r="K2526" s="112">
        <f ca="1">IFERROR(__xludf.DUMMYFUNCTION("""COMPUTED_VALUE"""),44447.7055555555)</f>
        <v>44447.705555555498</v>
      </c>
      <c r="L2526" s="111">
        <f ca="1">IFERROR(__xludf.DUMMYFUNCTION("""COMPUTED_VALUE"""),18.79)</f>
        <v>18.79</v>
      </c>
      <c r="M2526" s="112">
        <f ca="1">IFERROR(__xludf.DUMMYFUNCTION("""COMPUTED_VALUE"""),43907.7055555555)</f>
        <v>43907.705555555498</v>
      </c>
      <c r="N2526" s="111">
        <f ca="1">IFERROR(__xludf.DUMMYFUNCTION("""COMPUTED_VALUE"""),19.36)</f>
        <v>19.36</v>
      </c>
      <c r="O2526" s="112">
        <f ca="1">IFERROR(__xludf.DUMMYFUNCTION("""COMPUTED_VALUE"""),43984.7055555555)</f>
        <v>43984.705555555498</v>
      </c>
      <c r="P2526" s="111">
        <f ca="1">IFERROR(__xludf.DUMMYFUNCTION("""COMPUTED_VALUE"""),53.42)</f>
        <v>53.42</v>
      </c>
      <c r="Q2526" s="112">
        <f ca="1">IFERROR(__xludf.DUMMYFUNCTION("""COMPUTED_VALUE"""),43983.7055555555)</f>
        <v>43983.705555555498</v>
      </c>
      <c r="R2526" s="111">
        <f ca="1">IFERROR(__xludf.DUMMYFUNCTION("""COMPUTED_VALUE"""),31.8)</f>
        <v>31.8</v>
      </c>
      <c r="S2526" s="112">
        <f ca="1">IFERROR(__xludf.DUMMYFUNCTION("""COMPUTED_VALUE"""),43998.7055555555)</f>
        <v>43998.705555555498</v>
      </c>
      <c r="T2526" s="111">
        <f ca="1">IFERROR(__xludf.DUMMYFUNCTION("""COMPUTED_VALUE"""),37.96)</f>
        <v>37.96</v>
      </c>
    </row>
    <row r="2527" spans="1:20" x14ac:dyDescent="0.3">
      <c r="A2527" s="112">
        <f ca="1">IFERROR(__xludf.DUMMYFUNCTION("""COMPUTED_VALUE"""),43992.7055555555)</f>
        <v>43992.705555555498</v>
      </c>
      <c r="B2527" s="111">
        <f ca="1">IFERROR(__xludf.DUMMYFUNCTION("""COMPUTED_VALUE"""),29.77)</f>
        <v>29.77</v>
      </c>
      <c r="C2527" s="112">
        <f ca="1">IFERROR(__xludf.DUMMYFUNCTION("""COMPUTED_VALUE"""),44004.7055555555)</f>
        <v>44004.705555555498</v>
      </c>
      <c r="D2527" s="111">
        <f ca="1">IFERROR(__xludf.DUMMYFUNCTION("""COMPUTED_VALUE"""),27.22)</f>
        <v>27.22</v>
      </c>
      <c r="E2527" s="112">
        <f ca="1">IFERROR(__xludf.DUMMYFUNCTION("""COMPUTED_VALUE"""),44005.7055555555)</f>
        <v>44005.705555555498</v>
      </c>
      <c r="F2527" s="111">
        <f ca="1">IFERROR(__xludf.DUMMYFUNCTION("""COMPUTED_VALUE"""),9.58)</f>
        <v>9.58</v>
      </c>
      <c r="G2527" s="112">
        <f ca="1">IFERROR(__xludf.DUMMYFUNCTION("""COMPUTED_VALUE"""),44001.7055555555)</f>
        <v>44001.705555555498</v>
      </c>
      <c r="H2527" s="111">
        <f ca="1">IFERROR(__xludf.DUMMYFUNCTION("""COMPUTED_VALUE"""),21.47)</f>
        <v>21.47</v>
      </c>
      <c r="K2527" s="112">
        <f ca="1">IFERROR(__xludf.DUMMYFUNCTION("""COMPUTED_VALUE"""),44448.7055555555)</f>
        <v>44448.705555555498</v>
      </c>
      <c r="L2527" s="111">
        <f ca="1">IFERROR(__xludf.DUMMYFUNCTION("""COMPUTED_VALUE"""),18.85)</f>
        <v>18.850000000000001</v>
      </c>
      <c r="M2527" s="112">
        <f ca="1">IFERROR(__xludf.DUMMYFUNCTION("""COMPUTED_VALUE"""),43908.7055555555)</f>
        <v>43908.705555555498</v>
      </c>
      <c r="N2527" s="111">
        <f ca="1">IFERROR(__xludf.DUMMYFUNCTION("""COMPUTED_VALUE"""),17.1)</f>
        <v>17.100000000000001</v>
      </c>
      <c r="O2527" s="112">
        <f ca="1">IFERROR(__xludf.DUMMYFUNCTION("""COMPUTED_VALUE"""),43985.7055555555)</f>
        <v>43985.705555555498</v>
      </c>
      <c r="P2527" s="111">
        <f ca="1">IFERROR(__xludf.DUMMYFUNCTION("""COMPUTED_VALUE"""),53.66)</f>
        <v>53.66</v>
      </c>
      <c r="Q2527" s="112">
        <f ca="1">IFERROR(__xludf.DUMMYFUNCTION("""COMPUTED_VALUE"""),43984.7055555555)</f>
        <v>43984.705555555498</v>
      </c>
      <c r="R2527" s="111">
        <f ca="1">IFERROR(__xludf.DUMMYFUNCTION("""COMPUTED_VALUE"""),32.82)</f>
        <v>32.82</v>
      </c>
      <c r="S2527" s="112">
        <f ca="1">IFERROR(__xludf.DUMMYFUNCTION("""COMPUTED_VALUE"""),43999.7055555555)</f>
        <v>43999.705555555498</v>
      </c>
      <c r="T2527" s="111">
        <f ca="1">IFERROR(__xludf.DUMMYFUNCTION("""COMPUTED_VALUE"""),39.45)</f>
        <v>39.450000000000003</v>
      </c>
    </row>
    <row r="2528" spans="1:20" x14ac:dyDescent="0.3">
      <c r="A2528" s="112">
        <f ca="1">IFERROR(__xludf.DUMMYFUNCTION("""COMPUTED_VALUE"""),43994.7055555555)</f>
        <v>43994.705555555498</v>
      </c>
      <c r="B2528" s="111">
        <f ca="1">IFERROR(__xludf.DUMMYFUNCTION("""COMPUTED_VALUE"""),29.62)</f>
        <v>29.62</v>
      </c>
      <c r="C2528" s="112">
        <f ca="1">IFERROR(__xludf.DUMMYFUNCTION("""COMPUTED_VALUE"""),44005.7055555555)</f>
        <v>44005.705555555498</v>
      </c>
      <c r="D2528" s="111">
        <f ca="1">IFERROR(__xludf.DUMMYFUNCTION("""COMPUTED_VALUE"""),26.86)</f>
        <v>26.86</v>
      </c>
      <c r="E2528" s="112">
        <f ca="1">IFERROR(__xludf.DUMMYFUNCTION("""COMPUTED_VALUE"""),44006.7055555555)</f>
        <v>44006.705555555498</v>
      </c>
      <c r="F2528" s="111">
        <f ca="1">IFERROR(__xludf.DUMMYFUNCTION("""COMPUTED_VALUE"""),9.3)</f>
        <v>9.3000000000000007</v>
      </c>
      <c r="G2528" s="112">
        <f ca="1">IFERROR(__xludf.DUMMYFUNCTION("""COMPUTED_VALUE"""),44004.7055555555)</f>
        <v>44004.705555555498</v>
      </c>
      <c r="H2528" s="111">
        <f ca="1">IFERROR(__xludf.DUMMYFUNCTION("""COMPUTED_VALUE"""),20.95)</f>
        <v>20.95</v>
      </c>
      <c r="K2528" s="112">
        <f ca="1">IFERROR(__xludf.DUMMYFUNCTION("""COMPUTED_VALUE"""),44449.7055555555)</f>
        <v>44449.705555555498</v>
      </c>
      <c r="L2528" s="111">
        <f ca="1">IFERROR(__xludf.DUMMYFUNCTION("""COMPUTED_VALUE"""),17.18)</f>
        <v>17.18</v>
      </c>
      <c r="M2528" s="112">
        <f ca="1">IFERROR(__xludf.DUMMYFUNCTION("""COMPUTED_VALUE"""),43909.7055555555)</f>
        <v>43909.705555555498</v>
      </c>
      <c r="N2528" s="111">
        <f ca="1">IFERROR(__xludf.DUMMYFUNCTION("""COMPUTED_VALUE"""),17.15)</f>
        <v>17.149999999999999</v>
      </c>
      <c r="O2528" s="112">
        <f ca="1">IFERROR(__xludf.DUMMYFUNCTION("""COMPUTED_VALUE"""),43986.7055555555)</f>
        <v>43986.705555555498</v>
      </c>
      <c r="P2528" s="111">
        <f ca="1">IFERROR(__xludf.DUMMYFUNCTION("""COMPUTED_VALUE"""),55.66)</f>
        <v>55.66</v>
      </c>
      <c r="Q2528" s="112">
        <f ca="1">IFERROR(__xludf.DUMMYFUNCTION("""COMPUTED_VALUE"""),43985.7055555555)</f>
        <v>43985.705555555498</v>
      </c>
      <c r="R2528" s="111">
        <f ca="1">IFERROR(__xludf.DUMMYFUNCTION("""COMPUTED_VALUE"""),34.75)</f>
        <v>34.75</v>
      </c>
      <c r="S2528" s="112">
        <f ca="1">IFERROR(__xludf.DUMMYFUNCTION("""COMPUTED_VALUE"""),44000.7055555555)</f>
        <v>44000.705555555498</v>
      </c>
      <c r="T2528" s="111">
        <f ca="1">IFERROR(__xludf.DUMMYFUNCTION("""COMPUTED_VALUE"""),39.13)</f>
        <v>39.130000000000003</v>
      </c>
    </row>
    <row r="2529" spans="1:20" x14ac:dyDescent="0.3">
      <c r="A2529" s="112">
        <f ca="1">IFERROR(__xludf.DUMMYFUNCTION("""COMPUTED_VALUE"""),43997.7055555555)</f>
        <v>43997.705555555498</v>
      </c>
      <c r="B2529" s="111">
        <f ca="1">IFERROR(__xludf.DUMMYFUNCTION("""COMPUTED_VALUE"""),28.55)</f>
        <v>28.55</v>
      </c>
      <c r="C2529" s="112">
        <f ca="1">IFERROR(__xludf.DUMMYFUNCTION("""COMPUTED_VALUE"""),44006.7055555555)</f>
        <v>44006.705555555498</v>
      </c>
      <c r="D2529" s="111">
        <f ca="1">IFERROR(__xludf.DUMMYFUNCTION("""COMPUTED_VALUE"""),25.84)</f>
        <v>25.84</v>
      </c>
      <c r="E2529" s="112">
        <f ca="1">IFERROR(__xludf.DUMMYFUNCTION("""COMPUTED_VALUE"""),44007.7055555555)</f>
        <v>44007.705555555498</v>
      </c>
      <c r="F2529" s="111">
        <f ca="1">IFERROR(__xludf.DUMMYFUNCTION("""COMPUTED_VALUE"""),9.49)</f>
        <v>9.49</v>
      </c>
      <c r="G2529" s="112">
        <f ca="1">IFERROR(__xludf.DUMMYFUNCTION("""COMPUTED_VALUE"""),44005.7055555555)</f>
        <v>44005.705555555498</v>
      </c>
      <c r="H2529" s="111">
        <f ca="1">IFERROR(__xludf.DUMMYFUNCTION("""COMPUTED_VALUE"""),21.65)</f>
        <v>21.65</v>
      </c>
      <c r="K2529" s="112">
        <f ca="1">IFERROR(__xludf.DUMMYFUNCTION("""COMPUTED_VALUE"""),44452.7055555555)</f>
        <v>44452.705555555498</v>
      </c>
      <c r="L2529" s="111">
        <f ca="1">IFERROR(__xludf.DUMMYFUNCTION("""COMPUTED_VALUE"""),17.44)</f>
        <v>17.440000000000001</v>
      </c>
      <c r="M2529" s="112">
        <f ca="1">IFERROR(__xludf.DUMMYFUNCTION("""COMPUTED_VALUE"""),43910.7055555555)</f>
        <v>43910.705555555498</v>
      </c>
      <c r="N2529" s="111">
        <f ca="1">IFERROR(__xludf.DUMMYFUNCTION("""COMPUTED_VALUE"""),15.9)</f>
        <v>15.9</v>
      </c>
      <c r="O2529" s="112">
        <f ca="1">IFERROR(__xludf.DUMMYFUNCTION("""COMPUTED_VALUE"""),43987.7055555555)</f>
        <v>43987.705555555498</v>
      </c>
      <c r="P2529" s="111">
        <f ca="1">IFERROR(__xludf.DUMMYFUNCTION("""COMPUTED_VALUE"""),54.61)</f>
        <v>54.61</v>
      </c>
      <c r="Q2529" s="112">
        <f ca="1">IFERROR(__xludf.DUMMYFUNCTION("""COMPUTED_VALUE"""),43986.7055555555)</f>
        <v>43986.705555555498</v>
      </c>
      <c r="R2529" s="111">
        <f ca="1">IFERROR(__xludf.DUMMYFUNCTION("""COMPUTED_VALUE"""),34.94)</f>
        <v>34.94</v>
      </c>
      <c r="S2529" s="112">
        <f ca="1">IFERROR(__xludf.DUMMYFUNCTION("""COMPUTED_VALUE"""),44001.7055555555)</f>
        <v>44001.705555555498</v>
      </c>
      <c r="T2529" s="111">
        <f ca="1">IFERROR(__xludf.DUMMYFUNCTION("""COMPUTED_VALUE"""),39.92)</f>
        <v>39.92</v>
      </c>
    </row>
    <row r="2530" spans="1:20" x14ac:dyDescent="0.3">
      <c r="A2530" s="112">
        <f ca="1">IFERROR(__xludf.DUMMYFUNCTION("""COMPUTED_VALUE"""),43998.7055555555)</f>
        <v>43998.705555555498</v>
      </c>
      <c r="B2530" s="111">
        <f ca="1">IFERROR(__xludf.DUMMYFUNCTION("""COMPUTED_VALUE"""),28.51)</f>
        <v>28.51</v>
      </c>
      <c r="C2530" s="112">
        <f ca="1">IFERROR(__xludf.DUMMYFUNCTION("""COMPUTED_VALUE"""),44007.7055555555)</f>
        <v>44007.705555555498</v>
      </c>
      <c r="D2530" s="111">
        <f ca="1">IFERROR(__xludf.DUMMYFUNCTION("""COMPUTED_VALUE"""),26.15)</f>
        <v>26.15</v>
      </c>
      <c r="E2530" s="112">
        <f ca="1">IFERROR(__xludf.DUMMYFUNCTION("""COMPUTED_VALUE"""),44008.7055555555)</f>
        <v>44008.705555555498</v>
      </c>
      <c r="F2530" s="111">
        <f ca="1">IFERROR(__xludf.DUMMYFUNCTION("""COMPUTED_VALUE"""),9.2)</f>
        <v>9.1999999999999993</v>
      </c>
      <c r="G2530" s="112">
        <f ca="1">IFERROR(__xludf.DUMMYFUNCTION("""COMPUTED_VALUE"""),44006.7055555555)</f>
        <v>44006.705555555498</v>
      </c>
      <c r="H2530" s="111">
        <f ca="1">IFERROR(__xludf.DUMMYFUNCTION("""COMPUTED_VALUE"""),21)</f>
        <v>21</v>
      </c>
      <c r="K2530" s="112">
        <f ca="1">IFERROR(__xludf.DUMMYFUNCTION("""COMPUTED_VALUE"""),44453.7055555555)</f>
        <v>44453.705555555498</v>
      </c>
      <c r="L2530" s="111">
        <f ca="1">IFERROR(__xludf.DUMMYFUNCTION("""COMPUTED_VALUE"""),17.03)</f>
        <v>17.03</v>
      </c>
      <c r="M2530" s="112">
        <f ca="1">IFERROR(__xludf.DUMMYFUNCTION("""COMPUTED_VALUE"""),43913.7055555555)</f>
        <v>43913.705555555498</v>
      </c>
      <c r="N2530" s="111">
        <f ca="1">IFERROR(__xludf.DUMMYFUNCTION("""COMPUTED_VALUE"""),14.6)</f>
        <v>14.6</v>
      </c>
      <c r="O2530" s="112">
        <f ca="1">IFERROR(__xludf.DUMMYFUNCTION("""COMPUTED_VALUE"""),43990.7055555555)</f>
        <v>43990.705555555498</v>
      </c>
      <c r="P2530" s="111">
        <f ca="1">IFERROR(__xludf.DUMMYFUNCTION("""COMPUTED_VALUE"""),54.78)</f>
        <v>54.78</v>
      </c>
      <c r="Q2530" s="112">
        <f ca="1">IFERROR(__xludf.DUMMYFUNCTION("""COMPUTED_VALUE"""),43987.7055555555)</f>
        <v>43987.705555555498</v>
      </c>
      <c r="R2530" s="111">
        <f ca="1">IFERROR(__xludf.DUMMYFUNCTION("""COMPUTED_VALUE"""),35.2)</f>
        <v>35.200000000000003</v>
      </c>
      <c r="S2530" s="112">
        <f ca="1">IFERROR(__xludf.DUMMYFUNCTION("""COMPUTED_VALUE"""),44004.7055555555)</f>
        <v>44004.705555555498</v>
      </c>
      <c r="T2530" s="111">
        <f ca="1">IFERROR(__xludf.DUMMYFUNCTION("""COMPUTED_VALUE"""),39.04)</f>
        <v>39.04</v>
      </c>
    </row>
    <row r="2531" spans="1:20" x14ac:dyDescent="0.3">
      <c r="A2531" s="112">
        <f ca="1">IFERROR(__xludf.DUMMYFUNCTION("""COMPUTED_VALUE"""),43999.7055555555)</f>
        <v>43999.705555555498</v>
      </c>
      <c r="B2531" s="111">
        <f ca="1">IFERROR(__xludf.DUMMYFUNCTION("""COMPUTED_VALUE"""),31.36)</f>
        <v>31.36</v>
      </c>
      <c r="C2531" s="112">
        <f ca="1">IFERROR(__xludf.DUMMYFUNCTION("""COMPUTED_VALUE"""),44008.7055555555)</f>
        <v>44008.705555555498</v>
      </c>
      <c r="D2531" s="111">
        <f ca="1">IFERROR(__xludf.DUMMYFUNCTION("""COMPUTED_VALUE"""),25.71)</f>
        <v>25.71</v>
      </c>
      <c r="E2531" s="112">
        <f ca="1">IFERROR(__xludf.DUMMYFUNCTION("""COMPUTED_VALUE"""),44011.7055555555)</f>
        <v>44011.705555555498</v>
      </c>
      <c r="F2531" s="111">
        <f ca="1">IFERROR(__xludf.DUMMYFUNCTION("""COMPUTED_VALUE"""),9.42)</f>
        <v>9.42</v>
      </c>
      <c r="G2531" s="112">
        <f ca="1">IFERROR(__xludf.DUMMYFUNCTION("""COMPUTED_VALUE"""),44007.7055555555)</f>
        <v>44007.705555555498</v>
      </c>
      <c r="H2531" s="111">
        <f ca="1">IFERROR(__xludf.DUMMYFUNCTION("""COMPUTED_VALUE"""),21.47)</f>
        <v>21.47</v>
      </c>
      <c r="K2531" s="112">
        <f ca="1">IFERROR(__xludf.DUMMYFUNCTION("""COMPUTED_VALUE"""),44454.7055555555)</f>
        <v>44454.705555555498</v>
      </c>
      <c r="L2531" s="111">
        <f ca="1">IFERROR(__xludf.DUMMYFUNCTION("""COMPUTED_VALUE"""),16.62)</f>
        <v>16.62</v>
      </c>
      <c r="M2531" s="112">
        <f ca="1">IFERROR(__xludf.DUMMYFUNCTION("""COMPUTED_VALUE"""),43914.7055555555)</f>
        <v>43914.705555555498</v>
      </c>
      <c r="N2531" s="111">
        <f ca="1">IFERROR(__xludf.DUMMYFUNCTION("""COMPUTED_VALUE"""),16.8)</f>
        <v>16.8</v>
      </c>
      <c r="O2531" s="112">
        <f ca="1">IFERROR(__xludf.DUMMYFUNCTION("""COMPUTED_VALUE"""),43991.7055555555)</f>
        <v>43991.705555555498</v>
      </c>
      <c r="P2531" s="111">
        <f ca="1">IFERROR(__xludf.DUMMYFUNCTION("""COMPUTED_VALUE"""),54.99)</f>
        <v>54.99</v>
      </c>
      <c r="Q2531" s="112">
        <f ca="1">IFERROR(__xludf.DUMMYFUNCTION("""COMPUTED_VALUE"""),43990.7055555555)</f>
        <v>43990.705555555498</v>
      </c>
      <c r="R2531" s="111">
        <f ca="1">IFERROR(__xludf.DUMMYFUNCTION("""COMPUTED_VALUE"""),36.39)</f>
        <v>36.39</v>
      </c>
      <c r="S2531" s="112">
        <f ca="1">IFERROR(__xludf.DUMMYFUNCTION("""COMPUTED_VALUE"""),44005.7055555555)</f>
        <v>44005.705555555498</v>
      </c>
      <c r="T2531" s="111">
        <f ca="1">IFERROR(__xludf.DUMMYFUNCTION("""COMPUTED_VALUE"""),38.06)</f>
        <v>38.06</v>
      </c>
    </row>
    <row r="2532" spans="1:20" x14ac:dyDescent="0.3">
      <c r="A2532" s="112">
        <f ca="1">IFERROR(__xludf.DUMMYFUNCTION("""COMPUTED_VALUE"""),44000.7055555555)</f>
        <v>44000.705555555498</v>
      </c>
      <c r="B2532" s="111">
        <f ca="1">IFERROR(__xludf.DUMMYFUNCTION("""COMPUTED_VALUE"""),30.56)</f>
        <v>30.56</v>
      </c>
      <c r="C2532" s="112">
        <f ca="1">IFERROR(__xludf.DUMMYFUNCTION("""COMPUTED_VALUE"""),44011.7055555555)</f>
        <v>44011.705555555498</v>
      </c>
      <c r="D2532" s="111">
        <f ca="1">IFERROR(__xludf.DUMMYFUNCTION("""COMPUTED_VALUE"""),26.48)</f>
        <v>26.48</v>
      </c>
      <c r="E2532" s="112">
        <f ca="1">IFERROR(__xludf.DUMMYFUNCTION("""COMPUTED_VALUE"""),44012.7055555555)</f>
        <v>44012.705555555498</v>
      </c>
      <c r="F2532" s="111">
        <f ca="1">IFERROR(__xludf.DUMMYFUNCTION("""COMPUTED_VALUE"""),9.13)</f>
        <v>9.1300000000000008</v>
      </c>
      <c r="G2532" s="112">
        <f ca="1">IFERROR(__xludf.DUMMYFUNCTION("""COMPUTED_VALUE"""),44008.7055555555)</f>
        <v>44008.705555555498</v>
      </c>
      <c r="H2532" s="111">
        <f ca="1">IFERROR(__xludf.DUMMYFUNCTION("""COMPUTED_VALUE"""),20.84)</f>
        <v>20.84</v>
      </c>
      <c r="K2532" s="112">
        <f ca="1">IFERROR(__xludf.DUMMYFUNCTION("""COMPUTED_VALUE"""),44455.7055555555)</f>
        <v>44455.705555555498</v>
      </c>
      <c r="L2532" s="111">
        <f ca="1">IFERROR(__xludf.DUMMYFUNCTION("""COMPUTED_VALUE"""),16.37)</f>
        <v>16.37</v>
      </c>
      <c r="M2532" s="112">
        <f ca="1">IFERROR(__xludf.DUMMYFUNCTION("""COMPUTED_VALUE"""),43915.7055555555)</f>
        <v>43915.705555555498</v>
      </c>
      <c r="N2532" s="111">
        <f ca="1">IFERROR(__xludf.DUMMYFUNCTION("""COMPUTED_VALUE"""),18.06)</f>
        <v>18.059999999999999</v>
      </c>
      <c r="O2532" s="112">
        <f ca="1">IFERROR(__xludf.DUMMYFUNCTION("""COMPUTED_VALUE"""),43992.7055555555)</f>
        <v>43992.705555555498</v>
      </c>
      <c r="P2532" s="111">
        <f ca="1">IFERROR(__xludf.DUMMYFUNCTION("""COMPUTED_VALUE"""),54.2)</f>
        <v>54.2</v>
      </c>
      <c r="Q2532" s="112">
        <f ca="1">IFERROR(__xludf.DUMMYFUNCTION("""COMPUTED_VALUE"""),43991.7055555555)</f>
        <v>43991.705555555498</v>
      </c>
      <c r="R2532" s="111">
        <f ca="1">IFERROR(__xludf.DUMMYFUNCTION("""COMPUTED_VALUE"""),35.79)</f>
        <v>35.79</v>
      </c>
      <c r="S2532" s="112">
        <f ca="1">IFERROR(__xludf.DUMMYFUNCTION("""COMPUTED_VALUE"""),44006.7055555555)</f>
        <v>44006.705555555498</v>
      </c>
      <c r="T2532" s="111">
        <f ca="1">IFERROR(__xludf.DUMMYFUNCTION("""COMPUTED_VALUE"""),37.32)</f>
        <v>37.32</v>
      </c>
    </row>
    <row r="2533" spans="1:20" x14ac:dyDescent="0.3">
      <c r="A2533" s="112">
        <f ca="1">IFERROR(__xludf.DUMMYFUNCTION("""COMPUTED_VALUE"""),44001.7055555555)</f>
        <v>44001.705555555498</v>
      </c>
      <c r="B2533" s="111">
        <f ca="1">IFERROR(__xludf.DUMMYFUNCTION("""COMPUTED_VALUE"""),30.46)</f>
        <v>30.46</v>
      </c>
      <c r="C2533" s="112">
        <f ca="1">IFERROR(__xludf.DUMMYFUNCTION("""COMPUTED_VALUE"""),44012.7055555555)</f>
        <v>44012.705555555498</v>
      </c>
      <c r="D2533" s="111">
        <f ca="1">IFERROR(__xludf.DUMMYFUNCTION("""COMPUTED_VALUE"""),25.45)</f>
        <v>25.45</v>
      </c>
      <c r="E2533" s="112">
        <f ca="1">IFERROR(__xludf.DUMMYFUNCTION("""COMPUTED_VALUE"""),44013.7055555555)</f>
        <v>44013.705555555498</v>
      </c>
      <c r="F2533" s="111">
        <f ca="1">IFERROR(__xludf.DUMMYFUNCTION("""COMPUTED_VALUE"""),9.32)</f>
        <v>9.32</v>
      </c>
      <c r="G2533" s="112">
        <f ca="1">IFERROR(__xludf.DUMMYFUNCTION("""COMPUTED_VALUE"""),44011.7055555555)</f>
        <v>44011.705555555498</v>
      </c>
      <c r="H2533" s="111">
        <f ca="1">IFERROR(__xludf.DUMMYFUNCTION("""COMPUTED_VALUE"""),21.66)</f>
        <v>21.66</v>
      </c>
      <c r="K2533" s="112">
        <f ca="1">IFERROR(__xludf.DUMMYFUNCTION("""COMPUTED_VALUE"""),44456.7055555555)</f>
        <v>44456.705555555498</v>
      </c>
      <c r="L2533" s="111">
        <f ca="1">IFERROR(__xludf.DUMMYFUNCTION("""COMPUTED_VALUE"""),16.57)</f>
        <v>16.57</v>
      </c>
      <c r="M2533" s="112">
        <f ca="1">IFERROR(__xludf.DUMMYFUNCTION("""COMPUTED_VALUE"""),43916.7055555555)</f>
        <v>43916.705555555498</v>
      </c>
      <c r="N2533" s="111">
        <f ca="1">IFERROR(__xludf.DUMMYFUNCTION("""COMPUTED_VALUE"""),18.44)</f>
        <v>18.440000000000001</v>
      </c>
      <c r="O2533" s="112">
        <f ca="1">IFERROR(__xludf.DUMMYFUNCTION("""COMPUTED_VALUE"""),43994.7055555555)</f>
        <v>43994.705555555498</v>
      </c>
      <c r="P2533" s="111">
        <f ca="1">IFERROR(__xludf.DUMMYFUNCTION("""COMPUTED_VALUE"""),53.4)</f>
        <v>53.4</v>
      </c>
      <c r="Q2533" s="112">
        <f ca="1">IFERROR(__xludf.DUMMYFUNCTION("""COMPUTED_VALUE"""),43992.7055555555)</f>
        <v>43992.705555555498</v>
      </c>
      <c r="R2533" s="111">
        <f ca="1">IFERROR(__xludf.DUMMYFUNCTION("""COMPUTED_VALUE"""),34.21)</f>
        <v>34.21</v>
      </c>
      <c r="S2533" s="112">
        <f ca="1">IFERROR(__xludf.DUMMYFUNCTION("""COMPUTED_VALUE"""),44007.7055555555)</f>
        <v>44007.705555555498</v>
      </c>
      <c r="T2533" s="111">
        <f ca="1">IFERROR(__xludf.DUMMYFUNCTION("""COMPUTED_VALUE"""),37.1)</f>
        <v>37.1</v>
      </c>
    </row>
    <row r="2534" spans="1:20" x14ac:dyDescent="0.3">
      <c r="A2534" s="112">
        <f ca="1">IFERROR(__xludf.DUMMYFUNCTION("""COMPUTED_VALUE"""),44004.7055555555)</f>
        <v>44004.705555555498</v>
      </c>
      <c r="B2534" s="111">
        <f ca="1">IFERROR(__xludf.DUMMYFUNCTION("""COMPUTED_VALUE"""),30.37)</f>
        <v>30.37</v>
      </c>
      <c r="C2534" s="112">
        <f ca="1">IFERROR(__xludf.DUMMYFUNCTION("""COMPUTED_VALUE"""),44013.7055555555)</f>
        <v>44013.705555555498</v>
      </c>
      <c r="D2534" s="111">
        <f ca="1">IFERROR(__xludf.DUMMYFUNCTION("""COMPUTED_VALUE"""),26.1)</f>
        <v>26.1</v>
      </c>
      <c r="E2534" s="112">
        <f ca="1">IFERROR(__xludf.DUMMYFUNCTION("""COMPUTED_VALUE"""),44014.7055555555)</f>
        <v>44014.705555555498</v>
      </c>
      <c r="F2534" s="111">
        <f ca="1">IFERROR(__xludf.DUMMYFUNCTION("""COMPUTED_VALUE"""),9.48)</f>
        <v>9.48</v>
      </c>
      <c r="G2534" s="112">
        <f ca="1">IFERROR(__xludf.DUMMYFUNCTION("""COMPUTED_VALUE"""),44012.7055555555)</f>
        <v>44012.705555555498</v>
      </c>
      <c r="H2534" s="111">
        <f ca="1">IFERROR(__xludf.DUMMYFUNCTION("""COMPUTED_VALUE"""),21.55)</f>
        <v>21.55</v>
      </c>
      <c r="K2534" s="112">
        <f ca="1">IFERROR(__xludf.DUMMYFUNCTION("""COMPUTED_VALUE"""),44459.7055555555)</f>
        <v>44459.705555555498</v>
      </c>
      <c r="L2534" s="111">
        <f ca="1">IFERROR(__xludf.DUMMYFUNCTION("""COMPUTED_VALUE"""),16.05)</f>
        <v>16.05</v>
      </c>
      <c r="M2534" s="112">
        <f ca="1">IFERROR(__xludf.DUMMYFUNCTION("""COMPUTED_VALUE"""),43917.7055555555)</f>
        <v>43917.705555555498</v>
      </c>
      <c r="N2534" s="111">
        <f ca="1">IFERROR(__xludf.DUMMYFUNCTION("""COMPUTED_VALUE"""),17.24)</f>
        <v>17.239999999999998</v>
      </c>
      <c r="O2534" s="112">
        <f ca="1">IFERROR(__xludf.DUMMYFUNCTION("""COMPUTED_VALUE"""),43997.7055555555)</f>
        <v>43997.705555555498</v>
      </c>
      <c r="P2534" s="111">
        <f ca="1">IFERROR(__xludf.DUMMYFUNCTION("""COMPUTED_VALUE"""),53.88)</f>
        <v>53.88</v>
      </c>
      <c r="Q2534" s="112">
        <f ca="1">IFERROR(__xludf.DUMMYFUNCTION("""COMPUTED_VALUE"""),43994.7055555555)</f>
        <v>43994.705555555498</v>
      </c>
      <c r="R2534" s="111">
        <f ca="1">IFERROR(__xludf.DUMMYFUNCTION("""COMPUTED_VALUE"""),33.35)</f>
        <v>33.35</v>
      </c>
      <c r="S2534" s="112">
        <f ca="1">IFERROR(__xludf.DUMMYFUNCTION("""COMPUTED_VALUE"""),44008.7055555555)</f>
        <v>44008.705555555498</v>
      </c>
      <c r="T2534" s="111">
        <f ca="1">IFERROR(__xludf.DUMMYFUNCTION("""COMPUTED_VALUE"""),36.91)</f>
        <v>36.909999999999997</v>
      </c>
    </row>
    <row r="2535" spans="1:20" x14ac:dyDescent="0.3">
      <c r="A2535" s="112">
        <f ca="1">IFERROR(__xludf.DUMMYFUNCTION("""COMPUTED_VALUE"""),44005.7055555555)</f>
        <v>44005.705555555498</v>
      </c>
      <c r="B2535" s="111">
        <f ca="1">IFERROR(__xludf.DUMMYFUNCTION("""COMPUTED_VALUE"""),29.89)</f>
        <v>29.89</v>
      </c>
      <c r="C2535" s="112">
        <f ca="1">IFERROR(__xludf.DUMMYFUNCTION("""COMPUTED_VALUE"""),44014.7055555555)</f>
        <v>44014.705555555498</v>
      </c>
      <c r="D2535" s="111">
        <f ca="1">IFERROR(__xludf.DUMMYFUNCTION("""COMPUTED_VALUE"""),26.55)</f>
        <v>26.55</v>
      </c>
      <c r="E2535" s="112">
        <f ca="1">IFERROR(__xludf.DUMMYFUNCTION("""COMPUTED_VALUE"""),44015.7055555555)</f>
        <v>44015.705555555498</v>
      </c>
      <c r="F2535" s="111">
        <f ca="1">IFERROR(__xludf.DUMMYFUNCTION("""COMPUTED_VALUE"""),9.5)</f>
        <v>9.5</v>
      </c>
      <c r="G2535" s="112">
        <f ca="1">IFERROR(__xludf.DUMMYFUNCTION("""COMPUTED_VALUE"""),44013.7055555555)</f>
        <v>44013.705555555498</v>
      </c>
      <c r="H2535" s="111">
        <f ca="1">IFERROR(__xludf.DUMMYFUNCTION("""COMPUTED_VALUE"""),21.71)</f>
        <v>21.71</v>
      </c>
      <c r="K2535" s="112">
        <f ca="1">IFERROR(__xludf.DUMMYFUNCTION("""COMPUTED_VALUE"""),44460.7055555555)</f>
        <v>44460.705555555498</v>
      </c>
      <c r="L2535" s="111">
        <f ca="1">IFERROR(__xludf.DUMMYFUNCTION("""COMPUTED_VALUE"""),16.39)</f>
        <v>16.39</v>
      </c>
      <c r="M2535" s="112">
        <f ca="1">IFERROR(__xludf.DUMMYFUNCTION("""COMPUTED_VALUE"""),43920.7055555555)</f>
        <v>43920.705555555498</v>
      </c>
      <c r="N2535" s="111">
        <f ca="1">IFERROR(__xludf.DUMMYFUNCTION("""COMPUTED_VALUE"""),17.78)</f>
        <v>17.78</v>
      </c>
      <c r="O2535" s="112">
        <f ca="1">IFERROR(__xludf.DUMMYFUNCTION("""COMPUTED_VALUE"""),43998.7055555555)</f>
        <v>43998.705555555498</v>
      </c>
      <c r="P2535" s="111">
        <f ca="1">IFERROR(__xludf.DUMMYFUNCTION("""COMPUTED_VALUE"""),55.39)</f>
        <v>55.39</v>
      </c>
      <c r="Q2535" s="112">
        <f ca="1">IFERROR(__xludf.DUMMYFUNCTION("""COMPUTED_VALUE"""),43997.7055555555)</f>
        <v>43997.705555555498</v>
      </c>
      <c r="R2535" s="111">
        <f ca="1">IFERROR(__xludf.DUMMYFUNCTION("""COMPUTED_VALUE"""),33.07)</f>
        <v>33.07</v>
      </c>
      <c r="S2535" s="112">
        <f ca="1">IFERROR(__xludf.DUMMYFUNCTION("""COMPUTED_VALUE"""),44011.7055555555)</f>
        <v>44011.705555555498</v>
      </c>
      <c r="T2535" s="111">
        <f ca="1">IFERROR(__xludf.DUMMYFUNCTION("""COMPUTED_VALUE"""),37.45)</f>
        <v>37.450000000000003</v>
      </c>
    </row>
    <row r="2536" spans="1:20" x14ac:dyDescent="0.3">
      <c r="A2536" s="112">
        <f ca="1">IFERROR(__xludf.DUMMYFUNCTION("""COMPUTED_VALUE"""),44006.7055555555)</f>
        <v>44006.705555555498</v>
      </c>
      <c r="B2536" s="111">
        <f ca="1">IFERROR(__xludf.DUMMYFUNCTION("""COMPUTED_VALUE"""),29.12)</f>
        <v>29.12</v>
      </c>
      <c r="C2536" s="112">
        <f ca="1">IFERROR(__xludf.DUMMYFUNCTION("""COMPUTED_VALUE"""),44015.7055555555)</f>
        <v>44015.705555555498</v>
      </c>
      <c r="D2536" s="111">
        <f ca="1">IFERROR(__xludf.DUMMYFUNCTION("""COMPUTED_VALUE"""),26.5)</f>
        <v>26.5</v>
      </c>
      <c r="E2536" s="112">
        <f ca="1">IFERROR(__xludf.DUMMYFUNCTION("""COMPUTED_VALUE"""),44018.7055555555)</f>
        <v>44018.705555555498</v>
      </c>
      <c r="F2536" s="111">
        <f ca="1">IFERROR(__xludf.DUMMYFUNCTION("""COMPUTED_VALUE"""),9.87)</f>
        <v>9.8699999999999992</v>
      </c>
      <c r="G2536" s="112">
        <f ca="1">IFERROR(__xludf.DUMMYFUNCTION("""COMPUTED_VALUE"""),44014.7055555555)</f>
        <v>44014.705555555498</v>
      </c>
      <c r="H2536" s="111">
        <f ca="1">IFERROR(__xludf.DUMMYFUNCTION("""COMPUTED_VALUE"""),22.06)</f>
        <v>22.06</v>
      </c>
      <c r="K2536" s="112">
        <f ca="1">IFERROR(__xludf.DUMMYFUNCTION("""COMPUTED_VALUE"""),44461.7055555555)</f>
        <v>44461.705555555498</v>
      </c>
      <c r="L2536" s="111">
        <f ca="1">IFERROR(__xludf.DUMMYFUNCTION("""COMPUTED_VALUE"""),16.34)</f>
        <v>16.34</v>
      </c>
      <c r="M2536" s="112">
        <f ca="1">IFERROR(__xludf.DUMMYFUNCTION("""COMPUTED_VALUE"""),43921.7055555555)</f>
        <v>43921.705555555498</v>
      </c>
      <c r="N2536" s="111">
        <f ca="1">IFERROR(__xludf.DUMMYFUNCTION("""COMPUTED_VALUE"""),17.17)</f>
        <v>17.170000000000002</v>
      </c>
      <c r="O2536" s="112">
        <f ca="1">IFERROR(__xludf.DUMMYFUNCTION("""COMPUTED_VALUE"""),43999.7055555555)</f>
        <v>43999.705555555498</v>
      </c>
      <c r="P2536" s="111">
        <f ca="1">IFERROR(__xludf.DUMMYFUNCTION("""COMPUTED_VALUE"""),56.2)</f>
        <v>56.2</v>
      </c>
      <c r="Q2536" s="112">
        <f ca="1">IFERROR(__xludf.DUMMYFUNCTION("""COMPUTED_VALUE"""),43998.7055555555)</f>
        <v>43998.705555555498</v>
      </c>
      <c r="R2536" s="111">
        <f ca="1">IFERROR(__xludf.DUMMYFUNCTION("""COMPUTED_VALUE"""),33.5)</f>
        <v>33.5</v>
      </c>
      <c r="S2536" s="112">
        <f ca="1">IFERROR(__xludf.DUMMYFUNCTION("""COMPUTED_VALUE"""),44012.7055555555)</f>
        <v>44012.705555555498</v>
      </c>
      <c r="T2536" s="111">
        <f ca="1">IFERROR(__xludf.DUMMYFUNCTION("""COMPUTED_VALUE"""),38)</f>
        <v>38</v>
      </c>
    </row>
    <row r="2537" spans="1:20" x14ac:dyDescent="0.3">
      <c r="A2537" s="112">
        <f ca="1">IFERROR(__xludf.DUMMYFUNCTION("""COMPUTED_VALUE"""),44007.7055555555)</f>
        <v>44007.705555555498</v>
      </c>
      <c r="B2537" s="111">
        <f ca="1">IFERROR(__xludf.DUMMYFUNCTION("""COMPUTED_VALUE"""),30.24)</f>
        <v>30.24</v>
      </c>
      <c r="C2537" s="112">
        <f ca="1">IFERROR(__xludf.DUMMYFUNCTION("""COMPUTED_VALUE"""),44018.7055555555)</f>
        <v>44018.705555555498</v>
      </c>
      <c r="D2537" s="111">
        <f ca="1">IFERROR(__xludf.DUMMYFUNCTION("""COMPUTED_VALUE"""),27.73)</f>
        <v>27.73</v>
      </c>
      <c r="E2537" s="112">
        <f ca="1">IFERROR(__xludf.DUMMYFUNCTION("""COMPUTED_VALUE"""),44019.7055555555)</f>
        <v>44019.705555555498</v>
      </c>
      <c r="F2537" s="111">
        <f ca="1">IFERROR(__xludf.DUMMYFUNCTION("""COMPUTED_VALUE"""),9.51)</f>
        <v>9.51</v>
      </c>
      <c r="G2537" s="112">
        <f ca="1">IFERROR(__xludf.DUMMYFUNCTION("""COMPUTED_VALUE"""),44015.7055555555)</f>
        <v>44015.705555555498</v>
      </c>
      <c r="H2537" s="111">
        <f ca="1">IFERROR(__xludf.DUMMYFUNCTION("""COMPUTED_VALUE"""),21.98)</f>
        <v>21.98</v>
      </c>
      <c r="K2537" s="112">
        <f ca="1">IFERROR(__xludf.DUMMYFUNCTION("""COMPUTED_VALUE"""),44462.7055555555)</f>
        <v>44462.705555555498</v>
      </c>
      <c r="L2537" s="111">
        <f ca="1">IFERROR(__xludf.DUMMYFUNCTION("""COMPUTED_VALUE"""),15.87)</f>
        <v>15.87</v>
      </c>
      <c r="M2537" s="112">
        <f ca="1">IFERROR(__xludf.DUMMYFUNCTION("""COMPUTED_VALUE"""),43922.7055555555)</f>
        <v>43922.705555555498</v>
      </c>
      <c r="N2537" s="111">
        <f ca="1">IFERROR(__xludf.DUMMYFUNCTION("""COMPUTED_VALUE"""),16.41)</f>
        <v>16.41</v>
      </c>
      <c r="O2537" s="112">
        <f ca="1">IFERROR(__xludf.DUMMYFUNCTION("""COMPUTED_VALUE"""),44000.7055555555)</f>
        <v>44000.705555555498</v>
      </c>
      <c r="P2537" s="111">
        <f ca="1">IFERROR(__xludf.DUMMYFUNCTION("""COMPUTED_VALUE"""),56.17)</f>
        <v>56.17</v>
      </c>
      <c r="Q2537" s="112">
        <f ca="1">IFERROR(__xludf.DUMMYFUNCTION("""COMPUTED_VALUE"""),43999.7055555555)</f>
        <v>43999.705555555498</v>
      </c>
      <c r="R2537" s="111">
        <f ca="1">IFERROR(__xludf.DUMMYFUNCTION("""COMPUTED_VALUE"""),34.5)</f>
        <v>34.5</v>
      </c>
      <c r="S2537" s="112">
        <f ca="1">IFERROR(__xludf.DUMMYFUNCTION("""COMPUTED_VALUE"""),44013.7055555555)</f>
        <v>44013.705555555498</v>
      </c>
      <c r="T2537" s="111">
        <f ca="1">IFERROR(__xludf.DUMMYFUNCTION("""COMPUTED_VALUE"""),37.66)</f>
        <v>37.659999999999997</v>
      </c>
    </row>
    <row r="2538" spans="1:20" x14ac:dyDescent="0.3">
      <c r="A2538" s="112">
        <f ca="1">IFERROR(__xludf.DUMMYFUNCTION("""COMPUTED_VALUE"""),44008.7055555555)</f>
        <v>44008.705555555498</v>
      </c>
      <c r="B2538" s="111">
        <f ca="1">IFERROR(__xludf.DUMMYFUNCTION("""COMPUTED_VALUE"""),29.96)</f>
        <v>29.96</v>
      </c>
      <c r="C2538" s="112">
        <f ca="1">IFERROR(__xludf.DUMMYFUNCTION("""COMPUTED_VALUE"""),44019.7055555555)</f>
        <v>44019.705555555498</v>
      </c>
      <c r="D2538" s="111">
        <f ca="1">IFERROR(__xludf.DUMMYFUNCTION("""COMPUTED_VALUE"""),26.37)</f>
        <v>26.37</v>
      </c>
      <c r="E2538" s="112">
        <f ca="1">IFERROR(__xludf.DUMMYFUNCTION("""COMPUTED_VALUE"""),44020.7055555555)</f>
        <v>44020.705555555498</v>
      </c>
      <c r="F2538" s="111">
        <f ca="1">IFERROR(__xludf.DUMMYFUNCTION("""COMPUTED_VALUE"""),9.69)</f>
        <v>9.69</v>
      </c>
      <c r="G2538" s="112">
        <f ca="1">IFERROR(__xludf.DUMMYFUNCTION("""COMPUTED_VALUE"""),44018.7055555555)</f>
        <v>44018.705555555498</v>
      </c>
      <c r="H2538" s="111">
        <f ca="1">IFERROR(__xludf.DUMMYFUNCTION("""COMPUTED_VALUE"""),22.51)</f>
        <v>22.51</v>
      </c>
      <c r="K2538" s="112">
        <f ca="1">IFERROR(__xludf.DUMMYFUNCTION("""COMPUTED_VALUE"""),44463.7055555555)</f>
        <v>44463.705555555498</v>
      </c>
      <c r="L2538" s="111">
        <f ca="1">IFERROR(__xludf.DUMMYFUNCTION("""COMPUTED_VALUE"""),15.63)</f>
        <v>15.63</v>
      </c>
      <c r="M2538" s="112">
        <f ca="1">IFERROR(__xludf.DUMMYFUNCTION("""COMPUTED_VALUE"""),43923.7055555555)</f>
        <v>43923.705555555498</v>
      </c>
      <c r="N2538" s="111">
        <f ca="1">IFERROR(__xludf.DUMMYFUNCTION("""COMPUTED_VALUE"""),16.49)</f>
        <v>16.489999999999998</v>
      </c>
      <c r="O2538" s="112">
        <f ca="1">IFERROR(__xludf.DUMMYFUNCTION("""COMPUTED_VALUE"""),44001.7055555555)</f>
        <v>44001.705555555498</v>
      </c>
      <c r="P2538" s="111">
        <f ca="1">IFERROR(__xludf.DUMMYFUNCTION("""COMPUTED_VALUE"""),55.17)</f>
        <v>55.17</v>
      </c>
      <c r="Q2538" s="112">
        <f ca="1">IFERROR(__xludf.DUMMYFUNCTION("""COMPUTED_VALUE"""),44000.7055555555)</f>
        <v>44000.705555555498</v>
      </c>
      <c r="R2538" s="111">
        <f ca="1">IFERROR(__xludf.DUMMYFUNCTION("""COMPUTED_VALUE"""),34.4)</f>
        <v>34.4</v>
      </c>
      <c r="S2538" s="112">
        <f ca="1">IFERROR(__xludf.DUMMYFUNCTION("""COMPUTED_VALUE"""),44014.7055555555)</f>
        <v>44014.705555555498</v>
      </c>
      <c r="T2538" s="111">
        <f ca="1">IFERROR(__xludf.DUMMYFUNCTION("""COMPUTED_VALUE"""),37.69)</f>
        <v>37.69</v>
      </c>
    </row>
    <row r="2539" spans="1:20" x14ac:dyDescent="0.3">
      <c r="A2539" s="112">
        <f ca="1">IFERROR(__xludf.DUMMYFUNCTION("""COMPUTED_VALUE"""),44011.7055555555)</f>
        <v>44011.705555555498</v>
      </c>
      <c r="B2539" s="111">
        <f ca="1">IFERROR(__xludf.DUMMYFUNCTION("""COMPUTED_VALUE"""),30.67)</f>
        <v>30.67</v>
      </c>
      <c r="C2539" s="112">
        <f ca="1">IFERROR(__xludf.DUMMYFUNCTION("""COMPUTED_VALUE"""),44020.7055555555)</f>
        <v>44020.705555555498</v>
      </c>
      <c r="D2539" s="111">
        <f ca="1">IFERROR(__xludf.DUMMYFUNCTION("""COMPUTED_VALUE"""),26.94)</f>
        <v>26.94</v>
      </c>
      <c r="E2539" s="112">
        <f ca="1">IFERROR(__xludf.DUMMYFUNCTION("""COMPUTED_VALUE"""),44022.7055555555)</f>
        <v>44022.705555555498</v>
      </c>
      <c r="F2539" s="111">
        <f ca="1">IFERROR(__xludf.DUMMYFUNCTION("""COMPUTED_VALUE"""),9.74)</f>
        <v>9.74</v>
      </c>
      <c r="G2539" s="112">
        <f ca="1">IFERROR(__xludf.DUMMYFUNCTION("""COMPUTED_VALUE"""),44019.7055555555)</f>
        <v>44019.705555555498</v>
      </c>
      <c r="H2539" s="111">
        <f ca="1">IFERROR(__xludf.DUMMYFUNCTION("""COMPUTED_VALUE"""),22.23)</f>
        <v>22.23</v>
      </c>
      <c r="K2539" s="112">
        <f ca="1">IFERROR(__xludf.DUMMYFUNCTION("""COMPUTED_VALUE"""),44466.7055555555)</f>
        <v>44466.705555555498</v>
      </c>
      <c r="L2539" s="111">
        <f ca="1">IFERROR(__xludf.DUMMYFUNCTION("""COMPUTED_VALUE"""),15.01)</f>
        <v>15.01</v>
      </c>
      <c r="M2539" s="112">
        <f ca="1">IFERROR(__xludf.DUMMYFUNCTION("""COMPUTED_VALUE"""),43924.7055555555)</f>
        <v>43924.705555555498</v>
      </c>
      <c r="N2539" s="111">
        <f ca="1">IFERROR(__xludf.DUMMYFUNCTION("""COMPUTED_VALUE"""),15.88)</f>
        <v>15.88</v>
      </c>
      <c r="O2539" s="112">
        <f ca="1">IFERROR(__xludf.DUMMYFUNCTION("""COMPUTED_VALUE"""),44004.7055555555)</f>
        <v>44004.705555555498</v>
      </c>
      <c r="P2539" s="111">
        <f ca="1">IFERROR(__xludf.DUMMYFUNCTION("""COMPUTED_VALUE"""),55)</f>
        <v>55</v>
      </c>
      <c r="Q2539" s="112">
        <f ca="1">IFERROR(__xludf.DUMMYFUNCTION("""COMPUTED_VALUE"""),44001.7055555555)</f>
        <v>44001.705555555498</v>
      </c>
      <c r="R2539" s="111">
        <f ca="1">IFERROR(__xludf.DUMMYFUNCTION("""COMPUTED_VALUE"""),33.94)</f>
        <v>33.94</v>
      </c>
      <c r="S2539" s="112">
        <f ca="1">IFERROR(__xludf.DUMMYFUNCTION("""COMPUTED_VALUE"""),44015.7055555555)</f>
        <v>44015.705555555498</v>
      </c>
      <c r="T2539" s="111">
        <f ca="1">IFERROR(__xludf.DUMMYFUNCTION("""COMPUTED_VALUE"""),37.27)</f>
        <v>37.270000000000003</v>
      </c>
    </row>
    <row r="2540" spans="1:20" x14ac:dyDescent="0.3">
      <c r="A2540" s="112">
        <f ca="1">IFERROR(__xludf.DUMMYFUNCTION("""COMPUTED_VALUE"""),44012.7055555555)</f>
        <v>44012.705555555498</v>
      </c>
      <c r="B2540" s="111">
        <f ca="1">IFERROR(__xludf.DUMMYFUNCTION("""COMPUTED_VALUE"""),30.67)</f>
        <v>30.67</v>
      </c>
      <c r="C2540" s="112">
        <f ca="1">IFERROR(__xludf.DUMMYFUNCTION("""COMPUTED_VALUE"""),44022.7055555555)</f>
        <v>44022.705555555498</v>
      </c>
      <c r="D2540" s="111">
        <f ca="1">IFERROR(__xludf.DUMMYFUNCTION("""COMPUTED_VALUE"""),27.2)</f>
        <v>27.2</v>
      </c>
      <c r="E2540" s="112">
        <f ca="1">IFERROR(__xludf.DUMMYFUNCTION("""COMPUTED_VALUE"""),44025.7055555555)</f>
        <v>44025.705555555498</v>
      </c>
      <c r="F2540" s="111">
        <f ca="1">IFERROR(__xludf.DUMMYFUNCTION("""COMPUTED_VALUE"""),9.56)</f>
        <v>9.56</v>
      </c>
      <c r="G2540" s="112">
        <f ca="1">IFERROR(__xludf.DUMMYFUNCTION("""COMPUTED_VALUE"""),44020.7055555555)</f>
        <v>44020.705555555498</v>
      </c>
      <c r="H2540" s="111">
        <f ca="1">IFERROR(__xludf.DUMMYFUNCTION("""COMPUTED_VALUE"""),22.65)</f>
        <v>22.65</v>
      </c>
      <c r="K2540" s="112">
        <f ca="1">IFERROR(__xludf.DUMMYFUNCTION("""COMPUTED_VALUE"""),44467.7055555555)</f>
        <v>44467.705555555498</v>
      </c>
      <c r="L2540" s="111">
        <f ca="1">IFERROR(__xludf.DUMMYFUNCTION("""COMPUTED_VALUE"""),14.18)</f>
        <v>14.18</v>
      </c>
      <c r="M2540" s="112">
        <f ca="1">IFERROR(__xludf.DUMMYFUNCTION("""COMPUTED_VALUE"""),43927.7055555555)</f>
        <v>43927.705555555498</v>
      </c>
      <c r="N2540" s="111">
        <f ca="1">IFERROR(__xludf.DUMMYFUNCTION("""COMPUTED_VALUE"""),17.38)</f>
        <v>17.38</v>
      </c>
      <c r="O2540" s="112">
        <f ca="1">IFERROR(__xludf.DUMMYFUNCTION("""COMPUTED_VALUE"""),44005.7055555555)</f>
        <v>44005.705555555498</v>
      </c>
      <c r="P2540" s="111">
        <f ca="1">IFERROR(__xludf.DUMMYFUNCTION("""COMPUTED_VALUE"""),55.59)</f>
        <v>55.59</v>
      </c>
      <c r="Q2540" s="112">
        <f ca="1">IFERROR(__xludf.DUMMYFUNCTION("""COMPUTED_VALUE"""),44004.7055555555)</f>
        <v>44004.705555555498</v>
      </c>
      <c r="R2540" s="111">
        <f ca="1">IFERROR(__xludf.DUMMYFUNCTION("""COMPUTED_VALUE"""),33.24)</f>
        <v>33.24</v>
      </c>
      <c r="S2540" s="112">
        <f ca="1">IFERROR(__xludf.DUMMYFUNCTION("""COMPUTED_VALUE"""),44018.7055555555)</f>
        <v>44018.705555555498</v>
      </c>
      <c r="T2540" s="111">
        <f ca="1">IFERROR(__xludf.DUMMYFUNCTION("""COMPUTED_VALUE"""),38.65)</f>
        <v>38.65</v>
      </c>
    </row>
    <row r="2541" spans="1:20" x14ac:dyDescent="0.3">
      <c r="A2541" s="112">
        <f ca="1">IFERROR(__xludf.DUMMYFUNCTION("""COMPUTED_VALUE"""),44013.7055555555)</f>
        <v>44013.705555555498</v>
      </c>
      <c r="B2541" s="111">
        <f ca="1">IFERROR(__xludf.DUMMYFUNCTION("""COMPUTED_VALUE"""),32.27)</f>
        <v>32.270000000000003</v>
      </c>
      <c r="C2541" s="112">
        <f ca="1">IFERROR(__xludf.DUMMYFUNCTION("""COMPUTED_VALUE"""),44025.7055555555)</f>
        <v>44025.705555555498</v>
      </c>
      <c r="D2541" s="111">
        <f ca="1">IFERROR(__xludf.DUMMYFUNCTION("""COMPUTED_VALUE"""),26.8)</f>
        <v>26.8</v>
      </c>
      <c r="E2541" s="112">
        <f ca="1">IFERROR(__xludf.DUMMYFUNCTION("""COMPUTED_VALUE"""),44026.7055555555)</f>
        <v>44026.705555555498</v>
      </c>
      <c r="F2541" s="111">
        <f ca="1">IFERROR(__xludf.DUMMYFUNCTION("""COMPUTED_VALUE"""),9.68)</f>
        <v>9.68</v>
      </c>
      <c r="G2541" s="112">
        <f ca="1">IFERROR(__xludf.DUMMYFUNCTION("""COMPUTED_VALUE"""),44022.7055555555)</f>
        <v>44022.705555555498</v>
      </c>
      <c r="H2541" s="111">
        <f ca="1">IFERROR(__xludf.DUMMYFUNCTION("""COMPUTED_VALUE"""),22.51)</f>
        <v>22.51</v>
      </c>
      <c r="K2541" s="112">
        <f ca="1">IFERROR(__xludf.DUMMYFUNCTION("""COMPUTED_VALUE"""),44468.7055555555)</f>
        <v>44468.705555555498</v>
      </c>
      <c r="L2541" s="111">
        <f ca="1">IFERROR(__xludf.DUMMYFUNCTION("""COMPUTED_VALUE"""),13.94)</f>
        <v>13.94</v>
      </c>
      <c r="M2541" s="112">
        <f ca="1">IFERROR(__xludf.DUMMYFUNCTION("""COMPUTED_VALUE"""),43928.7055555555)</f>
        <v>43928.705555555498</v>
      </c>
      <c r="N2541" s="111">
        <f ca="1">IFERROR(__xludf.DUMMYFUNCTION("""COMPUTED_VALUE"""),18.03)</f>
        <v>18.03</v>
      </c>
      <c r="O2541" s="112">
        <f ca="1">IFERROR(__xludf.DUMMYFUNCTION("""COMPUTED_VALUE"""),44006.7055555555)</f>
        <v>44006.705555555498</v>
      </c>
      <c r="P2541" s="111">
        <f ca="1">IFERROR(__xludf.DUMMYFUNCTION("""COMPUTED_VALUE"""),55.39)</f>
        <v>55.39</v>
      </c>
      <c r="Q2541" s="112">
        <f ca="1">IFERROR(__xludf.DUMMYFUNCTION("""COMPUTED_VALUE"""),44005.7055555555)</f>
        <v>44005.705555555498</v>
      </c>
      <c r="R2541" s="111">
        <f ca="1">IFERROR(__xludf.DUMMYFUNCTION("""COMPUTED_VALUE"""),33.53)</f>
        <v>33.53</v>
      </c>
      <c r="S2541" s="112">
        <f ca="1">IFERROR(__xludf.DUMMYFUNCTION("""COMPUTED_VALUE"""),44019.7055555555)</f>
        <v>44019.705555555498</v>
      </c>
      <c r="T2541" s="111">
        <f ca="1">IFERROR(__xludf.DUMMYFUNCTION("""COMPUTED_VALUE"""),38.85)</f>
        <v>38.85</v>
      </c>
    </row>
    <row r="2542" spans="1:20" x14ac:dyDescent="0.3">
      <c r="A2542" s="112">
        <f ca="1">IFERROR(__xludf.DUMMYFUNCTION("""COMPUTED_VALUE"""),44014.7055555555)</f>
        <v>44014.705555555498</v>
      </c>
      <c r="B2542" s="111">
        <f ca="1">IFERROR(__xludf.DUMMYFUNCTION("""COMPUTED_VALUE"""),31.72)</f>
        <v>31.72</v>
      </c>
      <c r="C2542" s="112">
        <f ca="1">IFERROR(__xludf.DUMMYFUNCTION("""COMPUTED_VALUE"""),44026.7055555555)</f>
        <v>44026.705555555498</v>
      </c>
      <c r="D2542" s="111">
        <f ca="1">IFERROR(__xludf.DUMMYFUNCTION("""COMPUTED_VALUE"""),27.25)</f>
        <v>27.25</v>
      </c>
      <c r="E2542" s="112">
        <f ca="1">IFERROR(__xludf.DUMMYFUNCTION("""COMPUTED_VALUE"""),44027.7055555555)</f>
        <v>44027.705555555498</v>
      </c>
      <c r="F2542" s="111">
        <f ca="1">IFERROR(__xludf.DUMMYFUNCTION("""COMPUTED_VALUE"""),9.78)</f>
        <v>9.7799999999999994</v>
      </c>
      <c r="G2542" s="112">
        <f ca="1">IFERROR(__xludf.DUMMYFUNCTION("""COMPUTED_VALUE"""),44025.7055555555)</f>
        <v>44025.705555555498</v>
      </c>
      <c r="H2542" s="111">
        <f ca="1">IFERROR(__xludf.DUMMYFUNCTION("""COMPUTED_VALUE"""),22.16)</f>
        <v>22.16</v>
      </c>
      <c r="K2542" s="112">
        <f ca="1">IFERROR(__xludf.DUMMYFUNCTION("""COMPUTED_VALUE"""),44469.7055555555)</f>
        <v>44469.705555555498</v>
      </c>
      <c r="L2542" s="111">
        <f ca="1">IFERROR(__xludf.DUMMYFUNCTION("""COMPUTED_VALUE"""),14.34)</f>
        <v>14.34</v>
      </c>
      <c r="M2542" s="112">
        <f ca="1">IFERROR(__xludf.DUMMYFUNCTION("""COMPUTED_VALUE"""),43929.7055555555)</f>
        <v>43929.705555555498</v>
      </c>
      <c r="N2542" s="111">
        <f ca="1">IFERROR(__xludf.DUMMYFUNCTION("""COMPUTED_VALUE"""),18.51)</f>
        <v>18.510000000000002</v>
      </c>
      <c r="O2542" s="112">
        <f ca="1">IFERROR(__xludf.DUMMYFUNCTION("""COMPUTED_VALUE"""),44007.7055555555)</f>
        <v>44007.705555555498</v>
      </c>
      <c r="P2542" s="111">
        <f ca="1">IFERROR(__xludf.DUMMYFUNCTION("""COMPUTED_VALUE"""),56)</f>
        <v>56</v>
      </c>
      <c r="Q2542" s="112">
        <f ca="1">IFERROR(__xludf.DUMMYFUNCTION("""COMPUTED_VALUE"""),44006.7055555555)</f>
        <v>44006.705555555498</v>
      </c>
      <c r="R2542" s="111">
        <f ca="1">IFERROR(__xludf.DUMMYFUNCTION("""COMPUTED_VALUE"""),32.22)</f>
        <v>32.22</v>
      </c>
      <c r="S2542" s="112">
        <f ca="1">IFERROR(__xludf.DUMMYFUNCTION("""COMPUTED_VALUE"""),44020.7055555555)</f>
        <v>44020.705555555498</v>
      </c>
      <c r="T2542" s="111">
        <f ca="1">IFERROR(__xludf.DUMMYFUNCTION("""COMPUTED_VALUE"""),39.64)</f>
        <v>39.64</v>
      </c>
    </row>
    <row r="2543" spans="1:20" x14ac:dyDescent="0.3">
      <c r="A2543" s="112">
        <f ca="1">IFERROR(__xludf.DUMMYFUNCTION("""COMPUTED_VALUE"""),44015.7055555555)</f>
        <v>44015.705555555498</v>
      </c>
      <c r="B2543" s="111">
        <f ca="1">IFERROR(__xludf.DUMMYFUNCTION("""COMPUTED_VALUE"""),32.24)</f>
        <v>32.24</v>
      </c>
      <c r="C2543" s="112">
        <f ca="1">IFERROR(__xludf.DUMMYFUNCTION("""COMPUTED_VALUE"""),44027.7055555555)</f>
        <v>44027.705555555498</v>
      </c>
      <c r="D2543" s="111">
        <f ca="1">IFERROR(__xludf.DUMMYFUNCTION("""COMPUTED_VALUE"""),27.44)</f>
        <v>27.44</v>
      </c>
      <c r="E2543" s="112">
        <f ca="1">IFERROR(__xludf.DUMMYFUNCTION("""COMPUTED_VALUE"""),44028.7055555555)</f>
        <v>44028.705555555498</v>
      </c>
      <c r="F2543" s="111">
        <f ca="1">IFERROR(__xludf.DUMMYFUNCTION("""COMPUTED_VALUE"""),9.67)</f>
        <v>9.67</v>
      </c>
      <c r="G2543" s="112">
        <f ca="1">IFERROR(__xludf.DUMMYFUNCTION("""COMPUTED_VALUE"""),44026.7055555555)</f>
        <v>44026.705555555498</v>
      </c>
      <c r="H2543" s="111">
        <f ca="1">IFERROR(__xludf.DUMMYFUNCTION("""COMPUTED_VALUE"""),22.9)</f>
        <v>22.9</v>
      </c>
      <c r="K2543" s="112">
        <f ca="1">IFERROR(__xludf.DUMMYFUNCTION("""COMPUTED_VALUE"""),44470.7055555555)</f>
        <v>44470.705555555498</v>
      </c>
      <c r="L2543" s="111">
        <f ca="1">IFERROR(__xludf.DUMMYFUNCTION("""COMPUTED_VALUE"""),14.55)</f>
        <v>14.55</v>
      </c>
      <c r="M2543" s="112">
        <f ca="1">IFERROR(__xludf.DUMMYFUNCTION("""COMPUTED_VALUE"""),43930.7055555555)</f>
        <v>43930.705555555498</v>
      </c>
      <c r="N2543" s="111">
        <f ca="1">IFERROR(__xludf.DUMMYFUNCTION("""COMPUTED_VALUE"""),18.5)</f>
        <v>18.5</v>
      </c>
      <c r="O2543" s="112">
        <f ca="1">IFERROR(__xludf.DUMMYFUNCTION("""COMPUTED_VALUE"""),44008.7055555555)</f>
        <v>44008.705555555498</v>
      </c>
      <c r="P2543" s="111">
        <f ca="1">IFERROR(__xludf.DUMMYFUNCTION("""COMPUTED_VALUE"""),55.62)</f>
        <v>55.62</v>
      </c>
      <c r="Q2543" s="112">
        <f ca="1">IFERROR(__xludf.DUMMYFUNCTION("""COMPUTED_VALUE"""),44007.7055555555)</f>
        <v>44007.705555555498</v>
      </c>
      <c r="R2543" s="111">
        <f ca="1">IFERROR(__xludf.DUMMYFUNCTION("""COMPUTED_VALUE"""),33.01)</f>
        <v>33.01</v>
      </c>
      <c r="S2543" s="112">
        <f ca="1">IFERROR(__xludf.DUMMYFUNCTION("""COMPUTED_VALUE"""),44022.7055555555)</f>
        <v>44022.705555555498</v>
      </c>
      <c r="T2543" s="111">
        <f ca="1">IFERROR(__xludf.DUMMYFUNCTION("""COMPUTED_VALUE"""),40.37)</f>
        <v>40.369999999999997</v>
      </c>
    </row>
    <row r="2544" spans="1:20" x14ac:dyDescent="0.3">
      <c r="A2544" s="112">
        <f ca="1">IFERROR(__xludf.DUMMYFUNCTION("""COMPUTED_VALUE"""),44018.7055555555)</f>
        <v>44018.705555555498</v>
      </c>
      <c r="B2544" s="111">
        <f ca="1">IFERROR(__xludf.DUMMYFUNCTION("""COMPUTED_VALUE"""),32.46)</f>
        <v>32.46</v>
      </c>
      <c r="C2544" s="112">
        <f ca="1">IFERROR(__xludf.DUMMYFUNCTION("""COMPUTED_VALUE"""),44028.7055555555)</f>
        <v>44028.705555555498</v>
      </c>
      <c r="D2544" s="111">
        <f ca="1">IFERROR(__xludf.DUMMYFUNCTION("""COMPUTED_VALUE"""),26.98)</f>
        <v>26.98</v>
      </c>
      <c r="E2544" s="112">
        <f ca="1">IFERROR(__xludf.DUMMYFUNCTION("""COMPUTED_VALUE"""),44029.7055555555)</f>
        <v>44029.705555555498</v>
      </c>
      <c r="F2544" s="111">
        <f ca="1">IFERROR(__xludf.DUMMYFUNCTION("""COMPUTED_VALUE"""),9.78)</f>
        <v>9.7799999999999994</v>
      </c>
      <c r="G2544" s="112">
        <f ca="1">IFERROR(__xludf.DUMMYFUNCTION("""COMPUTED_VALUE"""),44027.7055555555)</f>
        <v>44027.705555555498</v>
      </c>
      <c r="H2544" s="111">
        <f ca="1">IFERROR(__xludf.DUMMYFUNCTION("""COMPUTED_VALUE"""),23.34)</f>
        <v>23.34</v>
      </c>
      <c r="K2544" s="112">
        <f ca="1">IFERROR(__xludf.DUMMYFUNCTION("""COMPUTED_VALUE"""),44473.7055555555)</f>
        <v>44473.705555555498</v>
      </c>
      <c r="L2544" s="111">
        <f ca="1">IFERROR(__xludf.DUMMYFUNCTION("""COMPUTED_VALUE"""),13.71)</f>
        <v>13.71</v>
      </c>
      <c r="M2544" s="112">
        <f ca="1">IFERROR(__xludf.DUMMYFUNCTION("""COMPUTED_VALUE"""),43934.7055555555)</f>
        <v>43934.705555555498</v>
      </c>
      <c r="N2544" s="111">
        <f ca="1">IFERROR(__xludf.DUMMYFUNCTION("""COMPUTED_VALUE"""),18.98)</f>
        <v>18.98</v>
      </c>
      <c r="O2544" s="112">
        <f ca="1">IFERROR(__xludf.DUMMYFUNCTION("""COMPUTED_VALUE"""),44011.7055555555)</f>
        <v>44011.705555555498</v>
      </c>
      <c r="P2544" s="111">
        <f ca="1">IFERROR(__xludf.DUMMYFUNCTION("""COMPUTED_VALUE"""),55.63)</f>
        <v>55.63</v>
      </c>
      <c r="Q2544" s="112">
        <f ca="1">IFERROR(__xludf.DUMMYFUNCTION("""COMPUTED_VALUE"""),44008.7055555555)</f>
        <v>44008.705555555498</v>
      </c>
      <c r="R2544" s="111">
        <f ca="1">IFERROR(__xludf.DUMMYFUNCTION("""COMPUTED_VALUE"""),31.82)</f>
        <v>31.82</v>
      </c>
      <c r="S2544" s="112">
        <f ca="1">IFERROR(__xludf.DUMMYFUNCTION("""COMPUTED_VALUE"""),44025.7055555555)</f>
        <v>44025.705555555498</v>
      </c>
      <c r="T2544" s="111">
        <f ca="1">IFERROR(__xludf.DUMMYFUNCTION("""COMPUTED_VALUE"""),38.88)</f>
        <v>38.880000000000003</v>
      </c>
    </row>
    <row r="2545" spans="1:20" x14ac:dyDescent="0.3">
      <c r="A2545" s="112">
        <f ca="1">IFERROR(__xludf.DUMMYFUNCTION("""COMPUTED_VALUE"""),44019.7055555555)</f>
        <v>44019.705555555498</v>
      </c>
      <c r="B2545" s="111">
        <f ca="1">IFERROR(__xludf.DUMMYFUNCTION("""COMPUTED_VALUE"""),33.14)</f>
        <v>33.14</v>
      </c>
      <c r="C2545" s="112">
        <f ca="1">IFERROR(__xludf.DUMMYFUNCTION("""COMPUTED_VALUE"""),44029.7055555555)</f>
        <v>44029.705555555498</v>
      </c>
      <c r="D2545" s="111">
        <f ca="1">IFERROR(__xludf.DUMMYFUNCTION("""COMPUTED_VALUE"""),27.22)</f>
        <v>27.22</v>
      </c>
      <c r="E2545" s="112">
        <f ca="1">IFERROR(__xludf.DUMMYFUNCTION("""COMPUTED_VALUE"""),44032.7055555555)</f>
        <v>44032.705555555498</v>
      </c>
      <c r="F2545" s="111">
        <f ca="1">IFERROR(__xludf.DUMMYFUNCTION("""COMPUTED_VALUE"""),9.92)</f>
        <v>9.92</v>
      </c>
      <c r="G2545" s="112">
        <f ca="1">IFERROR(__xludf.DUMMYFUNCTION("""COMPUTED_VALUE"""),44028.7055555555)</f>
        <v>44028.705555555498</v>
      </c>
      <c r="H2545" s="111">
        <f ca="1">IFERROR(__xludf.DUMMYFUNCTION("""COMPUTED_VALUE"""),22.72)</f>
        <v>22.72</v>
      </c>
      <c r="K2545" s="112">
        <f ca="1">IFERROR(__xludf.DUMMYFUNCTION("""COMPUTED_VALUE"""),44474.7055555555)</f>
        <v>44474.705555555498</v>
      </c>
      <c r="L2545" s="111">
        <f ca="1">IFERROR(__xludf.DUMMYFUNCTION("""COMPUTED_VALUE"""),13.68)</f>
        <v>13.68</v>
      </c>
      <c r="M2545" s="112">
        <f ca="1">IFERROR(__xludf.DUMMYFUNCTION("""COMPUTED_VALUE"""),43935.7055555555)</f>
        <v>43935.705555555498</v>
      </c>
      <c r="N2545" s="111">
        <f ca="1">IFERROR(__xludf.DUMMYFUNCTION("""COMPUTED_VALUE"""),19.19)</f>
        <v>19.190000000000001</v>
      </c>
      <c r="O2545" s="112">
        <f ca="1">IFERROR(__xludf.DUMMYFUNCTION("""COMPUTED_VALUE"""),44012.7055555555)</f>
        <v>44012.705555555498</v>
      </c>
      <c r="P2545" s="111">
        <f ca="1">IFERROR(__xludf.DUMMYFUNCTION("""COMPUTED_VALUE"""),55.92)</f>
        <v>55.92</v>
      </c>
      <c r="Q2545" s="112">
        <f ca="1">IFERROR(__xludf.DUMMYFUNCTION("""COMPUTED_VALUE"""),44011.7055555555)</f>
        <v>44011.705555555498</v>
      </c>
      <c r="R2545" s="111">
        <f ca="1">IFERROR(__xludf.DUMMYFUNCTION("""COMPUTED_VALUE"""),33.44)</f>
        <v>33.44</v>
      </c>
      <c r="S2545" s="112">
        <f ca="1">IFERROR(__xludf.DUMMYFUNCTION("""COMPUTED_VALUE"""),44026.7055555555)</f>
        <v>44026.705555555498</v>
      </c>
      <c r="T2545" s="111">
        <f ca="1">IFERROR(__xludf.DUMMYFUNCTION("""COMPUTED_VALUE"""),38.1)</f>
        <v>38.1</v>
      </c>
    </row>
    <row r="2546" spans="1:20" x14ac:dyDescent="0.3">
      <c r="A2546" s="112">
        <f ca="1">IFERROR(__xludf.DUMMYFUNCTION("""COMPUTED_VALUE"""),44020.7055555555)</f>
        <v>44020.705555555498</v>
      </c>
      <c r="B2546" s="111">
        <f ca="1">IFERROR(__xludf.DUMMYFUNCTION("""COMPUTED_VALUE"""),33.49)</f>
        <v>33.49</v>
      </c>
      <c r="C2546" s="112">
        <f ca="1">IFERROR(__xludf.DUMMYFUNCTION("""COMPUTED_VALUE"""),44032.7055555555)</f>
        <v>44032.705555555498</v>
      </c>
      <c r="D2546" s="111">
        <f ca="1">IFERROR(__xludf.DUMMYFUNCTION("""COMPUTED_VALUE"""),27.3)</f>
        <v>27.3</v>
      </c>
      <c r="E2546" s="112">
        <f ca="1">IFERROR(__xludf.DUMMYFUNCTION("""COMPUTED_VALUE"""),44033.7055555555)</f>
        <v>44033.705555555498</v>
      </c>
      <c r="F2546" s="111">
        <f ca="1">IFERROR(__xludf.DUMMYFUNCTION("""COMPUTED_VALUE"""),10.02)</f>
        <v>10.02</v>
      </c>
      <c r="G2546" s="112">
        <f ca="1">IFERROR(__xludf.DUMMYFUNCTION("""COMPUTED_VALUE"""),44029.7055555555)</f>
        <v>44029.705555555498</v>
      </c>
      <c r="H2546" s="111">
        <f ca="1">IFERROR(__xludf.DUMMYFUNCTION("""COMPUTED_VALUE"""),22.74)</f>
        <v>22.74</v>
      </c>
      <c r="K2546" s="112">
        <f ca="1">IFERROR(__xludf.DUMMYFUNCTION("""COMPUTED_VALUE"""),44475.7055555555)</f>
        <v>44475.705555555498</v>
      </c>
      <c r="L2546" s="111">
        <f ca="1">IFERROR(__xludf.DUMMYFUNCTION("""COMPUTED_VALUE"""),14.46)</f>
        <v>14.46</v>
      </c>
      <c r="M2546" s="112">
        <f ca="1">IFERROR(__xludf.DUMMYFUNCTION("""COMPUTED_VALUE"""),43936.7055555555)</f>
        <v>43936.705555555498</v>
      </c>
      <c r="N2546" s="111">
        <f ca="1">IFERROR(__xludf.DUMMYFUNCTION("""COMPUTED_VALUE"""),18.64)</f>
        <v>18.64</v>
      </c>
      <c r="O2546" s="112">
        <f ca="1">IFERROR(__xludf.DUMMYFUNCTION("""COMPUTED_VALUE"""),44013.7055555555)</f>
        <v>44013.705555555498</v>
      </c>
      <c r="P2546" s="111">
        <f ca="1">IFERROR(__xludf.DUMMYFUNCTION("""COMPUTED_VALUE"""),54.54)</f>
        <v>54.54</v>
      </c>
      <c r="Q2546" s="112">
        <f ca="1">IFERROR(__xludf.DUMMYFUNCTION("""COMPUTED_VALUE"""),44012.7055555555)</f>
        <v>44012.705555555498</v>
      </c>
      <c r="R2546" s="111">
        <f ca="1">IFERROR(__xludf.DUMMYFUNCTION("""COMPUTED_VALUE"""),32.15)</f>
        <v>32.15</v>
      </c>
      <c r="S2546" s="112">
        <f ca="1">IFERROR(__xludf.DUMMYFUNCTION("""COMPUTED_VALUE"""),44027.7055555555)</f>
        <v>44027.705555555498</v>
      </c>
      <c r="T2546" s="111">
        <f ca="1">IFERROR(__xludf.DUMMYFUNCTION("""COMPUTED_VALUE"""),37.8)</f>
        <v>37.799999999999997</v>
      </c>
    </row>
    <row r="2547" spans="1:20" x14ac:dyDescent="0.3">
      <c r="A2547" s="112">
        <f ca="1">IFERROR(__xludf.DUMMYFUNCTION("""COMPUTED_VALUE"""),44022.7055555555)</f>
        <v>44022.705555555498</v>
      </c>
      <c r="B2547" s="111">
        <f ca="1">IFERROR(__xludf.DUMMYFUNCTION("""COMPUTED_VALUE"""),35.88)</f>
        <v>35.880000000000003</v>
      </c>
      <c r="C2547" s="112">
        <f ca="1">IFERROR(__xludf.DUMMYFUNCTION("""COMPUTED_VALUE"""),44033.7055555555)</f>
        <v>44033.705555555498</v>
      </c>
      <c r="D2547" s="111">
        <f ca="1">IFERROR(__xludf.DUMMYFUNCTION("""COMPUTED_VALUE"""),27.78)</f>
        <v>27.78</v>
      </c>
      <c r="E2547" s="112">
        <f ca="1">IFERROR(__xludf.DUMMYFUNCTION("""COMPUTED_VALUE"""),44034.7055555555)</f>
        <v>44034.705555555498</v>
      </c>
      <c r="F2547" s="111">
        <f ca="1">IFERROR(__xludf.DUMMYFUNCTION("""COMPUTED_VALUE"""),10.02)</f>
        <v>10.02</v>
      </c>
      <c r="G2547" s="112">
        <f ca="1">IFERROR(__xludf.DUMMYFUNCTION("""COMPUTED_VALUE"""),44032.7055555555)</f>
        <v>44032.705555555498</v>
      </c>
      <c r="H2547" s="111">
        <f ca="1">IFERROR(__xludf.DUMMYFUNCTION("""COMPUTED_VALUE"""),22.74)</f>
        <v>22.74</v>
      </c>
      <c r="K2547" s="112">
        <f ca="1">IFERROR(__xludf.DUMMYFUNCTION("""COMPUTED_VALUE"""),44476.7055555555)</f>
        <v>44476.705555555498</v>
      </c>
      <c r="L2547" s="111">
        <f ca="1">IFERROR(__xludf.DUMMYFUNCTION("""COMPUTED_VALUE"""),14.03)</f>
        <v>14.03</v>
      </c>
      <c r="M2547" s="112">
        <f ca="1">IFERROR(__xludf.DUMMYFUNCTION("""COMPUTED_VALUE"""),43937.7055555555)</f>
        <v>43937.705555555498</v>
      </c>
      <c r="N2547" s="111">
        <f ca="1">IFERROR(__xludf.DUMMYFUNCTION("""COMPUTED_VALUE"""),18.15)</f>
        <v>18.149999999999999</v>
      </c>
      <c r="O2547" s="112">
        <f ca="1">IFERROR(__xludf.DUMMYFUNCTION("""COMPUTED_VALUE"""),44014.7055555555)</f>
        <v>44014.705555555498</v>
      </c>
      <c r="P2547" s="111">
        <f ca="1">IFERROR(__xludf.DUMMYFUNCTION("""COMPUTED_VALUE"""),55.49)</f>
        <v>55.49</v>
      </c>
      <c r="Q2547" s="112">
        <f ca="1">IFERROR(__xludf.DUMMYFUNCTION("""COMPUTED_VALUE"""),44013.7055555555)</f>
        <v>44013.705555555498</v>
      </c>
      <c r="R2547" s="111">
        <f ca="1">IFERROR(__xludf.DUMMYFUNCTION("""COMPUTED_VALUE"""),33.07)</f>
        <v>33.07</v>
      </c>
      <c r="S2547" s="112">
        <f ca="1">IFERROR(__xludf.DUMMYFUNCTION("""COMPUTED_VALUE"""),44028.7055555555)</f>
        <v>44028.705555555498</v>
      </c>
      <c r="T2547" s="111">
        <f ca="1">IFERROR(__xludf.DUMMYFUNCTION("""COMPUTED_VALUE"""),37.76)</f>
        <v>37.76</v>
      </c>
    </row>
    <row r="2548" spans="1:20" x14ac:dyDescent="0.3">
      <c r="A2548" s="112">
        <f ca="1">IFERROR(__xludf.DUMMYFUNCTION("""COMPUTED_VALUE"""),44025.7055555555)</f>
        <v>44025.705555555498</v>
      </c>
      <c r="B2548" s="111">
        <f ca="1">IFERROR(__xludf.DUMMYFUNCTION("""COMPUTED_VALUE"""),34.73)</f>
        <v>34.729999999999997</v>
      </c>
      <c r="C2548" s="112">
        <f ca="1">IFERROR(__xludf.DUMMYFUNCTION("""COMPUTED_VALUE"""),44034.7055555555)</f>
        <v>44034.705555555498</v>
      </c>
      <c r="D2548" s="111">
        <f ca="1">IFERROR(__xludf.DUMMYFUNCTION("""COMPUTED_VALUE"""),27.07)</f>
        <v>27.07</v>
      </c>
      <c r="E2548" s="112">
        <f ca="1">IFERROR(__xludf.DUMMYFUNCTION("""COMPUTED_VALUE"""),44035.7055555555)</f>
        <v>44035.705555555498</v>
      </c>
      <c r="F2548" s="111">
        <f ca="1">IFERROR(__xludf.DUMMYFUNCTION("""COMPUTED_VALUE"""),9.88)</f>
        <v>9.8800000000000008</v>
      </c>
      <c r="G2548" s="112">
        <f ca="1">IFERROR(__xludf.DUMMYFUNCTION("""COMPUTED_VALUE"""),44033.7055555555)</f>
        <v>44033.705555555498</v>
      </c>
      <c r="H2548" s="111">
        <f ca="1">IFERROR(__xludf.DUMMYFUNCTION("""COMPUTED_VALUE"""),23.37)</f>
        <v>23.37</v>
      </c>
      <c r="K2548" s="112">
        <f ca="1">IFERROR(__xludf.DUMMYFUNCTION("""COMPUTED_VALUE"""),44477.7055555555)</f>
        <v>44477.705555555498</v>
      </c>
      <c r="L2548" s="111">
        <f ca="1">IFERROR(__xludf.DUMMYFUNCTION("""COMPUTED_VALUE"""),14.97)</f>
        <v>14.97</v>
      </c>
      <c r="M2548" s="112">
        <f ca="1">IFERROR(__xludf.DUMMYFUNCTION("""COMPUTED_VALUE"""),43938.7055555555)</f>
        <v>43938.705555555498</v>
      </c>
      <c r="N2548" s="111">
        <f ca="1">IFERROR(__xludf.DUMMYFUNCTION("""COMPUTED_VALUE"""),18.51)</f>
        <v>18.510000000000002</v>
      </c>
      <c r="O2548" s="112">
        <f ca="1">IFERROR(__xludf.DUMMYFUNCTION("""COMPUTED_VALUE"""),44015.7055555555)</f>
        <v>44015.705555555498</v>
      </c>
      <c r="P2548" s="111">
        <f ca="1">IFERROR(__xludf.DUMMYFUNCTION("""COMPUTED_VALUE"""),55.26)</f>
        <v>55.26</v>
      </c>
      <c r="Q2548" s="112">
        <f ca="1">IFERROR(__xludf.DUMMYFUNCTION("""COMPUTED_VALUE"""),44014.7055555555)</f>
        <v>44014.705555555498</v>
      </c>
      <c r="R2548" s="111">
        <f ca="1">IFERROR(__xludf.DUMMYFUNCTION("""COMPUTED_VALUE"""),33.16)</f>
        <v>33.159999999999997</v>
      </c>
      <c r="S2548" s="112">
        <f ca="1">IFERROR(__xludf.DUMMYFUNCTION("""COMPUTED_VALUE"""),44029.7055555555)</f>
        <v>44029.705555555498</v>
      </c>
      <c r="T2548" s="111">
        <f ca="1">IFERROR(__xludf.DUMMYFUNCTION("""COMPUTED_VALUE"""),38.41)</f>
        <v>38.409999999999997</v>
      </c>
    </row>
    <row r="2549" spans="1:20" x14ac:dyDescent="0.3">
      <c r="A2549" s="112">
        <f ca="1">IFERROR(__xludf.DUMMYFUNCTION("""COMPUTED_VALUE"""),44026.7055555555)</f>
        <v>44026.705555555498</v>
      </c>
      <c r="B2549" s="111">
        <f ca="1">IFERROR(__xludf.DUMMYFUNCTION("""COMPUTED_VALUE"""),34.43)</f>
        <v>34.43</v>
      </c>
      <c r="C2549" s="112">
        <f ca="1">IFERROR(__xludf.DUMMYFUNCTION("""COMPUTED_VALUE"""),44035.7055555555)</f>
        <v>44035.705555555498</v>
      </c>
      <c r="D2549" s="111">
        <f ca="1">IFERROR(__xludf.DUMMYFUNCTION("""COMPUTED_VALUE"""),26.5)</f>
        <v>26.5</v>
      </c>
      <c r="E2549" s="112">
        <f ca="1">IFERROR(__xludf.DUMMYFUNCTION("""COMPUTED_VALUE"""),44036.7055555555)</f>
        <v>44036.705555555498</v>
      </c>
      <c r="F2549" s="111">
        <f ca="1">IFERROR(__xludf.DUMMYFUNCTION("""COMPUTED_VALUE"""),9.95)</f>
        <v>9.9499999999999993</v>
      </c>
      <c r="G2549" s="112">
        <f ca="1">IFERROR(__xludf.DUMMYFUNCTION("""COMPUTED_VALUE"""),44034.7055555555)</f>
        <v>44034.705555555498</v>
      </c>
      <c r="H2549" s="111">
        <f ca="1">IFERROR(__xludf.DUMMYFUNCTION("""COMPUTED_VALUE"""),23.05)</f>
        <v>23.05</v>
      </c>
      <c r="K2549" s="112">
        <f ca="1">IFERROR(__xludf.DUMMYFUNCTION("""COMPUTED_VALUE"""),44480.7055555555)</f>
        <v>44480.705555555498</v>
      </c>
      <c r="L2549" s="111">
        <f ca="1">IFERROR(__xludf.DUMMYFUNCTION("""COMPUTED_VALUE"""),14.38)</f>
        <v>14.38</v>
      </c>
      <c r="M2549" s="112">
        <f ca="1">IFERROR(__xludf.DUMMYFUNCTION("""COMPUTED_VALUE"""),43941.7055555555)</f>
        <v>43941.705555555498</v>
      </c>
      <c r="N2549" s="111">
        <f ca="1">IFERROR(__xludf.DUMMYFUNCTION("""COMPUTED_VALUE"""),17.91)</f>
        <v>17.91</v>
      </c>
      <c r="O2549" s="112">
        <f ca="1">IFERROR(__xludf.DUMMYFUNCTION("""COMPUTED_VALUE"""),44018.7055555555)</f>
        <v>44018.705555555498</v>
      </c>
      <c r="P2549" s="111">
        <f ca="1">IFERROR(__xludf.DUMMYFUNCTION("""COMPUTED_VALUE"""),56.57)</f>
        <v>56.57</v>
      </c>
      <c r="Q2549" s="112">
        <f ca="1">IFERROR(__xludf.DUMMYFUNCTION("""COMPUTED_VALUE"""),44015.7055555555)</f>
        <v>44015.705555555498</v>
      </c>
      <c r="R2549" s="111">
        <f ca="1">IFERROR(__xludf.DUMMYFUNCTION("""COMPUTED_VALUE"""),33.5)</f>
        <v>33.5</v>
      </c>
      <c r="S2549" s="112">
        <f ca="1">IFERROR(__xludf.DUMMYFUNCTION("""COMPUTED_VALUE"""),44032.7055555555)</f>
        <v>44032.705555555498</v>
      </c>
      <c r="T2549" s="111">
        <f ca="1">IFERROR(__xludf.DUMMYFUNCTION("""COMPUTED_VALUE"""),38.86)</f>
        <v>38.86</v>
      </c>
    </row>
    <row r="2550" spans="1:20" x14ac:dyDescent="0.3">
      <c r="A2550" s="112">
        <f ca="1">IFERROR(__xludf.DUMMYFUNCTION("""COMPUTED_VALUE"""),44027.7055555555)</f>
        <v>44027.705555555498</v>
      </c>
      <c r="B2550" s="111">
        <f ca="1">IFERROR(__xludf.DUMMYFUNCTION("""COMPUTED_VALUE"""),35.57)</f>
        <v>35.57</v>
      </c>
      <c r="C2550" s="112">
        <f ca="1">IFERROR(__xludf.DUMMYFUNCTION("""COMPUTED_VALUE"""),44036.7055555555)</f>
        <v>44036.705555555498</v>
      </c>
      <c r="D2550" s="111">
        <f ca="1">IFERROR(__xludf.DUMMYFUNCTION("""COMPUTED_VALUE"""),26.47)</f>
        <v>26.47</v>
      </c>
      <c r="E2550" s="112">
        <f ca="1">IFERROR(__xludf.DUMMYFUNCTION("""COMPUTED_VALUE"""),44039.7055555555)</f>
        <v>44039.705555555498</v>
      </c>
      <c r="F2550" s="111">
        <f ca="1">IFERROR(__xludf.DUMMYFUNCTION("""COMPUTED_VALUE"""),10.5)</f>
        <v>10.5</v>
      </c>
      <c r="G2550" s="112">
        <f ca="1">IFERROR(__xludf.DUMMYFUNCTION("""COMPUTED_VALUE"""),44035.7055555555)</f>
        <v>44035.705555555498</v>
      </c>
      <c r="H2550" s="111">
        <f ca="1">IFERROR(__xludf.DUMMYFUNCTION("""COMPUTED_VALUE"""),22.57)</f>
        <v>22.57</v>
      </c>
      <c r="K2550" s="112">
        <f ca="1">IFERROR(__xludf.DUMMYFUNCTION("""COMPUTED_VALUE"""),44482.7055555555)</f>
        <v>44482.705555555498</v>
      </c>
      <c r="L2550" s="111">
        <f ca="1">IFERROR(__xludf.DUMMYFUNCTION("""COMPUTED_VALUE"""),14.5)</f>
        <v>14.5</v>
      </c>
      <c r="M2550" s="112">
        <f ca="1">IFERROR(__xludf.DUMMYFUNCTION("""COMPUTED_VALUE"""),43943.7055555555)</f>
        <v>43943.705555555498</v>
      </c>
      <c r="N2550" s="111">
        <f ca="1">IFERROR(__xludf.DUMMYFUNCTION("""COMPUTED_VALUE"""),17.85)</f>
        <v>17.850000000000001</v>
      </c>
      <c r="O2550" s="112">
        <f ca="1">IFERROR(__xludf.DUMMYFUNCTION("""COMPUTED_VALUE"""),44019.7055555555)</f>
        <v>44019.705555555498</v>
      </c>
      <c r="P2550" s="111">
        <f ca="1">IFERROR(__xludf.DUMMYFUNCTION("""COMPUTED_VALUE"""),56.37)</f>
        <v>56.37</v>
      </c>
      <c r="Q2550" s="112">
        <f ca="1">IFERROR(__xludf.DUMMYFUNCTION("""COMPUTED_VALUE"""),44018.7055555555)</f>
        <v>44018.705555555498</v>
      </c>
      <c r="R2550" s="111">
        <f ca="1">IFERROR(__xludf.DUMMYFUNCTION("""COMPUTED_VALUE"""),34.67)</f>
        <v>34.67</v>
      </c>
      <c r="S2550" s="112">
        <f ca="1">IFERROR(__xludf.DUMMYFUNCTION("""COMPUTED_VALUE"""),44033.7055555555)</f>
        <v>44033.705555555498</v>
      </c>
      <c r="T2550" s="111">
        <f ca="1">IFERROR(__xludf.DUMMYFUNCTION("""COMPUTED_VALUE"""),38.45)</f>
        <v>38.450000000000003</v>
      </c>
    </row>
    <row r="2551" spans="1:20" x14ac:dyDescent="0.3">
      <c r="A2551" s="112">
        <f ca="1">IFERROR(__xludf.DUMMYFUNCTION("""COMPUTED_VALUE"""),44028.7055555555)</f>
        <v>44028.705555555498</v>
      </c>
      <c r="B2551" s="111">
        <f ca="1">IFERROR(__xludf.DUMMYFUNCTION("""COMPUTED_VALUE"""),34.95)</f>
        <v>34.950000000000003</v>
      </c>
      <c r="C2551" s="112">
        <f ca="1">IFERROR(__xludf.DUMMYFUNCTION("""COMPUTED_VALUE"""),44039.7055555555)</f>
        <v>44039.705555555498</v>
      </c>
      <c r="D2551" s="111">
        <f ca="1">IFERROR(__xludf.DUMMYFUNCTION("""COMPUTED_VALUE"""),27.8)</f>
        <v>27.8</v>
      </c>
      <c r="E2551" s="112">
        <f ca="1">IFERROR(__xludf.DUMMYFUNCTION("""COMPUTED_VALUE"""),44040.7055555555)</f>
        <v>44040.705555555498</v>
      </c>
      <c r="F2551" s="111">
        <f ca="1">IFERROR(__xludf.DUMMYFUNCTION("""COMPUTED_VALUE"""),10.36)</f>
        <v>10.36</v>
      </c>
      <c r="G2551" s="112">
        <f ca="1">IFERROR(__xludf.DUMMYFUNCTION("""COMPUTED_VALUE"""),44036.7055555555)</f>
        <v>44036.705555555498</v>
      </c>
      <c r="H2551" s="111">
        <f ca="1">IFERROR(__xludf.DUMMYFUNCTION("""COMPUTED_VALUE"""),22.73)</f>
        <v>22.73</v>
      </c>
      <c r="K2551" s="112">
        <f ca="1">IFERROR(__xludf.DUMMYFUNCTION("""COMPUTED_VALUE"""),44483.7055555555)</f>
        <v>44483.705555555498</v>
      </c>
      <c r="L2551" s="111">
        <f ca="1">IFERROR(__xludf.DUMMYFUNCTION("""COMPUTED_VALUE"""),14.17)</f>
        <v>14.17</v>
      </c>
      <c r="M2551" s="112">
        <f ca="1">IFERROR(__xludf.DUMMYFUNCTION("""COMPUTED_VALUE"""),43944.7055555555)</f>
        <v>43944.705555555498</v>
      </c>
      <c r="N2551" s="111">
        <f ca="1">IFERROR(__xludf.DUMMYFUNCTION("""COMPUTED_VALUE"""),17.59)</f>
        <v>17.59</v>
      </c>
      <c r="O2551" s="112">
        <f ca="1">IFERROR(__xludf.DUMMYFUNCTION("""COMPUTED_VALUE"""),44020.7055555555)</f>
        <v>44020.705555555498</v>
      </c>
      <c r="P2551" s="111">
        <f ca="1">IFERROR(__xludf.DUMMYFUNCTION("""COMPUTED_VALUE"""),57.32)</f>
        <v>57.32</v>
      </c>
      <c r="Q2551" s="112">
        <f ca="1">IFERROR(__xludf.DUMMYFUNCTION("""COMPUTED_VALUE"""),44019.7055555555)</f>
        <v>44019.705555555498</v>
      </c>
      <c r="R2551" s="111">
        <f ca="1">IFERROR(__xludf.DUMMYFUNCTION("""COMPUTED_VALUE"""),33.28)</f>
        <v>33.28</v>
      </c>
      <c r="S2551" s="112">
        <f ca="1">IFERROR(__xludf.DUMMYFUNCTION("""COMPUTED_VALUE"""),44034.7055555555)</f>
        <v>44034.705555555498</v>
      </c>
      <c r="T2551" s="111">
        <f ca="1">IFERROR(__xludf.DUMMYFUNCTION("""COMPUTED_VALUE"""),38.8)</f>
        <v>38.799999999999997</v>
      </c>
    </row>
    <row r="2552" spans="1:20" x14ac:dyDescent="0.3">
      <c r="A2552" s="112">
        <f ca="1">IFERROR(__xludf.DUMMYFUNCTION("""COMPUTED_VALUE"""),44029.7055555555)</f>
        <v>44029.705555555498</v>
      </c>
      <c r="B2552" s="111">
        <f ca="1">IFERROR(__xludf.DUMMYFUNCTION("""COMPUTED_VALUE"""),39.97)</f>
        <v>39.97</v>
      </c>
      <c r="C2552" s="112">
        <f ca="1">IFERROR(__xludf.DUMMYFUNCTION("""COMPUTED_VALUE"""),44040.7055555555)</f>
        <v>44040.705555555498</v>
      </c>
      <c r="D2552" s="111">
        <f ca="1">IFERROR(__xludf.DUMMYFUNCTION("""COMPUTED_VALUE"""),27.64)</f>
        <v>27.64</v>
      </c>
      <c r="E2552" s="112">
        <f ca="1">IFERROR(__xludf.DUMMYFUNCTION("""COMPUTED_VALUE"""),44041.7055555555)</f>
        <v>44041.705555555498</v>
      </c>
      <c r="F2552" s="111">
        <f ca="1">IFERROR(__xludf.DUMMYFUNCTION("""COMPUTED_VALUE"""),10.6)</f>
        <v>10.6</v>
      </c>
      <c r="G2552" s="112">
        <f ca="1">IFERROR(__xludf.DUMMYFUNCTION("""COMPUTED_VALUE"""),44039.7055555555)</f>
        <v>44039.705555555498</v>
      </c>
      <c r="H2552" s="111">
        <f ca="1">IFERROR(__xludf.DUMMYFUNCTION("""COMPUTED_VALUE"""),23.2)</f>
        <v>23.2</v>
      </c>
      <c r="K2552" s="112">
        <f ca="1">IFERROR(__xludf.DUMMYFUNCTION("""COMPUTED_VALUE"""),44484.7055555555)</f>
        <v>44484.705555555498</v>
      </c>
      <c r="L2552" s="111">
        <f ca="1">IFERROR(__xludf.DUMMYFUNCTION("""COMPUTED_VALUE"""),14.56)</f>
        <v>14.56</v>
      </c>
      <c r="M2552" s="112">
        <f ca="1">IFERROR(__xludf.DUMMYFUNCTION("""COMPUTED_VALUE"""),43945.7055555555)</f>
        <v>43945.705555555498</v>
      </c>
      <c r="N2552" s="111">
        <f ca="1">IFERROR(__xludf.DUMMYFUNCTION("""COMPUTED_VALUE"""),16.22)</f>
        <v>16.22</v>
      </c>
      <c r="O2552" s="112">
        <f ca="1">IFERROR(__xludf.DUMMYFUNCTION("""COMPUTED_VALUE"""),44022.7055555555)</f>
        <v>44022.705555555498</v>
      </c>
      <c r="P2552" s="111">
        <f ca="1">IFERROR(__xludf.DUMMYFUNCTION("""COMPUTED_VALUE"""),56.97)</f>
        <v>56.97</v>
      </c>
      <c r="Q2552" s="112">
        <f ca="1">IFERROR(__xludf.DUMMYFUNCTION("""COMPUTED_VALUE"""),44020.7055555555)</f>
        <v>44020.705555555498</v>
      </c>
      <c r="R2552" s="111">
        <f ca="1">IFERROR(__xludf.DUMMYFUNCTION("""COMPUTED_VALUE"""),34.09)</f>
        <v>34.090000000000003</v>
      </c>
      <c r="S2552" s="112">
        <f ca="1">IFERROR(__xludf.DUMMYFUNCTION("""COMPUTED_VALUE"""),44035.7055555555)</f>
        <v>44035.705555555498</v>
      </c>
      <c r="T2552" s="111">
        <f ca="1">IFERROR(__xludf.DUMMYFUNCTION("""COMPUTED_VALUE"""),37.34)</f>
        <v>37.340000000000003</v>
      </c>
    </row>
    <row r="2553" spans="1:20" x14ac:dyDescent="0.3">
      <c r="A2553" s="112">
        <f ca="1">IFERROR(__xludf.DUMMYFUNCTION("""COMPUTED_VALUE"""),44032.7055555555)</f>
        <v>44032.705555555498</v>
      </c>
      <c r="B2553" s="111">
        <f ca="1">IFERROR(__xludf.DUMMYFUNCTION("""COMPUTED_VALUE"""),39.57)</f>
        <v>39.57</v>
      </c>
      <c r="C2553" s="112">
        <f ca="1">IFERROR(__xludf.DUMMYFUNCTION("""COMPUTED_VALUE"""),44041.7055555555)</f>
        <v>44041.705555555498</v>
      </c>
      <c r="D2553" s="111">
        <f ca="1">IFERROR(__xludf.DUMMYFUNCTION("""COMPUTED_VALUE"""),28.29)</f>
        <v>28.29</v>
      </c>
      <c r="E2553" s="112">
        <f ca="1">IFERROR(__xludf.DUMMYFUNCTION("""COMPUTED_VALUE"""),44042.7055555555)</f>
        <v>44042.705555555498</v>
      </c>
      <c r="F2553" s="111">
        <f ca="1">IFERROR(__xludf.DUMMYFUNCTION("""COMPUTED_VALUE"""),10.39)</f>
        <v>10.39</v>
      </c>
      <c r="G2553" s="112">
        <f ca="1">IFERROR(__xludf.DUMMYFUNCTION("""COMPUTED_VALUE"""),44040.7055555555)</f>
        <v>44040.705555555498</v>
      </c>
      <c r="H2553" s="111">
        <f ca="1">IFERROR(__xludf.DUMMYFUNCTION("""COMPUTED_VALUE"""),22.8)</f>
        <v>22.8</v>
      </c>
      <c r="K2553" s="112">
        <f ca="1">IFERROR(__xludf.DUMMYFUNCTION("""COMPUTED_VALUE"""),44487.7055555555)</f>
        <v>44487.705555555498</v>
      </c>
      <c r="L2553" s="111">
        <f ca="1">IFERROR(__xludf.DUMMYFUNCTION("""COMPUTED_VALUE"""),14.28)</f>
        <v>14.28</v>
      </c>
      <c r="M2553" s="112">
        <f ca="1">IFERROR(__xludf.DUMMYFUNCTION("""COMPUTED_VALUE"""),43948.7055555555)</f>
        <v>43948.705555555498</v>
      </c>
      <c r="N2553" s="111">
        <f ca="1">IFERROR(__xludf.DUMMYFUNCTION("""COMPUTED_VALUE"""),16.69)</f>
        <v>16.690000000000001</v>
      </c>
      <c r="O2553" s="112">
        <f ca="1">IFERROR(__xludf.DUMMYFUNCTION("""COMPUTED_VALUE"""),44025.7055555555)</f>
        <v>44025.705555555498</v>
      </c>
      <c r="P2553" s="111">
        <f ca="1">IFERROR(__xludf.DUMMYFUNCTION("""COMPUTED_VALUE"""),57.65)</f>
        <v>57.65</v>
      </c>
      <c r="Q2553" s="112">
        <f ca="1">IFERROR(__xludf.DUMMYFUNCTION("""COMPUTED_VALUE"""),44022.7055555555)</f>
        <v>44022.705555555498</v>
      </c>
      <c r="R2553" s="111">
        <f ca="1">IFERROR(__xludf.DUMMYFUNCTION("""COMPUTED_VALUE"""),34.14)</f>
        <v>34.14</v>
      </c>
      <c r="S2553" s="112">
        <f ca="1">IFERROR(__xludf.DUMMYFUNCTION("""COMPUTED_VALUE"""),44036.7055555555)</f>
        <v>44036.705555555498</v>
      </c>
      <c r="T2553" s="111">
        <f ca="1">IFERROR(__xludf.DUMMYFUNCTION("""COMPUTED_VALUE"""),37.45)</f>
        <v>37.450000000000003</v>
      </c>
    </row>
    <row r="2554" spans="1:20" x14ac:dyDescent="0.3">
      <c r="A2554" s="112">
        <f ca="1">IFERROR(__xludf.DUMMYFUNCTION("""COMPUTED_VALUE"""),44033.7055555555)</f>
        <v>44033.705555555498</v>
      </c>
      <c r="B2554" s="111">
        <f ca="1">IFERROR(__xludf.DUMMYFUNCTION("""COMPUTED_VALUE"""),38.35)</f>
        <v>38.35</v>
      </c>
      <c r="C2554" s="112">
        <f ca="1">IFERROR(__xludf.DUMMYFUNCTION("""COMPUTED_VALUE"""),44042.7055555555)</f>
        <v>44042.705555555498</v>
      </c>
      <c r="D2554" s="111">
        <f ca="1">IFERROR(__xludf.DUMMYFUNCTION("""COMPUTED_VALUE"""),27.81)</f>
        <v>27.81</v>
      </c>
      <c r="E2554" s="112">
        <f ca="1">IFERROR(__xludf.DUMMYFUNCTION("""COMPUTED_VALUE"""),44043.7055555555)</f>
        <v>44043.705555555498</v>
      </c>
      <c r="F2554" s="111">
        <f ca="1">IFERROR(__xludf.DUMMYFUNCTION("""COMPUTED_VALUE"""),10.16)</f>
        <v>10.16</v>
      </c>
      <c r="G2554" s="112">
        <f ca="1">IFERROR(__xludf.DUMMYFUNCTION("""COMPUTED_VALUE"""),44041.7055555555)</f>
        <v>44041.705555555498</v>
      </c>
      <c r="H2554" s="111">
        <f ca="1">IFERROR(__xludf.DUMMYFUNCTION("""COMPUTED_VALUE"""),23.17)</f>
        <v>23.17</v>
      </c>
      <c r="K2554" s="112">
        <f ca="1">IFERROR(__xludf.DUMMYFUNCTION("""COMPUTED_VALUE"""),44488.7055555555)</f>
        <v>44488.705555555498</v>
      </c>
      <c r="L2554" s="111">
        <f ca="1">IFERROR(__xludf.DUMMYFUNCTION("""COMPUTED_VALUE"""),13.73)</f>
        <v>13.73</v>
      </c>
      <c r="M2554" s="112">
        <f ca="1">IFERROR(__xludf.DUMMYFUNCTION("""COMPUTED_VALUE"""),43949.7055555555)</f>
        <v>43949.705555555498</v>
      </c>
      <c r="N2554" s="111">
        <f ca="1">IFERROR(__xludf.DUMMYFUNCTION("""COMPUTED_VALUE"""),18.15)</f>
        <v>18.149999999999999</v>
      </c>
      <c r="O2554" s="112">
        <f ca="1">IFERROR(__xludf.DUMMYFUNCTION("""COMPUTED_VALUE"""),44026.7055555555)</f>
        <v>44026.705555555498</v>
      </c>
      <c r="P2554" s="111">
        <f ca="1">IFERROR(__xludf.DUMMYFUNCTION("""COMPUTED_VALUE"""),61.7)</f>
        <v>61.7</v>
      </c>
      <c r="Q2554" s="112">
        <f ca="1">IFERROR(__xludf.DUMMYFUNCTION("""COMPUTED_VALUE"""),44025.7055555555)</f>
        <v>44025.705555555498</v>
      </c>
      <c r="R2554" s="111">
        <f ca="1">IFERROR(__xludf.DUMMYFUNCTION("""COMPUTED_VALUE"""),33.8)</f>
        <v>33.799999999999997</v>
      </c>
      <c r="S2554" s="112">
        <f ca="1">IFERROR(__xludf.DUMMYFUNCTION("""COMPUTED_VALUE"""),44039.7055555555)</f>
        <v>44039.705555555498</v>
      </c>
      <c r="T2554" s="111">
        <f ca="1">IFERROR(__xludf.DUMMYFUNCTION("""COMPUTED_VALUE"""),36.36)</f>
        <v>36.36</v>
      </c>
    </row>
    <row r="2555" spans="1:20" x14ac:dyDescent="0.3">
      <c r="A2555" s="112">
        <f ca="1">IFERROR(__xludf.DUMMYFUNCTION("""COMPUTED_VALUE"""),44034.7055555555)</f>
        <v>44034.705555555498</v>
      </c>
      <c r="B2555" s="111">
        <f ca="1">IFERROR(__xludf.DUMMYFUNCTION("""COMPUTED_VALUE"""),38.69)</f>
        <v>38.69</v>
      </c>
      <c r="C2555" s="112">
        <f ca="1">IFERROR(__xludf.DUMMYFUNCTION("""COMPUTED_VALUE"""),44043.7055555555)</f>
        <v>44043.705555555498</v>
      </c>
      <c r="D2555" s="111">
        <f ca="1">IFERROR(__xludf.DUMMYFUNCTION("""COMPUTED_VALUE"""),26.89)</f>
        <v>26.89</v>
      </c>
      <c r="E2555" s="112">
        <f ca="1">IFERROR(__xludf.DUMMYFUNCTION("""COMPUTED_VALUE"""),44046.7055555555)</f>
        <v>44046.705555555498</v>
      </c>
      <c r="F2555" s="111">
        <f ca="1">IFERROR(__xludf.DUMMYFUNCTION("""COMPUTED_VALUE"""),10.19)</f>
        <v>10.19</v>
      </c>
      <c r="G2555" s="112">
        <f ca="1">IFERROR(__xludf.DUMMYFUNCTION("""COMPUTED_VALUE"""),44042.7055555555)</f>
        <v>44042.705555555498</v>
      </c>
      <c r="H2555" s="111">
        <f ca="1">IFERROR(__xludf.DUMMYFUNCTION("""COMPUTED_VALUE"""),22.82)</f>
        <v>22.82</v>
      </c>
      <c r="K2555" s="112">
        <f ca="1">IFERROR(__xludf.DUMMYFUNCTION("""COMPUTED_VALUE"""),44489.7055555555)</f>
        <v>44489.705555555498</v>
      </c>
      <c r="L2555" s="111">
        <f ca="1">IFERROR(__xludf.DUMMYFUNCTION("""COMPUTED_VALUE"""),13.27)</f>
        <v>13.27</v>
      </c>
      <c r="M2555" s="112">
        <f ca="1">IFERROR(__xludf.DUMMYFUNCTION("""COMPUTED_VALUE"""),43950.7055555555)</f>
        <v>43950.705555555498</v>
      </c>
      <c r="N2555" s="111">
        <f ca="1">IFERROR(__xludf.DUMMYFUNCTION("""COMPUTED_VALUE"""),18.76)</f>
        <v>18.760000000000002</v>
      </c>
      <c r="O2555" s="112">
        <f ca="1">IFERROR(__xludf.DUMMYFUNCTION("""COMPUTED_VALUE"""),44027.7055555555)</f>
        <v>44027.705555555498</v>
      </c>
      <c r="P2555" s="111">
        <f ca="1">IFERROR(__xludf.DUMMYFUNCTION("""COMPUTED_VALUE"""),61.79)</f>
        <v>61.79</v>
      </c>
      <c r="Q2555" s="112">
        <f ca="1">IFERROR(__xludf.DUMMYFUNCTION("""COMPUTED_VALUE"""),44026.7055555555)</f>
        <v>44026.705555555498</v>
      </c>
      <c r="R2555" s="111">
        <f ca="1">IFERROR(__xludf.DUMMYFUNCTION("""COMPUTED_VALUE"""),34.35)</f>
        <v>34.35</v>
      </c>
      <c r="S2555" s="112">
        <f ca="1">IFERROR(__xludf.DUMMYFUNCTION("""COMPUTED_VALUE"""),44040.7055555555)</f>
        <v>44040.705555555498</v>
      </c>
      <c r="T2555" s="111">
        <f ca="1">IFERROR(__xludf.DUMMYFUNCTION("""COMPUTED_VALUE"""),36.5)</f>
        <v>36.5</v>
      </c>
    </row>
    <row r="2556" spans="1:20" x14ac:dyDescent="0.3">
      <c r="A2556" s="112">
        <f ca="1">IFERROR(__xludf.DUMMYFUNCTION("""COMPUTED_VALUE"""),44035.7055555555)</f>
        <v>44035.705555555498</v>
      </c>
      <c r="B2556" s="111">
        <f ca="1">IFERROR(__xludf.DUMMYFUNCTION("""COMPUTED_VALUE"""),38.05)</f>
        <v>38.049999999999997</v>
      </c>
      <c r="C2556" s="112">
        <f ca="1">IFERROR(__xludf.DUMMYFUNCTION("""COMPUTED_VALUE"""),44046.7055555555)</f>
        <v>44046.705555555498</v>
      </c>
      <c r="D2556" s="111">
        <f ca="1">IFERROR(__xludf.DUMMYFUNCTION("""COMPUTED_VALUE"""),27.28)</f>
        <v>27.28</v>
      </c>
      <c r="E2556" s="112">
        <f ca="1">IFERROR(__xludf.DUMMYFUNCTION("""COMPUTED_VALUE"""),44047.7055555555)</f>
        <v>44047.705555555498</v>
      </c>
      <c r="F2556" s="111">
        <f ca="1">IFERROR(__xludf.DUMMYFUNCTION("""COMPUTED_VALUE"""),9.72)</f>
        <v>9.7200000000000006</v>
      </c>
      <c r="G2556" s="112">
        <f ca="1">IFERROR(__xludf.DUMMYFUNCTION("""COMPUTED_VALUE"""),44043.7055555555)</f>
        <v>44043.705555555498</v>
      </c>
      <c r="H2556" s="111">
        <f ca="1">IFERROR(__xludf.DUMMYFUNCTION("""COMPUTED_VALUE"""),22.2)</f>
        <v>22.2</v>
      </c>
      <c r="K2556" s="112">
        <f ca="1">IFERROR(__xludf.DUMMYFUNCTION("""COMPUTED_VALUE"""),44490.7055555555)</f>
        <v>44490.705555555498</v>
      </c>
      <c r="L2556" s="111">
        <f ca="1">IFERROR(__xludf.DUMMYFUNCTION("""COMPUTED_VALUE"""),12.41)</f>
        <v>12.41</v>
      </c>
      <c r="M2556" s="112">
        <f ca="1">IFERROR(__xludf.DUMMYFUNCTION("""COMPUTED_VALUE"""),43951.7055555555)</f>
        <v>43951.705555555498</v>
      </c>
      <c r="N2556" s="111">
        <f ca="1">IFERROR(__xludf.DUMMYFUNCTION("""COMPUTED_VALUE"""),17.41)</f>
        <v>17.41</v>
      </c>
      <c r="O2556" s="112">
        <f ca="1">IFERROR(__xludf.DUMMYFUNCTION("""COMPUTED_VALUE"""),44028.7055555555)</f>
        <v>44028.705555555498</v>
      </c>
      <c r="P2556" s="111">
        <f ca="1">IFERROR(__xludf.DUMMYFUNCTION("""COMPUTED_VALUE"""),60.12)</f>
        <v>60.12</v>
      </c>
      <c r="Q2556" s="112">
        <f ca="1">IFERROR(__xludf.DUMMYFUNCTION("""COMPUTED_VALUE"""),44027.7055555555)</f>
        <v>44027.705555555498</v>
      </c>
      <c r="R2556" s="111">
        <f ca="1">IFERROR(__xludf.DUMMYFUNCTION("""COMPUTED_VALUE"""),34.69)</f>
        <v>34.69</v>
      </c>
      <c r="S2556" s="112">
        <f ca="1">IFERROR(__xludf.DUMMYFUNCTION("""COMPUTED_VALUE"""),44041.7055555555)</f>
        <v>44041.705555555498</v>
      </c>
      <c r="T2556" s="111">
        <f ca="1">IFERROR(__xludf.DUMMYFUNCTION("""COMPUTED_VALUE"""),37.91)</f>
        <v>37.909999999999997</v>
      </c>
    </row>
    <row r="2557" spans="1:20" x14ac:dyDescent="0.3">
      <c r="A2557" s="112">
        <f ca="1">IFERROR(__xludf.DUMMYFUNCTION("""COMPUTED_VALUE"""),44036.7055555555)</f>
        <v>44036.705555555498</v>
      </c>
      <c r="B2557" s="111">
        <f ca="1">IFERROR(__xludf.DUMMYFUNCTION("""COMPUTED_VALUE"""),37.69)</f>
        <v>37.69</v>
      </c>
      <c r="C2557" s="112">
        <f ca="1">IFERROR(__xludf.DUMMYFUNCTION("""COMPUTED_VALUE"""),44047.7055555555)</f>
        <v>44047.705555555498</v>
      </c>
      <c r="D2557" s="111">
        <f ca="1">IFERROR(__xludf.DUMMYFUNCTION("""COMPUTED_VALUE"""),25.69)</f>
        <v>25.69</v>
      </c>
      <c r="E2557" s="112">
        <f ca="1">IFERROR(__xludf.DUMMYFUNCTION("""COMPUTED_VALUE"""),44048.7055555555)</f>
        <v>44048.705555555498</v>
      </c>
      <c r="F2557" s="111">
        <f ca="1">IFERROR(__xludf.DUMMYFUNCTION("""COMPUTED_VALUE"""),9.71)</f>
        <v>9.7100000000000009</v>
      </c>
      <c r="G2557" s="112">
        <f ca="1">IFERROR(__xludf.DUMMYFUNCTION("""COMPUTED_VALUE"""),44046.7055555555)</f>
        <v>44046.705555555498</v>
      </c>
      <c r="H2557" s="111">
        <f ca="1">IFERROR(__xludf.DUMMYFUNCTION("""COMPUTED_VALUE"""),21.8)</f>
        <v>21.8</v>
      </c>
      <c r="K2557" s="112">
        <f ca="1">IFERROR(__xludf.DUMMYFUNCTION("""COMPUTED_VALUE"""),44491.7055555555)</f>
        <v>44491.705555555498</v>
      </c>
      <c r="L2557" s="111">
        <f ca="1">IFERROR(__xludf.DUMMYFUNCTION("""COMPUTED_VALUE"""),12.42)</f>
        <v>12.42</v>
      </c>
      <c r="M2557" s="112">
        <f ca="1">IFERROR(__xludf.DUMMYFUNCTION("""COMPUTED_VALUE"""),43955.7055555555)</f>
        <v>43955.705555555498</v>
      </c>
      <c r="N2557" s="111">
        <f ca="1">IFERROR(__xludf.DUMMYFUNCTION("""COMPUTED_VALUE"""),16.64)</f>
        <v>16.64</v>
      </c>
      <c r="O2557" s="112">
        <f ca="1">IFERROR(__xludf.DUMMYFUNCTION("""COMPUTED_VALUE"""),44029.7055555555)</f>
        <v>44029.705555555498</v>
      </c>
      <c r="P2557" s="111">
        <f ca="1">IFERROR(__xludf.DUMMYFUNCTION("""COMPUTED_VALUE"""),61.04)</f>
        <v>61.04</v>
      </c>
      <c r="Q2557" s="112">
        <f ca="1">IFERROR(__xludf.DUMMYFUNCTION("""COMPUTED_VALUE"""),44028.7055555555)</f>
        <v>44028.705555555498</v>
      </c>
      <c r="R2557" s="111">
        <f ca="1">IFERROR(__xludf.DUMMYFUNCTION("""COMPUTED_VALUE"""),34.4)</f>
        <v>34.4</v>
      </c>
      <c r="S2557" s="112">
        <f ca="1">IFERROR(__xludf.DUMMYFUNCTION("""COMPUTED_VALUE"""),44042.7055555555)</f>
        <v>44042.705555555498</v>
      </c>
      <c r="T2557" s="111">
        <f ca="1">IFERROR(__xludf.DUMMYFUNCTION("""COMPUTED_VALUE"""),37.63)</f>
        <v>37.630000000000003</v>
      </c>
    </row>
    <row r="2558" spans="1:20" x14ac:dyDescent="0.3">
      <c r="A2558" s="112">
        <f ca="1">IFERROR(__xludf.DUMMYFUNCTION("""COMPUTED_VALUE"""),44039.7055555555)</f>
        <v>44039.705555555498</v>
      </c>
      <c r="B2558" s="111">
        <f ca="1">IFERROR(__xludf.DUMMYFUNCTION("""COMPUTED_VALUE"""),38.88)</f>
        <v>38.880000000000003</v>
      </c>
      <c r="C2558" s="112">
        <f ca="1">IFERROR(__xludf.DUMMYFUNCTION("""COMPUTED_VALUE"""),44048.7055555555)</f>
        <v>44048.705555555498</v>
      </c>
      <c r="D2558" s="111">
        <f ca="1">IFERROR(__xludf.DUMMYFUNCTION("""COMPUTED_VALUE"""),25.67)</f>
        <v>25.67</v>
      </c>
      <c r="E2558" s="112">
        <f ca="1">IFERROR(__xludf.DUMMYFUNCTION("""COMPUTED_VALUE"""),44049.7055555555)</f>
        <v>44049.705555555498</v>
      </c>
      <c r="F2558" s="111">
        <f ca="1">IFERROR(__xludf.DUMMYFUNCTION("""COMPUTED_VALUE"""),9.83)</f>
        <v>9.83</v>
      </c>
      <c r="G2558" s="112">
        <f ca="1">IFERROR(__xludf.DUMMYFUNCTION("""COMPUTED_VALUE"""),44047.7055555555)</f>
        <v>44047.705555555498</v>
      </c>
      <c r="H2558" s="111">
        <f ca="1">IFERROR(__xludf.DUMMYFUNCTION("""COMPUTED_VALUE"""),21.78)</f>
        <v>21.78</v>
      </c>
      <c r="K2558" s="112">
        <f ca="1">IFERROR(__xludf.DUMMYFUNCTION("""COMPUTED_VALUE"""),44494.7055555555)</f>
        <v>44494.705555555498</v>
      </c>
      <c r="L2558" s="111">
        <f ca="1">IFERROR(__xludf.DUMMYFUNCTION("""COMPUTED_VALUE"""),12.34)</f>
        <v>12.34</v>
      </c>
      <c r="M2558" s="112">
        <f ca="1">IFERROR(__xludf.DUMMYFUNCTION("""COMPUTED_VALUE"""),43956.7055555555)</f>
        <v>43956.705555555498</v>
      </c>
      <c r="N2558" s="111">
        <f ca="1">IFERROR(__xludf.DUMMYFUNCTION("""COMPUTED_VALUE"""),16.64)</f>
        <v>16.64</v>
      </c>
      <c r="O2558" s="112">
        <f ca="1">IFERROR(__xludf.DUMMYFUNCTION("""COMPUTED_VALUE"""),44032.7055555555)</f>
        <v>44032.705555555498</v>
      </c>
      <c r="P2558" s="111">
        <f ca="1">IFERROR(__xludf.DUMMYFUNCTION("""COMPUTED_VALUE"""),60.8)</f>
        <v>60.8</v>
      </c>
      <c r="Q2558" s="112">
        <f ca="1">IFERROR(__xludf.DUMMYFUNCTION("""COMPUTED_VALUE"""),44029.7055555555)</f>
        <v>44029.705555555498</v>
      </c>
      <c r="R2558" s="111">
        <f ca="1">IFERROR(__xludf.DUMMYFUNCTION("""COMPUTED_VALUE"""),35.46)</f>
        <v>35.46</v>
      </c>
      <c r="S2558" s="112">
        <f ca="1">IFERROR(__xludf.DUMMYFUNCTION("""COMPUTED_VALUE"""),44043.7055555555)</f>
        <v>44043.705555555498</v>
      </c>
      <c r="T2558" s="111">
        <f ca="1">IFERROR(__xludf.DUMMYFUNCTION("""COMPUTED_VALUE"""),37.39)</f>
        <v>37.39</v>
      </c>
    </row>
    <row r="2559" spans="1:20" x14ac:dyDescent="0.3">
      <c r="A2559" s="112">
        <f ca="1">IFERROR(__xludf.DUMMYFUNCTION("""COMPUTED_VALUE"""),44040.7055555555)</f>
        <v>44040.705555555498</v>
      </c>
      <c r="B2559" s="111">
        <f ca="1">IFERROR(__xludf.DUMMYFUNCTION("""COMPUTED_VALUE"""),38.48)</f>
        <v>38.479999999999997</v>
      </c>
      <c r="C2559" s="112">
        <f ca="1">IFERROR(__xludf.DUMMYFUNCTION("""COMPUTED_VALUE"""),44049.7055555555)</f>
        <v>44049.705555555498</v>
      </c>
      <c r="D2559" s="111">
        <f ca="1">IFERROR(__xludf.DUMMYFUNCTION("""COMPUTED_VALUE"""),26.03)</f>
        <v>26.03</v>
      </c>
      <c r="E2559" s="112">
        <f ca="1">IFERROR(__xludf.DUMMYFUNCTION("""COMPUTED_VALUE"""),44050.7055555555)</f>
        <v>44050.705555555498</v>
      </c>
      <c r="F2559" s="111">
        <f ca="1">IFERROR(__xludf.DUMMYFUNCTION("""COMPUTED_VALUE"""),9.72)</f>
        <v>9.7200000000000006</v>
      </c>
      <c r="G2559" s="112">
        <f ca="1">IFERROR(__xludf.DUMMYFUNCTION("""COMPUTED_VALUE"""),44048.7055555555)</f>
        <v>44048.705555555498</v>
      </c>
      <c r="H2559" s="111">
        <f ca="1">IFERROR(__xludf.DUMMYFUNCTION("""COMPUTED_VALUE"""),23.18)</f>
        <v>23.18</v>
      </c>
      <c r="K2559" s="112">
        <f ca="1">IFERROR(__xludf.DUMMYFUNCTION("""COMPUTED_VALUE"""),44495.7055555555)</f>
        <v>44495.705555555498</v>
      </c>
      <c r="L2559" s="111">
        <f ca="1">IFERROR(__xludf.DUMMYFUNCTION("""COMPUTED_VALUE"""),11.98)</f>
        <v>11.98</v>
      </c>
      <c r="M2559" s="112">
        <f ca="1">IFERROR(__xludf.DUMMYFUNCTION("""COMPUTED_VALUE"""),43957.7055555555)</f>
        <v>43957.705555555498</v>
      </c>
      <c r="N2559" s="111">
        <f ca="1">IFERROR(__xludf.DUMMYFUNCTION("""COMPUTED_VALUE"""),16.29)</f>
        <v>16.29</v>
      </c>
      <c r="O2559" s="112">
        <f ca="1">IFERROR(__xludf.DUMMYFUNCTION("""COMPUTED_VALUE"""),44033.7055555555)</f>
        <v>44033.705555555498</v>
      </c>
      <c r="P2559" s="111">
        <f ca="1">IFERROR(__xludf.DUMMYFUNCTION("""COMPUTED_VALUE"""),59.7)</f>
        <v>59.7</v>
      </c>
      <c r="Q2559" s="112">
        <f ca="1">IFERROR(__xludf.DUMMYFUNCTION("""COMPUTED_VALUE"""),44032.7055555555)</f>
        <v>44032.705555555498</v>
      </c>
      <c r="R2559" s="111">
        <f ca="1">IFERROR(__xludf.DUMMYFUNCTION("""COMPUTED_VALUE"""),35.32)</f>
        <v>35.32</v>
      </c>
      <c r="S2559" s="112">
        <f ca="1">IFERROR(__xludf.DUMMYFUNCTION("""COMPUTED_VALUE"""),44046.7055555555)</f>
        <v>44046.705555555498</v>
      </c>
      <c r="T2559" s="111">
        <f ca="1">IFERROR(__xludf.DUMMYFUNCTION("""COMPUTED_VALUE"""),37.11)</f>
        <v>37.11</v>
      </c>
    </row>
    <row r="2560" spans="1:20" x14ac:dyDescent="0.3">
      <c r="A2560" s="112">
        <f ca="1">IFERROR(__xludf.DUMMYFUNCTION("""COMPUTED_VALUE"""),44041.7055555555)</f>
        <v>44041.705555555498</v>
      </c>
      <c r="B2560" s="111">
        <f ca="1">IFERROR(__xludf.DUMMYFUNCTION("""COMPUTED_VALUE"""),39.33)</f>
        <v>39.33</v>
      </c>
      <c r="C2560" s="112">
        <f ca="1">IFERROR(__xludf.DUMMYFUNCTION("""COMPUTED_VALUE"""),44050.7055555555)</f>
        <v>44050.705555555498</v>
      </c>
      <c r="D2560" s="111">
        <f ca="1">IFERROR(__xludf.DUMMYFUNCTION("""COMPUTED_VALUE"""),25.48)</f>
        <v>25.48</v>
      </c>
      <c r="E2560" s="112">
        <f ca="1">IFERROR(__xludf.DUMMYFUNCTION("""COMPUTED_VALUE"""),44053.7055555555)</f>
        <v>44053.705555555498</v>
      </c>
      <c r="F2560" s="111">
        <f ca="1">IFERROR(__xludf.DUMMYFUNCTION("""COMPUTED_VALUE"""),9.87)</f>
        <v>9.8699999999999992</v>
      </c>
      <c r="G2560" s="112">
        <f ca="1">IFERROR(__xludf.DUMMYFUNCTION("""COMPUTED_VALUE"""),44049.7055555555)</f>
        <v>44049.705555555498</v>
      </c>
      <c r="H2560" s="111">
        <f ca="1">IFERROR(__xludf.DUMMYFUNCTION("""COMPUTED_VALUE"""),23.22)</f>
        <v>23.22</v>
      </c>
      <c r="K2560" s="112">
        <f ca="1">IFERROR(__xludf.DUMMYFUNCTION("""COMPUTED_VALUE"""),44496.7055555555)</f>
        <v>44496.705555555498</v>
      </c>
      <c r="L2560" s="111">
        <f ca="1">IFERROR(__xludf.DUMMYFUNCTION("""COMPUTED_VALUE"""),11.6)</f>
        <v>11.6</v>
      </c>
      <c r="M2560" s="112">
        <f ca="1">IFERROR(__xludf.DUMMYFUNCTION("""COMPUTED_VALUE"""),43958.7055555555)</f>
        <v>43958.705555555498</v>
      </c>
      <c r="N2560" s="111">
        <f ca="1">IFERROR(__xludf.DUMMYFUNCTION("""COMPUTED_VALUE"""),15.59)</f>
        <v>15.59</v>
      </c>
      <c r="O2560" s="112">
        <f ca="1">IFERROR(__xludf.DUMMYFUNCTION("""COMPUTED_VALUE"""),44034.7055555555)</f>
        <v>44034.705555555498</v>
      </c>
      <c r="P2560" s="111">
        <f ca="1">IFERROR(__xludf.DUMMYFUNCTION("""COMPUTED_VALUE"""),59.24)</f>
        <v>59.24</v>
      </c>
      <c r="Q2560" s="112">
        <f ca="1">IFERROR(__xludf.DUMMYFUNCTION("""COMPUTED_VALUE"""),44033.7055555555)</f>
        <v>44033.705555555498</v>
      </c>
      <c r="R2560" s="111">
        <f ca="1">IFERROR(__xludf.DUMMYFUNCTION("""COMPUTED_VALUE"""),35.49)</f>
        <v>35.49</v>
      </c>
      <c r="S2560" s="112">
        <f ca="1">IFERROR(__xludf.DUMMYFUNCTION("""COMPUTED_VALUE"""),44047.7055555555)</f>
        <v>44047.705555555498</v>
      </c>
      <c r="T2560" s="111">
        <f ca="1">IFERROR(__xludf.DUMMYFUNCTION("""COMPUTED_VALUE"""),35.89)</f>
        <v>35.89</v>
      </c>
    </row>
    <row r="2561" spans="1:20" x14ac:dyDescent="0.3">
      <c r="A2561" s="112">
        <f ca="1">IFERROR(__xludf.DUMMYFUNCTION("""COMPUTED_VALUE"""),44042.7055555555)</f>
        <v>44042.705555555498</v>
      </c>
      <c r="B2561" s="111">
        <f ca="1">IFERROR(__xludf.DUMMYFUNCTION("""COMPUTED_VALUE"""),37.74)</f>
        <v>37.74</v>
      </c>
      <c r="C2561" s="112">
        <f ca="1">IFERROR(__xludf.DUMMYFUNCTION("""COMPUTED_VALUE"""),44053.7055555555)</f>
        <v>44053.705555555498</v>
      </c>
      <c r="D2561" s="111">
        <f ca="1">IFERROR(__xludf.DUMMYFUNCTION("""COMPUTED_VALUE"""),25.81)</f>
        <v>25.81</v>
      </c>
      <c r="E2561" s="112">
        <f ca="1">IFERROR(__xludf.DUMMYFUNCTION("""COMPUTED_VALUE"""),44054.7055555555)</f>
        <v>44054.705555555498</v>
      </c>
      <c r="F2561" s="111">
        <f ca="1">IFERROR(__xludf.DUMMYFUNCTION("""COMPUTED_VALUE"""),9.71)</f>
        <v>9.7100000000000009</v>
      </c>
      <c r="G2561" s="112">
        <f ca="1">IFERROR(__xludf.DUMMYFUNCTION("""COMPUTED_VALUE"""),44050.7055555555)</f>
        <v>44050.705555555498</v>
      </c>
      <c r="H2561" s="111">
        <f ca="1">IFERROR(__xludf.DUMMYFUNCTION("""COMPUTED_VALUE"""),22.79)</f>
        <v>22.79</v>
      </c>
      <c r="K2561" s="112">
        <f ca="1">IFERROR(__xludf.DUMMYFUNCTION("""COMPUTED_VALUE"""),44497.7055555555)</f>
        <v>44497.705555555498</v>
      </c>
      <c r="L2561" s="111">
        <f ca="1">IFERROR(__xludf.DUMMYFUNCTION("""COMPUTED_VALUE"""),11.15)</f>
        <v>11.15</v>
      </c>
      <c r="M2561" s="112">
        <f ca="1">IFERROR(__xludf.DUMMYFUNCTION("""COMPUTED_VALUE"""),43959.7055555555)</f>
        <v>43959.705555555498</v>
      </c>
      <c r="N2561" s="111">
        <f ca="1">IFERROR(__xludf.DUMMYFUNCTION("""COMPUTED_VALUE"""),16.29)</f>
        <v>16.29</v>
      </c>
      <c r="O2561" s="112">
        <f ca="1">IFERROR(__xludf.DUMMYFUNCTION("""COMPUTED_VALUE"""),44035.7055555555)</f>
        <v>44035.705555555498</v>
      </c>
      <c r="P2561" s="111">
        <f ca="1">IFERROR(__xludf.DUMMYFUNCTION("""COMPUTED_VALUE"""),58.85)</f>
        <v>58.85</v>
      </c>
      <c r="Q2561" s="112">
        <f ca="1">IFERROR(__xludf.DUMMYFUNCTION("""COMPUTED_VALUE"""),44034.7055555555)</f>
        <v>44034.705555555498</v>
      </c>
      <c r="R2561" s="111">
        <f ca="1">IFERROR(__xludf.DUMMYFUNCTION("""COMPUTED_VALUE"""),35.2)</f>
        <v>35.200000000000003</v>
      </c>
      <c r="S2561" s="112">
        <f ca="1">IFERROR(__xludf.DUMMYFUNCTION("""COMPUTED_VALUE"""),44048.7055555555)</f>
        <v>44048.705555555498</v>
      </c>
      <c r="T2561" s="111">
        <f ca="1">IFERROR(__xludf.DUMMYFUNCTION("""COMPUTED_VALUE"""),37.04)</f>
        <v>37.04</v>
      </c>
    </row>
    <row r="2562" spans="1:20" x14ac:dyDescent="0.3">
      <c r="A2562" s="112">
        <f ca="1">IFERROR(__xludf.DUMMYFUNCTION("""COMPUTED_VALUE"""),44043.7055555555)</f>
        <v>44043.705555555498</v>
      </c>
      <c r="B2562" s="111">
        <f ca="1">IFERROR(__xludf.DUMMYFUNCTION("""COMPUTED_VALUE"""),36.55)</f>
        <v>36.549999999999997</v>
      </c>
      <c r="C2562" s="112">
        <f ca="1">IFERROR(__xludf.DUMMYFUNCTION("""COMPUTED_VALUE"""),44054.7055555555)</f>
        <v>44054.705555555498</v>
      </c>
      <c r="D2562" s="111">
        <f ca="1">IFERROR(__xludf.DUMMYFUNCTION("""COMPUTED_VALUE"""),25.51)</f>
        <v>25.51</v>
      </c>
      <c r="E2562" s="112">
        <f ca="1">IFERROR(__xludf.DUMMYFUNCTION("""COMPUTED_VALUE"""),44055.7055555555)</f>
        <v>44055.705555555498</v>
      </c>
      <c r="F2562" s="111">
        <f ca="1">IFERROR(__xludf.DUMMYFUNCTION("""COMPUTED_VALUE"""),9.63)</f>
        <v>9.6300000000000008</v>
      </c>
      <c r="G2562" s="112">
        <f ca="1">IFERROR(__xludf.DUMMYFUNCTION("""COMPUTED_VALUE"""),44053.7055555555)</f>
        <v>44053.705555555498</v>
      </c>
      <c r="H2562" s="111">
        <f ca="1">IFERROR(__xludf.DUMMYFUNCTION("""COMPUTED_VALUE"""),23.45)</f>
        <v>23.45</v>
      </c>
      <c r="K2562" s="112">
        <f ca="1">IFERROR(__xludf.DUMMYFUNCTION("""COMPUTED_VALUE"""),44498.7055555555)</f>
        <v>44498.705555555498</v>
      </c>
      <c r="L2562" s="111">
        <f ca="1">IFERROR(__xludf.DUMMYFUNCTION("""COMPUTED_VALUE"""),10.81)</f>
        <v>10.81</v>
      </c>
      <c r="M2562" s="112">
        <f ca="1">IFERROR(__xludf.DUMMYFUNCTION("""COMPUTED_VALUE"""),43962.7055555555)</f>
        <v>43962.705555555498</v>
      </c>
      <c r="N2562" s="111">
        <f ca="1">IFERROR(__xludf.DUMMYFUNCTION("""COMPUTED_VALUE"""),16.05)</f>
        <v>16.05</v>
      </c>
      <c r="O2562" s="112">
        <f ca="1">IFERROR(__xludf.DUMMYFUNCTION("""COMPUTED_VALUE"""),44036.7055555555)</f>
        <v>44036.705555555498</v>
      </c>
      <c r="P2562" s="111">
        <f ca="1">IFERROR(__xludf.DUMMYFUNCTION("""COMPUTED_VALUE"""),58.6)</f>
        <v>58.6</v>
      </c>
      <c r="Q2562" s="112">
        <f ca="1">IFERROR(__xludf.DUMMYFUNCTION("""COMPUTED_VALUE"""),44035.7055555555)</f>
        <v>44035.705555555498</v>
      </c>
      <c r="R2562" s="111">
        <f ca="1">IFERROR(__xludf.DUMMYFUNCTION("""COMPUTED_VALUE"""),34.35)</f>
        <v>34.35</v>
      </c>
      <c r="S2562" s="112">
        <f ca="1">IFERROR(__xludf.DUMMYFUNCTION("""COMPUTED_VALUE"""),44049.7055555555)</f>
        <v>44049.705555555498</v>
      </c>
      <c r="T2562" s="111">
        <f ca="1">IFERROR(__xludf.DUMMYFUNCTION("""COMPUTED_VALUE"""),38.95)</f>
        <v>38.950000000000003</v>
      </c>
    </row>
    <row r="2563" spans="1:20" x14ac:dyDescent="0.3">
      <c r="A2563" s="112">
        <f ca="1">IFERROR(__xludf.DUMMYFUNCTION("""COMPUTED_VALUE"""),44046.7055555555)</f>
        <v>44046.705555555498</v>
      </c>
      <c r="B2563" s="111">
        <f ca="1">IFERROR(__xludf.DUMMYFUNCTION("""COMPUTED_VALUE"""),37.15)</f>
        <v>37.15</v>
      </c>
      <c r="C2563" s="112">
        <f ca="1">IFERROR(__xludf.DUMMYFUNCTION("""COMPUTED_VALUE"""),44055.7055555555)</f>
        <v>44055.705555555498</v>
      </c>
      <c r="D2563" s="111">
        <f ca="1">IFERROR(__xludf.DUMMYFUNCTION("""COMPUTED_VALUE"""),25.22)</f>
        <v>25.22</v>
      </c>
      <c r="E2563" s="112">
        <f ca="1">IFERROR(__xludf.DUMMYFUNCTION("""COMPUTED_VALUE"""),44056.7055555555)</f>
        <v>44056.705555555498</v>
      </c>
      <c r="F2563" s="111">
        <f ca="1">IFERROR(__xludf.DUMMYFUNCTION("""COMPUTED_VALUE"""),9.39)</f>
        <v>9.39</v>
      </c>
      <c r="G2563" s="112">
        <f ca="1">IFERROR(__xludf.DUMMYFUNCTION("""COMPUTED_VALUE"""),44054.7055555555)</f>
        <v>44054.705555555498</v>
      </c>
      <c r="H2563" s="111">
        <f ca="1">IFERROR(__xludf.DUMMYFUNCTION("""COMPUTED_VALUE"""),23.08)</f>
        <v>23.08</v>
      </c>
      <c r="K2563" s="112">
        <f ca="1">IFERROR(__xludf.DUMMYFUNCTION("""COMPUTED_VALUE"""),44501.7055555555)</f>
        <v>44501.705555555498</v>
      </c>
      <c r="L2563" s="111">
        <f ca="1">IFERROR(__xludf.DUMMYFUNCTION("""COMPUTED_VALUE"""),11.3)</f>
        <v>11.3</v>
      </c>
      <c r="M2563" s="112">
        <f ca="1">IFERROR(__xludf.DUMMYFUNCTION("""COMPUTED_VALUE"""),43963.7055555555)</f>
        <v>43963.705555555498</v>
      </c>
      <c r="N2563" s="111">
        <f ca="1">IFERROR(__xludf.DUMMYFUNCTION("""COMPUTED_VALUE"""),15.55)</f>
        <v>15.55</v>
      </c>
      <c r="O2563" s="112">
        <f ca="1">IFERROR(__xludf.DUMMYFUNCTION("""COMPUTED_VALUE"""),44039.7055555555)</f>
        <v>44039.705555555498</v>
      </c>
      <c r="P2563" s="111">
        <f ca="1">IFERROR(__xludf.DUMMYFUNCTION("""COMPUTED_VALUE"""),61.37)</f>
        <v>61.37</v>
      </c>
      <c r="Q2563" s="112">
        <f ca="1">IFERROR(__xludf.DUMMYFUNCTION("""COMPUTED_VALUE"""),44036.7055555555)</f>
        <v>44036.705555555498</v>
      </c>
      <c r="R2563" s="111">
        <f ca="1">IFERROR(__xludf.DUMMYFUNCTION("""COMPUTED_VALUE"""),33.95)</f>
        <v>33.950000000000003</v>
      </c>
      <c r="S2563" s="112">
        <f ca="1">IFERROR(__xludf.DUMMYFUNCTION("""COMPUTED_VALUE"""),44050.7055555555)</f>
        <v>44050.705555555498</v>
      </c>
      <c r="T2563" s="111">
        <f ca="1">IFERROR(__xludf.DUMMYFUNCTION("""COMPUTED_VALUE"""),39.29)</f>
        <v>39.29</v>
      </c>
    </row>
    <row r="2564" spans="1:20" x14ac:dyDescent="0.3">
      <c r="A2564" s="112">
        <f ca="1">IFERROR(__xludf.DUMMYFUNCTION("""COMPUTED_VALUE"""),44047.7055555555)</f>
        <v>44047.705555555498</v>
      </c>
      <c r="B2564" s="111">
        <f ca="1">IFERROR(__xludf.DUMMYFUNCTION("""COMPUTED_VALUE"""),36.6)</f>
        <v>36.6</v>
      </c>
      <c r="C2564" s="112">
        <f ca="1">IFERROR(__xludf.DUMMYFUNCTION("""COMPUTED_VALUE"""),44056.7055555555)</f>
        <v>44056.705555555498</v>
      </c>
      <c r="D2564" s="111">
        <f ca="1">IFERROR(__xludf.DUMMYFUNCTION("""COMPUTED_VALUE"""),24.5)</f>
        <v>24.5</v>
      </c>
      <c r="E2564" s="112">
        <f ca="1">IFERROR(__xludf.DUMMYFUNCTION("""COMPUTED_VALUE"""),44057.7055555555)</f>
        <v>44057.705555555498</v>
      </c>
      <c r="F2564" s="111">
        <f ca="1">IFERROR(__xludf.DUMMYFUNCTION("""COMPUTED_VALUE"""),9.46)</f>
        <v>9.4600000000000009</v>
      </c>
      <c r="G2564" s="112">
        <f ca="1">IFERROR(__xludf.DUMMYFUNCTION("""COMPUTED_VALUE"""),44055.7055555555)</f>
        <v>44055.705555555498</v>
      </c>
      <c r="H2564" s="111">
        <f ca="1">IFERROR(__xludf.DUMMYFUNCTION("""COMPUTED_VALUE"""),23.48)</f>
        <v>23.48</v>
      </c>
      <c r="K2564" s="112">
        <f ca="1">IFERROR(__xludf.DUMMYFUNCTION("""COMPUTED_VALUE"""),44503.7055555555)</f>
        <v>44503.705555555498</v>
      </c>
      <c r="L2564" s="111">
        <f ca="1">IFERROR(__xludf.DUMMYFUNCTION("""COMPUTED_VALUE"""),11.55)</f>
        <v>11.55</v>
      </c>
      <c r="M2564" s="112">
        <f ca="1">IFERROR(__xludf.DUMMYFUNCTION("""COMPUTED_VALUE"""),43964.7055555555)</f>
        <v>43964.705555555498</v>
      </c>
      <c r="N2564" s="111">
        <f ca="1">IFERROR(__xludf.DUMMYFUNCTION("""COMPUTED_VALUE"""),15.41)</f>
        <v>15.41</v>
      </c>
      <c r="O2564" s="112">
        <f ca="1">IFERROR(__xludf.DUMMYFUNCTION("""COMPUTED_VALUE"""),44040.7055555555)</f>
        <v>44040.705555555498</v>
      </c>
      <c r="P2564" s="111">
        <f ca="1">IFERROR(__xludf.DUMMYFUNCTION("""COMPUTED_VALUE"""),60.34)</f>
        <v>60.34</v>
      </c>
      <c r="Q2564" s="112">
        <f ca="1">IFERROR(__xludf.DUMMYFUNCTION("""COMPUTED_VALUE"""),44039.7055555555)</f>
        <v>44039.705555555498</v>
      </c>
      <c r="R2564" s="111">
        <f ca="1">IFERROR(__xludf.DUMMYFUNCTION("""COMPUTED_VALUE"""),34.91)</f>
        <v>34.909999999999997</v>
      </c>
      <c r="S2564" s="112">
        <f ca="1">IFERROR(__xludf.DUMMYFUNCTION("""COMPUTED_VALUE"""),44053.7055555555)</f>
        <v>44053.705555555498</v>
      </c>
      <c r="T2564" s="111">
        <f ca="1">IFERROR(__xludf.DUMMYFUNCTION("""COMPUTED_VALUE"""),38.77)</f>
        <v>38.770000000000003</v>
      </c>
    </row>
    <row r="2565" spans="1:20" x14ac:dyDescent="0.3">
      <c r="A2565" s="112">
        <f ca="1">IFERROR(__xludf.DUMMYFUNCTION("""COMPUTED_VALUE"""),44048.7055555555)</f>
        <v>44048.705555555498</v>
      </c>
      <c r="B2565" s="111">
        <f ca="1">IFERROR(__xludf.DUMMYFUNCTION("""COMPUTED_VALUE"""),36.31)</f>
        <v>36.31</v>
      </c>
      <c r="C2565" s="112">
        <f ca="1">IFERROR(__xludf.DUMMYFUNCTION("""COMPUTED_VALUE"""),44057.7055555555)</f>
        <v>44057.705555555498</v>
      </c>
      <c r="D2565" s="111">
        <f ca="1">IFERROR(__xludf.DUMMYFUNCTION("""COMPUTED_VALUE"""),24.73)</f>
        <v>24.73</v>
      </c>
      <c r="E2565" s="112">
        <f ca="1">IFERROR(__xludf.DUMMYFUNCTION("""COMPUTED_VALUE"""),44060.7055555555)</f>
        <v>44060.705555555498</v>
      </c>
      <c r="F2565" s="111">
        <f ca="1">IFERROR(__xludf.DUMMYFUNCTION("""COMPUTED_VALUE"""),9.17)</f>
        <v>9.17</v>
      </c>
      <c r="G2565" s="112">
        <f ca="1">IFERROR(__xludf.DUMMYFUNCTION("""COMPUTED_VALUE"""),44056.7055555555)</f>
        <v>44056.705555555498</v>
      </c>
      <c r="H2565" s="111">
        <f ca="1">IFERROR(__xludf.DUMMYFUNCTION("""COMPUTED_VALUE"""),22.84)</f>
        <v>22.84</v>
      </c>
      <c r="K2565" s="112">
        <f ca="1">IFERROR(__xludf.DUMMYFUNCTION("""COMPUTED_VALUE"""),44504.7055555555)</f>
        <v>44504.705555555498</v>
      </c>
      <c r="L2565" s="111">
        <f ca="1">IFERROR(__xludf.DUMMYFUNCTION("""COMPUTED_VALUE"""),11.08)</f>
        <v>11.08</v>
      </c>
      <c r="M2565" s="112">
        <f ca="1">IFERROR(__xludf.DUMMYFUNCTION("""COMPUTED_VALUE"""),43965.7055555555)</f>
        <v>43965.705555555498</v>
      </c>
      <c r="N2565" s="111">
        <f ca="1">IFERROR(__xludf.DUMMYFUNCTION("""COMPUTED_VALUE"""),16.25)</f>
        <v>16.25</v>
      </c>
      <c r="O2565" s="112">
        <f ca="1">IFERROR(__xludf.DUMMYFUNCTION("""COMPUTED_VALUE"""),44041.7055555555)</f>
        <v>44041.705555555498</v>
      </c>
      <c r="P2565" s="111">
        <f ca="1">IFERROR(__xludf.DUMMYFUNCTION("""COMPUTED_VALUE"""),62.95)</f>
        <v>62.95</v>
      </c>
      <c r="Q2565" s="112">
        <f ca="1">IFERROR(__xludf.DUMMYFUNCTION("""COMPUTED_VALUE"""),44040.7055555555)</f>
        <v>44040.705555555498</v>
      </c>
      <c r="R2565" s="111">
        <f ca="1">IFERROR(__xludf.DUMMYFUNCTION("""COMPUTED_VALUE"""),35.03)</f>
        <v>35.03</v>
      </c>
      <c r="S2565" s="112">
        <f ca="1">IFERROR(__xludf.DUMMYFUNCTION("""COMPUTED_VALUE"""),44054.7055555555)</f>
        <v>44054.705555555498</v>
      </c>
      <c r="T2565" s="111">
        <f ca="1">IFERROR(__xludf.DUMMYFUNCTION("""COMPUTED_VALUE"""),38.63)</f>
        <v>38.630000000000003</v>
      </c>
    </row>
    <row r="2566" spans="1:20" x14ac:dyDescent="0.3">
      <c r="A2566" s="112">
        <f ca="1">IFERROR(__xludf.DUMMYFUNCTION("""COMPUTED_VALUE"""),44049.7055555555)</f>
        <v>44049.705555555498</v>
      </c>
      <c r="B2566" s="111">
        <f ca="1">IFERROR(__xludf.DUMMYFUNCTION("""COMPUTED_VALUE"""),37.63)</f>
        <v>37.630000000000003</v>
      </c>
      <c r="C2566" s="112">
        <f ca="1">IFERROR(__xludf.DUMMYFUNCTION("""COMPUTED_VALUE"""),44060.7055555555)</f>
        <v>44060.705555555498</v>
      </c>
      <c r="D2566" s="111">
        <f ca="1">IFERROR(__xludf.DUMMYFUNCTION("""COMPUTED_VALUE"""),24.14)</f>
        <v>24.14</v>
      </c>
      <c r="E2566" s="112">
        <f ca="1">IFERROR(__xludf.DUMMYFUNCTION("""COMPUTED_VALUE"""),44061.7055555555)</f>
        <v>44061.705555555498</v>
      </c>
      <c r="F2566" s="111">
        <f ca="1">IFERROR(__xludf.DUMMYFUNCTION("""COMPUTED_VALUE"""),9.33)</f>
        <v>9.33</v>
      </c>
      <c r="G2566" s="112">
        <f ca="1">IFERROR(__xludf.DUMMYFUNCTION("""COMPUTED_VALUE"""),44057.7055555555)</f>
        <v>44057.705555555498</v>
      </c>
      <c r="H2566" s="111">
        <f ca="1">IFERROR(__xludf.DUMMYFUNCTION("""COMPUTED_VALUE"""),22.67)</f>
        <v>22.67</v>
      </c>
      <c r="K2566" s="112">
        <f ca="1">IFERROR(__xludf.DUMMYFUNCTION("""COMPUTED_VALUE"""),44505.7055555555)</f>
        <v>44505.705555555498</v>
      </c>
      <c r="L2566" s="111">
        <f ca="1">IFERROR(__xludf.DUMMYFUNCTION("""COMPUTED_VALUE"""),12.44)</f>
        <v>12.44</v>
      </c>
      <c r="M2566" s="112">
        <f ca="1">IFERROR(__xludf.DUMMYFUNCTION("""COMPUTED_VALUE"""),43966.7055555555)</f>
        <v>43966.705555555498</v>
      </c>
      <c r="N2566" s="111">
        <f ca="1">IFERROR(__xludf.DUMMYFUNCTION("""COMPUTED_VALUE"""),15.55)</f>
        <v>15.55</v>
      </c>
      <c r="O2566" s="112">
        <f ca="1">IFERROR(__xludf.DUMMYFUNCTION("""COMPUTED_VALUE"""),44042.7055555555)</f>
        <v>44042.705555555498</v>
      </c>
      <c r="P2566" s="111">
        <f ca="1">IFERROR(__xludf.DUMMYFUNCTION("""COMPUTED_VALUE"""),61.27)</f>
        <v>61.27</v>
      </c>
      <c r="Q2566" s="112">
        <f ca="1">IFERROR(__xludf.DUMMYFUNCTION("""COMPUTED_VALUE"""),44041.7055555555)</f>
        <v>44041.705555555498</v>
      </c>
      <c r="R2566" s="111">
        <f ca="1">IFERROR(__xludf.DUMMYFUNCTION("""COMPUTED_VALUE"""),35.95)</f>
        <v>35.950000000000003</v>
      </c>
      <c r="S2566" s="112">
        <f ca="1">IFERROR(__xludf.DUMMYFUNCTION("""COMPUTED_VALUE"""),44055.7055555555)</f>
        <v>44055.705555555498</v>
      </c>
      <c r="T2566" s="111">
        <f ca="1">IFERROR(__xludf.DUMMYFUNCTION("""COMPUTED_VALUE"""),38.05)</f>
        <v>38.049999999999997</v>
      </c>
    </row>
    <row r="2567" spans="1:20" x14ac:dyDescent="0.3">
      <c r="A2567" s="112">
        <f ca="1">IFERROR(__xludf.DUMMYFUNCTION("""COMPUTED_VALUE"""),44050.7055555555)</f>
        <v>44050.705555555498</v>
      </c>
      <c r="B2567" s="111">
        <f ca="1">IFERROR(__xludf.DUMMYFUNCTION("""COMPUTED_VALUE"""),37.26)</f>
        <v>37.26</v>
      </c>
      <c r="C2567" s="112">
        <f ca="1">IFERROR(__xludf.DUMMYFUNCTION("""COMPUTED_VALUE"""),44061.7055555555)</f>
        <v>44061.705555555498</v>
      </c>
      <c r="D2567" s="111">
        <f ca="1">IFERROR(__xludf.DUMMYFUNCTION("""COMPUTED_VALUE"""),24.24)</f>
        <v>24.24</v>
      </c>
      <c r="E2567" s="112">
        <f ca="1">IFERROR(__xludf.DUMMYFUNCTION("""COMPUTED_VALUE"""),44062.7055555555)</f>
        <v>44062.705555555498</v>
      </c>
      <c r="F2567" s="111">
        <f ca="1">IFERROR(__xludf.DUMMYFUNCTION("""COMPUTED_VALUE"""),9.27)</f>
        <v>9.27</v>
      </c>
      <c r="G2567" s="112">
        <f ca="1">IFERROR(__xludf.DUMMYFUNCTION("""COMPUTED_VALUE"""),44060.7055555555)</f>
        <v>44060.705555555498</v>
      </c>
      <c r="H2567" s="111">
        <f ca="1">IFERROR(__xludf.DUMMYFUNCTION("""COMPUTED_VALUE"""),22.6)</f>
        <v>22.6</v>
      </c>
      <c r="K2567" s="112">
        <f ca="1">IFERROR(__xludf.DUMMYFUNCTION("""COMPUTED_VALUE"""),44508.7055555555)</f>
        <v>44508.705555555498</v>
      </c>
      <c r="L2567" s="111">
        <f ca="1">IFERROR(__xludf.DUMMYFUNCTION("""COMPUTED_VALUE"""),11.93)</f>
        <v>11.93</v>
      </c>
      <c r="M2567" s="112">
        <f ca="1">IFERROR(__xludf.DUMMYFUNCTION("""COMPUTED_VALUE"""),43969.7055555555)</f>
        <v>43969.705555555498</v>
      </c>
      <c r="N2567" s="111">
        <f ca="1">IFERROR(__xludf.DUMMYFUNCTION("""COMPUTED_VALUE"""),16.37)</f>
        <v>16.37</v>
      </c>
      <c r="O2567" s="112">
        <f ca="1">IFERROR(__xludf.DUMMYFUNCTION("""COMPUTED_VALUE"""),44043.7055555555)</f>
        <v>44043.705555555498</v>
      </c>
      <c r="P2567" s="111">
        <f ca="1">IFERROR(__xludf.DUMMYFUNCTION("""COMPUTED_VALUE"""),60.71)</f>
        <v>60.71</v>
      </c>
      <c r="Q2567" s="112">
        <f ca="1">IFERROR(__xludf.DUMMYFUNCTION("""COMPUTED_VALUE"""),44042.7055555555)</f>
        <v>44042.705555555498</v>
      </c>
      <c r="R2567" s="111">
        <f ca="1">IFERROR(__xludf.DUMMYFUNCTION("""COMPUTED_VALUE"""),34.8)</f>
        <v>34.799999999999997</v>
      </c>
      <c r="S2567" s="112">
        <f ca="1">IFERROR(__xludf.DUMMYFUNCTION("""COMPUTED_VALUE"""),44056.7055555555)</f>
        <v>44056.705555555498</v>
      </c>
      <c r="T2567" s="111">
        <f ca="1">IFERROR(__xludf.DUMMYFUNCTION("""COMPUTED_VALUE"""),36.95)</f>
        <v>36.950000000000003</v>
      </c>
    </row>
    <row r="2568" spans="1:20" x14ac:dyDescent="0.3">
      <c r="A2568" s="112">
        <f ca="1">IFERROR(__xludf.DUMMYFUNCTION("""COMPUTED_VALUE"""),44053.7055555555)</f>
        <v>44053.705555555498</v>
      </c>
      <c r="B2568" s="111">
        <f ca="1">IFERROR(__xludf.DUMMYFUNCTION("""COMPUTED_VALUE"""),36.85)</f>
        <v>36.85</v>
      </c>
      <c r="C2568" s="112">
        <f ca="1">IFERROR(__xludf.DUMMYFUNCTION("""COMPUTED_VALUE"""),44062.7055555555)</f>
        <v>44062.705555555498</v>
      </c>
      <c r="D2568" s="111">
        <f ca="1">IFERROR(__xludf.DUMMYFUNCTION("""COMPUTED_VALUE"""),24.12)</f>
        <v>24.12</v>
      </c>
      <c r="E2568" s="112">
        <f ca="1">IFERROR(__xludf.DUMMYFUNCTION("""COMPUTED_VALUE"""),44063.7055555555)</f>
        <v>44063.705555555498</v>
      </c>
      <c r="F2568" s="111">
        <f ca="1">IFERROR(__xludf.DUMMYFUNCTION("""COMPUTED_VALUE"""),9.21)</f>
        <v>9.2100000000000009</v>
      </c>
      <c r="G2568" s="112">
        <f ca="1">IFERROR(__xludf.DUMMYFUNCTION("""COMPUTED_VALUE"""),44061.7055555555)</f>
        <v>44061.705555555498</v>
      </c>
      <c r="H2568" s="111">
        <f ca="1">IFERROR(__xludf.DUMMYFUNCTION("""COMPUTED_VALUE"""),23.02)</f>
        <v>23.02</v>
      </c>
      <c r="K2568" s="112">
        <f ca="1">IFERROR(__xludf.DUMMYFUNCTION("""COMPUTED_VALUE"""),44509.7055555555)</f>
        <v>44509.705555555498</v>
      </c>
      <c r="L2568" s="111">
        <f ca="1">IFERROR(__xludf.DUMMYFUNCTION("""COMPUTED_VALUE"""),13.13)</f>
        <v>13.13</v>
      </c>
      <c r="M2568" s="112">
        <f ca="1">IFERROR(__xludf.DUMMYFUNCTION("""COMPUTED_VALUE"""),43970.7055555555)</f>
        <v>43970.705555555498</v>
      </c>
      <c r="N2568" s="111">
        <f ca="1">IFERROR(__xludf.DUMMYFUNCTION("""COMPUTED_VALUE"""),15.89)</f>
        <v>15.89</v>
      </c>
      <c r="O2568" s="112">
        <f ca="1">IFERROR(__xludf.DUMMYFUNCTION("""COMPUTED_VALUE"""),44046.7055555555)</f>
        <v>44046.705555555498</v>
      </c>
      <c r="P2568" s="111">
        <f ca="1">IFERROR(__xludf.DUMMYFUNCTION("""COMPUTED_VALUE"""),60.26)</f>
        <v>60.26</v>
      </c>
      <c r="Q2568" s="112">
        <f ca="1">IFERROR(__xludf.DUMMYFUNCTION("""COMPUTED_VALUE"""),44043.7055555555)</f>
        <v>44043.705555555498</v>
      </c>
      <c r="R2568" s="111">
        <f ca="1">IFERROR(__xludf.DUMMYFUNCTION("""COMPUTED_VALUE"""),33.58)</f>
        <v>33.58</v>
      </c>
      <c r="S2568" s="112">
        <f ca="1">IFERROR(__xludf.DUMMYFUNCTION("""COMPUTED_VALUE"""),44057.7055555555)</f>
        <v>44057.705555555498</v>
      </c>
      <c r="T2568" s="111">
        <f ca="1">IFERROR(__xludf.DUMMYFUNCTION("""COMPUTED_VALUE"""),37.83)</f>
        <v>37.83</v>
      </c>
    </row>
    <row r="2569" spans="1:20" x14ac:dyDescent="0.3">
      <c r="A2569" s="112">
        <f ca="1">IFERROR(__xludf.DUMMYFUNCTION("""COMPUTED_VALUE"""),44054.7055555555)</f>
        <v>44054.705555555498</v>
      </c>
      <c r="B2569" s="111">
        <f ca="1">IFERROR(__xludf.DUMMYFUNCTION("""COMPUTED_VALUE"""),36.26)</f>
        <v>36.26</v>
      </c>
      <c r="C2569" s="112">
        <f ca="1">IFERROR(__xludf.DUMMYFUNCTION("""COMPUTED_VALUE"""),44063.7055555555)</f>
        <v>44063.705555555498</v>
      </c>
      <c r="D2569" s="111">
        <f ca="1">IFERROR(__xludf.DUMMYFUNCTION("""COMPUTED_VALUE"""),24.12)</f>
        <v>24.12</v>
      </c>
      <c r="E2569" s="112">
        <f ca="1">IFERROR(__xludf.DUMMYFUNCTION("""COMPUTED_VALUE"""),44064.7055555555)</f>
        <v>44064.705555555498</v>
      </c>
      <c r="F2569" s="111">
        <f ca="1">IFERROR(__xludf.DUMMYFUNCTION("""COMPUTED_VALUE"""),9.27)</f>
        <v>9.27</v>
      </c>
      <c r="G2569" s="112">
        <f ca="1">IFERROR(__xludf.DUMMYFUNCTION("""COMPUTED_VALUE"""),44062.7055555555)</f>
        <v>44062.705555555498</v>
      </c>
      <c r="H2569" s="111">
        <f ca="1">IFERROR(__xludf.DUMMYFUNCTION("""COMPUTED_VALUE"""),22.89)</f>
        <v>22.89</v>
      </c>
      <c r="K2569" s="112">
        <f ca="1">IFERROR(__xludf.DUMMYFUNCTION("""COMPUTED_VALUE"""),44510.7055555555)</f>
        <v>44510.705555555498</v>
      </c>
      <c r="L2569" s="111">
        <f ca="1">IFERROR(__xludf.DUMMYFUNCTION("""COMPUTED_VALUE"""),13.02)</f>
        <v>13.02</v>
      </c>
      <c r="M2569" s="112">
        <f ca="1">IFERROR(__xludf.DUMMYFUNCTION("""COMPUTED_VALUE"""),43971.7055555555)</f>
        <v>43971.705555555498</v>
      </c>
      <c r="N2569" s="111">
        <f ca="1">IFERROR(__xludf.DUMMYFUNCTION("""COMPUTED_VALUE"""),16.05)</f>
        <v>16.05</v>
      </c>
      <c r="O2569" s="112">
        <f ca="1">IFERROR(__xludf.DUMMYFUNCTION("""COMPUTED_VALUE"""),44047.7055555555)</f>
        <v>44047.705555555498</v>
      </c>
      <c r="P2569" s="111">
        <f ca="1">IFERROR(__xludf.DUMMYFUNCTION("""COMPUTED_VALUE"""),60.7)</f>
        <v>60.7</v>
      </c>
      <c r="Q2569" s="112">
        <f ca="1">IFERROR(__xludf.DUMMYFUNCTION("""COMPUTED_VALUE"""),44046.7055555555)</f>
        <v>44046.705555555498</v>
      </c>
      <c r="R2569" s="111">
        <f ca="1">IFERROR(__xludf.DUMMYFUNCTION("""COMPUTED_VALUE"""),34.35)</f>
        <v>34.35</v>
      </c>
      <c r="S2569" s="112">
        <f ca="1">IFERROR(__xludf.DUMMYFUNCTION("""COMPUTED_VALUE"""),44060.7055555555)</f>
        <v>44060.705555555498</v>
      </c>
      <c r="T2569" s="111">
        <f ca="1">IFERROR(__xludf.DUMMYFUNCTION("""COMPUTED_VALUE"""),36.89)</f>
        <v>36.89</v>
      </c>
    </row>
    <row r="2570" spans="1:20" x14ac:dyDescent="0.3">
      <c r="A2570" s="112">
        <f ca="1">IFERROR(__xludf.DUMMYFUNCTION("""COMPUTED_VALUE"""),44055.7055555555)</f>
        <v>44055.705555555498</v>
      </c>
      <c r="B2570" s="111">
        <f ca="1">IFERROR(__xludf.DUMMYFUNCTION("""COMPUTED_VALUE"""),35.49)</f>
        <v>35.49</v>
      </c>
      <c r="C2570" s="112">
        <f ca="1">IFERROR(__xludf.DUMMYFUNCTION("""COMPUTED_VALUE"""),44064.7055555555)</f>
        <v>44064.705555555498</v>
      </c>
      <c r="D2570" s="111">
        <f ca="1">IFERROR(__xludf.DUMMYFUNCTION("""COMPUTED_VALUE"""),24.08)</f>
        <v>24.08</v>
      </c>
      <c r="E2570" s="112">
        <f ca="1">IFERROR(__xludf.DUMMYFUNCTION("""COMPUTED_VALUE"""),44067.7055555555)</f>
        <v>44067.705555555498</v>
      </c>
      <c r="F2570" s="111">
        <f ca="1">IFERROR(__xludf.DUMMYFUNCTION("""COMPUTED_VALUE"""),9.36)</f>
        <v>9.36</v>
      </c>
      <c r="G2570" s="112">
        <f ca="1">IFERROR(__xludf.DUMMYFUNCTION("""COMPUTED_VALUE"""),44063.7055555555)</f>
        <v>44063.705555555498</v>
      </c>
      <c r="H2570" s="111">
        <f ca="1">IFERROR(__xludf.DUMMYFUNCTION("""COMPUTED_VALUE"""),22.73)</f>
        <v>22.73</v>
      </c>
      <c r="K2570" s="112">
        <f ca="1">IFERROR(__xludf.DUMMYFUNCTION("""COMPUTED_VALUE"""),44511.7055555555)</f>
        <v>44511.705555555498</v>
      </c>
      <c r="L2570" s="111">
        <f ca="1">IFERROR(__xludf.DUMMYFUNCTION("""COMPUTED_VALUE"""),13.65)</f>
        <v>13.65</v>
      </c>
      <c r="M2570" s="112">
        <f ca="1">IFERROR(__xludf.DUMMYFUNCTION("""COMPUTED_VALUE"""),43972.7055555555)</f>
        <v>43972.705555555498</v>
      </c>
      <c r="N2570" s="111">
        <f ca="1">IFERROR(__xludf.DUMMYFUNCTION("""COMPUTED_VALUE"""),16.95)</f>
        <v>16.95</v>
      </c>
      <c r="O2570" s="112">
        <f ca="1">IFERROR(__xludf.DUMMYFUNCTION("""COMPUTED_VALUE"""),44048.7055555555)</f>
        <v>44048.705555555498</v>
      </c>
      <c r="P2570" s="111">
        <f ca="1">IFERROR(__xludf.DUMMYFUNCTION("""COMPUTED_VALUE"""),62.19)</f>
        <v>62.19</v>
      </c>
      <c r="Q2570" s="112">
        <f ca="1">IFERROR(__xludf.DUMMYFUNCTION("""COMPUTED_VALUE"""),44047.7055555555)</f>
        <v>44047.705555555498</v>
      </c>
      <c r="R2570" s="111">
        <f ca="1">IFERROR(__xludf.DUMMYFUNCTION("""COMPUTED_VALUE"""),33.3)</f>
        <v>33.299999999999997</v>
      </c>
      <c r="S2570" s="112">
        <f ca="1">IFERROR(__xludf.DUMMYFUNCTION("""COMPUTED_VALUE"""),44061.7055555555)</f>
        <v>44061.705555555498</v>
      </c>
      <c r="T2570" s="111">
        <f ca="1">IFERROR(__xludf.DUMMYFUNCTION("""COMPUTED_VALUE"""),37.55)</f>
        <v>37.549999999999997</v>
      </c>
    </row>
    <row r="2571" spans="1:20" x14ac:dyDescent="0.3">
      <c r="A2571" s="112">
        <f ca="1">IFERROR(__xludf.DUMMYFUNCTION("""COMPUTED_VALUE"""),44056.7055555555)</f>
        <v>44056.705555555498</v>
      </c>
      <c r="B2571" s="111">
        <f ca="1">IFERROR(__xludf.DUMMYFUNCTION("""COMPUTED_VALUE"""),33.02)</f>
        <v>33.020000000000003</v>
      </c>
      <c r="C2571" s="112">
        <f ca="1">IFERROR(__xludf.DUMMYFUNCTION("""COMPUTED_VALUE"""),44067.7055555555)</f>
        <v>44067.705555555498</v>
      </c>
      <c r="D2571" s="111">
        <f ca="1">IFERROR(__xludf.DUMMYFUNCTION("""COMPUTED_VALUE"""),24.48)</f>
        <v>24.48</v>
      </c>
      <c r="E2571" s="112">
        <f ca="1">IFERROR(__xludf.DUMMYFUNCTION("""COMPUTED_VALUE"""),44068.7055555555)</f>
        <v>44068.705555555498</v>
      </c>
      <c r="F2571" s="111">
        <f ca="1">IFERROR(__xludf.DUMMYFUNCTION("""COMPUTED_VALUE"""),9.29)</f>
        <v>9.2899999999999991</v>
      </c>
      <c r="G2571" s="112">
        <f ca="1">IFERROR(__xludf.DUMMYFUNCTION("""COMPUTED_VALUE"""),44064.7055555555)</f>
        <v>44064.705555555498</v>
      </c>
      <c r="H2571" s="111">
        <f ca="1">IFERROR(__xludf.DUMMYFUNCTION("""COMPUTED_VALUE"""),22.56)</f>
        <v>22.56</v>
      </c>
      <c r="K2571" s="112">
        <f ca="1">IFERROR(__xludf.DUMMYFUNCTION("""COMPUTED_VALUE"""),44512.8125)</f>
        <v>44512.8125</v>
      </c>
      <c r="L2571" s="111">
        <f ca="1">IFERROR(__xludf.DUMMYFUNCTION("""COMPUTED_VALUE"""),11.15)</f>
        <v>11.15</v>
      </c>
      <c r="M2571" s="112">
        <f ca="1">IFERROR(__xludf.DUMMYFUNCTION("""COMPUTED_VALUE"""),43973.7055555555)</f>
        <v>43973.705555555498</v>
      </c>
      <c r="N2571" s="111">
        <f ca="1">IFERROR(__xludf.DUMMYFUNCTION("""COMPUTED_VALUE"""),17.05)</f>
        <v>17.05</v>
      </c>
      <c r="O2571" s="112">
        <f ca="1">IFERROR(__xludf.DUMMYFUNCTION("""COMPUTED_VALUE"""),44049.7055555555)</f>
        <v>44049.705555555498</v>
      </c>
      <c r="P2571" s="111">
        <f ca="1">IFERROR(__xludf.DUMMYFUNCTION("""COMPUTED_VALUE"""),61.83)</f>
        <v>61.83</v>
      </c>
      <c r="Q2571" s="112">
        <f ca="1">IFERROR(__xludf.DUMMYFUNCTION("""COMPUTED_VALUE"""),44048.7055555555)</f>
        <v>44048.705555555498</v>
      </c>
      <c r="R2571" s="111">
        <f ca="1">IFERROR(__xludf.DUMMYFUNCTION("""COMPUTED_VALUE"""),33.33)</f>
        <v>33.33</v>
      </c>
      <c r="S2571" s="112">
        <f ca="1">IFERROR(__xludf.DUMMYFUNCTION("""COMPUTED_VALUE"""),44062.7055555555)</f>
        <v>44062.705555555498</v>
      </c>
      <c r="T2571" s="111">
        <f ca="1">IFERROR(__xludf.DUMMYFUNCTION("""COMPUTED_VALUE"""),36.15)</f>
        <v>36.15</v>
      </c>
    </row>
    <row r="2572" spans="1:20" x14ac:dyDescent="0.3">
      <c r="A2572" s="112">
        <f ca="1">IFERROR(__xludf.DUMMYFUNCTION("""COMPUTED_VALUE"""),44057.7055555555)</f>
        <v>44057.705555555498</v>
      </c>
      <c r="B2572" s="111">
        <f ca="1">IFERROR(__xludf.DUMMYFUNCTION("""COMPUTED_VALUE"""),33.72)</f>
        <v>33.72</v>
      </c>
      <c r="C2572" s="112">
        <f ca="1">IFERROR(__xludf.DUMMYFUNCTION("""COMPUTED_VALUE"""),44068.7055555555)</f>
        <v>44068.705555555498</v>
      </c>
      <c r="D2572" s="111">
        <f ca="1">IFERROR(__xludf.DUMMYFUNCTION("""COMPUTED_VALUE"""),24.3)</f>
        <v>24.3</v>
      </c>
      <c r="E2572" s="112">
        <f ca="1">IFERROR(__xludf.DUMMYFUNCTION("""COMPUTED_VALUE"""),44069.7055555555)</f>
        <v>44069.705555555498</v>
      </c>
      <c r="F2572" s="111">
        <f ca="1">IFERROR(__xludf.DUMMYFUNCTION("""COMPUTED_VALUE"""),9.15)</f>
        <v>9.15</v>
      </c>
      <c r="G2572" s="112">
        <f ca="1">IFERROR(__xludf.DUMMYFUNCTION("""COMPUTED_VALUE"""),44067.7055555555)</f>
        <v>44067.705555555498</v>
      </c>
      <c r="H2572" s="111">
        <f ca="1">IFERROR(__xludf.DUMMYFUNCTION("""COMPUTED_VALUE"""),22.97)</f>
        <v>22.97</v>
      </c>
      <c r="K2572" s="112">
        <f ca="1">IFERROR(__xludf.DUMMYFUNCTION("""COMPUTED_VALUE"""),44516.7055555555)</f>
        <v>44516.705555555498</v>
      </c>
      <c r="L2572" s="111">
        <f ca="1">IFERROR(__xludf.DUMMYFUNCTION("""COMPUTED_VALUE"""),9.74)</f>
        <v>9.74</v>
      </c>
      <c r="M2572" s="112">
        <f ca="1">IFERROR(__xludf.DUMMYFUNCTION("""COMPUTED_VALUE"""),43976.7055555555)</f>
        <v>43976.705555555498</v>
      </c>
      <c r="N2572" s="111">
        <f ca="1">IFERROR(__xludf.DUMMYFUNCTION("""COMPUTED_VALUE"""),18.25)</f>
        <v>18.25</v>
      </c>
      <c r="O2572" s="112">
        <f ca="1">IFERROR(__xludf.DUMMYFUNCTION("""COMPUTED_VALUE"""),44050.7055555555)</f>
        <v>44050.705555555498</v>
      </c>
      <c r="P2572" s="111">
        <f ca="1">IFERROR(__xludf.DUMMYFUNCTION("""COMPUTED_VALUE"""),60.45)</f>
        <v>60.45</v>
      </c>
      <c r="Q2572" s="112">
        <f ca="1">IFERROR(__xludf.DUMMYFUNCTION("""COMPUTED_VALUE"""),44049.7055555555)</f>
        <v>44049.705555555498</v>
      </c>
      <c r="R2572" s="111">
        <f ca="1">IFERROR(__xludf.DUMMYFUNCTION("""COMPUTED_VALUE"""),34.35)</f>
        <v>34.35</v>
      </c>
      <c r="S2572" s="112">
        <f ca="1">IFERROR(__xludf.DUMMYFUNCTION("""COMPUTED_VALUE"""),44063.7055555555)</f>
        <v>44063.705555555498</v>
      </c>
      <c r="T2572" s="111">
        <f ca="1">IFERROR(__xludf.DUMMYFUNCTION("""COMPUTED_VALUE"""),37.38)</f>
        <v>37.380000000000003</v>
      </c>
    </row>
    <row r="2573" spans="1:20" x14ac:dyDescent="0.3">
      <c r="A2573" s="112">
        <f ca="1">IFERROR(__xludf.DUMMYFUNCTION("""COMPUTED_VALUE"""),44060.7055555555)</f>
        <v>44060.705555555498</v>
      </c>
      <c r="B2573" s="111">
        <f ca="1">IFERROR(__xludf.DUMMYFUNCTION("""COMPUTED_VALUE"""),31.47)</f>
        <v>31.47</v>
      </c>
      <c r="C2573" s="112">
        <f ca="1">IFERROR(__xludf.DUMMYFUNCTION("""COMPUTED_VALUE"""),44069.7055555555)</f>
        <v>44069.705555555498</v>
      </c>
      <c r="D2573" s="111">
        <f ca="1">IFERROR(__xludf.DUMMYFUNCTION("""COMPUTED_VALUE"""),23.79)</f>
        <v>23.79</v>
      </c>
      <c r="E2573" s="112">
        <f ca="1">IFERROR(__xludf.DUMMYFUNCTION("""COMPUTED_VALUE"""),44070.7055555555)</f>
        <v>44070.705555555498</v>
      </c>
      <c r="F2573" s="111">
        <f ca="1">IFERROR(__xludf.DUMMYFUNCTION("""COMPUTED_VALUE"""),9.23)</f>
        <v>9.23</v>
      </c>
      <c r="G2573" s="112">
        <f ca="1">IFERROR(__xludf.DUMMYFUNCTION("""COMPUTED_VALUE"""),44068.7055555555)</f>
        <v>44068.705555555498</v>
      </c>
      <c r="H2573" s="111">
        <f ca="1">IFERROR(__xludf.DUMMYFUNCTION("""COMPUTED_VALUE"""),22.87)</f>
        <v>22.87</v>
      </c>
      <c r="K2573" s="112">
        <f ca="1">IFERROR(__xludf.DUMMYFUNCTION("""COMPUTED_VALUE"""),44517.7055555555)</f>
        <v>44517.705555555498</v>
      </c>
      <c r="L2573" s="111">
        <f ca="1">IFERROR(__xludf.DUMMYFUNCTION("""COMPUTED_VALUE"""),9.27)</f>
        <v>9.27</v>
      </c>
      <c r="M2573" s="112">
        <f ca="1">IFERROR(__xludf.DUMMYFUNCTION("""COMPUTED_VALUE"""),43977.7055555555)</f>
        <v>43977.705555555498</v>
      </c>
      <c r="N2573" s="111">
        <f ca="1">IFERROR(__xludf.DUMMYFUNCTION("""COMPUTED_VALUE"""),17.46)</f>
        <v>17.46</v>
      </c>
      <c r="O2573" s="112">
        <f ca="1">IFERROR(__xludf.DUMMYFUNCTION("""COMPUTED_VALUE"""),44053.7055555555)</f>
        <v>44053.705555555498</v>
      </c>
      <c r="P2573" s="111">
        <f ca="1">IFERROR(__xludf.DUMMYFUNCTION("""COMPUTED_VALUE"""),62.2)</f>
        <v>62.2</v>
      </c>
      <c r="Q2573" s="112">
        <f ca="1">IFERROR(__xludf.DUMMYFUNCTION("""COMPUTED_VALUE"""),44050.7055555555)</f>
        <v>44050.705555555498</v>
      </c>
      <c r="R2573" s="111">
        <f ca="1">IFERROR(__xludf.DUMMYFUNCTION("""COMPUTED_VALUE"""),34.11)</f>
        <v>34.11</v>
      </c>
      <c r="S2573" s="112">
        <f ca="1">IFERROR(__xludf.DUMMYFUNCTION("""COMPUTED_VALUE"""),44064.7055555555)</f>
        <v>44064.705555555498</v>
      </c>
      <c r="T2573" s="111">
        <f ca="1">IFERROR(__xludf.DUMMYFUNCTION("""COMPUTED_VALUE"""),38.15)</f>
        <v>38.15</v>
      </c>
    </row>
    <row r="2574" spans="1:20" x14ac:dyDescent="0.3">
      <c r="A2574" s="112">
        <f ca="1">IFERROR(__xludf.DUMMYFUNCTION("""COMPUTED_VALUE"""),44061.7055555555)</f>
        <v>44061.705555555498</v>
      </c>
      <c r="B2574" s="111">
        <f ca="1">IFERROR(__xludf.DUMMYFUNCTION("""COMPUTED_VALUE"""),32.23)</f>
        <v>32.229999999999997</v>
      </c>
      <c r="C2574" s="112">
        <f ca="1">IFERROR(__xludf.DUMMYFUNCTION("""COMPUTED_VALUE"""),44070.7055555555)</f>
        <v>44070.705555555498</v>
      </c>
      <c r="D2574" s="111">
        <f ca="1">IFERROR(__xludf.DUMMYFUNCTION("""COMPUTED_VALUE"""),24.18)</f>
        <v>24.18</v>
      </c>
      <c r="E2574" s="112">
        <f ca="1">IFERROR(__xludf.DUMMYFUNCTION("""COMPUTED_VALUE"""),44071.7055555555)</f>
        <v>44071.705555555498</v>
      </c>
      <c r="F2574" s="111">
        <f ca="1">IFERROR(__xludf.DUMMYFUNCTION("""COMPUTED_VALUE"""),9.31)</f>
        <v>9.31</v>
      </c>
      <c r="G2574" s="112">
        <f ca="1">IFERROR(__xludf.DUMMYFUNCTION("""COMPUTED_VALUE"""),44069.7055555555)</f>
        <v>44069.705555555498</v>
      </c>
      <c r="H2574" s="111">
        <f ca="1">IFERROR(__xludf.DUMMYFUNCTION("""COMPUTED_VALUE"""),22.22)</f>
        <v>22.22</v>
      </c>
      <c r="K2574" s="112">
        <f ca="1">IFERROR(__xludf.DUMMYFUNCTION("""COMPUTED_VALUE"""),44518.7055555555)</f>
        <v>44518.705555555498</v>
      </c>
      <c r="L2574" s="111">
        <f ca="1">IFERROR(__xludf.DUMMYFUNCTION("""COMPUTED_VALUE"""),8.99)</f>
        <v>8.99</v>
      </c>
      <c r="M2574" s="112">
        <f ca="1">IFERROR(__xludf.DUMMYFUNCTION("""COMPUTED_VALUE"""),43978.7055555555)</f>
        <v>43978.705555555498</v>
      </c>
      <c r="N2574" s="111">
        <f ca="1">IFERROR(__xludf.DUMMYFUNCTION("""COMPUTED_VALUE"""),17.76)</f>
        <v>17.760000000000002</v>
      </c>
      <c r="O2574" s="112">
        <f ca="1">IFERROR(__xludf.DUMMYFUNCTION("""COMPUTED_VALUE"""),44054.7055555555)</f>
        <v>44054.705555555498</v>
      </c>
      <c r="P2574" s="111">
        <f ca="1">IFERROR(__xludf.DUMMYFUNCTION("""COMPUTED_VALUE"""),60.28)</f>
        <v>60.28</v>
      </c>
      <c r="Q2574" s="112">
        <f ca="1">IFERROR(__xludf.DUMMYFUNCTION("""COMPUTED_VALUE"""),44053.7055555555)</f>
        <v>44053.705555555498</v>
      </c>
      <c r="R2574" s="111">
        <f ca="1">IFERROR(__xludf.DUMMYFUNCTION("""COMPUTED_VALUE"""),34.43)</f>
        <v>34.43</v>
      </c>
      <c r="S2574" s="112">
        <f ca="1">IFERROR(__xludf.DUMMYFUNCTION("""COMPUTED_VALUE"""),44067.7055555555)</f>
        <v>44067.705555555498</v>
      </c>
      <c r="T2574" s="111">
        <f ca="1">IFERROR(__xludf.DUMMYFUNCTION("""COMPUTED_VALUE"""),38.17)</f>
        <v>38.17</v>
      </c>
    </row>
    <row r="2575" spans="1:20" x14ac:dyDescent="0.3">
      <c r="A2575" s="112">
        <f ca="1">IFERROR(__xludf.DUMMYFUNCTION("""COMPUTED_VALUE"""),44062.7055555555)</f>
        <v>44062.705555555498</v>
      </c>
      <c r="B2575" s="111">
        <f ca="1">IFERROR(__xludf.DUMMYFUNCTION("""COMPUTED_VALUE"""),31.33)</f>
        <v>31.33</v>
      </c>
      <c r="C2575" s="112">
        <f ca="1">IFERROR(__xludf.DUMMYFUNCTION("""COMPUTED_VALUE"""),44071.7055555555)</f>
        <v>44071.705555555498</v>
      </c>
      <c r="D2575" s="111">
        <f ca="1">IFERROR(__xludf.DUMMYFUNCTION("""COMPUTED_VALUE"""),24.43)</f>
        <v>24.43</v>
      </c>
      <c r="E2575" s="112">
        <f ca="1">IFERROR(__xludf.DUMMYFUNCTION("""COMPUTED_VALUE"""),44074.7055555555)</f>
        <v>44074.705555555498</v>
      </c>
      <c r="F2575" s="111">
        <f ca="1">IFERROR(__xludf.DUMMYFUNCTION("""COMPUTED_VALUE"""),8.98)</f>
        <v>8.98</v>
      </c>
      <c r="G2575" s="112">
        <f ca="1">IFERROR(__xludf.DUMMYFUNCTION("""COMPUTED_VALUE"""),44070.7055555555)</f>
        <v>44070.705555555498</v>
      </c>
      <c r="H2575" s="111">
        <f ca="1">IFERROR(__xludf.DUMMYFUNCTION("""COMPUTED_VALUE"""),22.15)</f>
        <v>22.15</v>
      </c>
      <c r="K2575" s="112">
        <f ca="1">IFERROR(__xludf.DUMMYFUNCTION("""COMPUTED_VALUE"""),44519.8125)</f>
        <v>44519.8125</v>
      </c>
      <c r="L2575" s="111">
        <f ca="1">IFERROR(__xludf.DUMMYFUNCTION("""COMPUTED_VALUE"""),9.27)</f>
        <v>9.27</v>
      </c>
      <c r="M2575" s="112">
        <f ca="1">IFERROR(__xludf.DUMMYFUNCTION("""COMPUTED_VALUE"""),43979.7055555555)</f>
        <v>43979.705555555498</v>
      </c>
      <c r="N2575" s="111">
        <f ca="1">IFERROR(__xludf.DUMMYFUNCTION("""COMPUTED_VALUE"""),17.36)</f>
        <v>17.36</v>
      </c>
      <c r="O2575" s="112">
        <f ca="1">IFERROR(__xludf.DUMMYFUNCTION("""COMPUTED_VALUE"""),44055.7055555555)</f>
        <v>44055.705555555498</v>
      </c>
      <c r="P2575" s="111">
        <f ca="1">IFERROR(__xludf.DUMMYFUNCTION("""COMPUTED_VALUE"""),61.5)</f>
        <v>61.5</v>
      </c>
      <c r="Q2575" s="112">
        <f ca="1">IFERROR(__xludf.DUMMYFUNCTION("""COMPUTED_VALUE"""),44054.7055555555)</f>
        <v>44054.705555555498</v>
      </c>
      <c r="R2575" s="111">
        <f ca="1">IFERROR(__xludf.DUMMYFUNCTION("""COMPUTED_VALUE"""),33.93)</f>
        <v>33.93</v>
      </c>
      <c r="S2575" s="112">
        <f ca="1">IFERROR(__xludf.DUMMYFUNCTION("""COMPUTED_VALUE"""),44068.7055555555)</f>
        <v>44068.705555555498</v>
      </c>
      <c r="T2575" s="111">
        <f ca="1">IFERROR(__xludf.DUMMYFUNCTION("""COMPUTED_VALUE"""),39.81)</f>
        <v>39.81</v>
      </c>
    </row>
    <row r="2576" spans="1:20" x14ac:dyDescent="0.3">
      <c r="A2576" s="112">
        <f ca="1">IFERROR(__xludf.DUMMYFUNCTION("""COMPUTED_VALUE"""),44063.7055555555)</f>
        <v>44063.705555555498</v>
      </c>
      <c r="B2576" s="111">
        <f ca="1">IFERROR(__xludf.DUMMYFUNCTION("""COMPUTED_VALUE"""),31.48)</f>
        <v>31.48</v>
      </c>
      <c r="C2576" s="112">
        <f ca="1">IFERROR(__xludf.DUMMYFUNCTION("""COMPUTED_VALUE"""),44074.7055555555)</f>
        <v>44074.705555555498</v>
      </c>
      <c r="D2576" s="111">
        <f ca="1">IFERROR(__xludf.DUMMYFUNCTION("""COMPUTED_VALUE"""),23.55)</f>
        <v>23.55</v>
      </c>
      <c r="E2576" s="112">
        <f ca="1">IFERROR(__xludf.DUMMYFUNCTION("""COMPUTED_VALUE"""),44075.7055555555)</f>
        <v>44075.705555555498</v>
      </c>
      <c r="F2576" s="111">
        <f ca="1">IFERROR(__xludf.DUMMYFUNCTION("""COMPUTED_VALUE"""),9.26)</f>
        <v>9.26</v>
      </c>
      <c r="G2576" s="112">
        <f ca="1">IFERROR(__xludf.DUMMYFUNCTION("""COMPUTED_VALUE"""),44071.7055555555)</f>
        <v>44071.705555555498</v>
      </c>
      <c r="H2576" s="111">
        <f ca="1">IFERROR(__xludf.DUMMYFUNCTION("""COMPUTED_VALUE"""),22.54)</f>
        <v>22.54</v>
      </c>
      <c r="K2576" s="112">
        <f ca="1">IFERROR(__xludf.DUMMYFUNCTION("""COMPUTED_VALUE"""),44522.8125)</f>
        <v>44522.8125</v>
      </c>
      <c r="L2576" s="111">
        <f ca="1">IFERROR(__xludf.DUMMYFUNCTION("""COMPUTED_VALUE"""),8.84)</f>
        <v>8.84</v>
      </c>
      <c r="M2576" s="112">
        <f ca="1">IFERROR(__xludf.DUMMYFUNCTION("""COMPUTED_VALUE"""),43980.7055555555)</f>
        <v>43980.705555555498</v>
      </c>
      <c r="N2576" s="111">
        <f ca="1">IFERROR(__xludf.DUMMYFUNCTION("""COMPUTED_VALUE"""),17.23)</f>
        <v>17.23</v>
      </c>
      <c r="O2576" s="112">
        <f ca="1">IFERROR(__xludf.DUMMYFUNCTION("""COMPUTED_VALUE"""),44056.7055555555)</f>
        <v>44056.705555555498</v>
      </c>
      <c r="P2576" s="111">
        <f ca="1">IFERROR(__xludf.DUMMYFUNCTION("""COMPUTED_VALUE"""),60.35)</f>
        <v>60.35</v>
      </c>
      <c r="Q2576" s="112">
        <f ca="1">IFERROR(__xludf.DUMMYFUNCTION("""COMPUTED_VALUE"""),44055.7055555555)</f>
        <v>44055.705555555498</v>
      </c>
      <c r="R2576" s="111">
        <f ca="1">IFERROR(__xludf.DUMMYFUNCTION("""COMPUTED_VALUE"""),33.75)</f>
        <v>33.75</v>
      </c>
      <c r="S2576" s="112">
        <f ca="1">IFERROR(__xludf.DUMMYFUNCTION("""COMPUTED_VALUE"""),44069.7055555555)</f>
        <v>44069.705555555498</v>
      </c>
      <c r="T2576" s="111">
        <f ca="1">IFERROR(__xludf.DUMMYFUNCTION("""COMPUTED_VALUE"""),39.09)</f>
        <v>39.090000000000003</v>
      </c>
    </row>
    <row r="2577" spans="1:20" x14ac:dyDescent="0.3">
      <c r="A2577" s="112">
        <f ca="1">IFERROR(__xludf.DUMMYFUNCTION("""COMPUTED_VALUE"""),44064.7055555555)</f>
        <v>44064.705555555498</v>
      </c>
      <c r="B2577" s="111">
        <f ca="1">IFERROR(__xludf.DUMMYFUNCTION("""COMPUTED_VALUE"""),33.71)</f>
        <v>33.71</v>
      </c>
      <c r="C2577" s="112">
        <f ca="1">IFERROR(__xludf.DUMMYFUNCTION("""COMPUTED_VALUE"""),44075.7055555555)</f>
        <v>44075.705555555498</v>
      </c>
      <c r="D2577" s="111">
        <f ca="1">IFERROR(__xludf.DUMMYFUNCTION("""COMPUTED_VALUE"""),24.34)</f>
        <v>24.34</v>
      </c>
      <c r="E2577" s="112">
        <f ca="1">IFERROR(__xludf.DUMMYFUNCTION("""COMPUTED_VALUE"""),44076.7055555555)</f>
        <v>44076.705555555498</v>
      </c>
      <c r="F2577" s="111">
        <f ca="1">IFERROR(__xludf.DUMMYFUNCTION("""COMPUTED_VALUE"""),9.13)</f>
        <v>9.1300000000000008</v>
      </c>
      <c r="G2577" s="112">
        <f ca="1">IFERROR(__xludf.DUMMYFUNCTION("""COMPUTED_VALUE"""),44074.7055555555)</f>
        <v>44074.705555555498</v>
      </c>
      <c r="H2577" s="111">
        <f ca="1">IFERROR(__xludf.DUMMYFUNCTION("""COMPUTED_VALUE"""),21.89)</f>
        <v>21.89</v>
      </c>
      <c r="K2577" s="112">
        <f ca="1">IFERROR(__xludf.DUMMYFUNCTION("""COMPUTED_VALUE"""),44523.8125)</f>
        <v>44523.8125</v>
      </c>
      <c r="L2577" s="111">
        <f ca="1">IFERROR(__xludf.DUMMYFUNCTION("""COMPUTED_VALUE"""),8.6)</f>
        <v>8.6</v>
      </c>
      <c r="M2577" s="112">
        <f ca="1">IFERROR(__xludf.DUMMYFUNCTION("""COMPUTED_VALUE"""),43983.7055555555)</f>
        <v>43983.705555555498</v>
      </c>
      <c r="N2577" s="111">
        <f ca="1">IFERROR(__xludf.DUMMYFUNCTION("""COMPUTED_VALUE"""),18)</f>
        <v>18</v>
      </c>
      <c r="O2577" s="112">
        <f ca="1">IFERROR(__xludf.DUMMYFUNCTION("""COMPUTED_VALUE"""),44057.7055555555)</f>
        <v>44057.705555555498</v>
      </c>
      <c r="P2577" s="111">
        <f ca="1">IFERROR(__xludf.DUMMYFUNCTION("""COMPUTED_VALUE"""),61.35)</f>
        <v>61.35</v>
      </c>
      <c r="Q2577" s="112">
        <f ca="1">IFERROR(__xludf.DUMMYFUNCTION("""COMPUTED_VALUE"""),44056.7055555555)</f>
        <v>44056.705555555498</v>
      </c>
      <c r="R2577" s="111">
        <f ca="1">IFERROR(__xludf.DUMMYFUNCTION("""COMPUTED_VALUE"""),33.07)</f>
        <v>33.07</v>
      </c>
      <c r="S2577" s="112">
        <f ca="1">IFERROR(__xludf.DUMMYFUNCTION("""COMPUTED_VALUE"""),44070.7055555555)</f>
        <v>44070.705555555498</v>
      </c>
      <c r="T2577" s="111">
        <f ca="1">IFERROR(__xludf.DUMMYFUNCTION("""COMPUTED_VALUE"""),38.81)</f>
        <v>38.81</v>
      </c>
    </row>
    <row r="2578" spans="1:20" x14ac:dyDescent="0.3">
      <c r="A2578" s="112">
        <f ca="1">IFERROR(__xludf.DUMMYFUNCTION("""COMPUTED_VALUE"""),44067.7055555555)</f>
        <v>44067.705555555498</v>
      </c>
      <c r="B2578" s="111">
        <f ca="1">IFERROR(__xludf.DUMMYFUNCTION("""COMPUTED_VALUE"""),36.99)</f>
        <v>36.99</v>
      </c>
      <c r="C2578" s="112">
        <f ca="1">IFERROR(__xludf.DUMMYFUNCTION("""COMPUTED_VALUE"""),44076.7055555555)</f>
        <v>44076.705555555498</v>
      </c>
      <c r="D2578" s="111">
        <f ca="1">IFERROR(__xludf.DUMMYFUNCTION("""COMPUTED_VALUE"""),24.29)</f>
        <v>24.29</v>
      </c>
      <c r="E2578" s="112">
        <f ca="1">IFERROR(__xludf.DUMMYFUNCTION("""COMPUTED_VALUE"""),44077.7055555555)</f>
        <v>44077.705555555498</v>
      </c>
      <c r="F2578" s="111">
        <f ca="1">IFERROR(__xludf.DUMMYFUNCTION("""COMPUTED_VALUE"""),9.32)</f>
        <v>9.32</v>
      </c>
      <c r="G2578" s="112">
        <f ca="1">IFERROR(__xludf.DUMMYFUNCTION("""COMPUTED_VALUE"""),44075.7055555555)</f>
        <v>44075.705555555498</v>
      </c>
      <c r="H2578" s="111">
        <f ca="1">IFERROR(__xludf.DUMMYFUNCTION("""COMPUTED_VALUE"""),22.87)</f>
        <v>22.87</v>
      </c>
      <c r="K2578" s="112">
        <f ca="1">IFERROR(__xludf.DUMMYFUNCTION("""COMPUTED_VALUE"""),44524.8125)</f>
        <v>44524.8125</v>
      </c>
      <c r="L2578" s="111">
        <f ca="1">IFERROR(__xludf.DUMMYFUNCTION("""COMPUTED_VALUE"""),8.82)</f>
        <v>8.82</v>
      </c>
      <c r="M2578" s="112">
        <f ca="1">IFERROR(__xludf.DUMMYFUNCTION("""COMPUTED_VALUE"""),43984.7055555555)</f>
        <v>43984.705555555498</v>
      </c>
      <c r="N2578" s="111">
        <f ca="1">IFERROR(__xludf.DUMMYFUNCTION("""COMPUTED_VALUE"""),18.79)</f>
        <v>18.79</v>
      </c>
      <c r="O2578" s="112">
        <f ca="1">IFERROR(__xludf.DUMMYFUNCTION("""COMPUTED_VALUE"""),44060.7055555555)</f>
        <v>44060.705555555498</v>
      </c>
      <c r="P2578" s="111">
        <f ca="1">IFERROR(__xludf.DUMMYFUNCTION("""COMPUTED_VALUE"""),62.23)</f>
        <v>62.23</v>
      </c>
      <c r="Q2578" s="112">
        <f ca="1">IFERROR(__xludf.DUMMYFUNCTION("""COMPUTED_VALUE"""),44057.7055555555)</f>
        <v>44057.705555555498</v>
      </c>
      <c r="R2578" s="111">
        <f ca="1">IFERROR(__xludf.DUMMYFUNCTION("""COMPUTED_VALUE"""),33.18)</f>
        <v>33.18</v>
      </c>
      <c r="S2578" s="112">
        <f ca="1">IFERROR(__xludf.DUMMYFUNCTION("""COMPUTED_VALUE"""),44071.7055555555)</f>
        <v>44071.705555555498</v>
      </c>
      <c r="T2578" s="111">
        <f ca="1">IFERROR(__xludf.DUMMYFUNCTION("""COMPUTED_VALUE"""),39.75)</f>
        <v>39.75</v>
      </c>
    </row>
    <row r="2579" spans="1:20" x14ac:dyDescent="0.3">
      <c r="A2579" s="112">
        <f ca="1">IFERROR(__xludf.DUMMYFUNCTION("""COMPUTED_VALUE"""),44068.7055555555)</f>
        <v>44068.705555555498</v>
      </c>
      <c r="B2579" s="111">
        <f ca="1">IFERROR(__xludf.DUMMYFUNCTION("""COMPUTED_VALUE"""),37.79)</f>
        <v>37.79</v>
      </c>
      <c r="C2579" s="112">
        <f ca="1">IFERROR(__xludf.DUMMYFUNCTION("""COMPUTED_VALUE"""),44077.7055555555)</f>
        <v>44077.705555555498</v>
      </c>
      <c r="D2579" s="111">
        <f ca="1">IFERROR(__xludf.DUMMYFUNCTION("""COMPUTED_VALUE"""),24.88)</f>
        <v>24.88</v>
      </c>
      <c r="E2579" s="112">
        <f ca="1">IFERROR(__xludf.DUMMYFUNCTION("""COMPUTED_VALUE"""),44078.7055555555)</f>
        <v>44078.705555555498</v>
      </c>
      <c r="F2579" s="111">
        <f ca="1">IFERROR(__xludf.DUMMYFUNCTION("""COMPUTED_VALUE"""),9.3)</f>
        <v>9.3000000000000007</v>
      </c>
      <c r="G2579" s="112">
        <f ca="1">IFERROR(__xludf.DUMMYFUNCTION("""COMPUTED_VALUE"""),44076.7055555555)</f>
        <v>44076.705555555498</v>
      </c>
      <c r="H2579" s="111">
        <f ca="1">IFERROR(__xludf.DUMMYFUNCTION("""COMPUTED_VALUE"""),22.8)</f>
        <v>22.8</v>
      </c>
      <c r="K2579" s="112">
        <f ca="1">IFERROR(__xludf.DUMMYFUNCTION("""COMPUTED_VALUE"""),44525.8125)</f>
        <v>44525.8125</v>
      </c>
      <c r="L2579" s="111">
        <f ca="1">IFERROR(__xludf.DUMMYFUNCTION("""COMPUTED_VALUE"""),8.7)</f>
        <v>8.6999999999999993</v>
      </c>
      <c r="M2579" s="112">
        <f ca="1">IFERROR(__xludf.DUMMYFUNCTION("""COMPUTED_VALUE"""),43985.7055555555)</f>
        <v>43985.705555555498</v>
      </c>
      <c r="N2579" s="111">
        <f ca="1">IFERROR(__xludf.DUMMYFUNCTION("""COMPUTED_VALUE"""),19.63)</f>
        <v>19.63</v>
      </c>
      <c r="O2579" s="112">
        <f ca="1">IFERROR(__xludf.DUMMYFUNCTION("""COMPUTED_VALUE"""),44061.7055555555)</f>
        <v>44061.705555555498</v>
      </c>
      <c r="P2579" s="111">
        <f ca="1">IFERROR(__xludf.DUMMYFUNCTION("""COMPUTED_VALUE"""),63.06)</f>
        <v>63.06</v>
      </c>
      <c r="Q2579" s="112">
        <f ca="1">IFERROR(__xludf.DUMMYFUNCTION("""COMPUTED_VALUE"""),44060.7055555555)</f>
        <v>44060.705555555498</v>
      </c>
      <c r="R2579" s="111">
        <f ca="1">IFERROR(__xludf.DUMMYFUNCTION("""COMPUTED_VALUE"""),32.33)</f>
        <v>32.33</v>
      </c>
      <c r="S2579" s="112">
        <f ca="1">IFERROR(__xludf.DUMMYFUNCTION("""COMPUTED_VALUE"""),44074.7055555555)</f>
        <v>44074.705555555498</v>
      </c>
      <c r="T2579" s="111">
        <f ca="1">IFERROR(__xludf.DUMMYFUNCTION("""COMPUTED_VALUE"""),39.52)</f>
        <v>39.520000000000003</v>
      </c>
    </row>
    <row r="2580" spans="1:20" x14ac:dyDescent="0.3">
      <c r="A2580" s="112">
        <f ca="1">IFERROR(__xludf.DUMMYFUNCTION("""COMPUTED_VALUE"""),44069.7055555555)</f>
        <v>44069.705555555498</v>
      </c>
      <c r="B2580" s="111">
        <f ca="1">IFERROR(__xludf.DUMMYFUNCTION("""COMPUTED_VALUE"""),36.01)</f>
        <v>36.01</v>
      </c>
      <c r="C2580" s="112">
        <f ca="1">IFERROR(__xludf.DUMMYFUNCTION("""COMPUTED_VALUE"""),44078.7055555555)</f>
        <v>44078.705555555498</v>
      </c>
      <c r="D2580" s="111">
        <f ca="1">IFERROR(__xludf.DUMMYFUNCTION("""COMPUTED_VALUE"""),24.96)</f>
        <v>24.96</v>
      </c>
      <c r="E2580" s="112">
        <f ca="1">IFERROR(__xludf.DUMMYFUNCTION("""COMPUTED_VALUE"""),44082.7055555555)</f>
        <v>44082.705555555498</v>
      </c>
      <c r="F2580" s="111">
        <f ca="1">IFERROR(__xludf.DUMMYFUNCTION("""COMPUTED_VALUE"""),9.18)</f>
        <v>9.18</v>
      </c>
      <c r="G2580" s="112">
        <f ca="1">IFERROR(__xludf.DUMMYFUNCTION("""COMPUTED_VALUE"""),44077.7055555555)</f>
        <v>44077.705555555498</v>
      </c>
      <c r="H2580" s="111">
        <f ca="1">IFERROR(__xludf.DUMMYFUNCTION("""COMPUTED_VALUE"""),22.88)</f>
        <v>22.88</v>
      </c>
      <c r="K2580" s="112">
        <f ca="1">IFERROR(__xludf.DUMMYFUNCTION("""COMPUTED_VALUE"""),44526.8125)</f>
        <v>44526.8125</v>
      </c>
      <c r="L2580" s="111">
        <f ca="1">IFERROR(__xludf.DUMMYFUNCTION("""COMPUTED_VALUE"""),8.06)</f>
        <v>8.06</v>
      </c>
      <c r="M2580" s="112">
        <f ca="1">IFERROR(__xludf.DUMMYFUNCTION("""COMPUTED_VALUE"""),43986.7055555555)</f>
        <v>43986.705555555498</v>
      </c>
      <c r="N2580" s="111">
        <f ca="1">IFERROR(__xludf.DUMMYFUNCTION("""COMPUTED_VALUE"""),19.91)</f>
        <v>19.91</v>
      </c>
      <c r="O2580" s="112">
        <f ca="1">IFERROR(__xludf.DUMMYFUNCTION("""COMPUTED_VALUE"""),44062.7055555555)</f>
        <v>44062.705555555498</v>
      </c>
      <c r="P2580" s="111">
        <f ca="1">IFERROR(__xludf.DUMMYFUNCTION("""COMPUTED_VALUE"""),62.39)</f>
        <v>62.39</v>
      </c>
      <c r="Q2580" s="112">
        <f ca="1">IFERROR(__xludf.DUMMYFUNCTION("""COMPUTED_VALUE"""),44061.7055555555)</f>
        <v>44061.705555555498</v>
      </c>
      <c r="R2580" s="111">
        <f ca="1">IFERROR(__xludf.DUMMYFUNCTION("""COMPUTED_VALUE"""),32.77)</f>
        <v>32.770000000000003</v>
      </c>
      <c r="S2580" s="112">
        <f ca="1">IFERROR(__xludf.DUMMYFUNCTION("""COMPUTED_VALUE"""),44075.7055555555)</f>
        <v>44075.705555555498</v>
      </c>
      <c r="T2580" s="111">
        <f ca="1">IFERROR(__xludf.DUMMYFUNCTION("""COMPUTED_VALUE"""),41.34)</f>
        <v>41.34</v>
      </c>
    </row>
    <row r="2581" spans="1:20" x14ac:dyDescent="0.3">
      <c r="A2581" s="112">
        <f ca="1">IFERROR(__xludf.DUMMYFUNCTION("""COMPUTED_VALUE"""),44070.7055555555)</f>
        <v>44070.705555555498</v>
      </c>
      <c r="B2581" s="111">
        <f ca="1">IFERROR(__xludf.DUMMYFUNCTION("""COMPUTED_VALUE"""),35.67)</f>
        <v>35.67</v>
      </c>
      <c r="C2581" s="112">
        <f ca="1">IFERROR(__xludf.DUMMYFUNCTION("""COMPUTED_VALUE"""),44082.7055555555)</f>
        <v>44082.705555555498</v>
      </c>
      <c r="D2581" s="111">
        <f ca="1">IFERROR(__xludf.DUMMYFUNCTION("""COMPUTED_VALUE"""),24.4)</f>
        <v>24.4</v>
      </c>
      <c r="E2581" s="112">
        <f ca="1">IFERROR(__xludf.DUMMYFUNCTION("""COMPUTED_VALUE"""),44083.7055555555)</f>
        <v>44083.705555555498</v>
      </c>
      <c r="F2581" s="111">
        <f ca="1">IFERROR(__xludf.DUMMYFUNCTION("""COMPUTED_VALUE"""),9.22)</f>
        <v>9.2200000000000006</v>
      </c>
      <c r="G2581" s="112">
        <f ca="1">IFERROR(__xludf.DUMMYFUNCTION("""COMPUTED_VALUE"""),44078.7055555555)</f>
        <v>44078.705555555498</v>
      </c>
      <c r="H2581" s="111">
        <f ca="1">IFERROR(__xludf.DUMMYFUNCTION("""COMPUTED_VALUE"""),22.92)</f>
        <v>22.92</v>
      </c>
      <c r="K2581" s="112">
        <f ca="1">IFERROR(__xludf.DUMMYFUNCTION("""COMPUTED_VALUE"""),44529.8125)</f>
        <v>44529.8125</v>
      </c>
      <c r="L2581" s="111">
        <f ca="1">IFERROR(__xludf.DUMMYFUNCTION("""COMPUTED_VALUE"""),8.04)</f>
        <v>8.0399999999999991</v>
      </c>
      <c r="M2581" s="112">
        <f ca="1">IFERROR(__xludf.DUMMYFUNCTION("""COMPUTED_VALUE"""),43987.7055555555)</f>
        <v>43987.705555555498</v>
      </c>
      <c r="N2581" s="111">
        <f ca="1">IFERROR(__xludf.DUMMYFUNCTION("""COMPUTED_VALUE"""),20.27)</f>
        <v>20.27</v>
      </c>
      <c r="O2581" s="112">
        <f ca="1">IFERROR(__xludf.DUMMYFUNCTION("""COMPUTED_VALUE"""),44063.7055555555)</f>
        <v>44063.705555555498</v>
      </c>
      <c r="P2581" s="111">
        <f ca="1">IFERROR(__xludf.DUMMYFUNCTION("""COMPUTED_VALUE"""),62.95)</f>
        <v>62.95</v>
      </c>
      <c r="Q2581" s="112">
        <f ca="1">IFERROR(__xludf.DUMMYFUNCTION("""COMPUTED_VALUE"""),44062.7055555555)</f>
        <v>44062.705555555498</v>
      </c>
      <c r="R2581" s="111">
        <f ca="1">IFERROR(__xludf.DUMMYFUNCTION("""COMPUTED_VALUE"""),32.62)</f>
        <v>32.619999999999997</v>
      </c>
      <c r="S2581" s="112">
        <f ca="1">IFERROR(__xludf.DUMMYFUNCTION("""COMPUTED_VALUE"""),44076.7055555555)</f>
        <v>44076.705555555498</v>
      </c>
      <c r="T2581" s="111">
        <f ca="1">IFERROR(__xludf.DUMMYFUNCTION("""COMPUTED_VALUE"""),41.44)</f>
        <v>41.44</v>
      </c>
    </row>
    <row r="2582" spans="1:20" x14ac:dyDescent="0.3">
      <c r="A2582" s="112">
        <f ca="1">IFERROR(__xludf.DUMMYFUNCTION("""COMPUTED_VALUE"""),44071.7055555555)</f>
        <v>44071.705555555498</v>
      </c>
      <c r="B2582" s="111">
        <f ca="1">IFERROR(__xludf.DUMMYFUNCTION("""COMPUTED_VALUE"""),37.09)</f>
        <v>37.090000000000003</v>
      </c>
      <c r="C2582" s="112">
        <f ca="1">IFERROR(__xludf.DUMMYFUNCTION("""COMPUTED_VALUE"""),44083.7055555555)</f>
        <v>44083.705555555498</v>
      </c>
      <c r="D2582" s="111">
        <f ca="1">IFERROR(__xludf.DUMMYFUNCTION("""COMPUTED_VALUE"""),24.43)</f>
        <v>24.43</v>
      </c>
      <c r="E2582" s="112">
        <f ca="1">IFERROR(__xludf.DUMMYFUNCTION("""COMPUTED_VALUE"""),44084.7055555555)</f>
        <v>44084.705555555498</v>
      </c>
      <c r="F2582" s="111">
        <f ca="1">IFERROR(__xludf.DUMMYFUNCTION("""COMPUTED_VALUE"""),9.01)</f>
        <v>9.01</v>
      </c>
      <c r="G2582" s="112">
        <f ca="1">IFERROR(__xludf.DUMMYFUNCTION("""COMPUTED_VALUE"""),44082.7055555555)</f>
        <v>44082.705555555498</v>
      </c>
      <c r="H2582" s="111">
        <f ca="1">IFERROR(__xludf.DUMMYFUNCTION("""COMPUTED_VALUE"""),22.26)</f>
        <v>22.26</v>
      </c>
      <c r="K2582" s="112">
        <f ca="1">IFERROR(__xludf.DUMMYFUNCTION("""COMPUTED_VALUE"""),44530.75)</f>
        <v>44530.75</v>
      </c>
      <c r="L2582" s="111">
        <f ca="1">IFERROR(__xludf.DUMMYFUNCTION("""COMPUTED_VALUE"""),7.8)</f>
        <v>7.8</v>
      </c>
      <c r="M2582" s="112">
        <f ca="1">IFERROR(__xludf.DUMMYFUNCTION("""COMPUTED_VALUE"""),43990.7055555555)</f>
        <v>43990.705555555498</v>
      </c>
      <c r="N2582" s="111">
        <f ca="1">IFERROR(__xludf.DUMMYFUNCTION("""COMPUTED_VALUE"""),21.34)</f>
        <v>21.34</v>
      </c>
      <c r="O2582" s="112">
        <f ca="1">IFERROR(__xludf.DUMMYFUNCTION("""COMPUTED_VALUE"""),44064.7055555555)</f>
        <v>44064.705555555498</v>
      </c>
      <c r="P2582" s="111">
        <f ca="1">IFERROR(__xludf.DUMMYFUNCTION("""COMPUTED_VALUE"""),62.2)</f>
        <v>62.2</v>
      </c>
      <c r="Q2582" s="112">
        <f ca="1">IFERROR(__xludf.DUMMYFUNCTION("""COMPUTED_VALUE"""),44063.7055555555)</f>
        <v>44063.705555555498</v>
      </c>
      <c r="R2582" s="111">
        <f ca="1">IFERROR(__xludf.DUMMYFUNCTION("""COMPUTED_VALUE"""),32.65)</f>
        <v>32.65</v>
      </c>
      <c r="S2582" s="112">
        <f ca="1">IFERROR(__xludf.DUMMYFUNCTION("""COMPUTED_VALUE"""),44077.7055555555)</f>
        <v>44077.705555555498</v>
      </c>
      <c r="T2582" s="111">
        <f ca="1">IFERROR(__xludf.DUMMYFUNCTION("""COMPUTED_VALUE"""),41.54)</f>
        <v>41.54</v>
      </c>
    </row>
    <row r="2583" spans="1:20" x14ac:dyDescent="0.3">
      <c r="A2583" s="112">
        <f ca="1">IFERROR(__xludf.DUMMYFUNCTION("""COMPUTED_VALUE"""),44074.7055555555)</f>
        <v>44074.705555555498</v>
      </c>
      <c r="B2583" s="111">
        <f ca="1">IFERROR(__xludf.DUMMYFUNCTION("""COMPUTED_VALUE"""),35.13)</f>
        <v>35.130000000000003</v>
      </c>
      <c r="C2583" s="112">
        <f ca="1">IFERROR(__xludf.DUMMYFUNCTION("""COMPUTED_VALUE"""),44084.7055555555)</f>
        <v>44084.705555555498</v>
      </c>
      <c r="D2583" s="111">
        <f ca="1">IFERROR(__xludf.DUMMYFUNCTION("""COMPUTED_VALUE"""),23.91)</f>
        <v>23.91</v>
      </c>
      <c r="E2583" s="112">
        <f ca="1">IFERROR(__xludf.DUMMYFUNCTION("""COMPUTED_VALUE"""),44085.7055555555)</f>
        <v>44085.705555555498</v>
      </c>
      <c r="F2583" s="111">
        <f ca="1">IFERROR(__xludf.DUMMYFUNCTION("""COMPUTED_VALUE"""),8.83)</f>
        <v>8.83</v>
      </c>
      <c r="G2583" s="112">
        <f ca="1">IFERROR(__xludf.DUMMYFUNCTION("""COMPUTED_VALUE"""),44083.7055555555)</f>
        <v>44083.705555555498</v>
      </c>
      <c r="H2583" s="111">
        <f ca="1">IFERROR(__xludf.DUMMYFUNCTION("""COMPUTED_VALUE"""),22.73)</f>
        <v>22.73</v>
      </c>
      <c r="K2583" s="112">
        <f ca="1">IFERROR(__xludf.DUMMYFUNCTION("""COMPUTED_VALUE"""),44531.7055555555)</f>
        <v>44531.705555555498</v>
      </c>
      <c r="L2583" s="111">
        <f ca="1">IFERROR(__xludf.DUMMYFUNCTION("""COMPUTED_VALUE"""),6.88)</f>
        <v>6.88</v>
      </c>
      <c r="M2583" s="112">
        <f ca="1">IFERROR(__xludf.DUMMYFUNCTION("""COMPUTED_VALUE"""),43991.7055555555)</f>
        <v>43991.705555555498</v>
      </c>
      <c r="N2583" s="111">
        <f ca="1">IFERROR(__xludf.DUMMYFUNCTION("""COMPUTED_VALUE"""),20.86)</f>
        <v>20.86</v>
      </c>
      <c r="O2583" s="112">
        <f ca="1">IFERROR(__xludf.DUMMYFUNCTION("""COMPUTED_VALUE"""),44067.7055555555)</f>
        <v>44067.705555555498</v>
      </c>
      <c r="P2583" s="111">
        <f ca="1">IFERROR(__xludf.DUMMYFUNCTION("""COMPUTED_VALUE"""),62.96)</f>
        <v>62.96</v>
      </c>
      <c r="Q2583" s="112">
        <f ca="1">IFERROR(__xludf.DUMMYFUNCTION("""COMPUTED_VALUE"""),44064.7055555555)</f>
        <v>44064.705555555498</v>
      </c>
      <c r="R2583" s="111">
        <f ca="1">IFERROR(__xludf.DUMMYFUNCTION("""COMPUTED_VALUE"""),32.95)</f>
        <v>32.950000000000003</v>
      </c>
      <c r="S2583" s="112">
        <f ca="1">IFERROR(__xludf.DUMMYFUNCTION("""COMPUTED_VALUE"""),44078.7055555555)</f>
        <v>44078.705555555498</v>
      </c>
      <c r="T2583" s="111">
        <f ca="1">IFERROR(__xludf.DUMMYFUNCTION("""COMPUTED_VALUE"""),42.09)</f>
        <v>42.09</v>
      </c>
    </row>
    <row r="2584" spans="1:20" x14ac:dyDescent="0.3">
      <c r="A2584" s="112">
        <f ca="1">IFERROR(__xludf.DUMMYFUNCTION("""COMPUTED_VALUE"""),44075.7055555555)</f>
        <v>44075.705555555498</v>
      </c>
      <c r="B2584" s="111">
        <f ca="1">IFERROR(__xludf.DUMMYFUNCTION("""COMPUTED_VALUE"""),36.11)</f>
        <v>36.11</v>
      </c>
      <c r="C2584" s="112">
        <f ca="1">IFERROR(__xludf.DUMMYFUNCTION("""COMPUTED_VALUE"""),44085.7055555555)</f>
        <v>44085.705555555498</v>
      </c>
      <c r="D2584" s="111">
        <f ca="1">IFERROR(__xludf.DUMMYFUNCTION("""COMPUTED_VALUE"""),23.63)</f>
        <v>23.63</v>
      </c>
      <c r="E2584" s="112">
        <f ca="1">IFERROR(__xludf.DUMMYFUNCTION("""COMPUTED_VALUE"""),44088.7055555555)</f>
        <v>44088.705555555498</v>
      </c>
      <c r="F2584" s="111">
        <f ca="1">IFERROR(__xludf.DUMMYFUNCTION("""COMPUTED_VALUE"""),8.93)</f>
        <v>8.93</v>
      </c>
      <c r="G2584" s="112">
        <f ca="1">IFERROR(__xludf.DUMMYFUNCTION("""COMPUTED_VALUE"""),44084.7055555555)</f>
        <v>44084.705555555498</v>
      </c>
      <c r="H2584" s="111">
        <f ca="1">IFERROR(__xludf.DUMMYFUNCTION("""COMPUTED_VALUE"""),22.12)</f>
        <v>22.12</v>
      </c>
      <c r="K2584" s="112">
        <f ca="1">IFERROR(__xludf.DUMMYFUNCTION("""COMPUTED_VALUE"""),44532.7055555555)</f>
        <v>44532.705555555498</v>
      </c>
      <c r="L2584" s="111">
        <f ca="1">IFERROR(__xludf.DUMMYFUNCTION("""COMPUTED_VALUE"""),6.76)</f>
        <v>6.76</v>
      </c>
      <c r="M2584" s="112">
        <f ca="1">IFERROR(__xludf.DUMMYFUNCTION("""COMPUTED_VALUE"""),43992.7055555555)</f>
        <v>43992.705555555498</v>
      </c>
      <c r="N2584" s="111">
        <f ca="1">IFERROR(__xludf.DUMMYFUNCTION("""COMPUTED_VALUE"""),19.89)</f>
        <v>19.89</v>
      </c>
      <c r="O2584" s="112">
        <f ca="1">IFERROR(__xludf.DUMMYFUNCTION("""COMPUTED_VALUE"""),44068.7055555555)</f>
        <v>44068.705555555498</v>
      </c>
      <c r="P2584" s="111">
        <f ca="1">IFERROR(__xludf.DUMMYFUNCTION("""COMPUTED_VALUE"""),61.62)</f>
        <v>61.62</v>
      </c>
      <c r="Q2584" s="112">
        <f ca="1">IFERROR(__xludf.DUMMYFUNCTION("""COMPUTED_VALUE"""),44067.7055555555)</f>
        <v>44067.705555555498</v>
      </c>
      <c r="R2584" s="111">
        <f ca="1">IFERROR(__xludf.DUMMYFUNCTION("""COMPUTED_VALUE"""),33.45)</f>
        <v>33.450000000000003</v>
      </c>
      <c r="S2584" s="112">
        <f ca="1">IFERROR(__xludf.DUMMYFUNCTION("""COMPUTED_VALUE"""),44082.7055555555)</f>
        <v>44082.705555555498</v>
      </c>
      <c r="T2584" s="111">
        <f ca="1">IFERROR(__xludf.DUMMYFUNCTION("""COMPUTED_VALUE"""),41.97)</f>
        <v>41.97</v>
      </c>
    </row>
    <row r="2585" spans="1:20" x14ac:dyDescent="0.3">
      <c r="A2585" s="112">
        <f ca="1">IFERROR(__xludf.DUMMYFUNCTION("""COMPUTED_VALUE"""),44076.7055555555)</f>
        <v>44076.705555555498</v>
      </c>
      <c r="B2585" s="111">
        <f ca="1">IFERROR(__xludf.DUMMYFUNCTION("""COMPUTED_VALUE"""),37.34)</f>
        <v>37.340000000000003</v>
      </c>
      <c r="C2585" s="112">
        <f ca="1">IFERROR(__xludf.DUMMYFUNCTION("""COMPUTED_VALUE"""),44088.7055555555)</f>
        <v>44088.705555555498</v>
      </c>
      <c r="D2585" s="111">
        <f ca="1">IFERROR(__xludf.DUMMYFUNCTION("""COMPUTED_VALUE"""),24.05)</f>
        <v>24.05</v>
      </c>
      <c r="E2585" s="112">
        <f ca="1">IFERROR(__xludf.DUMMYFUNCTION("""COMPUTED_VALUE"""),44089.7055555555)</f>
        <v>44089.705555555498</v>
      </c>
      <c r="F2585" s="111">
        <f ca="1">IFERROR(__xludf.DUMMYFUNCTION("""COMPUTED_VALUE"""),8.82)</f>
        <v>8.82</v>
      </c>
      <c r="G2585" s="112">
        <f ca="1">IFERROR(__xludf.DUMMYFUNCTION("""COMPUTED_VALUE"""),44085.7055555555)</f>
        <v>44085.705555555498</v>
      </c>
      <c r="H2585" s="111">
        <f ca="1">IFERROR(__xludf.DUMMYFUNCTION("""COMPUTED_VALUE"""),21.88)</f>
        <v>21.88</v>
      </c>
      <c r="K2585" s="112">
        <f ca="1">IFERROR(__xludf.DUMMYFUNCTION("""COMPUTED_VALUE"""),44533.7055555555)</f>
        <v>44533.705555555498</v>
      </c>
      <c r="L2585" s="111">
        <f ca="1">IFERROR(__xludf.DUMMYFUNCTION("""COMPUTED_VALUE"""),7.05)</f>
        <v>7.05</v>
      </c>
      <c r="M2585" s="112">
        <f ca="1">IFERROR(__xludf.DUMMYFUNCTION("""COMPUTED_VALUE"""),43994.7055555555)</f>
        <v>43994.705555555498</v>
      </c>
      <c r="N2585" s="111">
        <f ca="1">IFERROR(__xludf.DUMMYFUNCTION("""COMPUTED_VALUE"""),19.66)</f>
        <v>19.66</v>
      </c>
      <c r="O2585" s="112">
        <f ca="1">IFERROR(__xludf.DUMMYFUNCTION("""COMPUTED_VALUE"""),44069.7055555555)</f>
        <v>44069.705555555498</v>
      </c>
      <c r="P2585" s="111">
        <f ca="1">IFERROR(__xludf.DUMMYFUNCTION("""COMPUTED_VALUE"""),61.75)</f>
        <v>61.75</v>
      </c>
      <c r="Q2585" s="112">
        <f ca="1">IFERROR(__xludf.DUMMYFUNCTION("""COMPUTED_VALUE"""),44068.7055555555)</f>
        <v>44068.705555555498</v>
      </c>
      <c r="R2585" s="111">
        <f ca="1">IFERROR(__xludf.DUMMYFUNCTION("""COMPUTED_VALUE"""),33.25)</f>
        <v>33.25</v>
      </c>
      <c r="S2585" s="112">
        <f ca="1">IFERROR(__xludf.DUMMYFUNCTION("""COMPUTED_VALUE"""),44083.7055555555)</f>
        <v>44083.705555555498</v>
      </c>
      <c r="T2585" s="111">
        <f ca="1">IFERROR(__xludf.DUMMYFUNCTION("""COMPUTED_VALUE"""),41.92)</f>
        <v>41.92</v>
      </c>
    </row>
    <row r="2586" spans="1:20" x14ac:dyDescent="0.3">
      <c r="A2586" s="112">
        <f ca="1">IFERROR(__xludf.DUMMYFUNCTION("""COMPUTED_VALUE"""),44077.7055555555)</f>
        <v>44077.705555555498</v>
      </c>
      <c r="B2586" s="111">
        <f ca="1">IFERROR(__xludf.DUMMYFUNCTION("""COMPUTED_VALUE"""),36.22)</f>
        <v>36.22</v>
      </c>
      <c r="C2586" s="112">
        <f ca="1">IFERROR(__xludf.DUMMYFUNCTION("""COMPUTED_VALUE"""),44089.7055555555)</f>
        <v>44089.705555555498</v>
      </c>
      <c r="D2586" s="111">
        <f ca="1">IFERROR(__xludf.DUMMYFUNCTION("""COMPUTED_VALUE"""),23.73)</f>
        <v>23.73</v>
      </c>
      <c r="E2586" s="112">
        <f ca="1">IFERROR(__xludf.DUMMYFUNCTION("""COMPUTED_VALUE"""),44090.7055555555)</f>
        <v>44090.705555555498</v>
      </c>
      <c r="F2586" s="111">
        <f ca="1">IFERROR(__xludf.DUMMYFUNCTION("""COMPUTED_VALUE"""),8.82)</f>
        <v>8.82</v>
      </c>
      <c r="G2586" s="112">
        <f ca="1">IFERROR(__xludf.DUMMYFUNCTION("""COMPUTED_VALUE"""),44088.7055555555)</f>
        <v>44088.705555555498</v>
      </c>
      <c r="H2586" s="111">
        <f ca="1">IFERROR(__xludf.DUMMYFUNCTION("""COMPUTED_VALUE"""),21.68)</f>
        <v>21.68</v>
      </c>
      <c r="K2586" s="112">
        <f ca="1">IFERROR(__xludf.DUMMYFUNCTION("""COMPUTED_VALUE"""),44536.7055555555)</f>
        <v>44536.705555555498</v>
      </c>
      <c r="L2586" s="111">
        <f ca="1">IFERROR(__xludf.DUMMYFUNCTION("""COMPUTED_VALUE"""),7.3)</f>
        <v>7.3</v>
      </c>
      <c r="M2586" s="112">
        <f ca="1">IFERROR(__xludf.DUMMYFUNCTION("""COMPUTED_VALUE"""),43997.7055555555)</f>
        <v>43997.705555555498</v>
      </c>
      <c r="N2586" s="111">
        <f ca="1">IFERROR(__xludf.DUMMYFUNCTION("""COMPUTED_VALUE"""),19.23)</f>
        <v>19.23</v>
      </c>
      <c r="O2586" s="112">
        <f ca="1">IFERROR(__xludf.DUMMYFUNCTION("""COMPUTED_VALUE"""),44070.7055555555)</f>
        <v>44070.705555555498</v>
      </c>
      <c r="P2586" s="111">
        <f ca="1">IFERROR(__xludf.DUMMYFUNCTION("""COMPUTED_VALUE"""),60.79)</f>
        <v>60.79</v>
      </c>
      <c r="Q2586" s="112">
        <f ca="1">IFERROR(__xludf.DUMMYFUNCTION("""COMPUTED_VALUE"""),44069.7055555555)</f>
        <v>44069.705555555498</v>
      </c>
      <c r="R2586" s="111">
        <f ca="1">IFERROR(__xludf.DUMMYFUNCTION("""COMPUTED_VALUE"""),32.45)</f>
        <v>32.450000000000003</v>
      </c>
      <c r="S2586" s="112">
        <f ca="1">IFERROR(__xludf.DUMMYFUNCTION("""COMPUTED_VALUE"""),44084.7055555555)</f>
        <v>44084.705555555498</v>
      </c>
      <c r="T2586" s="111">
        <f ca="1">IFERROR(__xludf.DUMMYFUNCTION("""COMPUTED_VALUE"""),40.06)</f>
        <v>40.06</v>
      </c>
    </row>
    <row r="2587" spans="1:20" x14ac:dyDescent="0.3">
      <c r="A2587" s="112">
        <f ca="1">IFERROR(__xludf.DUMMYFUNCTION("""COMPUTED_VALUE"""),44078.7055555555)</f>
        <v>44078.705555555498</v>
      </c>
      <c r="B2587" s="111">
        <f ca="1">IFERROR(__xludf.DUMMYFUNCTION("""COMPUTED_VALUE"""),36.06)</f>
        <v>36.06</v>
      </c>
      <c r="C2587" s="112">
        <f ca="1">IFERROR(__xludf.DUMMYFUNCTION("""COMPUTED_VALUE"""),44090.7055555555)</f>
        <v>44090.705555555498</v>
      </c>
      <c r="D2587" s="111">
        <f ca="1">IFERROR(__xludf.DUMMYFUNCTION("""COMPUTED_VALUE"""),23.66)</f>
        <v>23.66</v>
      </c>
      <c r="E2587" s="112">
        <f ca="1">IFERROR(__xludf.DUMMYFUNCTION("""COMPUTED_VALUE"""),44091.7055555555)</f>
        <v>44091.705555555498</v>
      </c>
      <c r="F2587" s="111">
        <f ca="1">IFERROR(__xludf.DUMMYFUNCTION("""COMPUTED_VALUE"""),8.81)</f>
        <v>8.81</v>
      </c>
      <c r="G2587" s="112">
        <f ca="1">IFERROR(__xludf.DUMMYFUNCTION("""COMPUTED_VALUE"""),44089.7055555555)</f>
        <v>44089.705555555498</v>
      </c>
      <c r="H2587" s="111">
        <f ca="1">IFERROR(__xludf.DUMMYFUNCTION("""COMPUTED_VALUE"""),21.67)</f>
        <v>21.67</v>
      </c>
      <c r="K2587" s="112">
        <f ca="1">IFERROR(__xludf.DUMMYFUNCTION("""COMPUTED_VALUE"""),44537.7055555555)</f>
        <v>44537.705555555498</v>
      </c>
      <c r="L2587" s="111">
        <f ca="1">IFERROR(__xludf.DUMMYFUNCTION("""COMPUTED_VALUE"""),7.62)</f>
        <v>7.62</v>
      </c>
      <c r="M2587" s="112">
        <f ca="1">IFERROR(__xludf.DUMMYFUNCTION("""COMPUTED_VALUE"""),43998.7055555555)</f>
        <v>43998.705555555498</v>
      </c>
      <c r="N2587" s="111">
        <f ca="1">IFERROR(__xludf.DUMMYFUNCTION("""COMPUTED_VALUE"""),20.03)</f>
        <v>20.03</v>
      </c>
      <c r="O2587" s="112">
        <f ca="1">IFERROR(__xludf.DUMMYFUNCTION("""COMPUTED_VALUE"""),44071.7055555555)</f>
        <v>44071.705555555498</v>
      </c>
      <c r="P2587" s="111">
        <f ca="1">IFERROR(__xludf.DUMMYFUNCTION("""COMPUTED_VALUE"""),61.1)</f>
        <v>61.1</v>
      </c>
      <c r="Q2587" s="112">
        <f ca="1">IFERROR(__xludf.DUMMYFUNCTION("""COMPUTED_VALUE"""),44070.7055555555)</f>
        <v>44070.705555555498</v>
      </c>
      <c r="R2587" s="111">
        <f ca="1">IFERROR(__xludf.DUMMYFUNCTION("""COMPUTED_VALUE"""),32.75)</f>
        <v>32.75</v>
      </c>
      <c r="S2587" s="112">
        <f ca="1">IFERROR(__xludf.DUMMYFUNCTION("""COMPUTED_VALUE"""),44085.7055555555)</f>
        <v>44085.705555555498</v>
      </c>
      <c r="T2587" s="111">
        <f ca="1">IFERROR(__xludf.DUMMYFUNCTION("""COMPUTED_VALUE"""),39.18)</f>
        <v>39.18</v>
      </c>
    </row>
    <row r="2588" spans="1:20" x14ac:dyDescent="0.3">
      <c r="A2588" s="112">
        <f ca="1">IFERROR(__xludf.DUMMYFUNCTION("""COMPUTED_VALUE"""),44082.7055555555)</f>
        <v>44082.705555555498</v>
      </c>
      <c r="B2588" s="111">
        <f ca="1">IFERROR(__xludf.DUMMYFUNCTION("""COMPUTED_VALUE"""),35.98)</f>
        <v>35.979999999999997</v>
      </c>
      <c r="C2588" s="112">
        <f ca="1">IFERROR(__xludf.DUMMYFUNCTION("""COMPUTED_VALUE"""),44091.7055555555)</f>
        <v>44091.705555555498</v>
      </c>
      <c r="D2588" s="111">
        <f ca="1">IFERROR(__xludf.DUMMYFUNCTION("""COMPUTED_VALUE"""),23.69)</f>
        <v>23.69</v>
      </c>
      <c r="E2588" s="112">
        <f ca="1">IFERROR(__xludf.DUMMYFUNCTION("""COMPUTED_VALUE"""),44092.7055555555)</f>
        <v>44092.705555555498</v>
      </c>
      <c r="F2588" s="111">
        <f ca="1">IFERROR(__xludf.DUMMYFUNCTION("""COMPUTED_VALUE"""),8.56)</f>
        <v>8.56</v>
      </c>
      <c r="G2588" s="112">
        <f ca="1">IFERROR(__xludf.DUMMYFUNCTION("""COMPUTED_VALUE"""),44090.7055555555)</f>
        <v>44090.705555555498</v>
      </c>
      <c r="H2588" s="111">
        <f ca="1">IFERROR(__xludf.DUMMYFUNCTION("""COMPUTED_VALUE"""),21.73)</f>
        <v>21.73</v>
      </c>
      <c r="K2588" s="112">
        <f ca="1">IFERROR(__xludf.DUMMYFUNCTION("""COMPUTED_VALUE"""),44538.7055555555)</f>
        <v>44538.705555555498</v>
      </c>
      <c r="L2588" s="111">
        <f ca="1">IFERROR(__xludf.DUMMYFUNCTION("""COMPUTED_VALUE"""),6.81)</f>
        <v>6.81</v>
      </c>
      <c r="M2588" s="112">
        <f ca="1">IFERROR(__xludf.DUMMYFUNCTION("""COMPUTED_VALUE"""),43999.7055555555)</f>
        <v>43999.705555555498</v>
      </c>
      <c r="N2588" s="111">
        <f ca="1">IFERROR(__xludf.DUMMYFUNCTION("""COMPUTED_VALUE"""),20.35)</f>
        <v>20.350000000000001</v>
      </c>
      <c r="O2588" s="112">
        <f ca="1">IFERROR(__xludf.DUMMYFUNCTION("""COMPUTED_VALUE"""),44074.7055555555)</f>
        <v>44074.705555555498</v>
      </c>
      <c r="P2588" s="111">
        <f ca="1">IFERROR(__xludf.DUMMYFUNCTION("""COMPUTED_VALUE"""),59.68)</f>
        <v>59.68</v>
      </c>
      <c r="Q2588" s="112">
        <f ca="1">IFERROR(__xludf.DUMMYFUNCTION("""COMPUTED_VALUE"""),44071.7055555555)</f>
        <v>44071.705555555498</v>
      </c>
      <c r="R2588" s="111">
        <f ca="1">IFERROR(__xludf.DUMMYFUNCTION("""COMPUTED_VALUE"""),33.39)</f>
        <v>33.39</v>
      </c>
      <c r="S2588" s="112">
        <f ca="1">IFERROR(__xludf.DUMMYFUNCTION("""COMPUTED_VALUE"""),44088.7055555555)</f>
        <v>44088.705555555498</v>
      </c>
      <c r="T2588" s="111">
        <f ca="1">IFERROR(__xludf.DUMMYFUNCTION("""COMPUTED_VALUE"""),40.89)</f>
        <v>40.89</v>
      </c>
    </row>
    <row r="2589" spans="1:20" x14ac:dyDescent="0.3">
      <c r="A2589" s="112">
        <f ca="1">IFERROR(__xludf.DUMMYFUNCTION("""COMPUTED_VALUE"""),44083.7055555555)</f>
        <v>44083.705555555498</v>
      </c>
      <c r="B2589" s="111">
        <f ca="1">IFERROR(__xludf.DUMMYFUNCTION("""COMPUTED_VALUE"""),35.99)</f>
        <v>35.99</v>
      </c>
      <c r="C2589" s="112">
        <f ca="1">IFERROR(__xludf.DUMMYFUNCTION("""COMPUTED_VALUE"""),44092.7055555555)</f>
        <v>44092.705555555498</v>
      </c>
      <c r="D2589" s="111">
        <f ca="1">IFERROR(__xludf.DUMMYFUNCTION("""COMPUTED_VALUE"""),23.1)</f>
        <v>23.1</v>
      </c>
      <c r="E2589" s="112">
        <f ca="1">IFERROR(__xludf.DUMMYFUNCTION("""COMPUTED_VALUE"""),44095.7055555555)</f>
        <v>44095.705555555498</v>
      </c>
      <c r="F2589" s="111">
        <f ca="1">IFERROR(__xludf.DUMMYFUNCTION("""COMPUTED_VALUE"""),8.55)</f>
        <v>8.5500000000000007</v>
      </c>
      <c r="G2589" s="112">
        <f ca="1">IFERROR(__xludf.DUMMYFUNCTION("""COMPUTED_VALUE"""),44091.7055555555)</f>
        <v>44091.705555555498</v>
      </c>
      <c r="H2589" s="111">
        <f ca="1">IFERROR(__xludf.DUMMYFUNCTION("""COMPUTED_VALUE"""),22.15)</f>
        <v>22.15</v>
      </c>
      <c r="K2589" s="112">
        <f ca="1">IFERROR(__xludf.DUMMYFUNCTION("""COMPUTED_VALUE"""),44539.7055555555)</f>
        <v>44539.705555555498</v>
      </c>
      <c r="L2589" s="111">
        <f ca="1">IFERROR(__xludf.DUMMYFUNCTION("""COMPUTED_VALUE"""),6.28)</f>
        <v>6.28</v>
      </c>
      <c r="M2589" s="112">
        <f ca="1">IFERROR(__xludf.DUMMYFUNCTION("""COMPUTED_VALUE"""),44000.7055555555)</f>
        <v>44000.705555555498</v>
      </c>
      <c r="N2589" s="111">
        <f ca="1">IFERROR(__xludf.DUMMYFUNCTION("""COMPUTED_VALUE"""),20.27)</f>
        <v>20.27</v>
      </c>
      <c r="O2589" s="112">
        <f ca="1">IFERROR(__xludf.DUMMYFUNCTION("""COMPUTED_VALUE"""),44075.7055555555)</f>
        <v>44075.705555555498</v>
      </c>
      <c r="P2589" s="111">
        <f ca="1">IFERROR(__xludf.DUMMYFUNCTION("""COMPUTED_VALUE"""),61.76)</f>
        <v>61.76</v>
      </c>
      <c r="Q2589" s="112">
        <f ca="1">IFERROR(__xludf.DUMMYFUNCTION("""COMPUTED_VALUE"""),44074.7055555555)</f>
        <v>44074.705555555498</v>
      </c>
      <c r="R2589" s="111">
        <f ca="1">IFERROR(__xludf.DUMMYFUNCTION("""COMPUTED_VALUE"""),32.65)</f>
        <v>32.65</v>
      </c>
      <c r="S2589" s="112">
        <f ca="1">IFERROR(__xludf.DUMMYFUNCTION("""COMPUTED_VALUE"""),44089.7055555555)</f>
        <v>44089.705555555498</v>
      </c>
      <c r="T2589" s="111">
        <f ca="1">IFERROR(__xludf.DUMMYFUNCTION("""COMPUTED_VALUE"""),40.24)</f>
        <v>40.24</v>
      </c>
    </row>
    <row r="2590" spans="1:20" x14ac:dyDescent="0.3">
      <c r="A2590" s="112">
        <f ca="1">IFERROR(__xludf.DUMMYFUNCTION("""COMPUTED_VALUE"""),44084.7055555555)</f>
        <v>44084.705555555498</v>
      </c>
      <c r="B2590" s="111">
        <f ca="1">IFERROR(__xludf.DUMMYFUNCTION("""COMPUTED_VALUE"""),34.72)</f>
        <v>34.72</v>
      </c>
      <c r="C2590" s="112">
        <f ca="1">IFERROR(__xludf.DUMMYFUNCTION("""COMPUTED_VALUE"""),44095.7055555555)</f>
        <v>44095.705555555498</v>
      </c>
      <c r="D2590" s="111">
        <f ca="1">IFERROR(__xludf.DUMMYFUNCTION("""COMPUTED_VALUE"""),22.9)</f>
        <v>22.9</v>
      </c>
      <c r="E2590" s="112">
        <f ca="1">IFERROR(__xludf.DUMMYFUNCTION("""COMPUTED_VALUE"""),44096.7055555555)</f>
        <v>44096.705555555498</v>
      </c>
      <c r="F2590" s="111">
        <f ca="1">IFERROR(__xludf.DUMMYFUNCTION("""COMPUTED_VALUE"""),8.55)</f>
        <v>8.5500000000000007</v>
      </c>
      <c r="G2590" s="112">
        <f ca="1">IFERROR(__xludf.DUMMYFUNCTION("""COMPUTED_VALUE"""),44092.7055555555)</f>
        <v>44092.705555555498</v>
      </c>
      <c r="H2590" s="111">
        <f ca="1">IFERROR(__xludf.DUMMYFUNCTION("""COMPUTED_VALUE"""),21.65)</f>
        <v>21.65</v>
      </c>
      <c r="K2590" s="112">
        <f ca="1">IFERROR(__xludf.DUMMYFUNCTION("""COMPUTED_VALUE"""),44540.7055555555)</f>
        <v>44540.705555555498</v>
      </c>
      <c r="L2590" s="111">
        <f ca="1">IFERROR(__xludf.DUMMYFUNCTION("""COMPUTED_VALUE"""),6.37)</f>
        <v>6.37</v>
      </c>
      <c r="M2590" s="112">
        <f ca="1">IFERROR(__xludf.DUMMYFUNCTION("""COMPUTED_VALUE"""),44001.7055555555)</f>
        <v>44001.705555555498</v>
      </c>
      <c r="N2590" s="111">
        <f ca="1">IFERROR(__xludf.DUMMYFUNCTION("""COMPUTED_VALUE"""),20.33)</f>
        <v>20.329999999999998</v>
      </c>
      <c r="O2590" s="112">
        <f ca="1">IFERROR(__xludf.DUMMYFUNCTION("""COMPUTED_VALUE"""),44076.7055555555)</f>
        <v>44076.705555555498</v>
      </c>
      <c r="P2590" s="111">
        <f ca="1">IFERROR(__xludf.DUMMYFUNCTION("""COMPUTED_VALUE"""),61.32)</f>
        <v>61.32</v>
      </c>
      <c r="Q2590" s="112">
        <f ca="1">IFERROR(__xludf.DUMMYFUNCTION("""COMPUTED_VALUE"""),44075.7055555555)</f>
        <v>44075.705555555498</v>
      </c>
      <c r="R2590" s="111">
        <f ca="1">IFERROR(__xludf.DUMMYFUNCTION("""COMPUTED_VALUE"""),33.21)</f>
        <v>33.21</v>
      </c>
      <c r="S2590" s="112">
        <f ca="1">IFERROR(__xludf.DUMMYFUNCTION("""COMPUTED_VALUE"""),44090.7055555555)</f>
        <v>44090.705555555498</v>
      </c>
      <c r="T2590" s="111">
        <f ca="1">IFERROR(__xludf.DUMMYFUNCTION("""COMPUTED_VALUE"""),40.69)</f>
        <v>40.69</v>
      </c>
    </row>
    <row r="2591" spans="1:20" x14ac:dyDescent="0.3">
      <c r="A2591" s="112">
        <f ca="1">IFERROR(__xludf.DUMMYFUNCTION("""COMPUTED_VALUE"""),44085.7055555555)</f>
        <v>44085.705555555498</v>
      </c>
      <c r="B2591" s="111">
        <f ca="1">IFERROR(__xludf.DUMMYFUNCTION("""COMPUTED_VALUE"""),34.03)</f>
        <v>34.03</v>
      </c>
      <c r="C2591" s="112">
        <f ca="1">IFERROR(__xludf.DUMMYFUNCTION("""COMPUTED_VALUE"""),44096.7055555555)</f>
        <v>44096.705555555498</v>
      </c>
      <c r="D2591" s="111">
        <f ca="1">IFERROR(__xludf.DUMMYFUNCTION("""COMPUTED_VALUE"""),23.1)</f>
        <v>23.1</v>
      </c>
      <c r="E2591" s="112">
        <f ca="1">IFERROR(__xludf.DUMMYFUNCTION("""COMPUTED_VALUE"""),44097.7055555555)</f>
        <v>44097.705555555498</v>
      </c>
      <c r="F2591" s="111">
        <f ca="1">IFERROR(__xludf.DUMMYFUNCTION("""COMPUTED_VALUE"""),8.38)</f>
        <v>8.3800000000000008</v>
      </c>
      <c r="G2591" s="112">
        <f ca="1">IFERROR(__xludf.DUMMYFUNCTION("""COMPUTED_VALUE"""),44095.7055555555)</f>
        <v>44095.705555555498</v>
      </c>
      <c r="H2591" s="111">
        <f ca="1">IFERROR(__xludf.DUMMYFUNCTION("""COMPUTED_VALUE"""),20.9)</f>
        <v>20.9</v>
      </c>
      <c r="K2591" s="112">
        <f ca="1">IFERROR(__xludf.DUMMYFUNCTION("""COMPUTED_VALUE"""),44543.75)</f>
        <v>44543.75</v>
      </c>
      <c r="L2591" s="111">
        <f ca="1">IFERROR(__xludf.DUMMYFUNCTION("""COMPUTED_VALUE"""),6.05)</f>
        <v>6.05</v>
      </c>
      <c r="M2591" s="112">
        <f ca="1">IFERROR(__xludf.DUMMYFUNCTION("""COMPUTED_VALUE"""),44004.7055555555)</f>
        <v>44004.705555555498</v>
      </c>
      <c r="N2591" s="111">
        <f ca="1">IFERROR(__xludf.DUMMYFUNCTION("""COMPUTED_VALUE"""),19.62)</f>
        <v>19.62</v>
      </c>
      <c r="O2591" s="112">
        <f ca="1">IFERROR(__xludf.DUMMYFUNCTION("""COMPUTED_VALUE"""),44077.7055555555)</f>
        <v>44077.705555555498</v>
      </c>
      <c r="P2591" s="111">
        <f ca="1">IFERROR(__xludf.DUMMYFUNCTION("""COMPUTED_VALUE"""),59.32)</f>
        <v>59.32</v>
      </c>
      <c r="Q2591" s="112">
        <f ca="1">IFERROR(__xludf.DUMMYFUNCTION("""COMPUTED_VALUE"""),44076.7055555555)</f>
        <v>44076.705555555498</v>
      </c>
      <c r="R2591" s="111">
        <f ca="1">IFERROR(__xludf.DUMMYFUNCTION("""COMPUTED_VALUE"""),33.25)</f>
        <v>33.25</v>
      </c>
      <c r="S2591" s="112">
        <f ca="1">IFERROR(__xludf.DUMMYFUNCTION("""COMPUTED_VALUE"""),44091.7055555555)</f>
        <v>44091.705555555498</v>
      </c>
      <c r="T2591" s="111">
        <f ca="1">IFERROR(__xludf.DUMMYFUNCTION("""COMPUTED_VALUE"""),40.41)</f>
        <v>40.409999999999997</v>
      </c>
    </row>
    <row r="2592" spans="1:20" x14ac:dyDescent="0.3">
      <c r="A2592" s="112">
        <f ca="1">IFERROR(__xludf.DUMMYFUNCTION("""COMPUTED_VALUE"""),44088.7055555555)</f>
        <v>44088.705555555498</v>
      </c>
      <c r="B2592" s="111">
        <f ca="1">IFERROR(__xludf.DUMMYFUNCTION("""COMPUTED_VALUE"""),34)</f>
        <v>34</v>
      </c>
      <c r="C2592" s="112">
        <f ca="1">IFERROR(__xludf.DUMMYFUNCTION("""COMPUTED_VALUE"""),44097.7055555555)</f>
        <v>44097.705555555498</v>
      </c>
      <c r="D2592" s="111">
        <f ca="1">IFERROR(__xludf.DUMMYFUNCTION("""COMPUTED_VALUE"""),22.48)</f>
        <v>22.48</v>
      </c>
      <c r="E2592" s="112">
        <f ca="1">IFERROR(__xludf.DUMMYFUNCTION("""COMPUTED_VALUE"""),44098.7055555555)</f>
        <v>44098.705555555498</v>
      </c>
      <c r="F2592" s="111">
        <f ca="1">IFERROR(__xludf.DUMMYFUNCTION("""COMPUTED_VALUE"""),8.6)</f>
        <v>8.6</v>
      </c>
      <c r="G2592" s="112">
        <f ca="1">IFERROR(__xludf.DUMMYFUNCTION("""COMPUTED_VALUE"""),44096.7055555555)</f>
        <v>44096.705555555498</v>
      </c>
      <c r="H2592" s="111">
        <f ca="1">IFERROR(__xludf.DUMMYFUNCTION("""COMPUTED_VALUE"""),20.8)</f>
        <v>20.8</v>
      </c>
      <c r="K2592" s="112">
        <f ca="1">IFERROR(__xludf.DUMMYFUNCTION("""COMPUTED_VALUE"""),44544.75)</f>
        <v>44544.75</v>
      </c>
      <c r="L2592" s="111">
        <f ca="1">IFERROR(__xludf.DUMMYFUNCTION("""COMPUTED_VALUE"""),5.74)</f>
        <v>5.74</v>
      </c>
      <c r="M2592" s="112">
        <f ca="1">IFERROR(__xludf.DUMMYFUNCTION("""COMPUTED_VALUE"""),44005.7055555555)</f>
        <v>44005.705555555498</v>
      </c>
      <c r="N2592" s="111">
        <f ca="1">IFERROR(__xludf.DUMMYFUNCTION("""COMPUTED_VALUE"""),19.59)</f>
        <v>19.59</v>
      </c>
      <c r="O2592" s="112">
        <f ca="1">IFERROR(__xludf.DUMMYFUNCTION("""COMPUTED_VALUE"""),44078.7055555555)</f>
        <v>44078.705555555498</v>
      </c>
      <c r="P2592" s="111">
        <f ca="1">IFERROR(__xludf.DUMMYFUNCTION("""COMPUTED_VALUE"""),60.49)</f>
        <v>60.49</v>
      </c>
      <c r="Q2592" s="112">
        <f ca="1">IFERROR(__xludf.DUMMYFUNCTION("""COMPUTED_VALUE"""),44077.7055555555)</f>
        <v>44077.705555555498</v>
      </c>
      <c r="R2592" s="111">
        <f ca="1">IFERROR(__xludf.DUMMYFUNCTION("""COMPUTED_VALUE"""),33.77)</f>
        <v>33.770000000000003</v>
      </c>
      <c r="S2592" s="112">
        <f ca="1">IFERROR(__xludf.DUMMYFUNCTION("""COMPUTED_VALUE"""),44092.7055555555)</f>
        <v>44092.705555555498</v>
      </c>
      <c r="T2592" s="111">
        <f ca="1">IFERROR(__xludf.DUMMYFUNCTION("""COMPUTED_VALUE"""),38.4)</f>
        <v>38.4</v>
      </c>
    </row>
    <row r="2593" spans="1:20" x14ac:dyDescent="0.3">
      <c r="A2593" s="112">
        <f ca="1">IFERROR(__xludf.DUMMYFUNCTION("""COMPUTED_VALUE"""),44089.7055555555)</f>
        <v>44089.705555555498</v>
      </c>
      <c r="B2593" s="111">
        <f ca="1">IFERROR(__xludf.DUMMYFUNCTION("""COMPUTED_VALUE"""),32.75)</f>
        <v>32.75</v>
      </c>
      <c r="C2593" s="112">
        <f ca="1">IFERROR(__xludf.DUMMYFUNCTION("""COMPUTED_VALUE"""),44098.7055555555)</f>
        <v>44098.705555555498</v>
      </c>
      <c r="D2593" s="111">
        <f ca="1">IFERROR(__xludf.DUMMYFUNCTION("""COMPUTED_VALUE"""),23.03)</f>
        <v>23.03</v>
      </c>
      <c r="E2593" s="112">
        <f ca="1">IFERROR(__xludf.DUMMYFUNCTION("""COMPUTED_VALUE"""),44099.7055555555)</f>
        <v>44099.705555555498</v>
      </c>
      <c r="F2593" s="111">
        <f ca="1">IFERROR(__xludf.DUMMYFUNCTION("""COMPUTED_VALUE"""),8.59)</f>
        <v>8.59</v>
      </c>
      <c r="G2593" s="112">
        <f ca="1">IFERROR(__xludf.DUMMYFUNCTION("""COMPUTED_VALUE"""),44097.7055555555)</f>
        <v>44097.705555555498</v>
      </c>
      <c r="H2593" s="111">
        <f ca="1">IFERROR(__xludf.DUMMYFUNCTION("""COMPUTED_VALUE"""),20.23)</f>
        <v>20.23</v>
      </c>
      <c r="K2593" s="112">
        <f ca="1">IFERROR(__xludf.DUMMYFUNCTION("""COMPUTED_VALUE"""),44545.75)</f>
        <v>44545.75</v>
      </c>
      <c r="L2593" s="111">
        <f ca="1">IFERROR(__xludf.DUMMYFUNCTION("""COMPUTED_VALUE"""),6.17)</f>
        <v>6.17</v>
      </c>
      <c r="M2593" s="112">
        <f ca="1">IFERROR(__xludf.DUMMYFUNCTION("""COMPUTED_VALUE"""),44006.7055555555)</f>
        <v>44006.705555555498</v>
      </c>
      <c r="N2593" s="111">
        <f ca="1">IFERROR(__xludf.DUMMYFUNCTION("""COMPUTED_VALUE"""),18.95)</f>
        <v>18.95</v>
      </c>
      <c r="O2593" s="112">
        <f ca="1">IFERROR(__xludf.DUMMYFUNCTION("""COMPUTED_VALUE"""),44082.7055555555)</f>
        <v>44082.705555555498</v>
      </c>
      <c r="P2593" s="111">
        <f ca="1">IFERROR(__xludf.DUMMYFUNCTION("""COMPUTED_VALUE"""),59.27)</f>
        <v>59.27</v>
      </c>
      <c r="Q2593" s="112">
        <f ca="1">IFERROR(__xludf.DUMMYFUNCTION("""COMPUTED_VALUE"""),44078.7055555555)</f>
        <v>44078.705555555498</v>
      </c>
      <c r="R2593" s="111">
        <f ca="1">IFERROR(__xludf.DUMMYFUNCTION("""COMPUTED_VALUE"""),33.95)</f>
        <v>33.950000000000003</v>
      </c>
      <c r="S2593" s="112">
        <f ca="1">IFERROR(__xludf.DUMMYFUNCTION("""COMPUTED_VALUE"""),44095.7055555555)</f>
        <v>44095.705555555498</v>
      </c>
      <c r="T2593" s="111">
        <f ca="1">IFERROR(__xludf.DUMMYFUNCTION("""COMPUTED_VALUE"""),37.68)</f>
        <v>37.68</v>
      </c>
    </row>
    <row r="2594" spans="1:20" x14ac:dyDescent="0.3">
      <c r="A2594" s="112">
        <f ca="1">IFERROR(__xludf.DUMMYFUNCTION("""COMPUTED_VALUE"""),44090.7055555555)</f>
        <v>44090.705555555498</v>
      </c>
      <c r="B2594" s="111">
        <f ca="1">IFERROR(__xludf.DUMMYFUNCTION("""COMPUTED_VALUE"""),33.02)</f>
        <v>33.020000000000003</v>
      </c>
      <c r="C2594" s="112">
        <f ca="1">IFERROR(__xludf.DUMMYFUNCTION("""COMPUTED_VALUE"""),44099.7055555555)</f>
        <v>44099.705555555498</v>
      </c>
      <c r="D2594" s="111">
        <f ca="1">IFERROR(__xludf.DUMMYFUNCTION("""COMPUTED_VALUE"""),22.91)</f>
        <v>22.91</v>
      </c>
      <c r="E2594" s="112">
        <f ca="1">IFERROR(__xludf.DUMMYFUNCTION("""COMPUTED_VALUE"""),44102.7055555555)</f>
        <v>44102.705555555498</v>
      </c>
      <c r="F2594" s="111">
        <f ca="1">IFERROR(__xludf.DUMMYFUNCTION("""COMPUTED_VALUE"""),8.54)</f>
        <v>8.5399999999999991</v>
      </c>
      <c r="G2594" s="112">
        <f ca="1">IFERROR(__xludf.DUMMYFUNCTION("""COMPUTED_VALUE"""),44098.7055555555)</f>
        <v>44098.705555555498</v>
      </c>
      <c r="H2594" s="111">
        <f ca="1">IFERROR(__xludf.DUMMYFUNCTION("""COMPUTED_VALUE"""),20.4)</f>
        <v>20.399999999999999</v>
      </c>
      <c r="K2594" s="112">
        <f ca="1">IFERROR(__xludf.DUMMYFUNCTION("""COMPUTED_VALUE"""),44546.75)</f>
        <v>44546.75</v>
      </c>
      <c r="L2594" s="111">
        <f ca="1">IFERROR(__xludf.DUMMYFUNCTION("""COMPUTED_VALUE"""),6.4)</f>
        <v>6.4</v>
      </c>
      <c r="M2594" s="112">
        <f ca="1">IFERROR(__xludf.DUMMYFUNCTION("""COMPUTED_VALUE"""),44007.7055555555)</f>
        <v>44007.705555555498</v>
      </c>
      <c r="N2594" s="111">
        <f ca="1">IFERROR(__xludf.DUMMYFUNCTION("""COMPUTED_VALUE"""),19.41)</f>
        <v>19.41</v>
      </c>
      <c r="O2594" s="112">
        <f ca="1">IFERROR(__xludf.DUMMYFUNCTION("""COMPUTED_VALUE"""),44083.7055555555)</f>
        <v>44083.705555555498</v>
      </c>
      <c r="P2594" s="111">
        <f ca="1">IFERROR(__xludf.DUMMYFUNCTION("""COMPUTED_VALUE"""),60)</f>
        <v>60</v>
      </c>
      <c r="Q2594" s="112">
        <f ca="1">IFERROR(__xludf.DUMMYFUNCTION("""COMPUTED_VALUE"""),44082.7055555555)</f>
        <v>44082.705555555498</v>
      </c>
      <c r="R2594" s="111">
        <f ca="1">IFERROR(__xludf.DUMMYFUNCTION("""COMPUTED_VALUE"""),33.26)</f>
        <v>33.26</v>
      </c>
      <c r="S2594" s="112">
        <f ca="1">IFERROR(__xludf.DUMMYFUNCTION("""COMPUTED_VALUE"""),44096.7055555555)</f>
        <v>44096.705555555498</v>
      </c>
      <c r="T2594" s="111">
        <f ca="1">IFERROR(__xludf.DUMMYFUNCTION("""COMPUTED_VALUE"""),38.15)</f>
        <v>38.15</v>
      </c>
    </row>
    <row r="2595" spans="1:20" x14ac:dyDescent="0.3">
      <c r="A2595" s="112">
        <f ca="1">IFERROR(__xludf.DUMMYFUNCTION("""COMPUTED_VALUE"""),44091.7055555555)</f>
        <v>44091.705555555498</v>
      </c>
      <c r="B2595" s="111">
        <f ca="1">IFERROR(__xludf.DUMMYFUNCTION("""COMPUTED_VALUE"""),32.94)</f>
        <v>32.94</v>
      </c>
      <c r="C2595" s="112">
        <f ca="1">IFERROR(__xludf.DUMMYFUNCTION("""COMPUTED_VALUE"""),44102.7055555555)</f>
        <v>44102.705555555498</v>
      </c>
      <c r="D2595" s="111">
        <f ca="1">IFERROR(__xludf.DUMMYFUNCTION("""COMPUTED_VALUE"""),22.9)</f>
        <v>22.9</v>
      </c>
      <c r="E2595" s="112">
        <f ca="1">IFERROR(__xludf.DUMMYFUNCTION("""COMPUTED_VALUE"""),44103.7055555555)</f>
        <v>44103.705555555498</v>
      </c>
      <c r="F2595" s="111">
        <f ca="1">IFERROR(__xludf.DUMMYFUNCTION("""COMPUTED_VALUE"""),8.4)</f>
        <v>8.4</v>
      </c>
      <c r="G2595" s="112">
        <f ca="1">IFERROR(__xludf.DUMMYFUNCTION("""COMPUTED_VALUE"""),44099.7055555555)</f>
        <v>44099.705555555498</v>
      </c>
      <c r="H2595" s="111">
        <f ca="1">IFERROR(__xludf.DUMMYFUNCTION("""COMPUTED_VALUE"""),20.13)</f>
        <v>20.13</v>
      </c>
      <c r="K2595" s="112">
        <f ca="1">IFERROR(__xludf.DUMMYFUNCTION("""COMPUTED_VALUE"""),44547.75)</f>
        <v>44547.75</v>
      </c>
      <c r="L2595" s="111">
        <f ca="1">IFERROR(__xludf.DUMMYFUNCTION("""COMPUTED_VALUE"""),6.66)</f>
        <v>6.66</v>
      </c>
      <c r="M2595" s="112">
        <f ca="1">IFERROR(__xludf.DUMMYFUNCTION("""COMPUTED_VALUE"""),44008.7055555555)</f>
        <v>44008.705555555498</v>
      </c>
      <c r="N2595" s="111">
        <f ca="1">IFERROR(__xludf.DUMMYFUNCTION("""COMPUTED_VALUE"""),18.81)</f>
        <v>18.809999999999999</v>
      </c>
      <c r="O2595" s="112">
        <f ca="1">IFERROR(__xludf.DUMMYFUNCTION("""COMPUTED_VALUE"""),44084.7055555555)</f>
        <v>44084.705555555498</v>
      </c>
      <c r="P2595" s="111">
        <f ca="1">IFERROR(__xludf.DUMMYFUNCTION("""COMPUTED_VALUE"""),58.53)</f>
        <v>58.53</v>
      </c>
      <c r="Q2595" s="112">
        <f ca="1">IFERROR(__xludf.DUMMYFUNCTION("""COMPUTED_VALUE"""),44083.7055555555)</f>
        <v>44083.705555555498</v>
      </c>
      <c r="R2595" s="111">
        <f ca="1">IFERROR(__xludf.DUMMYFUNCTION("""COMPUTED_VALUE"""),33.22)</f>
        <v>33.22</v>
      </c>
      <c r="S2595" s="112">
        <f ca="1">IFERROR(__xludf.DUMMYFUNCTION("""COMPUTED_VALUE"""),44097.7055555555)</f>
        <v>44097.705555555498</v>
      </c>
      <c r="T2595" s="111">
        <f ca="1">IFERROR(__xludf.DUMMYFUNCTION("""COMPUTED_VALUE"""),36.4)</f>
        <v>36.4</v>
      </c>
    </row>
    <row r="2596" spans="1:20" x14ac:dyDescent="0.3">
      <c r="A2596" s="112">
        <f ca="1">IFERROR(__xludf.DUMMYFUNCTION("""COMPUTED_VALUE"""),44092.7055555555)</f>
        <v>44092.705555555498</v>
      </c>
      <c r="B2596" s="111">
        <f ca="1">IFERROR(__xludf.DUMMYFUNCTION("""COMPUTED_VALUE"""),32.04)</f>
        <v>32.04</v>
      </c>
      <c r="C2596" s="112">
        <f ca="1">IFERROR(__xludf.DUMMYFUNCTION("""COMPUTED_VALUE"""),44103.7055555555)</f>
        <v>44103.705555555498</v>
      </c>
      <c r="D2596" s="111">
        <f ca="1">IFERROR(__xludf.DUMMYFUNCTION("""COMPUTED_VALUE"""),22.4)</f>
        <v>22.4</v>
      </c>
      <c r="E2596" s="112">
        <f ca="1">IFERROR(__xludf.DUMMYFUNCTION("""COMPUTED_VALUE"""),44104.7055555555)</f>
        <v>44104.705555555498</v>
      </c>
      <c r="F2596" s="111">
        <f ca="1">IFERROR(__xludf.DUMMYFUNCTION("""COMPUTED_VALUE"""),8.38)</f>
        <v>8.3800000000000008</v>
      </c>
      <c r="G2596" s="112">
        <f ca="1">IFERROR(__xludf.DUMMYFUNCTION("""COMPUTED_VALUE"""),44102.7055555555)</f>
        <v>44102.705555555498</v>
      </c>
      <c r="H2596" s="111">
        <f ca="1">IFERROR(__xludf.DUMMYFUNCTION("""COMPUTED_VALUE"""),19.63)</f>
        <v>19.63</v>
      </c>
      <c r="K2596" s="112">
        <f ca="1">IFERROR(__xludf.DUMMYFUNCTION("""COMPUTED_VALUE"""),44550.75)</f>
        <v>44550.75</v>
      </c>
      <c r="L2596" s="111">
        <f ca="1">IFERROR(__xludf.DUMMYFUNCTION("""COMPUTED_VALUE"""),6.33)</f>
        <v>6.33</v>
      </c>
      <c r="M2596" s="112">
        <f ca="1">IFERROR(__xludf.DUMMYFUNCTION("""COMPUTED_VALUE"""),44011.7055555555)</f>
        <v>44011.705555555498</v>
      </c>
      <c r="N2596" s="111">
        <f ca="1">IFERROR(__xludf.DUMMYFUNCTION("""COMPUTED_VALUE"""),19.46)</f>
        <v>19.46</v>
      </c>
      <c r="O2596" s="112">
        <f ca="1">IFERROR(__xludf.DUMMYFUNCTION("""COMPUTED_VALUE"""),44085.7055555555)</f>
        <v>44085.705555555498</v>
      </c>
      <c r="P2596" s="111">
        <f ca="1">IFERROR(__xludf.DUMMYFUNCTION("""COMPUTED_VALUE"""),61.95)</f>
        <v>61.95</v>
      </c>
      <c r="Q2596" s="112">
        <f ca="1">IFERROR(__xludf.DUMMYFUNCTION("""COMPUTED_VALUE"""),44084.7055555555)</f>
        <v>44084.705555555498</v>
      </c>
      <c r="R2596" s="111">
        <f ca="1">IFERROR(__xludf.DUMMYFUNCTION("""COMPUTED_VALUE"""),32.53)</f>
        <v>32.53</v>
      </c>
      <c r="S2596" s="112">
        <f ca="1">IFERROR(__xludf.DUMMYFUNCTION("""COMPUTED_VALUE"""),44098.7055555555)</f>
        <v>44098.705555555498</v>
      </c>
      <c r="T2596" s="111">
        <f ca="1">IFERROR(__xludf.DUMMYFUNCTION("""COMPUTED_VALUE"""),36.57)</f>
        <v>36.57</v>
      </c>
    </row>
    <row r="2597" spans="1:20" x14ac:dyDescent="0.3">
      <c r="A2597" s="112">
        <f ca="1">IFERROR(__xludf.DUMMYFUNCTION("""COMPUTED_VALUE"""),44095.7055555555)</f>
        <v>44095.705555555498</v>
      </c>
      <c r="B2597" s="111">
        <f ca="1">IFERROR(__xludf.DUMMYFUNCTION("""COMPUTED_VALUE"""),32.35)</f>
        <v>32.35</v>
      </c>
      <c r="C2597" s="112">
        <f ca="1">IFERROR(__xludf.DUMMYFUNCTION("""COMPUTED_VALUE"""),44104.7055555555)</f>
        <v>44104.705555555498</v>
      </c>
      <c r="D2597" s="111">
        <f ca="1">IFERROR(__xludf.DUMMYFUNCTION("""COMPUTED_VALUE"""),22.5)</f>
        <v>22.5</v>
      </c>
      <c r="E2597" s="112">
        <f ca="1">IFERROR(__xludf.DUMMYFUNCTION("""COMPUTED_VALUE"""),44105.7055555555)</f>
        <v>44105.705555555498</v>
      </c>
      <c r="F2597" s="111">
        <f ca="1">IFERROR(__xludf.DUMMYFUNCTION("""COMPUTED_VALUE"""),8.48)</f>
        <v>8.48</v>
      </c>
      <c r="G2597" s="112">
        <f ca="1">IFERROR(__xludf.DUMMYFUNCTION("""COMPUTED_VALUE"""),44103.7055555555)</f>
        <v>44103.705555555498</v>
      </c>
      <c r="H2597" s="111">
        <f ca="1">IFERROR(__xludf.DUMMYFUNCTION("""COMPUTED_VALUE"""),19.31)</f>
        <v>19.309999999999999</v>
      </c>
      <c r="K2597" s="112">
        <f ca="1">IFERROR(__xludf.DUMMYFUNCTION("""COMPUTED_VALUE"""),44551.75)</f>
        <v>44551.75</v>
      </c>
      <c r="L2597" s="111">
        <f ca="1">IFERROR(__xludf.DUMMYFUNCTION("""COMPUTED_VALUE"""),6.42)</f>
        <v>6.42</v>
      </c>
      <c r="M2597" s="112">
        <f ca="1">IFERROR(__xludf.DUMMYFUNCTION("""COMPUTED_VALUE"""),44012.7055555555)</f>
        <v>44012.705555555498</v>
      </c>
      <c r="N2597" s="111">
        <f ca="1">IFERROR(__xludf.DUMMYFUNCTION("""COMPUTED_VALUE"""),18.82)</f>
        <v>18.82</v>
      </c>
      <c r="O2597" s="112">
        <f ca="1">IFERROR(__xludf.DUMMYFUNCTION("""COMPUTED_VALUE"""),44088.7055555555)</f>
        <v>44088.705555555498</v>
      </c>
      <c r="P2597" s="111">
        <f ca="1">IFERROR(__xludf.DUMMYFUNCTION("""COMPUTED_VALUE"""),61.91)</f>
        <v>61.91</v>
      </c>
      <c r="Q2597" s="112">
        <f ca="1">IFERROR(__xludf.DUMMYFUNCTION("""COMPUTED_VALUE"""),44085.7055555555)</f>
        <v>44085.705555555498</v>
      </c>
      <c r="R2597" s="111">
        <f ca="1">IFERROR(__xludf.DUMMYFUNCTION("""COMPUTED_VALUE"""),32)</f>
        <v>32</v>
      </c>
      <c r="S2597" s="112">
        <f ca="1">IFERROR(__xludf.DUMMYFUNCTION("""COMPUTED_VALUE"""),44099.7055555555)</f>
        <v>44099.705555555498</v>
      </c>
      <c r="T2597" s="111">
        <f ca="1">IFERROR(__xludf.DUMMYFUNCTION("""COMPUTED_VALUE"""),36.2)</f>
        <v>36.200000000000003</v>
      </c>
    </row>
    <row r="2598" spans="1:20" x14ac:dyDescent="0.3">
      <c r="A2598" s="112">
        <f ca="1">IFERROR(__xludf.DUMMYFUNCTION("""COMPUTED_VALUE"""),44096.7055555555)</f>
        <v>44096.705555555498</v>
      </c>
      <c r="B2598" s="111">
        <f ca="1">IFERROR(__xludf.DUMMYFUNCTION("""COMPUTED_VALUE"""),32.1)</f>
        <v>32.1</v>
      </c>
      <c r="C2598" s="112">
        <f ca="1">IFERROR(__xludf.DUMMYFUNCTION("""COMPUTED_VALUE"""),44105.7055555555)</f>
        <v>44105.705555555498</v>
      </c>
      <c r="D2598" s="111">
        <f ca="1">IFERROR(__xludf.DUMMYFUNCTION("""COMPUTED_VALUE"""),22.52)</f>
        <v>22.52</v>
      </c>
      <c r="E2598" s="112">
        <f ca="1">IFERROR(__xludf.DUMMYFUNCTION("""COMPUTED_VALUE"""),44106.7055555555)</f>
        <v>44106.705555555498</v>
      </c>
      <c r="F2598" s="111">
        <f ca="1">IFERROR(__xludf.DUMMYFUNCTION("""COMPUTED_VALUE"""),8.5)</f>
        <v>8.5</v>
      </c>
      <c r="G2598" s="112">
        <f ca="1">IFERROR(__xludf.DUMMYFUNCTION("""COMPUTED_VALUE"""),44104.7055555555)</f>
        <v>44104.705555555498</v>
      </c>
      <c r="H2598" s="111">
        <f ca="1">IFERROR(__xludf.DUMMYFUNCTION("""COMPUTED_VALUE"""),19.61)</f>
        <v>19.61</v>
      </c>
      <c r="K2598" s="112">
        <f ca="1">IFERROR(__xludf.DUMMYFUNCTION("""COMPUTED_VALUE"""),44552.75)</f>
        <v>44552.75</v>
      </c>
      <c r="L2598" s="111">
        <f ca="1">IFERROR(__xludf.DUMMYFUNCTION("""COMPUTED_VALUE"""),6.16)</f>
        <v>6.16</v>
      </c>
      <c r="M2598" s="112">
        <f ca="1">IFERROR(__xludf.DUMMYFUNCTION("""COMPUTED_VALUE"""),44013.7055555555)</f>
        <v>44013.705555555498</v>
      </c>
      <c r="N2598" s="111">
        <f ca="1">IFERROR(__xludf.DUMMYFUNCTION("""COMPUTED_VALUE"""),19.24)</f>
        <v>19.239999999999998</v>
      </c>
      <c r="O2598" s="112">
        <f ca="1">IFERROR(__xludf.DUMMYFUNCTION("""COMPUTED_VALUE"""),44089.7055555555)</f>
        <v>44089.705555555498</v>
      </c>
      <c r="P2598" s="111">
        <f ca="1">IFERROR(__xludf.DUMMYFUNCTION("""COMPUTED_VALUE"""),62.6)</f>
        <v>62.6</v>
      </c>
      <c r="Q2598" s="112">
        <f ca="1">IFERROR(__xludf.DUMMYFUNCTION("""COMPUTED_VALUE"""),44088.7055555555)</f>
        <v>44088.705555555498</v>
      </c>
      <c r="R2598" s="111">
        <f ca="1">IFERROR(__xludf.DUMMYFUNCTION("""COMPUTED_VALUE"""),32.36)</f>
        <v>32.36</v>
      </c>
      <c r="S2598" s="112">
        <f ca="1">IFERROR(__xludf.DUMMYFUNCTION("""COMPUTED_VALUE"""),44102.7055555555)</f>
        <v>44102.705555555498</v>
      </c>
      <c r="T2598" s="111">
        <f ca="1">IFERROR(__xludf.DUMMYFUNCTION("""COMPUTED_VALUE"""),35.16)</f>
        <v>35.159999999999997</v>
      </c>
    </row>
    <row r="2599" spans="1:20" x14ac:dyDescent="0.3">
      <c r="A2599" s="112">
        <f ca="1">IFERROR(__xludf.DUMMYFUNCTION("""COMPUTED_VALUE"""),44097.7055555555)</f>
        <v>44097.705555555498</v>
      </c>
      <c r="B2599" s="111">
        <f ca="1">IFERROR(__xludf.DUMMYFUNCTION("""COMPUTED_VALUE"""),31.44)</f>
        <v>31.44</v>
      </c>
      <c r="C2599" s="112">
        <f ca="1">IFERROR(__xludf.DUMMYFUNCTION("""COMPUTED_VALUE"""),44106.7055555555)</f>
        <v>44106.705555555498</v>
      </c>
      <c r="D2599" s="111">
        <f ca="1">IFERROR(__xludf.DUMMYFUNCTION("""COMPUTED_VALUE"""),22.59)</f>
        <v>22.59</v>
      </c>
      <c r="E2599" s="112">
        <f ca="1">IFERROR(__xludf.DUMMYFUNCTION("""COMPUTED_VALUE"""),44109.7055555555)</f>
        <v>44109.705555555498</v>
      </c>
      <c r="F2599" s="111">
        <f ca="1">IFERROR(__xludf.DUMMYFUNCTION("""COMPUTED_VALUE"""),8.53)</f>
        <v>8.5299999999999994</v>
      </c>
      <c r="G2599" s="112">
        <f ca="1">IFERROR(__xludf.DUMMYFUNCTION("""COMPUTED_VALUE"""),44105.7055555555)</f>
        <v>44105.705555555498</v>
      </c>
      <c r="H2599" s="111">
        <f ca="1">IFERROR(__xludf.DUMMYFUNCTION("""COMPUTED_VALUE"""),19.85)</f>
        <v>19.850000000000001</v>
      </c>
      <c r="K2599" s="112">
        <f ca="1">IFERROR(__xludf.DUMMYFUNCTION("""COMPUTED_VALUE"""),44553.75)</f>
        <v>44553.75</v>
      </c>
      <c r="L2599" s="111">
        <f ca="1">IFERROR(__xludf.DUMMYFUNCTION("""COMPUTED_VALUE"""),6.2)</f>
        <v>6.2</v>
      </c>
      <c r="M2599" s="112">
        <f ca="1">IFERROR(__xludf.DUMMYFUNCTION("""COMPUTED_VALUE"""),44014.7055555555)</f>
        <v>44014.705555555498</v>
      </c>
      <c r="N2599" s="111">
        <f ca="1">IFERROR(__xludf.DUMMYFUNCTION("""COMPUTED_VALUE"""),19.28)</f>
        <v>19.28</v>
      </c>
      <c r="O2599" s="112">
        <f ca="1">IFERROR(__xludf.DUMMYFUNCTION("""COMPUTED_VALUE"""),44090.7055555555)</f>
        <v>44090.705555555498</v>
      </c>
      <c r="P2599" s="111">
        <f ca="1">IFERROR(__xludf.DUMMYFUNCTION("""COMPUTED_VALUE"""),60.97)</f>
        <v>60.97</v>
      </c>
      <c r="Q2599" s="112">
        <f ca="1">IFERROR(__xludf.DUMMYFUNCTION("""COMPUTED_VALUE"""),44089.7055555555)</f>
        <v>44089.705555555498</v>
      </c>
      <c r="R2599" s="111">
        <f ca="1">IFERROR(__xludf.DUMMYFUNCTION("""COMPUTED_VALUE"""),31.99)</f>
        <v>31.99</v>
      </c>
      <c r="S2599" s="112">
        <f ca="1">IFERROR(__xludf.DUMMYFUNCTION("""COMPUTED_VALUE"""),44103.7055555555)</f>
        <v>44103.705555555498</v>
      </c>
      <c r="T2599" s="111">
        <f ca="1">IFERROR(__xludf.DUMMYFUNCTION("""COMPUTED_VALUE"""),35.27)</f>
        <v>35.270000000000003</v>
      </c>
    </row>
    <row r="2600" spans="1:20" x14ac:dyDescent="0.3">
      <c r="A2600" s="112">
        <f ca="1">IFERROR(__xludf.DUMMYFUNCTION("""COMPUTED_VALUE"""),44098.7055555555)</f>
        <v>44098.705555555498</v>
      </c>
      <c r="B2600" s="111">
        <f ca="1">IFERROR(__xludf.DUMMYFUNCTION("""COMPUTED_VALUE"""),31.67)</f>
        <v>31.67</v>
      </c>
      <c r="C2600" s="112">
        <f ca="1">IFERROR(__xludf.DUMMYFUNCTION("""COMPUTED_VALUE"""),44109.7055555555)</f>
        <v>44109.705555555498</v>
      </c>
      <c r="D2600" s="111">
        <f ca="1">IFERROR(__xludf.DUMMYFUNCTION("""COMPUTED_VALUE"""),22.83)</f>
        <v>22.83</v>
      </c>
      <c r="E2600" s="112">
        <f ca="1">IFERROR(__xludf.DUMMYFUNCTION("""COMPUTED_VALUE"""),44110.7055555555)</f>
        <v>44110.705555555498</v>
      </c>
      <c r="F2600" s="111">
        <f ca="1">IFERROR(__xludf.DUMMYFUNCTION("""COMPUTED_VALUE"""),8.55)</f>
        <v>8.5500000000000007</v>
      </c>
      <c r="G2600" s="112">
        <f ca="1">IFERROR(__xludf.DUMMYFUNCTION("""COMPUTED_VALUE"""),44106.7055555555)</f>
        <v>44106.705555555498</v>
      </c>
      <c r="H2600" s="111">
        <f ca="1">IFERROR(__xludf.DUMMYFUNCTION("""COMPUTED_VALUE"""),19.02)</f>
        <v>19.02</v>
      </c>
      <c r="K2600" s="112">
        <f ca="1">IFERROR(__xludf.DUMMYFUNCTION("""COMPUTED_VALUE"""),44557.75)</f>
        <v>44557.75</v>
      </c>
      <c r="L2600" s="111">
        <f ca="1">IFERROR(__xludf.DUMMYFUNCTION("""COMPUTED_VALUE"""),6.78)</f>
        <v>6.78</v>
      </c>
      <c r="M2600" s="112">
        <f ca="1">IFERROR(__xludf.DUMMYFUNCTION("""COMPUTED_VALUE"""),44015.7055555555)</f>
        <v>44015.705555555498</v>
      </c>
      <c r="N2600" s="111">
        <f ca="1">IFERROR(__xludf.DUMMYFUNCTION("""COMPUTED_VALUE"""),19.41)</f>
        <v>19.41</v>
      </c>
      <c r="O2600" s="112">
        <f ca="1">IFERROR(__xludf.DUMMYFUNCTION("""COMPUTED_VALUE"""),44091.7055555555)</f>
        <v>44091.705555555498</v>
      </c>
      <c r="P2600" s="111">
        <f ca="1">IFERROR(__xludf.DUMMYFUNCTION("""COMPUTED_VALUE"""),62.08)</f>
        <v>62.08</v>
      </c>
      <c r="Q2600" s="112">
        <f ca="1">IFERROR(__xludf.DUMMYFUNCTION("""COMPUTED_VALUE"""),44090.7055555555)</f>
        <v>44090.705555555498</v>
      </c>
      <c r="R2600" s="111">
        <f ca="1">IFERROR(__xludf.DUMMYFUNCTION("""COMPUTED_VALUE"""),32.09)</f>
        <v>32.090000000000003</v>
      </c>
      <c r="S2600" s="112">
        <f ca="1">IFERROR(__xludf.DUMMYFUNCTION("""COMPUTED_VALUE"""),44104.7055555555)</f>
        <v>44104.705555555498</v>
      </c>
      <c r="T2600" s="111">
        <f ca="1">IFERROR(__xludf.DUMMYFUNCTION("""COMPUTED_VALUE"""),36.05)</f>
        <v>36.049999999999997</v>
      </c>
    </row>
    <row r="2601" spans="1:20" x14ac:dyDescent="0.3">
      <c r="A2601" s="112">
        <f ca="1">IFERROR(__xludf.DUMMYFUNCTION("""COMPUTED_VALUE"""),44099.7055555555)</f>
        <v>44099.705555555498</v>
      </c>
      <c r="B2601" s="111">
        <f ca="1">IFERROR(__xludf.DUMMYFUNCTION("""COMPUTED_VALUE"""),31.69)</f>
        <v>31.69</v>
      </c>
      <c r="C2601" s="112">
        <f ca="1">IFERROR(__xludf.DUMMYFUNCTION("""COMPUTED_VALUE"""),44110.7055555555)</f>
        <v>44110.705555555498</v>
      </c>
      <c r="D2601" s="111">
        <f ca="1">IFERROR(__xludf.DUMMYFUNCTION("""COMPUTED_VALUE"""),22.87)</f>
        <v>22.87</v>
      </c>
      <c r="E2601" s="112">
        <f ca="1">IFERROR(__xludf.DUMMYFUNCTION("""COMPUTED_VALUE"""),44111.7055555555)</f>
        <v>44111.705555555498</v>
      </c>
      <c r="F2601" s="111">
        <f ca="1">IFERROR(__xludf.DUMMYFUNCTION("""COMPUTED_VALUE"""),8.48)</f>
        <v>8.48</v>
      </c>
      <c r="G2601" s="112">
        <f ca="1">IFERROR(__xludf.DUMMYFUNCTION("""COMPUTED_VALUE"""),44109.7055555555)</f>
        <v>44109.705555555498</v>
      </c>
      <c r="H2601" s="111">
        <f ca="1">IFERROR(__xludf.DUMMYFUNCTION("""COMPUTED_VALUE"""),20.03)</f>
        <v>20.03</v>
      </c>
      <c r="K2601" s="112">
        <f ca="1">IFERROR(__xludf.DUMMYFUNCTION("""COMPUTED_VALUE"""),44558.75)</f>
        <v>44558.75</v>
      </c>
      <c r="L2601" s="111">
        <f ca="1">IFERROR(__xludf.DUMMYFUNCTION("""COMPUTED_VALUE"""),6.83)</f>
        <v>6.83</v>
      </c>
      <c r="M2601" s="112">
        <f ca="1">IFERROR(__xludf.DUMMYFUNCTION("""COMPUTED_VALUE"""),44018.7055555555)</f>
        <v>44018.705555555498</v>
      </c>
      <c r="N2601" s="111">
        <f ca="1">IFERROR(__xludf.DUMMYFUNCTION("""COMPUTED_VALUE"""),20.59)</f>
        <v>20.59</v>
      </c>
      <c r="O2601" s="112">
        <f ca="1">IFERROR(__xludf.DUMMYFUNCTION("""COMPUTED_VALUE"""),44092.7055555555)</f>
        <v>44092.705555555498</v>
      </c>
      <c r="P2601" s="111">
        <f ca="1">IFERROR(__xludf.DUMMYFUNCTION("""COMPUTED_VALUE"""),61.66)</f>
        <v>61.66</v>
      </c>
      <c r="Q2601" s="112">
        <f ca="1">IFERROR(__xludf.DUMMYFUNCTION("""COMPUTED_VALUE"""),44091.7055555555)</f>
        <v>44091.705555555498</v>
      </c>
      <c r="R2601" s="111">
        <f ca="1">IFERROR(__xludf.DUMMYFUNCTION("""COMPUTED_VALUE"""),32.15)</f>
        <v>32.15</v>
      </c>
      <c r="S2601" s="112">
        <f ca="1">IFERROR(__xludf.DUMMYFUNCTION("""COMPUTED_VALUE"""),44105.7055555555)</f>
        <v>44105.705555555498</v>
      </c>
      <c r="T2601" s="111">
        <f ca="1">IFERROR(__xludf.DUMMYFUNCTION("""COMPUTED_VALUE"""),37.03)</f>
        <v>37.03</v>
      </c>
    </row>
    <row r="2602" spans="1:20" x14ac:dyDescent="0.3">
      <c r="A2602" s="112">
        <f ca="1">IFERROR(__xludf.DUMMYFUNCTION("""COMPUTED_VALUE"""),44102.7055555555)</f>
        <v>44102.705555555498</v>
      </c>
      <c r="B2602" s="111">
        <f ca="1">IFERROR(__xludf.DUMMYFUNCTION("""COMPUTED_VALUE"""),30.19)</f>
        <v>30.19</v>
      </c>
      <c r="C2602" s="112">
        <f ca="1">IFERROR(__xludf.DUMMYFUNCTION("""COMPUTED_VALUE"""),44111.7055555555)</f>
        <v>44111.705555555498</v>
      </c>
      <c r="D2602" s="111">
        <f ca="1">IFERROR(__xludf.DUMMYFUNCTION("""COMPUTED_VALUE"""),22.7)</f>
        <v>22.7</v>
      </c>
      <c r="E2602" s="112">
        <f ca="1">IFERROR(__xludf.DUMMYFUNCTION("""COMPUTED_VALUE"""),44112.7055555555)</f>
        <v>44112.705555555498</v>
      </c>
      <c r="F2602" s="111">
        <f ca="1">IFERROR(__xludf.DUMMYFUNCTION("""COMPUTED_VALUE"""),8.89)</f>
        <v>8.89</v>
      </c>
      <c r="G2602" s="112">
        <f ca="1">IFERROR(__xludf.DUMMYFUNCTION("""COMPUTED_VALUE"""),44110.7055555555)</f>
        <v>44110.705555555498</v>
      </c>
      <c r="H2602" s="111">
        <f ca="1">IFERROR(__xludf.DUMMYFUNCTION("""COMPUTED_VALUE"""),19.93)</f>
        <v>19.93</v>
      </c>
      <c r="K2602" s="112">
        <f ca="1">IFERROR(__xludf.DUMMYFUNCTION("""COMPUTED_VALUE"""),44559.75)</f>
        <v>44559.75</v>
      </c>
      <c r="L2602" s="111">
        <f ca="1">IFERROR(__xludf.DUMMYFUNCTION("""COMPUTED_VALUE"""),6.76)</f>
        <v>6.76</v>
      </c>
      <c r="M2602" s="112">
        <f ca="1">IFERROR(__xludf.DUMMYFUNCTION("""COMPUTED_VALUE"""),44019.7055555555)</f>
        <v>44019.705555555498</v>
      </c>
      <c r="N2602" s="111">
        <f ca="1">IFERROR(__xludf.DUMMYFUNCTION("""COMPUTED_VALUE"""),19.74)</f>
        <v>19.739999999999998</v>
      </c>
      <c r="O2602" s="112">
        <f ca="1">IFERROR(__xludf.DUMMYFUNCTION("""COMPUTED_VALUE"""),44095.7055555555)</f>
        <v>44095.705555555498</v>
      </c>
      <c r="P2602" s="111">
        <f ca="1">IFERROR(__xludf.DUMMYFUNCTION("""COMPUTED_VALUE"""),60)</f>
        <v>60</v>
      </c>
      <c r="Q2602" s="112">
        <f ca="1">IFERROR(__xludf.DUMMYFUNCTION("""COMPUTED_VALUE"""),44092.7055555555)</f>
        <v>44092.705555555498</v>
      </c>
      <c r="R2602" s="111">
        <f ca="1">IFERROR(__xludf.DUMMYFUNCTION("""COMPUTED_VALUE"""),31.34)</f>
        <v>31.34</v>
      </c>
      <c r="S2602" s="112">
        <f ca="1">IFERROR(__xludf.DUMMYFUNCTION("""COMPUTED_VALUE"""),44106.7055555555)</f>
        <v>44106.705555555498</v>
      </c>
      <c r="T2602" s="111">
        <f ca="1">IFERROR(__xludf.DUMMYFUNCTION("""COMPUTED_VALUE"""),36.15)</f>
        <v>36.15</v>
      </c>
    </row>
    <row r="2603" spans="1:20" x14ac:dyDescent="0.3">
      <c r="A2603" s="112">
        <f ca="1">IFERROR(__xludf.DUMMYFUNCTION("""COMPUTED_VALUE"""),44103.7055555555)</f>
        <v>44103.705555555498</v>
      </c>
      <c r="B2603" s="111">
        <f ca="1">IFERROR(__xludf.DUMMYFUNCTION("""COMPUTED_VALUE"""),29.85)</f>
        <v>29.85</v>
      </c>
      <c r="C2603" s="112">
        <f ca="1">IFERROR(__xludf.DUMMYFUNCTION("""COMPUTED_VALUE"""),44112.7055555555)</f>
        <v>44112.705555555498</v>
      </c>
      <c r="D2603" s="111">
        <f ca="1">IFERROR(__xludf.DUMMYFUNCTION("""COMPUTED_VALUE"""),24.07)</f>
        <v>24.07</v>
      </c>
      <c r="E2603" s="112">
        <f ca="1">IFERROR(__xludf.DUMMYFUNCTION("""COMPUTED_VALUE"""),44113.7055555555)</f>
        <v>44113.705555555498</v>
      </c>
      <c r="F2603" s="111">
        <f ca="1">IFERROR(__xludf.DUMMYFUNCTION("""COMPUTED_VALUE"""),8.91)</f>
        <v>8.91</v>
      </c>
      <c r="G2603" s="112">
        <f ca="1">IFERROR(__xludf.DUMMYFUNCTION("""COMPUTED_VALUE"""),44111.7055555555)</f>
        <v>44111.705555555498</v>
      </c>
      <c r="H2603" s="111">
        <f ca="1">IFERROR(__xludf.DUMMYFUNCTION("""COMPUTED_VALUE"""),19.79)</f>
        <v>19.79</v>
      </c>
      <c r="K2603" s="112">
        <f ca="1">IFERROR(__xludf.DUMMYFUNCTION("""COMPUTED_VALUE"""),44560.75)</f>
        <v>44560.75</v>
      </c>
      <c r="L2603" s="111">
        <f ca="1">IFERROR(__xludf.DUMMYFUNCTION("""COMPUTED_VALUE"""),7.22)</f>
        <v>7.22</v>
      </c>
      <c r="M2603" s="112">
        <f ca="1">IFERROR(__xludf.DUMMYFUNCTION("""COMPUTED_VALUE"""),44020.7055555555)</f>
        <v>44020.705555555498</v>
      </c>
      <c r="N2603" s="111">
        <f ca="1">IFERROR(__xludf.DUMMYFUNCTION("""COMPUTED_VALUE"""),20.41)</f>
        <v>20.41</v>
      </c>
      <c r="O2603" s="112">
        <f ca="1">IFERROR(__xludf.DUMMYFUNCTION("""COMPUTED_VALUE"""),44096.7055555555)</f>
        <v>44096.705555555498</v>
      </c>
      <c r="P2603" s="111">
        <f ca="1">IFERROR(__xludf.DUMMYFUNCTION("""COMPUTED_VALUE"""),57.81)</f>
        <v>57.81</v>
      </c>
      <c r="Q2603" s="112">
        <f ca="1">IFERROR(__xludf.DUMMYFUNCTION("""COMPUTED_VALUE"""),44095.7055555555)</f>
        <v>44095.705555555498</v>
      </c>
      <c r="R2603" s="111">
        <f ca="1">IFERROR(__xludf.DUMMYFUNCTION("""COMPUTED_VALUE"""),30.88)</f>
        <v>30.88</v>
      </c>
      <c r="S2603" s="112">
        <f ca="1">IFERROR(__xludf.DUMMYFUNCTION("""COMPUTED_VALUE"""),44109.7055555555)</f>
        <v>44109.705555555498</v>
      </c>
      <c r="T2603" s="111">
        <f ca="1">IFERROR(__xludf.DUMMYFUNCTION("""COMPUTED_VALUE"""),36.46)</f>
        <v>36.46</v>
      </c>
    </row>
    <row r="2604" spans="1:20" x14ac:dyDescent="0.3">
      <c r="A2604" s="112">
        <f ca="1">IFERROR(__xludf.DUMMYFUNCTION("""COMPUTED_VALUE"""),44104.7055555555)</f>
        <v>44104.705555555498</v>
      </c>
      <c r="B2604" s="111">
        <f ca="1">IFERROR(__xludf.DUMMYFUNCTION("""COMPUTED_VALUE"""),30)</f>
        <v>30</v>
      </c>
      <c r="C2604" s="112">
        <f ca="1">IFERROR(__xludf.DUMMYFUNCTION("""COMPUTED_VALUE"""),44113.7055555555)</f>
        <v>44113.705555555498</v>
      </c>
      <c r="D2604" s="111">
        <f ca="1">IFERROR(__xludf.DUMMYFUNCTION("""COMPUTED_VALUE"""),24)</f>
        <v>24</v>
      </c>
      <c r="E2604" s="112">
        <f ca="1">IFERROR(__xludf.DUMMYFUNCTION("""COMPUTED_VALUE"""),44117.7055555555)</f>
        <v>44117.705555555498</v>
      </c>
      <c r="F2604" s="111">
        <f ca="1">IFERROR(__xludf.DUMMYFUNCTION("""COMPUTED_VALUE"""),8.88)</f>
        <v>8.8800000000000008</v>
      </c>
      <c r="G2604" s="112">
        <f ca="1">IFERROR(__xludf.DUMMYFUNCTION("""COMPUTED_VALUE"""),44112.7055555555)</f>
        <v>44112.705555555498</v>
      </c>
      <c r="H2604" s="111">
        <f ca="1">IFERROR(__xludf.DUMMYFUNCTION("""COMPUTED_VALUE"""),20.44)</f>
        <v>20.440000000000001</v>
      </c>
      <c r="K2604" s="112">
        <f ca="1">IFERROR(__xludf.DUMMYFUNCTION("""COMPUTED_VALUE"""),44564.7055555555)</f>
        <v>44564.705555555498</v>
      </c>
      <c r="L2604" s="111">
        <f ca="1">IFERROR(__xludf.DUMMYFUNCTION("""COMPUTED_VALUE"""),6.72)</f>
        <v>6.72</v>
      </c>
      <c r="M2604" s="112">
        <f ca="1">IFERROR(__xludf.DUMMYFUNCTION("""COMPUTED_VALUE"""),44022.7055555555)</f>
        <v>44022.705555555498</v>
      </c>
      <c r="N2604" s="111">
        <f ca="1">IFERROR(__xludf.DUMMYFUNCTION("""COMPUTED_VALUE"""),20.25)</f>
        <v>20.25</v>
      </c>
      <c r="O2604" s="112">
        <f ca="1">IFERROR(__xludf.DUMMYFUNCTION("""COMPUTED_VALUE"""),44097.7055555555)</f>
        <v>44097.705555555498</v>
      </c>
      <c r="P2604" s="111">
        <f ca="1">IFERROR(__xludf.DUMMYFUNCTION("""COMPUTED_VALUE"""),59.1)</f>
        <v>59.1</v>
      </c>
      <c r="Q2604" s="112">
        <f ca="1">IFERROR(__xludf.DUMMYFUNCTION("""COMPUTED_VALUE"""),44096.7055555555)</f>
        <v>44096.705555555498</v>
      </c>
      <c r="R2604" s="111">
        <f ca="1">IFERROR(__xludf.DUMMYFUNCTION("""COMPUTED_VALUE"""),30.82)</f>
        <v>30.82</v>
      </c>
      <c r="S2604" s="112">
        <f ca="1">IFERROR(__xludf.DUMMYFUNCTION("""COMPUTED_VALUE"""),44110.7055555555)</f>
        <v>44110.705555555498</v>
      </c>
      <c r="T2604" s="111">
        <f ca="1">IFERROR(__xludf.DUMMYFUNCTION("""COMPUTED_VALUE"""),36.55)</f>
        <v>36.549999999999997</v>
      </c>
    </row>
    <row r="2605" spans="1:20" x14ac:dyDescent="0.3">
      <c r="A2605" s="112">
        <f ca="1">IFERROR(__xludf.DUMMYFUNCTION("""COMPUTED_VALUE"""),44105.7055555555)</f>
        <v>44105.705555555498</v>
      </c>
      <c r="B2605" s="111">
        <f ca="1">IFERROR(__xludf.DUMMYFUNCTION("""COMPUTED_VALUE"""),29.94)</f>
        <v>29.94</v>
      </c>
      <c r="C2605" s="112">
        <f ca="1">IFERROR(__xludf.DUMMYFUNCTION("""COMPUTED_VALUE"""),44117.7055555555)</f>
        <v>44117.705555555498</v>
      </c>
      <c r="D2605" s="111">
        <f ca="1">IFERROR(__xludf.DUMMYFUNCTION("""COMPUTED_VALUE"""),23.77)</f>
        <v>23.77</v>
      </c>
      <c r="E2605" s="112">
        <f ca="1">IFERROR(__xludf.DUMMYFUNCTION("""COMPUTED_VALUE"""),44118.7055555555)</f>
        <v>44118.705555555498</v>
      </c>
      <c r="F2605" s="111">
        <f ca="1">IFERROR(__xludf.DUMMYFUNCTION("""COMPUTED_VALUE"""),8.85)</f>
        <v>8.85</v>
      </c>
      <c r="G2605" s="112">
        <f ca="1">IFERROR(__xludf.DUMMYFUNCTION("""COMPUTED_VALUE"""),44113.7055555555)</f>
        <v>44113.705555555498</v>
      </c>
      <c r="H2605" s="111">
        <f ca="1">IFERROR(__xludf.DUMMYFUNCTION("""COMPUTED_VALUE"""),19.8)</f>
        <v>19.8</v>
      </c>
      <c r="K2605" s="112">
        <f ca="1">IFERROR(__xludf.DUMMYFUNCTION("""COMPUTED_VALUE"""),44565.7055555555)</f>
        <v>44565.705555555498</v>
      </c>
      <c r="L2605" s="111">
        <f ca="1">IFERROR(__xludf.DUMMYFUNCTION("""COMPUTED_VALUE"""),6.61)</f>
        <v>6.61</v>
      </c>
      <c r="M2605" s="112">
        <f ca="1">IFERROR(__xludf.DUMMYFUNCTION("""COMPUTED_VALUE"""),44025.7055555555)</f>
        <v>44025.705555555498</v>
      </c>
      <c r="N2605" s="111">
        <f ca="1">IFERROR(__xludf.DUMMYFUNCTION("""COMPUTED_VALUE"""),19.96)</f>
        <v>19.96</v>
      </c>
      <c r="O2605" s="112">
        <f ca="1">IFERROR(__xludf.DUMMYFUNCTION("""COMPUTED_VALUE"""),44098.7055555555)</f>
        <v>44098.705555555498</v>
      </c>
      <c r="P2605" s="111">
        <f ca="1">IFERROR(__xludf.DUMMYFUNCTION("""COMPUTED_VALUE"""),58.66)</f>
        <v>58.66</v>
      </c>
      <c r="Q2605" s="112">
        <f ca="1">IFERROR(__xludf.DUMMYFUNCTION("""COMPUTED_VALUE"""),44097.7055555555)</f>
        <v>44097.705555555498</v>
      </c>
      <c r="R2605" s="111">
        <f ca="1">IFERROR(__xludf.DUMMYFUNCTION("""COMPUTED_VALUE"""),30.18)</f>
        <v>30.18</v>
      </c>
      <c r="S2605" s="112">
        <f ca="1">IFERROR(__xludf.DUMMYFUNCTION("""COMPUTED_VALUE"""),44111.7055555555)</f>
        <v>44111.705555555498</v>
      </c>
      <c r="T2605" s="111">
        <f ca="1">IFERROR(__xludf.DUMMYFUNCTION("""COMPUTED_VALUE"""),36.05)</f>
        <v>36.049999999999997</v>
      </c>
    </row>
    <row r="2606" spans="1:20" x14ac:dyDescent="0.3">
      <c r="A2606" s="112">
        <f ca="1">IFERROR(__xludf.DUMMYFUNCTION("""COMPUTED_VALUE"""),44106.7055555555)</f>
        <v>44106.705555555498</v>
      </c>
      <c r="B2606" s="111">
        <f ca="1">IFERROR(__xludf.DUMMYFUNCTION("""COMPUTED_VALUE"""),29.35)</f>
        <v>29.35</v>
      </c>
      <c r="C2606" s="112">
        <f ca="1">IFERROR(__xludf.DUMMYFUNCTION("""COMPUTED_VALUE"""),44118.7055555555)</f>
        <v>44118.705555555498</v>
      </c>
      <c r="D2606" s="111">
        <f ca="1">IFERROR(__xludf.DUMMYFUNCTION("""COMPUTED_VALUE"""),23.7)</f>
        <v>23.7</v>
      </c>
      <c r="E2606" s="112">
        <f ca="1">IFERROR(__xludf.DUMMYFUNCTION("""COMPUTED_VALUE"""),44119.7055555555)</f>
        <v>44119.705555555498</v>
      </c>
      <c r="F2606" s="111">
        <f ca="1">IFERROR(__xludf.DUMMYFUNCTION("""COMPUTED_VALUE"""),8.81)</f>
        <v>8.81</v>
      </c>
      <c r="G2606" s="112">
        <f ca="1">IFERROR(__xludf.DUMMYFUNCTION("""COMPUTED_VALUE"""),44117.7055555555)</f>
        <v>44117.705555555498</v>
      </c>
      <c r="H2606" s="111">
        <f ca="1">IFERROR(__xludf.DUMMYFUNCTION("""COMPUTED_VALUE"""),20.13)</f>
        <v>20.13</v>
      </c>
      <c r="K2606" s="112">
        <f ca="1">IFERROR(__xludf.DUMMYFUNCTION("""COMPUTED_VALUE"""),44566.7055555555)</f>
        <v>44566.705555555498</v>
      </c>
      <c r="L2606" s="111">
        <f ca="1">IFERROR(__xludf.DUMMYFUNCTION("""COMPUTED_VALUE"""),6.42)</f>
        <v>6.42</v>
      </c>
      <c r="M2606" s="112">
        <f ca="1">IFERROR(__xludf.DUMMYFUNCTION("""COMPUTED_VALUE"""),44026.7055555555)</f>
        <v>44026.705555555498</v>
      </c>
      <c r="N2606" s="111">
        <f ca="1">IFERROR(__xludf.DUMMYFUNCTION("""COMPUTED_VALUE"""),20.3)</f>
        <v>20.3</v>
      </c>
      <c r="O2606" s="112">
        <f ca="1">IFERROR(__xludf.DUMMYFUNCTION("""COMPUTED_VALUE"""),44099.7055555555)</f>
        <v>44099.705555555498</v>
      </c>
      <c r="P2606" s="111">
        <f ca="1">IFERROR(__xludf.DUMMYFUNCTION("""COMPUTED_VALUE"""),59.25)</f>
        <v>59.25</v>
      </c>
      <c r="Q2606" s="112">
        <f ca="1">IFERROR(__xludf.DUMMYFUNCTION("""COMPUTED_VALUE"""),44098.7055555555)</f>
        <v>44098.705555555498</v>
      </c>
      <c r="R2606" s="111">
        <f ca="1">IFERROR(__xludf.DUMMYFUNCTION("""COMPUTED_VALUE"""),30.42)</f>
        <v>30.42</v>
      </c>
      <c r="S2606" s="112">
        <f ca="1">IFERROR(__xludf.DUMMYFUNCTION("""COMPUTED_VALUE"""),44112.7055555555)</f>
        <v>44112.705555555498</v>
      </c>
      <c r="T2606" s="111">
        <f ca="1">IFERROR(__xludf.DUMMYFUNCTION("""COMPUTED_VALUE"""),36.28)</f>
        <v>36.28</v>
      </c>
    </row>
    <row r="2607" spans="1:20" x14ac:dyDescent="0.3">
      <c r="A2607" s="112">
        <f ca="1">IFERROR(__xludf.DUMMYFUNCTION("""COMPUTED_VALUE"""),44109.7055555555)</f>
        <v>44109.705555555498</v>
      </c>
      <c r="B2607" s="111">
        <f ca="1">IFERROR(__xludf.DUMMYFUNCTION("""COMPUTED_VALUE"""),30.96)</f>
        <v>30.96</v>
      </c>
      <c r="C2607" s="112">
        <f ca="1">IFERROR(__xludf.DUMMYFUNCTION("""COMPUTED_VALUE"""),44119.7055555555)</f>
        <v>44119.705555555498</v>
      </c>
      <c r="D2607" s="111">
        <f ca="1">IFERROR(__xludf.DUMMYFUNCTION("""COMPUTED_VALUE"""),23.49)</f>
        <v>23.49</v>
      </c>
      <c r="E2607" s="112">
        <f ca="1">IFERROR(__xludf.DUMMYFUNCTION("""COMPUTED_VALUE"""),44120.7055555555)</f>
        <v>44120.705555555498</v>
      </c>
      <c r="F2607" s="111">
        <f ca="1">IFERROR(__xludf.DUMMYFUNCTION("""COMPUTED_VALUE"""),8.64)</f>
        <v>8.64</v>
      </c>
      <c r="G2607" s="112">
        <f ca="1">IFERROR(__xludf.DUMMYFUNCTION("""COMPUTED_VALUE"""),44118.7055555555)</f>
        <v>44118.705555555498</v>
      </c>
      <c r="H2607" s="111">
        <f ca="1">IFERROR(__xludf.DUMMYFUNCTION("""COMPUTED_VALUE"""),19.97)</f>
        <v>19.97</v>
      </c>
      <c r="K2607" s="112">
        <f ca="1">IFERROR(__xludf.DUMMYFUNCTION("""COMPUTED_VALUE"""),44567.7055555555)</f>
        <v>44567.705555555498</v>
      </c>
      <c r="L2607" s="111">
        <f ca="1">IFERROR(__xludf.DUMMYFUNCTION("""COMPUTED_VALUE"""),6.25)</f>
        <v>6.25</v>
      </c>
      <c r="M2607" s="112">
        <f ca="1">IFERROR(__xludf.DUMMYFUNCTION("""COMPUTED_VALUE"""),44027.7055555555)</f>
        <v>44027.705555555498</v>
      </c>
      <c r="N2607" s="111">
        <f ca="1">IFERROR(__xludf.DUMMYFUNCTION("""COMPUTED_VALUE"""),20.64)</f>
        <v>20.64</v>
      </c>
      <c r="O2607" s="112">
        <f ca="1">IFERROR(__xludf.DUMMYFUNCTION("""COMPUTED_VALUE"""),44102.7055555555)</f>
        <v>44102.705555555498</v>
      </c>
      <c r="P2607" s="111">
        <f ca="1">IFERROR(__xludf.DUMMYFUNCTION("""COMPUTED_VALUE"""),58.78)</f>
        <v>58.78</v>
      </c>
      <c r="Q2607" s="112">
        <f ca="1">IFERROR(__xludf.DUMMYFUNCTION("""COMPUTED_VALUE"""),44099.7055555555)</f>
        <v>44099.705555555498</v>
      </c>
      <c r="R2607" s="111">
        <f ca="1">IFERROR(__xludf.DUMMYFUNCTION("""COMPUTED_VALUE"""),30.3)</f>
        <v>30.3</v>
      </c>
      <c r="S2607" s="112">
        <f ca="1">IFERROR(__xludf.DUMMYFUNCTION("""COMPUTED_VALUE"""),44113.7055555555)</f>
        <v>44113.705555555498</v>
      </c>
      <c r="T2607" s="111">
        <f ca="1">IFERROR(__xludf.DUMMYFUNCTION("""COMPUTED_VALUE"""),35.65)</f>
        <v>35.65</v>
      </c>
    </row>
    <row r="2608" spans="1:20" x14ac:dyDescent="0.3">
      <c r="A2608" s="112">
        <f ca="1">IFERROR(__xludf.DUMMYFUNCTION("""COMPUTED_VALUE"""),44110.7055555555)</f>
        <v>44110.705555555498</v>
      </c>
      <c r="B2608" s="111">
        <f ca="1">IFERROR(__xludf.DUMMYFUNCTION("""COMPUTED_VALUE"""),30.93)</f>
        <v>30.93</v>
      </c>
      <c r="C2608" s="112">
        <f ca="1">IFERROR(__xludf.DUMMYFUNCTION("""COMPUTED_VALUE"""),44120.7055555555)</f>
        <v>44120.705555555498</v>
      </c>
      <c r="D2608" s="111">
        <f ca="1">IFERROR(__xludf.DUMMYFUNCTION("""COMPUTED_VALUE"""),23.11)</f>
        <v>23.11</v>
      </c>
      <c r="E2608" s="112">
        <f ca="1">IFERROR(__xludf.DUMMYFUNCTION("""COMPUTED_VALUE"""),44123.7055555555)</f>
        <v>44123.705555555498</v>
      </c>
      <c r="F2608" s="111">
        <f ca="1">IFERROR(__xludf.DUMMYFUNCTION("""COMPUTED_VALUE"""),8.78)</f>
        <v>8.7799999999999994</v>
      </c>
      <c r="G2608" s="112">
        <f ca="1">IFERROR(__xludf.DUMMYFUNCTION("""COMPUTED_VALUE"""),44119.7055555555)</f>
        <v>44119.705555555498</v>
      </c>
      <c r="H2608" s="111">
        <f ca="1">IFERROR(__xludf.DUMMYFUNCTION("""COMPUTED_VALUE"""),19.75)</f>
        <v>19.75</v>
      </c>
      <c r="K2608" s="112">
        <f ca="1">IFERROR(__xludf.DUMMYFUNCTION("""COMPUTED_VALUE"""),44568.7055555555)</f>
        <v>44568.705555555498</v>
      </c>
      <c r="L2608" s="111">
        <f ca="1">IFERROR(__xludf.DUMMYFUNCTION("""COMPUTED_VALUE"""),6.22)</f>
        <v>6.22</v>
      </c>
      <c r="M2608" s="112">
        <f ca="1">IFERROR(__xludf.DUMMYFUNCTION("""COMPUTED_VALUE"""),44028.7055555555)</f>
        <v>44028.705555555498</v>
      </c>
      <c r="N2608" s="111">
        <f ca="1">IFERROR(__xludf.DUMMYFUNCTION("""COMPUTED_VALUE"""),20.27)</f>
        <v>20.27</v>
      </c>
      <c r="O2608" s="112">
        <f ca="1">IFERROR(__xludf.DUMMYFUNCTION("""COMPUTED_VALUE"""),44103.7055555555)</f>
        <v>44103.705555555498</v>
      </c>
      <c r="P2608" s="111">
        <f ca="1">IFERROR(__xludf.DUMMYFUNCTION("""COMPUTED_VALUE"""),58.35)</f>
        <v>58.35</v>
      </c>
      <c r="Q2608" s="112">
        <f ca="1">IFERROR(__xludf.DUMMYFUNCTION("""COMPUTED_VALUE"""),44102.7055555555)</f>
        <v>44102.705555555498</v>
      </c>
      <c r="R2608" s="111">
        <f ca="1">IFERROR(__xludf.DUMMYFUNCTION("""COMPUTED_VALUE"""),30.51)</f>
        <v>30.51</v>
      </c>
      <c r="S2608" s="112">
        <f ca="1">IFERROR(__xludf.DUMMYFUNCTION("""COMPUTED_VALUE"""),44117.7055555555)</f>
        <v>44117.705555555498</v>
      </c>
      <c r="T2608" s="111">
        <f ca="1">IFERROR(__xludf.DUMMYFUNCTION("""COMPUTED_VALUE"""),36.24)</f>
        <v>36.24</v>
      </c>
    </row>
    <row r="2609" spans="1:20" x14ac:dyDescent="0.3">
      <c r="A2609" s="112">
        <f ca="1">IFERROR(__xludf.DUMMYFUNCTION("""COMPUTED_VALUE"""),44111.7055555555)</f>
        <v>44111.705555555498</v>
      </c>
      <c r="B2609" s="111">
        <f ca="1">IFERROR(__xludf.DUMMYFUNCTION("""COMPUTED_VALUE"""),30.99)</f>
        <v>30.99</v>
      </c>
      <c r="C2609" s="112">
        <f ca="1">IFERROR(__xludf.DUMMYFUNCTION("""COMPUTED_VALUE"""),44123.7055555555)</f>
        <v>44123.705555555498</v>
      </c>
      <c r="D2609" s="111">
        <f ca="1">IFERROR(__xludf.DUMMYFUNCTION("""COMPUTED_VALUE"""),23.36)</f>
        <v>23.36</v>
      </c>
      <c r="E2609" s="112">
        <f ca="1">IFERROR(__xludf.DUMMYFUNCTION("""COMPUTED_VALUE"""),44124.7055555555)</f>
        <v>44124.705555555498</v>
      </c>
      <c r="F2609" s="111">
        <f ca="1">IFERROR(__xludf.DUMMYFUNCTION("""COMPUTED_VALUE"""),9.05)</f>
        <v>9.0500000000000007</v>
      </c>
      <c r="G2609" s="112">
        <f ca="1">IFERROR(__xludf.DUMMYFUNCTION("""COMPUTED_VALUE"""),44120.7055555555)</f>
        <v>44120.705555555498</v>
      </c>
      <c r="H2609" s="111">
        <f ca="1">IFERROR(__xludf.DUMMYFUNCTION("""COMPUTED_VALUE"""),19.33)</f>
        <v>19.329999999999998</v>
      </c>
      <c r="K2609" s="112">
        <f ca="1">IFERROR(__xludf.DUMMYFUNCTION("""COMPUTED_VALUE"""),44571.7055555555)</f>
        <v>44571.705555555498</v>
      </c>
      <c r="L2609" s="111">
        <f ca="1">IFERROR(__xludf.DUMMYFUNCTION("""COMPUTED_VALUE"""),5.74)</f>
        <v>5.74</v>
      </c>
      <c r="M2609" s="112">
        <f ca="1">IFERROR(__xludf.DUMMYFUNCTION("""COMPUTED_VALUE"""),44029.7055555555)</f>
        <v>44029.705555555498</v>
      </c>
      <c r="N2609" s="111">
        <f ca="1">IFERROR(__xludf.DUMMYFUNCTION("""COMPUTED_VALUE"""),20.37)</f>
        <v>20.37</v>
      </c>
      <c r="O2609" s="112">
        <f ca="1">IFERROR(__xludf.DUMMYFUNCTION("""COMPUTED_VALUE"""),44104.7055555555)</f>
        <v>44104.705555555498</v>
      </c>
      <c r="P2609" s="111">
        <f ca="1">IFERROR(__xludf.DUMMYFUNCTION("""COMPUTED_VALUE"""),59.11)</f>
        <v>59.11</v>
      </c>
      <c r="Q2609" s="112">
        <f ca="1">IFERROR(__xludf.DUMMYFUNCTION("""COMPUTED_VALUE"""),44103.7055555555)</f>
        <v>44103.705555555498</v>
      </c>
      <c r="R2609" s="111">
        <f ca="1">IFERROR(__xludf.DUMMYFUNCTION("""COMPUTED_VALUE"""),29.76)</f>
        <v>29.76</v>
      </c>
      <c r="S2609" s="112">
        <f ca="1">IFERROR(__xludf.DUMMYFUNCTION("""COMPUTED_VALUE"""),44118.7055555555)</f>
        <v>44118.705555555498</v>
      </c>
      <c r="T2609" s="111">
        <f ca="1">IFERROR(__xludf.DUMMYFUNCTION("""COMPUTED_VALUE"""),35.59)</f>
        <v>35.590000000000003</v>
      </c>
    </row>
    <row r="2610" spans="1:20" x14ac:dyDescent="0.3">
      <c r="A2610" s="112">
        <f ca="1">IFERROR(__xludf.DUMMYFUNCTION("""COMPUTED_VALUE"""),44112.7055555555)</f>
        <v>44112.705555555498</v>
      </c>
      <c r="B2610" s="111">
        <f ca="1">IFERROR(__xludf.DUMMYFUNCTION("""COMPUTED_VALUE"""),30.54)</f>
        <v>30.54</v>
      </c>
      <c r="C2610" s="112">
        <f ca="1">IFERROR(__xludf.DUMMYFUNCTION("""COMPUTED_VALUE"""),44124.7055555555)</f>
        <v>44124.705555555498</v>
      </c>
      <c r="D2610" s="111">
        <f ca="1">IFERROR(__xludf.DUMMYFUNCTION("""COMPUTED_VALUE"""),24.29)</f>
        <v>24.29</v>
      </c>
      <c r="E2610" s="112">
        <f ca="1">IFERROR(__xludf.DUMMYFUNCTION("""COMPUTED_VALUE"""),44125.7055555555)</f>
        <v>44125.705555555498</v>
      </c>
      <c r="F2610" s="111">
        <f ca="1">IFERROR(__xludf.DUMMYFUNCTION("""COMPUTED_VALUE"""),9.09)</f>
        <v>9.09</v>
      </c>
      <c r="G2610" s="112">
        <f ca="1">IFERROR(__xludf.DUMMYFUNCTION("""COMPUTED_VALUE"""),44123.7055555555)</f>
        <v>44123.705555555498</v>
      </c>
      <c r="H2610" s="111">
        <f ca="1">IFERROR(__xludf.DUMMYFUNCTION("""COMPUTED_VALUE"""),19.52)</f>
        <v>19.52</v>
      </c>
      <c r="K2610" s="112">
        <f ca="1">IFERROR(__xludf.DUMMYFUNCTION("""COMPUTED_VALUE"""),44572.7055555555)</f>
        <v>44572.705555555498</v>
      </c>
      <c r="L2610" s="111">
        <f ca="1">IFERROR(__xludf.DUMMYFUNCTION("""COMPUTED_VALUE"""),5.87)</f>
        <v>5.87</v>
      </c>
      <c r="M2610" s="112">
        <f ca="1">IFERROR(__xludf.DUMMYFUNCTION("""COMPUTED_VALUE"""),44032.7055555555)</f>
        <v>44032.705555555498</v>
      </c>
      <c r="N2610" s="111">
        <f ca="1">IFERROR(__xludf.DUMMYFUNCTION("""COMPUTED_VALUE"""),20.56)</f>
        <v>20.56</v>
      </c>
      <c r="O2610" s="112">
        <f ca="1">IFERROR(__xludf.DUMMYFUNCTION("""COMPUTED_VALUE"""),44105.7055555555)</f>
        <v>44105.705555555498</v>
      </c>
      <c r="P2610" s="111">
        <f ca="1">IFERROR(__xludf.DUMMYFUNCTION("""COMPUTED_VALUE"""),58.86)</f>
        <v>58.86</v>
      </c>
      <c r="Q2610" s="112">
        <f ca="1">IFERROR(__xludf.DUMMYFUNCTION("""COMPUTED_VALUE"""),44104.7055555555)</f>
        <v>44104.705555555498</v>
      </c>
      <c r="R2610" s="111">
        <f ca="1">IFERROR(__xludf.DUMMYFUNCTION("""COMPUTED_VALUE"""),29.62)</f>
        <v>29.62</v>
      </c>
      <c r="S2610" s="112">
        <f ca="1">IFERROR(__xludf.DUMMYFUNCTION("""COMPUTED_VALUE"""),44119.7055555555)</f>
        <v>44119.705555555498</v>
      </c>
      <c r="T2610" s="111">
        <f ca="1">IFERROR(__xludf.DUMMYFUNCTION("""COMPUTED_VALUE"""),36.09)</f>
        <v>36.090000000000003</v>
      </c>
    </row>
    <row r="2611" spans="1:20" x14ac:dyDescent="0.3">
      <c r="A2611" s="112">
        <f ca="1">IFERROR(__xludf.DUMMYFUNCTION("""COMPUTED_VALUE"""),44113.7055555555)</f>
        <v>44113.705555555498</v>
      </c>
      <c r="B2611" s="111">
        <f ca="1">IFERROR(__xludf.DUMMYFUNCTION("""COMPUTED_VALUE"""),30.58)</f>
        <v>30.58</v>
      </c>
      <c r="C2611" s="112">
        <f ca="1">IFERROR(__xludf.DUMMYFUNCTION("""COMPUTED_VALUE"""),44125.7055555555)</f>
        <v>44125.705555555498</v>
      </c>
      <c r="D2611" s="111">
        <f ca="1">IFERROR(__xludf.DUMMYFUNCTION("""COMPUTED_VALUE"""),24.51)</f>
        <v>24.51</v>
      </c>
      <c r="E2611" s="112">
        <f ca="1">IFERROR(__xludf.DUMMYFUNCTION("""COMPUTED_VALUE"""),44126.7055555555)</f>
        <v>44126.705555555498</v>
      </c>
      <c r="F2611" s="111">
        <f ca="1">IFERROR(__xludf.DUMMYFUNCTION("""COMPUTED_VALUE"""),9.43)</f>
        <v>9.43</v>
      </c>
      <c r="G2611" s="112">
        <f ca="1">IFERROR(__xludf.DUMMYFUNCTION("""COMPUTED_VALUE"""),44124.7055555555)</f>
        <v>44124.705555555498</v>
      </c>
      <c r="H2611" s="111">
        <f ca="1">IFERROR(__xludf.DUMMYFUNCTION("""COMPUTED_VALUE"""),20.18)</f>
        <v>20.18</v>
      </c>
      <c r="K2611" s="112">
        <f ca="1">IFERROR(__xludf.DUMMYFUNCTION("""COMPUTED_VALUE"""),44573.7055555555)</f>
        <v>44573.705555555498</v>
      </c>
      <c r="L2611" s="111">
        <f ca="1">IFERROR(__xludf.DUMMYFUNCTION("""COMPUTED_VALUE"""),6.31)</f>
        <v>6.31</v>
      </c>
      <c r="M2611" s="112">
        <f ca="1">IFERROR(__xludf.DUMMYFUNCTION("""COMPUTED_VALUE"""),44033.7055555555)</f>
        <v>44033.705555555498</v>
      </c>
      <c r="N2611" s="111">
        <f ca="1">IFERROR(__xludf.DUMMYFUNCTION("""COMPUTED_VALUE"""),21.12)</f>
        <v>21.12</v>
      </c>
      <c r="O2611" s="112">
        <f ca="1">IFERROR(__xludf.DUMMYFUNCTION("""COMPUTED_VALUE"""),44106.7055555555)</f>
        <v>44106.705555555498</v>
      </c>
      <c r="P2611" s="111">
        <f ca="1">IFERROR(__xludf.DUMMYFUNCTION("""COMPUTED_VALUE"""),58.32)</f>
        <v>58.32</v>
      </c>
      <c r="Q2611" s="112">
        <f ca="1">IFERROR(__xludf.DUMMYFUNCTION("""COMPUTED_VALUE"""),44105.7055555555)</f>
        <v>44105.705555555498</v>
      </c>
      <c r="R2611" s="111">
        <f ca="1">IFERROR(__xludf.DUMMYFUNCTION("""COMPUTED_VALUE"""),29.79)</f>
        <v>29.79</v>
      </c>
      <c r="S2611" s="112">
        <f ca="1">IFERROR(__xludf.DUMMYFUNCTION("""COMPUTED_VALUE"""),44120.7055555555)</f>
        <v>44120.705555555498</v>
      </c>
      <c r="T2611" s="111">
        <f ca="1">IFERROR(__xludf.DUMMYFUNCTION("""COMPUTED_VALUE"""),36.66)</f>
        <v>36.659999999999997</v>
      </c>
    </row>
    <row r="2612" spans="1:20" x14ac:dyDescent="0.3">
      <c r="A2612" s="112">
        <f ca="1">IFERROR(__xludf.DUMMYFUNCTION("""COMPUTED_VALUE"""),44117.7055555555)</f>
        <v>44117.705555555498</v>
      </c>
      <c r="B2612" s="111">
        <f ca="1">IFERROR(__xludf.DUMMYFUNCTION("""COMPUTED_VALUE"""),30.92)</f>
        <v>30.92</v>
      </c>
      <c r="C2612" s="112">
        <f ca="1">IFERROR(__xludf.DUMMYFUNCTION("""COMPUTED_VALUE"""),44126.7055555555)</f>
        <v>44126.705555555498</v>
      </c>
      <c r="D2612" s="111">
        <f ca="1">IFERROR(__xludf.DUMMYFUNCTION("""COMPUTED_VALUE"""),25.77)</f>
        <v>25.77</v>
      </c>
      <c r="E2612" s="112">
        <f ca="1">IFERROR(__xludf.DUMMYFUNCTION("""COMPUTED_VALUE"""),44127.7055555555)</f>
        <v>44127.705555555498</v>
      </c>
      <c r="F2612" s="111">
        <f ca="1">IFERROR(__xludf.DUMMYFUNCTION("""COMPUTED_VALUE"""),9.37)</f>
        <v>9.3699999999999992</v>
      </c>
      <c r="G2612" s="112">
        <f ca="1">IFERROR(__xludf.DUMMYFUNCTION("""COMPUTED_VALUE"""),44125.7055555555)</f>
        <v>44125.705555555498</v>
      </c>
      <c r="H2612" s="111">
        <f ca="1">IFERROR(__xludf.DUMMYFUNCTION("""COMPUTED_VALUE"""),20.16)</f>
        <v>20.16</v>
      </c>
      <c r="K2612" s="112">
        <f ca="1">IFERROR(__xludf.DUMMYFUNCTION("""COMPUTED_VALUE"""),44574.7055555555)</f>
        <v>44574.705555555498</v>
      </c>
      <c r="L2612" s="111">
        <f ca="1">IFERROR(__xludf.DUMMYFUNCTION("""COMPUTED_VALUE"""),6.09)</f>
        <v>6.09</v>
      </c>
      <c r="M2612" s="112">
        <f ca="1">IFERROR(__xludf.DUMMYFUNCTION("""COMPUTED_VALUE"""),44034.7055555555)</f>
        <v>44034.705555555498</v>
      </c>
      <c r="N2612" s="111">
        <f ca="1">IFERROR(__xludf.DUMMYFUNCTION("""COMPUTED_VALUE"""),20.75)</f>
        <v>20.75</v>
      </c>
      <c r="O2612" s="112">
        <f ca="1">IFERROR(__xludf.DUMMYFUNCTION("""COMPUTED_VALUE"""),44109.7055555555)</f>
        <v>44109.705555555498</v>
      </c>
      <c r="P2612" s="111">
        <f ca="1">IFERROR(__xludf.DUMMYFUNCTION("""COMPUTED_VALUE"""),59.59)</f>
        <v>59.59</v>
      </c>
      <c r="Q2612" s="112">
        <f ca="1">IFERROR(__xludf.DUMMYFUNCTION("""COMPUTED_VALUE"""),44106.7055555555)</f>
        <v>44106.705555555498</v>
      </c>
      <c r="R2612" s="111">
        <f ca="1">IFERROR(__xludf.DUMMYFUNCTION("""COMPUTED_VALUE"""),29.71)</f>
        <v>29.71</v>
      </c>
      <c r="S2612" s="112">
        <f ca="1">IFERROR(__xludf.DUMMYFUNCTION("""COMPUTED_VALUE"""),44123.7055555555)</f>
        <v>44123.705555555498</v>
      </c>
      <c r="T2612" s="111">
        <f ca="1">IFERROR(__xludf.DUMMYFUNCTION("""COMPUTED_VALUE"""),38.05)</f>
        <v>38.049999999999997</v>
      </c>
    </row>
    <row r="2613" spans="1:20" x14ac:dyDescent="0.3">
      <c r="A2613" s="112">
        <f ca="1">IFERROR(__xludf.DUMMYFUNCTION("""COMPUTED_VALUE"""),44118.7055555555)</f>
        <v>44118.705555555498</v>
      </c>
      <c r="B2613" s="111">
        <f ca="1">IFERROR(__xludf.DUMMYFUNCTION("""COMPUTED_VALUE"""),31.17)</f>
        <v>31.17</v>
      </c>
      <c r="C2613" s="112">
        <f ca="1">IFERROR(__xludf.DUMMYFUNCTION("""COMPUTED_VALUE"""),44127.7055555555)</f>
        <v>44127.705555555498</v>
      </c>
      <c r="D2613" s="111">
        <f ca="1">IFERROR(__xludf.DUMMYFUNCTION("""COMPUTED_VALUE"""),25.44)</f>
        <v>25.44</v>
      </c>
      <c r="E2613" s="112">
        <f ca="1">IFERROR(__xludf.DUMMYFUNCTION("""COMPUTED_VALUE"""),44130.7055555555)</f>
        <v>44130.705555555498</v>
      </c>
      <c r="F2613" s="111">
        <f ca="1">IFERROR(__xludf.DUMMYFUNCTION("""COMPUTED_VALUE"""),9.44)</f>
        <v>9.44</v>
      </c>
      <c r="G2613" s="112">
        <f ca="1">IFERROR(__xludf.DUMMYFUNCTION("""COMPUTED_VALUE"""),44126.7055555555)</f>
        <v>44126.705555555498</v>
      </c>
      <c r="H2613" s="111">
        <f ca="1">IFERROR(__xludf.DUMMYFUNCTION("""COMPUTED_VALUE"""),20.84)</f>
        <v>20.84</v>
      </c>
      <c r="K2613" s="112">
        <f ca="1">IFERROR(__xludf.DUMMYFUNCTION("""COMPUTED_VALUE"""),44575.7055555555)</f>
        <v>44575.705555555498</v>
      </c>
      <c r="L2613" s="111">
        <f ca="1">IFERROR(__xludf.DUMMYFUNCTION("""COMPUTED_VALUE"""),6.33)</f>
        <v>6.33</v>
      </c>
      <c r="M2613" s="112">
        <f ca="1">IFERROR(__xludf.DUMMYFUNCTION("""COMPUTED_VALUE"""),44035.7055555555)</f>
        <v>44035.705555555498</v>
      </c>
      <c r="N2613" s="111">
        <f ca="1">IFERROR(__xludf.DUMMYFUNCTION("""COMPUTED_VALUE"""),20.45)</f>
        <v>20.45</v>
      </c>
      <c r="O2613" s="112">
        <f ca="1">IFERROR(__xludf.DUMMYFUNCTION("""COMPUTED_VALUE"""),44110.7055555555)</f>
        <v>44110.705555555498</v>
      </c>
      <c r="P2613" s="111">
        <f ca="1">IFERROR(__xludf.DUMMYFUNCTION("""COMPUTED_VALUE"""),58.62)</f>
        <v>58.62</v>
      </c>
      <c r="Q2613" s="112">
        <f ca="1">IFERROR(__xludf.DUMMYFUNCTION("""COMPUTED_VALUE"""),44109.7055555555)</f>
        <v>44109.705555555498</v>
      </c>
      <c r="R2613" s="111">
        <f ca="1">IFERROR(__xludf.DUMMYFUNCTION("""COMPUTED_VALUE"""),30.23)</f>
        <v>30.23</v>
      </c>
      <c r="S2613" s="112">
        <f ca="1">IFERROR(__xludf.DUMMYFUNCTION("""COMPUTED_VALUE"""),44124.7055555555)</f>
        <v>44124.705555555498</v>
      </c>
      <c r="T2613" s="111">
        <f ca="1">IFERROR(__xludf.DUMMYFUNCTION("""COMPUTED_VALUE"""),37.75)</f>
        <v>37.75</v>
      </c>
    </row>
    <row r="2614" spans="1:20" x14ac:dyDescent="0.3">
      <c r="A2614" s="112">
        <f ca="1">IFERROR(__xludf.DUMMYFUNCTION("""COMPUTED_VALUE"""),44119.7055555555)</f>
        <v>44119.705555555498</v>
      </c>
      <c r="B2614" s="111">
        <f ca="1">IFERROR(__xludf.DUMMYFUNCTION("""COMPUTED_VALUE"""),31.57)</f>
        <v>31.57</v>
      </c>
      <c r="C2614" s="112">
        <f ca="1">IFERROR(__xludf.DUMMYFUNCTION("""COMPUTED_VALUE"""),44130.7055555555)</f>
        <v>44130.705555555498</v>
      </c>
      <c r="D2614" s="111">
        <f ca="1">IFERROR(__xludf.DUMMYFUNCTION("""COMPUTED_VALUE"""),25.62)</f>
        <v>25.62</v>
      </c>
      <c r="E2614" s="112">
        <f ca="1">IFERROR(__xludf.DUMMYFUNCTION("""COMPUTED_VALUE"""),44131.7055555555)</f>
        <v>44131.705555555498</v>
      </c>
      <c r="F2614" s="111">
        <f ca="1">IFERROR(__xludf.DUMMYFUNCTION("""COMPUTED_VALUE"""),9.17)</f>
        <v>9.17</v>
      </c>
      <c r="G2614" s="112">
        <f ca="1">IFERROR(__xludf.DUMMYFUNCTION("""COMPUTED_VALUE"""),44127.7055555555)</f>
        <v>44127.705555555498</v>
      </c>
      <c r="H2614" s="111">
        <f ca="1">IFERROR(__xludf.DUMMYFUNCTION("""COMPUTED_VALUE"""),20.57)</f>
        <v>20.57</v>
      </c>
      <c r="K2614" s="112">
        <f ca="1">IFERROR(__xludf.DUMMYFUNCTION("""COMPUTED_VALUE"""),44578.7055555555)</f>
        <v>44578.705555555498</v>
      </c>
      <c r="L2614" s="111">
        <f ca="1">IFERROR(__xludf.DUMMYFUNCTION("""COMPUTED_VALUE"""),6.12)</f>
        <v>6.12</v>
      </c>
      <c r="M2614" s="112">
        <f ca="1">IFERROR(__xludf.DUMMYFUNCTION("""COMPUTED_VALUE"""),44036.7055555555)</f>
        <v>44036.705555555498</v>
      </c>
      <c r="N2614" s="111">
        <f ca="1">IFERROR(__xludf.DUMMYFUNCTION("""COMPUTED_VALUE"""),20.58)</f>
        <v>20.58</v>
      </c>
      <c r="O2614" s="112">
        <f ca="1">IFERROR(__xludf.DUMMYFUNCTION("""COMPUTED_VALUE"""),44111.7055555555)</f>
        <v>44111.705555555498</v>
      </c>
      <c r="P2614" s="111">
        <f ca="1">IFERROR(__xludf.DUMMYFUNCTION("""COMPUTED_VALUE"""),60.17)</f>
        <v>60.17</v>
      </c>
      <c r="Q2614" s="112">
        <f ca="1">IFERROR(__xludf.DUMMYFUNCTION("""COMPUTED_VALUE"""),44110.7055555555)</f>
        <v>44110.705555555498</v>
      </c>
      <c r="R2614" s="111">
        <f ca="1">IFERROR(__xludf.DUMMYFUNCTION("""COMPUTED_VALUE"""),30.03)</f>
        <v>30.03</v>
      </c>
      <c r="S2614" s="112">
        <f ca="1">IFERROR(__xludf.DUMMYFUNCTION("""COMPUTED_VALUE"""),44125.7055555555)</f>
        <v>44125.705555555498</v>
      </c>
      <c r="T2614" s="111">
        <f ca="1">IFERROR(__xludf.DUMMYFUNCTION("""COMPUTED_VALUE"""),36.82)</f>
        <v>36.82</v>
      </c>
    </row>
    <row r="2615" spans="1:20" x14ac:dyDescent="0.3">
      <c r="A2615" s="112">
        <f ca="1">IFERROR(__xludf.DUMMYFUNCTION("""COMPUTED_VALUE"""),44120.7055555555)</f>
        <v>44120.705555555498</v>
      </c>
      <c r="B2615" s="111">
        <f ca="1">IFERROR(__xludf.DUMMYFUNCTION("""COMPUTED_VALUE"""),31.73)</f>
        <v>31.73</v>
      </c>
      <c r="C2615" s="112">
        <f ca="1">IFERROR(__xludf.DUMMYFUNCTION("""COMPUTED_VALUE"""),44131.7055555555)</f>
        <v>44131.705555555498</v>
      </c>
      <c r="D2615" s="111">
        <f ca="1">IFERROR(__xludf.DUMMYFUNCTION("""COMPUTED_VALUE"""),24.89)</f>
        <v>24.89</v>
      </c>
      <c r="E2615" s="112">
        <f ca="1">IFERROR(__xludf.DUMMYFUNCTION("""COMPUTED_VALUE"""),44132.7055555555)</f>
        <v>44132.705555555498</v>
      </c>
      <c r="F2615" s="111">
        <f ca="1">IFERROR(__xludf.DUMMYFUNCTION("""COMPUTED_VALUE"""),8.74)</f>
        <v>8.74</v>
      </c>
      <c r="G2615" s="112">
        <f ca="1">IFERROR(__xludf.DUMMYFUNCTION("""COMPUTED_VALUE"""),44130.7055555555)</f>
        <v>44130.705555555498</v>
      </c>
      <c r="H2615" s="111">
        <f ca="1">IFERROR(__xludf.DUMMYFUNCTION("""COMPUTED_VALUE"""),20.25)</f>
        <v>20.25</v>
      </c>
      <c r="K2615" s="112">
        <f ca="1">IFERROR(__xludf.DUMMYFUNCTION("""COMPUTED_VALUE"""),44579.7055555555)</f>
        <v>44579.705555555498</v>
      </c>
      <c r="L2615" s="111">
        <f ca="1">IFERROR(__xludf.DUMMYFUNCTION("""COMPUTED_VALUE"""),5.89)</f>
        <v>5.89</v>
      </c>
      <c r="M2615" s="112">
        <f ca="1">IFERROR(__xludf.DUMMYFUNCTION("""COMPUTED_VALUE"""),44039.7055555555)</f>
        <v>44039.705555555498</v>
      </c>
      <c r="N2615" s="111">
        <f ca="1">IFERROR(__xludf.DUMMYFUNCTION("""COMPUTED_VALUE"""),21.53)</f>
        <v>21.53</v>
      </c>
      <c r="O2615" s="112">
        <f ca="1">IFERROR(__xludf.DUMMYFUNCTION("""COMPUTED_VALUE"""),44112.7055555555)</f>
        <v>44112.705555555498</v>
      </c>
      <c r="P2615" s="111">
        <f ca="1">IFERROR(__xludf.DUMMYFUNCTION("""COMPUTED_VALUE"""),61.29)</f>
        <v>61.29</v>
      </c>
      <c r="Q2615" s="112">
        <f ca="1">IFERROR(__xludf.DUMMYFUNCTION("""COMPUTED_VALUE"""),44111.7055555555)</f>
        <v>44111.705555555498</v>
      </c>
      <c r="R2615" s="111">
        <f ca="1">IFERROR(__xludf.DUMMYFUNCTION("""COMPUTED_VALUE"""),29.81)</f>
        <v>29.81</v>
      </c>
      <c r="S2615" s="112">
        <f ca="1">IFERROR(__xludf.DUMMYFUNCTION("""COMPUTED_VALUE"""),44126.7055555555)</f>
        <v>44126.705555555498</v>
      </c>
      <c r="T2615" s="111">
        <f ca="1">IFERROR(__xludf.DUMMYFUNCTION("""COMPUTED_VALUE"""),37.07)</f>
        <v>37.07</v>
      </c>
    </row>
    <row r="2616" spans="1:20" x14ac:dyDescent="0.3">
      <c r="A2616" s="112">
        <f ca="1">IFERROR(__xludf.DUMMYFUNCTION("""COMPUTED_VALUE"""),44123.7055555555)</f>
        <v>44123.705555555498</v>
      </c>
      <c r="B2616" s="111">
        <f ca="1">IFERROR(__xludf.DUMMYFUNCTION("""COMPUTED_VALUE"""),31.69)</f>
        <v>31.69</v>
      </c>
      <c r="C2616" s="112">
        <f ca="1">IFERROR(__xludf.DUMMYFUNCTION("""COMPUTED_VALUE"""),44132.7055555555)</f>
        <v>44132.705555555498</v>
      </c>
      <c r="D2616" s="111">
        <f ca="1">IFERROR(__xludf.DUMMYFUNCTION("""COMPUTED_VALUE"""),23.78)</f>
        <v>23.78</v>
      </c>
      <c r="E2616" s="112">
        <f ca="1">IFERROR(__xludf.DUMMYFUNCTION("""COMPUTED_VALUE"""),44133.7055555555)</f>
        <v>44133.705555555498</v>
      </c>
      <c r="F2616" s="111">
        <f ca="1">IFERROR(__xludf.DUMMYFUNCTION("""COMPUTED_VALUE"""),8.79)</f>
        <v>8.7899999999999991</v>
      </c>
      <c r="G2616" s="112">
        <f ca="1">IFERROR(__xludf.DUMMYFUNCTION("""COMPUTED_VALUE"""),44131.7055555555)</f>
        <v>44131.705555555498</v>
      </c>
      <c r="H2616" s="111">
        <f ca="1">IFERROR(__xludf.DUMMYFUNCTION("""COMPUTED_VALUE"""),19.88)</f>
        <v>19.88</v>
      </c>
      <c r="K2616" s="112">
        <f ca="1">IFERROR(__xludf.DUMMYFUNCTION("""COMPUTED_VALUE"""),44580.7055555555)</f>
        <v>44580.705555555498</v>
      </c>
      <c r="L2616" s="111">
        <f ca="1">IFERROR(__xludf.DUMMYFUNCTION("""COMPUTED_VALUE"""),6.31)</f>
        <v>6.31</v>
      </c>
      <c r="M2616" s="112">
        <f ca="1">IFERROR(__xludf.DUMMYFUNCTION("""COMPUTED_VALUE"""),44040.7055555555)</f>
        <v>44040.705555555498</v>
      </c>
      <c r="N2616" s="111">
        <f ca="1">IFERROR(__xludf.DUMMYFUNCTION("""COMPUTED_VALUE"""),21.38)</f>
        <v>21.38</v>
      </c>
      <c r="O2616" s="112">
        <f ca="1">IFERROR(__xludf.DUMMYFUNCTION("""COMPUTED_VALUE"""),44113.7055555555)</f>
        <v>44113.705555555498</v>
      </c>
      <c r="P2616" s="111">
        <f ca="1">IFERROR(__xludf.DUMMYFUNCTION("""COMPUTED_VALUE"""),61.6)</f>
        <v>61.6</v>
      </c>
      <c r="Q2616" s="112">
        <f ca="1">IFERROR(__xludf.DUMMYFUNCTION("""COMPUTED_VALUE"""),44112.7055555555)</f>
        <v>44112.705555555498</v>
      </c>
      <c r="R2616" s="111">
        <f ca="1">IFERROR(__xludf.DUMMYFUNCTION("""COMPUTED_VALUE"""),31.25)</f>
        <v>31.25</v>
      </c>
      <c r="S2616" s="112">
        <f ca="1">IFERROR(__xludf.DUMMYFUNCTION("""COMPUTED_VALUE"""),44127.7055555555)</f>
        <v>44127.705555555498</v>
      </c>
      <c r="T2616" s="111">
        <f ca="1">IFERROR(__xludf.DUMMYFUNCTION("""COMPUTED_VALUE"""),37.25)</f>
        <v>37.25</v>
      </c>
    </row>
    <row r="2617" spans="1:20" x14ac:dyDescent="0.3">
      <c r="A2617" s="112">
        <f ca="1">IFERROR(__xludf.DUMMYFUNCTION("""COMPUTED_VALUE"""),44124.7055555555)</f>
        <v>44124.705555555498</v>
      </c>
      <c r="B2617" s="111">
        <f ca="1">IFERROR(__xludf.DUMMYFUNCTION("""COMPUTED_VALUE"""),31.99)</f>
        <v>31.99</v>
      </c>
      <c r="C2617" s="112">
        <f ca="1">IFERROR(__xludf.DUMMYFUNCTION("""COMPUTED_VALUE"""),44133.7055555555)</f>
        <v>44133.705555555498</v>
      </c>
      <c r="D2617" s="111">
        <f ca="1">IFERROR(__xludf.DUMMYFUNCTION("""COMPUTED_VALUE"""),23.9)</f>
        <v>23.9</v>
      </c>
      <c r="E2617" s="112">
        <f ca="1">IFERROR(__xludf.DUMMYFUNCTION("""COMPUTED_VALUE"""),44134.7055555555)</f>
        <v>44134.705555555498</v>
      </c>
      <c r="F2617" s="111">
        <f ca="1">IFERROR(__xludf.DUMMYFUNCTION("""COMPUTED_VALUE"""),8.66)</f>
        <v>8.66</v>
      </c>
      <c r="G2617" s="112">
        <f ca="1">IFERROR(__xludf.DUMMYFUNCTION("""COMPUTED_VALUE"""),44132.7055555555)</f>
        <v>44132.705555555498</v>
      </c>
      <c r="H2617" s="111">
        <f ca="1">IFERROR(__xludf.DUMMYFUNCTION("""COMPUTED_VALUE"""),18.67)</f>
        <v>18.670000000000002</v>
      </c>
      <c r="K2617" s="112">
        <f ca="1">IFERROR(__xludf.DUMMYFUNCTION("""COMPUTED_VALUE"""),44581.7055555555)</f>
        <v>44581.705555555498</v>
      </c>
      <c r="L2617" s="111">
        <f ca="1">IFERROR(__xludf.DUMMYFUNCTION("""COMPUTED_VALUE"""),6.65)</f>
        <v>6.65</v>
      </c>
      <c r="M2617" s="112">
        <f ca="1">IFERROR(__xludf.DUMMYFUNCTION("""COMPUTED_VALUE"""),44041.7055555555)</f>
        <v>44041.705555555498</v>
      </c>
      <c r="N2617" s="111">
        <f ca="1">IFERROR(__xludf.DUMMYFUNCTION("""COMPUTED_VALUE"""),22.05)</f>
        <v>22.05</v>
      </c>
      <c r="O2617" s="112">
        <f ca="1">IFERROR(__xludf.DUMMYFUNCTION("""COMPUTED_VALUE"""),44117.7055555555)</f>
        <v>44117.705555555498</v>
      </c>
      <c r="P2617" s="111">
        <f ca="1">IFERROR(__xludf.DUMMYFUNCTION("""COMPUTED_VALUE"""),62.14)</f>
        <v>62.14</v>
      </c>
      <c r="Q2617" s="112">
        <f ca="1">IFERROR(__xludf.DUMMYFUNCTION("""COMPUTED_VALUE"""),44113.7055555555)</f>
        <v>44113.705555555498</v>
      </c>
      <c r="R2617" s="111">
        <f ca="1">IFERROR(__xludf.DUMMYFUNCTION("""COMPUTED_VALUE"""),31.04)</f>
        <v>31.04</v>
      </c>
      <c r="S2617" s="112">
        <f ca="1">IFERROR(__xludf.DUMMYFUNCTION("""COMPUTED_VALUE"""),44130.7055555555)</f>
        <v>44130.705555555498</v>
      </c>
      <c r="T2617" s="111">
        <f ca="1">IFERROR(__xludf.DUMMYFUNCTION("""COMPUTED_VALUE"""),37.45)</f>
        <v>37.450000000000003</v>
      </c>
    </row>
    <row r="2618" spans="1:20" x14ac:dyDescent="0.3">
      <c r="A2618" s="112">
        <f ca="1">IFERROR(__xludf.DUMMYFUNCTION("""COMPUTED_VALUE"""),44125.7055555555)</f>
        <v>44125.705555555498</v>
      </c>
      <c r="B2618" s="111">
        <f ca="1">IFERROR(__xludf.DUMMYFUNCTION("""COMPUTED_VALUE"""),32.36)</f>
        <v>32.36</v>
      </c>
      <c r="C2618" s="112">
        <f ca="1">IFERROR(__xludf.DUMMYFUNCTION("""COMPUTED_VALUE"""),44134.7055555555)</f>
        <v>44134.705555555498</v>
      </c>
      <c r="D2618" s="111">
        <f ca="1">IFERROR(__xludf.DUMMYFUNCTION("""COMPUTED_VALUE"""),23.48)</f>
        <v>23.48</v>
      </c>
      <c r="E2618" s="112">
        <f ca="1">IFERROR(__xludf.DUMMYFUNCTION("""COMPUTED_VALUE"""),44138.7055555555)</f>
        <v>44138.705555555498</v>
      </c>
      <c r="F2618" s="111">
        <f ca="1">IFERROR(__xludf.DUMMYFUNCTION("""COMPUTED_VALUE"""),8.74)</f>
        <v>8.74</v>
      </c>
      <c r="G2618" s="112">
        <f ca="1">IFERROR(__xludf.DUMMYFUNCTION("""COMPUTED_VALUE"""),44133.7055555555)</f>
        <v>44133.705555555498</v>
      </c>
      <c r="H2618" s="111">
        <f ca="1">IFERROR(__xludf.DUMMYFUNCTION("""COMPUTED_VALUE"""),19.29)</f>
        <v>19.29</v>
      </c>
      <c r="K2618" s="112">
        <f ca="1">IFERROR(__xludf.DUMMYFUNCTION("""COMPUTED_VALUE"""),44582.7055555555)</f>
        <v>44582.705555555498</v>
      </c>
      <c r="L2618" s="111">
        <f ca="1">IFERROR(__xludf.DUMMYFUNCTION("""COMPUTED_VALUE"""),6.9)</f>
        <v>6.9</v>
      </c>
      <c r="M2618" s="112">
        <f ca="1">IFERROR(__xludf.DUMMYFUNCTION("""COMPUTED_VALUE"""),44042.7055555555)</f>
        <v>44042.705555555498</v>
      </c>
      <c r="N2618" s="111">
        <f ca="1">IFERROR(__xludf.DUMMYFUNCTION("""COMPUTED_VALUE"""),21.28)</f>
        <v>21.28</v>
      </c>
      <c r="O2618" s="112">
        <f ca="1">IFERROR(__xludf.DUMMYFUNCTION("""COMPUTED_VALUE"""),44118.7055555555)</f>
        <v>44118.705555555498</v>
      </c>
      <c r="P2618" s="111">
        <f ca="1">IFERROR(__xludf.DUMMYFUNCTION("""COMPUTED_VALUE"""),63)</f>
        <v>63</v>
      </c>
      <c r="Q2618" s="112">
        <f ca="1">IFERROR(__xludf.DUMMYFUNCTION("""COMPUTED_VALUE"""),44117.7055555555)</f>
        <v>44117.705555555498</v>
      </c>
      <c r="R2618" s="111">
        <f ca="1">IFERROR(__xludf.DUMMYFUNCTION("""COMPUTED_VALUE"""),31.05)</f>
        <v>31.05</v>
      </c>
      <c r="S2618" s="112">
        <f ca="1">IFERROR(__xludf.DUMMYFUNCTION("""COMPUTED_VALUE"""),44131.7055555555)</f>
        <v>44131.705555555498</v>
      </c>
      <c r="T2618" s="111">
        <f ca="1">IFERROR(__xludf.DUMMYFUNCTION("""COMPUTED_VALUE"""),37.17)</f>
        <v>37.17</v>
      </c>
    </row>
    <row r="2619" spans="1:20" x14ac:dyDescent="0.3">
      <c r="A2619" s="112">
        <f ca="1">IFERROR(__xludf.DUMMYFUNCTION("""COMPUTED_VALUE"""),44126.7055555555)</f>
        <v>44126.705555555498</v>
      </c>
      <c r="B2619" s="111">
        <f ca="1">IFERROR(__xludf.DUMMYFUNCTION("""COMPUTED_VALUE"""),32.86)</f>
        <v>32.86</v>
      </c>
      <c r="C2619" s="112">
        <f ca="1">IFERROR(__xludf.DUMMYFUNCTION("""COMPUTED_VALUE"""),44138.7055555555)</f>
        <v>44138.705555555498</v>
      </c>
      <c r="D2619" s="111">
        <f ca="1">IFERROR(__xludf.DUMMYFUNCTION("""COMPUTED_VALUE"""),24.04)</f>
        <v>24.04</v>
      </c>
      <c r="E2619" s="112">
        <f ca="1">IFERROR(__xludf.DUMMYFUNCTION("""COMPUTED_VALUE"""),44139.7055555555)</f>
        <v>44139.705555555498</v>
      </c>
      <c r="F2619" s="111">
        <f ca="1">IFERROR(__xludf.DUMMYFUNCTION("""COMPUTED_VALUE"""),8.94)</f>
        <v>8.94</v>
      </c>
      <c r="G2619" s="112">
        <f ca="1">IFERROR(__xludf.DUMMYFUNCTION("""COMPUTED_VALUE"""),44134.7055555555)</f>
        <v>44134.705555555498</v>
      </c>
      <c r="H2619" s="111">
        <f ca="1">IFERROR(__xludf.DUMMYFUNCTION("""COMPUTED_VALUE"""),18.94)</f>
        <v>18.940000000000001</v>
      </c>
      <c r="K2619" s="112">
        <f ca="1">IFERROR(__xludf.DUMMYFUNCTION("""COMPUTED_VALUE"""),44585.7055555555)</f>
        <v>44585.705555555498</v>
      </c>
      <c r="L2619" s="111">
        <f ca="1">IFERROR(__xludf.DUMMYFUNCTION("""COMPUTED_VALUE"""),6.39)</f>
        <v>6.39</v>
      </c>
      <c r="M2619" s="112">
        <f ca="1">IFERROR(__xludf.DUMMYFUNCTION("""COMPUTED_VALUE"""),44043.7055555555)</f>
        <v>44043.705555555498</v>
      </c>
      <c r="N2619" s="111">
        <f ca="1">IFERROR(__xludf.DUMMYFUNCTION("""COMPUTED_VALUE"""),20.4)</f>
        <v>20.399999999999999</v>
      </c>
      <c r="O2619" s="112">
        <f ca="1">IFERROR(__xludf.DUMMYFUNCTION("""COMPUTED_VALUE"""),44119.7055555555)</f>
        <v>44119.705555555498</v>
      </c>
      <c r="P2619" s="111">
        <f ca="1">IFERROR(__xludf.DUMMYFUNCTION("""COMPUTED_VALUE"""),62.47)</f>
        <v>62.47</v>
      </c>
      <c r="Q2619" s="112">
        <f ca="1">IFERROR(__xludf.DUMMYFUNCTION("""COMPUTED_VALUE"""),44118.7055555555)</f>
        <v>44118.705555555498</v>
      </c>
      <c r="R2619" s="111">
        <f ca="1">IFERROR(__xludf.DUMMYFUNCTION("""COMPUTED_VALUE"""),30.85)</f>
        <v>30.85</v>
      </c>
      <c r="S2619" s="112">
        <f ca="1">IFERROR(__xludf.DUMMYFUNCTION("""COMPUTED_VALUE"""),44132.7055555555)</f>
        <v>44132.705555555498</v>
      </c>
      <c r="T2619" s="111">
        <f ca="1">IFERROR(__xludf.DUMMYFUNCTION("""COMPUTED_VALUE"""),36.07)</f>
        <v>36.07</v>
      </c>
    </row>
    <row r="2620" spans="1:20" x14ac:dyDescent="0.3">
      <c r="A2620" s="112">
        <f ca="1">IFERROR(__xludf.DUMMYFUNCTION("""COMPUTED_VALUE"""),44127.7055555555)</f>
        <v>44127.705555555498</v>
      </c>
      <c r="B2620" s="111">
        <f ca="1">IFERROR(__xludf.DUMMYFUNCTION("""COMPUTED_VALUE"""),33.02)</f>
        <v>33.020000000000003</v>
      </c>
      <c r="C2620" s="112">
        <f ca="1">IFERROR(__xludf.DUMMYFUNCTION("""COMPUTED_VALUE"""),44139.7055555555)</f>
        <v>44139.705555555498</v>
      </c>
      <c r="D2620" s="111">
        <f ca="1">IFERROR(__xludf.DUMMYFUNCTION("""COMPUTED_VALUE"""),25)</f>
        <v>25</v>
      </c>
      <c r="E2620" s="112">
        <f ca="1">IFERROR(__xludf.DUMMYFUNCTION("""COMPUTED_VALUE"""),44140.7055555555)</f>
        <v>44140.705555555498</v>
      </c>
      <c r="F2620" s="111">
        <f ca="1">IFERROR(__xludf.DUMMYFUNCTION("""COMPUTED_VALUE"""),9.31)</f>
        <v>9.31</v>
      </c>
      <c r="G2620" s="112">
        <f ca="1">IFERROR(__xludf.DUMMYFUNCTION("""COMPUTED_VALUE"""),44138.7055555555)</f>
        <v>44138.705555555498</v>
      </c>
      <c r="H2620" s="111">
        <f ca="1">IFERROR(__xludf.DUMMYFUNCTION("""COMPUTED_VALUE"""),19.65)</f>
        <v>19.649999999999999</v>
      </c>
      <c r="K2620" s="112">
        <f ca="1">IFERROR(__xludf.DUMMYFUNCTION("""COMPUTED_VALUE"""),44586.7055555555)</f>
        <v>44586.705555555498</v>
      </c>
      <c r="L2620" s="111">
        <f ca="1">IFERROR(__xludf.DUMMYFUNCTION("""COMPUTED_VALUE"""),6.72)</f>
        <v>6.72</v>
      </c>
      <c r="M2620" s="112">
        <f ca="1">IFERROR(__xludf.DUMMYFUNCTION("""COMPUTED_VALUE"""),44046.7055555555)</f>
        <v>44046.705555555498</v>
      </c>
      <c r="N2620" s="111">
        <f ca="1">IFERROR(__xludf.DUMMYFUNCTION("""COMPUTED_VALUE"""),20.18)</f>
        <v>20.18</v>
      </c>
      <c r="O2620" s="112">
        <f ca="1">IFERROR(__xludf.DUMMYFUNCTION("""COMPUTED_VALUE"""),44120.7055555555)</f>
        <v>44120.705555555498</v>
      </c>
      <c r="P2620" s="111">
        <f ca="1">IFERROR(__xludf.DUMMYFUNCTION("""COMPUTED_VALUE"""),62.24)</f>
        <v>62.24</v>
      </c>
      <c r="Q2620" s="112">
        <f ca="1">IFERROR(__xludf.DUMMYFUNCTION("""COMPUTED_VALUE"""),44119.7055555555)</f>
        <v>44119.705555555498</v>
      </c>
      <c r="R2620" s="111">
        <f ca="1">IFERROR(__xludf.DUMMYFUNCTION("""COMPUTED_VALUE"""),31.06)</f>
        <v>31.06</v>
      </c>
      <c r="S2620" s="112">
        <f ca="1">IFERROR(__xludf.DUMMYFUNCTION("""COMPUTED_VALUE"""),44133.7055555555)</f>
        <v>44133.705555555498</v>
      </c>
      <c r="T2620" s="111">
        <f ca="1">IFERROR(__xludf.DUMMYFUNCTION("""COMPUTED_VALUE"""),36.02)</f>
        <v>36.020000000000003</v>
      </c>
    </row>
    <row r="2621" spans="1:20" x14ac:dyDescent="0.3">
      <c r="A2621" s="112">
        <f ca="1">IFERROR(__xludf.DUMMYFUNCTION("""COMPUTED_VALUE"""),44130.7055555555)</f>
        <v>44130.705555555498</v>
      </c>
      <c r="B2621" s="111">
        <f ca="1">IFERROR(__xludf.DUMMYFUNCTION("""COMPUTED_VALUE"""),33.36)</f>
        <v>33.36</v>
      </c>
      <c r="C2621" s="112">
        <f ca="1">IFERROR(__xludf.DUMMYFUNCTION("""COMPUTED_VALUE"""),44140.7055555555)</f>
        <v>44140.705555555498</v>
      </c>
      <c r="D2621" s="111">
        <f ca="1">IFERROR(__xludf.DUMMYFUNCTION("""COMPUTED_VALUE"""),25.59)</f>
        <v>25.59</v>
      </c>
      <c r="E2621" s="112">
        <f ca="1">IFERROR(__xludf.DUMMYFUNCTION("""COMPUTED_VALUE"""),44141.7055555555)</f>
        <v>44141.705555555498</v>
      </c>
      <c r="F2621" s="111">
        <f ca="1">IFERROR(__xludf.DUMMYFUNCTION("""COMPUTED_VALUE"""),9.36)</f>
        <v>9.36</v>
      </c>
      <c r="G2621" s="112">
        <f ca="1">IFERROR(__xludf.DUMMYFUNCTION("""COMPUTED_VALUE"""),44139.7055555555)</f>
        <v>44139.705555555498</v>
      </c>
      <c r="H2621" s="111">
        <f ca="1">IFERROR(__xludf.DUMMYFUNCTION("""COMPUTED_VALUE"""),19.72)</f>
        <v>19.72</v>
      </c>
      <c r="K2621" s="112">
        <f ca="1">IFERROR(__xludf.DUMMYFUNCTION("""COMPUTED_VALUE"""),44587.7055555555)</f>
        <v>44587.705555555498</v>
      </c>
      <c r="L2621" s="111">
        <f ca="1">IFERROR(__xludf.DUMMYFUNCTION("""COMPUTED_VALUE"""),6.75)</f>
        <v>6.75</v>
      </c>
      <c r="M2621" s="112">
        <f ca="1">IFERROR(__xludf.DUMMYFUNCTION("""COMPUTED_VALUE"""),44047.7055555555)</f>
        <v>44047.705555555498</v>
      </c>
      <c r="N2621" s="111">
        <f ca="1">IFERROR(__xludf.DUMMYFUNCTION("""COMPUTED_VALUE"""),19.75)</f>
        <v>19.75</v>
      </c>
      <c r="O2621" s="112">
        <f ca="1">IFERROR(__xludf.DUMMYFUNCTION("""COMPUTED_VALUE"""),44123.7055555555)</f>
        <v>44123.705555555498</v>
      </c>
      <c r="P2621" s="111">
        <f ca="1">IFERROR(__xludf.DUMMYFUNCTION("""COMPUTED_VALUE"""),61.95)</f>
        <v>61.95</v>
      </c>
      <c r="Q2621" s="112">
        <f ca="1">IFERROR(__xludf.DUMMYFUNCTION("""COMPUTED_VALUE"""),44120.7055555555)</f>
        <v>44120.705555555498</v>
      </c>
      <c r="R2621" s="111">
        <f ca="1">IFERROR(__xludf.DUMMYFUNCTION("""COMPUTED_VALUE"""),30.27)</f>
        <v>30.27</v>
      </c>
      <c r="S2621" s="112">
        <f ca="1">IFERROR(__xludf.DUMMYFUNCTION("""COMPUTED_VALUE"""),44134.7055555555)</f>
        <v>44134.705555555498</v>
      </c>
      <c r="T2621" s="111">
        <f ca="1">IFERROR(__xludf.DUMMYFUNCTION("""COMPUTED_VALUE"""),34.05)</f>
        <v>34.049999999999997</v>
      </c>
    </row>
    <row r="2622" spans="1:20" x14ac:dyDescent="0.3">
      <c r="A2622" s="112">
        <f ca="1">IFERROR(__xludf.DUMMYFUNCTION("""COMPUTED_VALUE"""),44131.7055555555)</f>
        <v>44131.705555555498</v>
      </c>
      <c r="B2622" s="111">
        <f ca="1">IFERROR(__xludf.DUMMYFUNCTION("""COMPUTED_VALUE"""),32.45)</f>
        <v>32.450000000000003</v>
      </c>
      <c r="C2622" s="112">
        <f ca="1">IFERROR(__xludf.DUMMYFUNCTION("""COMPUTED_VALUE"""),44141.7055555555)</f>
        <v>44141.705555555498</v>
      </c>
      <c r="D2622" s="111">
        <f ca="1">IFERROR(__xludf.DUMMYFUNCTION("""COMPUTED_VALUE"""),25.56)</f>
        <v>25.56</v>
      </c>
      <c r="E2622" s="112">
        <f ca="1">IFERROR(__xludf.DUMMYFUNCTION("""COMPUTED_VALUE"""),44144.7055555555)</f>
        <v>44144.705555555498</v>
      </c>
      <c r="F2622" s="111">
        <f ca="1">IFERROR(__xludf.DUMMYFUNCTION("""COMPUTED_VALUE"""),9.93)</f>
        <v>9.93</v>
      </c>
      <c r="G2622" s="112">
        <f ca="1">IFERROR(__xludf.DUMMYFUNCTION("""COMPUTED_VALUE"""),44140.7055555555)</f>
        <v>44140.705555555498</v>
      </c>
      <c r="H2622" s="111">
        <f ca="1">IFERROR(__xludf.DUMMYFUNCTION("""COMPUTED_VALUE"""),19.89)</f>
        <v>19.89</v>
      </c>
      <c r="K2622" s="112">
        <f ca="1">IFERROR(__xludf.DUMMYFUNCTION("""COMPUTED_VALUE"""),44588.7055555555)</f>
        <v>44588.705555555498</v>
      </c>
      <c r="L2622" s="111">
        <f ca="1">IFERROR(__xludf.DUMMYFUNCTION("""COMPUTED_VALUE"""),7.22)</f>
        <v>7.22</v>
      </c>
      <c r="M2622" s="112">
        <f ca="1">IFERROR(__xludf.DUMMYFUNCTION("""COMPUTED_VALUE"""),44048.7055555555)</f>
        <v>44048.705555555498</v>
      </c>
      <c r="N2622" s="111">
        <f ca="1">IFERROR(__xludf.DUMMYFUNCTION("""COMPUTED_VALUE"""),19.84)</f>
        <v>19.84</v>
      </c>
      <c r="O2622" s="112">
        <f ca="1">IFERROR(__xludf.DUMMYFUNCTION("""COMPUTED_VALUE"""),44124.7055555555)</f>
        <v>44124.705555555498</v>
      </c>
      <c r="P2622" s="111">
        <f ca="1">IFERROR(__xludf.DUMMYFUNCTION("""COMPUTED_VALUE"""),61.84)</f>
        <v>61.84</v>
      </c>
      <c r="Q2622" s="112">
        <f ca="1">IFERROR(__xludf.DUMMYFUNCTION("""COMPUTED_VALUE"""),44123.7055555555)</f>
        <v>44123.705555555498</v>
      </c>
      <c r="R2622" s="111">
        <f ca="1">IFERROR(__xludf.DUMMYFUNCTION("""COMPUTED_VALUE"""),30.6)</f>
        <v>30.6</v>
      </c>
      <c r="S2622" s="112">
        <f ca="1">IFERROR(__xludf.DUMMYFUNCTION("""COMPUTED_VALUE"""),44138.7055555555)</f>
        <v>44138.705555555498</v>
      </c>
      <c r="T2622" s="111">
        <f ca="1">IFERROR(__xludf.DUMMYFUNCTION("""COMPUTED_VALUE"""),34.59)</f>
        <v>34.590000000000003</v>
      </c>
    </row>
    <row r="2623" spans="1:20" x14ac:dyDescent="0.3">
      <c r="A2623" s="112">
        <f ca="1">IFERROR(__xludf.DUMMYFUNCTION("""COMPUTED_VALUE"""),44132.7055555555)</f>
        <v>44132.705555555498</v>
      </c>
      <c r="B2623" s="111">
        <f ca="1">IFERROR(__xludf.DUMMYFUNCTION("""COMPUTED_VALUE"""),31.49)</f>
        <v>31.49</v>
      </c>
      <c r="C2623" s="112">
        <f ca="1">IFERROR(__xludf.DUMMYFUNCTION("""COMPUTED_VALUE"""),44144.7055555555)</f>
        <v>44144.705555555498</v>
      </c>
      <c r="D2623" s="111">
        <f ca="1">IFERROR(__xludf.DUMMYFUNCTION("""COMPUTED_VALUE"""),27.63)</f>
        <v>27.63</v>
      </c>
      <c r="E2623" s="112">
        <f ca="1">IFERROR(__xludf.DUMMYFUNCTION("""COMPUTED_VALUE"""),44145.7055555555)</f>
        <v>44145.705555555498</v>
      </c>
      <c r="F2623" s="111">
        <f ca="1">IFERROR(__xludf.DUMMYFUNCTION("""COMPUTED_VALUE"""),10.26)</f>
        <v>10.26</v>
      </c>
      <c r="G2623" s="112">
        <f ca="1">IFERROR(__xludf.DUMMYFUNCTION("""COMPUTED_VALUE"""),44141.7055555555)</f>
        <v>44141.705555555498</v>
      </c>
      <c r="H2623" s="111">
        <f ca="1">IFERROR(__xludf.DUMMYFUNCTION("""COMPUTED_VALUE"""),19.75)</f>
        <v>19.75</v>
      </c>
      <c r="K2623" s="112">
        <f ca="1">IFERROR(__xludf.DUMMYFUNCTION("""COMPUTED_VALUE"""),44589.7055555555)</f>
        <v>44589.705555555498</v>
      </c>
      <c r="L2623" s="111">
        <f ca="1">IFERROR(__xludf.DUMMYFUNCTION("""COMPUTED_VALUE"""),6.71)</f>
        <v>6.71</v>
      </c>
      <c r="M2623" s="112">
        <f ca="1">IFERROR(__xludf.DUMMYFUNCTION("""COMPUTED_VALUE"""),44049.7055555555)</f>
        <v>44049.705555555498</v>
      </c>
      <c r="N2623" s="111">
        <f ca="1">IFERROR(__xludf.DUMMYFUNCTION("""COMPUTED_VALUE"""),19.97)</f>
        <v>19.97</v>
      </c>
      <c r="O2623" s="112">
        <f ca="1">IFERROR(__xludf.DUMMYFUNCTION("""COMPUTED_VALUE"""),44125.7055555555)</f>
        <v>44125.705555555498</v>
      </c>
      <c r="P2623" s="111">
        <f ca="1">IFERROR(__xludf.DUMMYFUNCTION("""COMPUTED_VALUE"""),62.85)</f>
        <v>62.85</v>
      </c>
      <c r="Q2623" s="112">
        <f ca="1">IFERROR(__xludf.DUMMYFUNCTION("""COMPUTED_VALUE"""),44124.7055555555)</f>
        <v>44124.705555555498</v>
      </c>
      <c r="R2623" s="111">
        <f ca="1">IFERROR(__xludf.DUMMYFUNCTION("""COMPUTED_VALUE"""),32.01)</f>
        <v>32.01</v>
      </c>
      <c r="S2623" s="112">
        <f ca="1">IFERROR(__xludf.DUMMYFUNCTION("""COMPUTED_VALUE"""),44139.7055555555)</f>
        <v>44139.705555555498</v>
      </c>
      <c r="T2623" s="111">
        <f ca="1">IFERROR(__xludf.DUMMYFUNCTION("""COMPUTED_VALUE"""),37)</f>
        <v>37</v>
      </c>
    </row>
    <row r="2624" spans="1:20" x14ac:dyDescent="0.3">
      <c r="A2624" s="112">
        <f ca="1">IFERROR(__xludf.DUMMYFUNCTION("""COMPUTED_VALUE"""),44133.7055555555)</f>
        <v>44133.705555555498</v>
      </c>
      <c r="B2624" s="111">
        <f ca="1">IFERROR(__xludf.DUMMYFUNCTION("""COMPUTED_VALUE"""),31.43)</f>
        <v>31.43</v>
      </c>
      <c r="C2624" s="112">
        <f ca="1">IFERROR(__xludf.DUMMYFUNCTION("""COMPUTED_VALUE"""),44145.7055555555)</f>
        <v>44145.705555555498</v>
      </c>
      <c r="D2624" s="111">
        <f ca="1">IFERROR(__xludf.DUMMYFUNCTION("""COMPUTED_VALUE"""),28.88)</f>
        <v>28.88</v>
      </c>
      <c r="E2624" s="112">
        <f ca="1">IFERROR(__xludf.DUMMYFUNCTION("""COMPUTED_VALUE"""),44146.7055555555)</f>
        <v>44146.705555555498</v>
      </c>
      <c r="F2624" s="111">
        <f ca="1">IFERROR(__xludf.DUMMYFUNCTION("""COMPUTED_VALUE"""),10.1)</f>
        <v>10.1</v>
      </c>
      <c r="G2624" s="112">
        <f ca="1">IFERROR(__xludf.DUMMYFUNCTION("""COMPUTED_VALUE"""),44144.7055555555)</f>
        <v>44144.705555555498</v>
      </c>
      <c r="H2624" s="111">
        <f ca="1">IFERROR(__xludf.DUMMYFUNCTION("""COMPUTED_VALUE"""),21.61)</f>
        <v>21.61</v>
      </c>
      <c r="K2624" s="112">
        <f ca="1">IFERROR(__xludf.DUMMYFUNCTION("""COMPUTED_VALUE"""),44592.7055555555)</f>
        <v>44592.705555555498</v>
      </c>
      <c r="L2624" s="111">
        <f ca="1">IFERROR(__xludf.DUMMYFUNCTION("""COMPUTED_VALUE"""),7)</f>
        <v>7</v>
      </c>
      <c r="M2624" s="112">
        <f ca="1">IFERROR(__xludf.DUMMYFUNCTION("""COMPUTED_VALUE"""),44050.7055555555)</f>
        <v>44050.705555555498</v>
      </c>
      <c r="N2624" s="111">
        <f ca="1">IFERROR(__xludf.DUMMYFUNCTION("""COMPUTED_VALUE"""),19.85)</f>
        <v>19.850000000000001</v>
      </c>
      <c r="O2624" s="112">
        <f ca="1">IFERROR(__xludf.DUMMYFUNCTION("""COMPUTED_VALUE"""),44126.7055555555)</f>
        <v>44126.705555555498</v>
      </c>
      <c r="P2624" s="111">
        <f ca="1">IFERROR(__xludf.DUMMYFUNCTION("""COMPUTED_VALUE"""),63.1)</f>
        <v>63.1</v>
      </c>
      <c r="Q2624" s="112">
        <f ca="1">IFERROR(__xludf.DUMMYFUNCTION("""COMPUTED_VALUE"""),44125.7055555555)</f>
        <v>44125.705555555498</v>
      </c>
      <c r="R2624" s="111">
        <f ca="1">IFERROR(__xludf.DUMMYFUNCTION("""COMPUTED_VALUE"""),32.25)</f>
        <v>32.25</v>
      </c>
      <c r="S2624" s="112">
        <f ca="1">IFERROR(__xludf.DUMMYFUNCTION("""COMPUTED_VALUE"""),44140.7055555555)</f>
        <v>44140.705555555498</v>
      </c>
      <c r="T2624" s="111">
        <f ca="1">IFERROR(__xludf.DUMMYFUNCTION("""COMPUTED_VALUE"""),38.68)</f>
        <v>38.68</v>
      </c>
    </row>
    <row r="2625" spans="1:20" x14ac:dyDescent="0.3">
      <c r="A2625" s="112">
        <f ca="1">IFERROR(__xludf.DUMMYFUNCTION("""COMPUTED_VALUE"""),44134.7055555555)</f>
        <v>44134.705555555498</v>
      </c>
      <c r="B2625" s="111">
        <f ca="1">IFERROR(__xludf.DUMMYFUNCTION("""COMPUTED_VALUE"""),30.73)</f>
        <v>30.73</v>
      </c>
      <c r="C2625" s="112">
        <f ca="1">IFERROR(__xludf.DUMMYFUNCTION("""COMPUTED_VALUE"""),44146.7055555555)</f>
        <v>44146.705555555498</v>
      </c>
      <c r="D2625" s="111">
        <f ca="1">IFERROR(__xludf.DUMMYFUNCTION("""COMPUTED_VALUE"""),28.64)</f>
        <v>28.64</v>
      </c>
      <c r="E2625" s="112">
        <f ca="1">IFERROR(__xludf.DUMMYFUNCTION("""COMPUTED_VALUE"""),44147.7055555555)</f>
        <v>44147.705555555498</v>
      </c>
      <c r="F2625" s="111">
        <f ca="1">IFERROR(__xludf.DUMMYFUNCTION("""COMPUTED_VALUE"""),9.97)</f>
        <v>9.9700000000000006</v>
      </c>
      <c r="G2625" s="112">
        <f ca="1">IFERROR(__xludf.DUMMYFUNCTION("""COMPUTED_VALUE"""),44145.7055555555)</f>
        <v>44145.705555555498</v>
      </c>
      <c r="H2625" s="111">
        <f ca="1">IFERROR(__xludf.DUMMYFUNCTION("""COMPUTED_VALUE"""),23.08)</f>
        <v>23.08</v>
      </c>
      <c r="K2625" s="112">
        <f ca="1">IFERROR(__xludf.DUMMYFUNCTION("""COMPUTED_VALUE"""),44593.7055555555)</f>
        <v>44593.705555555498</v>
      </c>
      <c r="L2625" s="111">
        <f ca="1">IFERROR(__xludf.DUMMYFUNCTION("""COMPUTED_VALUE"""),7.01)</f>
        <v>7.01</v>
      </c>
      <c r="M2625" s="112">
        <f ca="1">IFERROR(__xludf.DUMMYFUNCTION("""COMPUTED_VALUE"""),44053.7055555555)</f>
        <v>44053.705555555498</v>
      </c>
      <c r="N2625" s="111">
        <f ca="1">IFERROR(__xludf.DUMMYFUNCTION("""COMPUTED_VALUE"""),20.03)</f>
        <v>20.03</v>
      </c>
      <c r="O2625" s="112">
        <f ca="1">IFERROR(__xludf.DUMMYFUNCTION("""COMPUTED_VALUE"""),44127.7055555555)</f>
        <v>44127.705555555498</v>
      </c>
      <c r="P2625" s="111">
        <f ca="1">IFERROR(__xludf.DUMMYFUNCTION("""COMPUTED_VALUE"""),63.45)</f>
        <v>63.45</v>
      </c>
      <c r="Q2625" s="112">
        <f ca="1">IFERROR(__xludf.DUMMYFUNCTION("""COMPUTED_VALUE"""),44126.7055555555)</f>
        <v>44126.705555555498</v>
      </c>
      <c r="R2625" s="111">
        <f ca="1">IFERROR(__xludf.DUMMYFUNCTION("""COMPUTED_VALUE"""),33.65)</f>
        <v>33.65</v>
      </c>
      <c r="S2625" s="112">
        <f ca="1">IFERROR(__xludf.DUMMYFUNCTION("""COMPUTED_VALUE"""),44141.7055555555)</f>
        <v>44141.705555555498</v>
      </c>
      <c r="T2625" s="111">
        <f ca="1">IFERROR(__xludf.DUMMYFUNCTION("""COMPUTED_VALUE"""),38.09)</f>
        <v>38.090000000000003</v>
      </c>
    </row>
    <row r="2626" spans="1:20" x14ac:dyDescent="0.3">
      <c r="A2626" s="112">
        <f ca="1">IFERROR(__xludf.DUMMYFUNCTION("""COMPUTED_VALUE"""),44138.7055555555)</f>
        <v>44138.705555555498</v>
      </c>
      <c r="B2626" s="111">
        <f ca="1">IFERROR(__xludf.DUMMYFUNCTION("""COMPUTED_VALUE"""),31.41)</f>
        <v>31.41</v>
      </c>
      <c r="C2626" s="112">
        <f ca="1">IFERROR(__xludf.DUMMYFUNCTION("""COMPUTED_VALUE"""),44147.7055555555)</f>
        <v>44147.705555555498</v>
      </c>
      <c r="D2626" s="111">
        <f ca="1">IFERROR(__xludf.DUMMYFUNCTION("""COMPUTED_VALUE"""),27.94)</f>
        <v>27.94</v>
      </c>
      <c r="E2626" s="112">
        <f ca="1">IFERROR(__xludf.DUMMYFUNCTION("""COMPUTED_VALUE"""),44148.7055555555)</f>
        <v>44148.705555555498</v>
      </c>
      <c r="F2626" s="111">
        <f ca="1">IFERROR(__xludf.DUMMYFUNCTION("""COMPUTED_VALUE"""),10.14)</f>
        <v>10.14</v>
      </c>
      <c r="G2626" s="112">
        <f ca="1">IFERROR(__xludf.DUMMYFUNCTION("""COMPUTED_VALUE"""),44146.7055555555)</f>
        <v>44146.705555555498</v>
      </c>
      <c r="H2626" s="111">
        <f ca="1">IFERROR(__xludf.DUMMYFUNCTION("""COMPUTED_VALUE"""),22.88)</f>
        <v>22.88</v>
      </c>
      <c r="K2626" s="112">
        <f ca="1">IFERROR(__xludf.DUMMYFUNCTION("""COMPUTED_VALUE"""),44594.7055555555)</f>
        <v>44594.705555555498</v>
      </c>
      <c r="L2626" s="111">
        <f ca="1">IFERROR(__xludf.DUMMYFUNCTION("""COMPUTED_VALUE"""),6.51)</f>
        <v>6.51</v>
      </c>
      <c r="M2626" s="112">
        <f ca="1">IFERROR(__xludf.DUMMYFUNCTION("""COMPUTED_VALUE"""),44054.7055555555)</f>
        <v>44054.705555555498</v>
      </c>
      <c r="N2626" s="111">
        <f ca="1">IFERROR(__xludf.DUMMYFUNCTION("""COMPUTED_VALUE"""),19.86)</f>
        <v>19.86</v>
      </c>
      <c r="O2626" s="112">
        <f ca="1">IFERROR(__xludf.DUMMYFUNCTION("""COMPUTED_VALUE"""),44130.7055555555)</f>
        <v>44130.705555555498</v>
      </c>
      <c r="P2626" s="111">
        <f ca="1">IFERROR(__xludf.DUMMYFUNCTION("""COMPUTED_VALUE"""),62.5)</f>
        <v>62.5</v>
      </c>
      <c r="Q2626" s="112">
        <f ca="1">IFERROR(__xludf.DUMMYFUNCTION("""COMPUTED_VALUE"""),44127.7055555555)</f>
        <v>44127.705555555498</v>
      </c>
      <c r="R2626" s="111">
        <f ca="1">IFERROR(__xludf.DUMMYFUNCTION("""COMPUTED_VALUE"""),33.53)</f>
        <v>33.53</v>
      </c>
      <c r="S2626" s="112">
        <f ca="1">IFERROR(__xludf.DUMMYFUNCTION("""COMPUTED_VALUE"""),44144.7055555555)</f>
        <v>44144.705555555498</v>
      </c>
      <c r="T2626" s="111">
        <f ca="1">IFERROR(__xludf.DUMMYFUNCTION("""COMPUTED_VALUE"""),43.62)</f>
        <v>43.62</v>
      </c>
    </row>
    <row r="2627" spans="1:20" x14ac:dyDescent="0.3">
      <c r="A2627" s="112">
        <f ca="1">IFERROR(__xludf.DUMMYFUNCTION("""COMPUTED_VALUE"""),44139.7055555555)</f>
        <v>44139.705555555498</v>
      </c>
      <c r="B2627" s="111">
        <f ca="1">IFERROR(__xludf.DUMMYFUNCTION("""COMPUTED_VALUE"""),32.19)</f>
        <v>32.19</v>
      </c>
      <c r="C2627" s="112">
        <f ca="1">IFERROR(__xludf.DUMMYFUNCTION("""COMPUTED_VALUE"""),44148.7055555555)</f>
        <v>44148.705555555498</v>
      </c>
      <c r="D2627" s="111">
        <f ca="1">IFERROR(__xludf.DUMMYFUNCTION("""COMPUTED_VALUE"""),28.47)</f>
        <v>28.47</v>
      </c>
      <c r="E2627" s="112">
        <f ca="1">IFERROR(__xludf.DUMMYFUNCTION("""COMPUTED_VALUE"""),44151.7055555555)</f>
        <v>44151.705555555498</v>
      </c>
      <c r="F2627" s="111">
        <f ca="1">IFERROR(__xludf.DUMMYFUNCTION("""COMPUTED_VALUE"""),10.36)</f>
        <v>10.36</v>
      </c>
      <c r="G2627" s="112">
        <f ca="1">IFERROR(__xludf.DUMMYFUNCTION("""COMPUTED_VALUE"""),44147.7055555555)</f>
        <v>44147.705555555498</v>
      </c>
      <c r="H2627" s="111">
        <f ca="1">IFERROR(__xludf.DUMMYFUNCTION("""COMPUTED_VALUE"""),21.91)</f>
        <v>21.91</v>
      </c>
      <c r="K2627" s="112">
        <f ca="1">IFERROR(__xludf.DUMMYFUNCTION("""COMPUTED_VALUE"""),44595.7055555555)</f>
        <v>44595.705555555498</v>
      </c>
      <c r="L2627" s="111">
        <f ca="1">IFERROR(__xludf.DUMMYFUNCTION("""COMPUTED_VALUE"""),6.53)</f>
        <v>6.53</v>
      </c>
      <c r="M2627" s="112">
        <f ca="1">IFERROR(__xludf.DUMMYFUNCTION("""COMPUTED_VALUE"""),44055.7055555555)</f>
        <v>44055.705555555498</v>
      </c>
      <c r="N2627" s="111">
        <f ca="1">IFERROR(__xludf.DUMMYFUNCTION("""COMPUTED_VALUE"""),19.68)</f>
        <v>19.68</v>
      </c>
      <c r="O2627" s="112">
        <f ca="1">IFERROR(__xludf.DUMMYFUNCTION("""COMPUTED_VALUE"""),44131.7055555555)</f>
        <v>44131.705555555498</v>
      </c>
      <c r="P2627" s="111">
        <f ca="1">IFERROR(__xludf.DUMMYFUNCTION("""COMPUTED_VALUE"""),62.53)</f>
        <v>62.53</v>
      </c>
      <c r="Q2627" s="112">
        <f ca="1">IFERROR(__xludf.DUMMYFUNCTION("""COMPUTED_VALUE"""),44130.7055555555)</f>
        <v>44130.705555555498</v>
      </c>
      <c r="R2627" s="111">
        <f ca="1">IFERROR(__xludf.DUMMYFUNCTION("""COMPUTED_VALUE"""),33.5)</f>
        <v>33.5</v>
      </c>
      <c r="S2627" s="112">
        <f ca="1">IFERROR(__xludf.DUMMYFUNCTION("""COMPUTED_VALUE"""),44145.7055555555)</f>
        <v>44145.705555555498</v>
      </c>
      <c r="T2627" s="111">
        <f ca="1">IFERROR(__xludf.DUMMYFUNCTION("""COMPUTED_VALUE"""),44.11)</f>
        <v>44.11</v>
      </c>
    </row>
    <row r="2628" spans="1:20" x14ac:dyDescent="0.3">
      <c r="A2628" s="112">
        <f ca="1">IFERROR(__xludf.DUMMYFUNCTION("""COMPUTED_VALUE"""),44140.7055555555)</f>
        <v>44140.705555555498</v>
      </c>
      <c r="B2628" s="111">
        <f ca="1">IFERROR(__xludf.DUMMYFUNCTION("""COMPUTED_VALUE"""),33.42)</f>
        <v>33.42</v>
      </c>
      <c r="C2628" s="112">
        <f ca="1">IFERROR(__xludf.DUMMYFUNCTION("""COMPUTED_VALUE"""),44151.7055555555)</f>
        <v>44151.705555555498</v>
      </c>
      <c r="D2628" s="111">
        <f ca="1">IFERROR(__xludf.DUMMYFUNCTION("""COMPUTED_VALUE"""),29.47)</f>
        <v>29.47</v>
      </c>
      <c r="E2628" s="112">
        <f ca="1">IFERROR(__xludf.DUMMYFUNCTION("""COMPUTED_VALUE"""),44152.7055555555)</f>
        <v>44152.705555555498</v>
      </c>
      <c r="F2628" s="111">
        <f ca="1">IFERROR(__xludf.DUMMYFUNCTION("""COMPUTED_VALUE"""),10.39)</f>
        <v>10.39</v>
      </c>
      <c r="G2628" s="112">
        <f ca="1">IFERROR(__xludf.DUMMYFUNCTION("""COMPUTED_VALUE"""),44148.7055555555)</f>
        <v>44148.705555555498</v>
      </c>
      <c r="H2628" s="111">
        <f ca="1">IFERROR(__xludf.DUMMYFUNCTION("""COMPUTED_VALUE"""),22.63)</f>
        <v>22.63</v>
      </c>
      <c r="K2628" s="112">
        <f ca="1">IFERROR(__xludf.DUMMYFUNCTION("""COMPUTED_VALUE"""),44596.7055555555)</f>
        <v>44596.705555555498</v>
      </c>
      <c r="L2628" s="111">
        <f ca="1">IFERROR(__xludf.DUMMYFUNCTION("""COMPUTED_VALUE"""),6.33)</f>
        <v>6.33</v>
      </c>
      <c r="M2628" s="112">
        <f ca="1">IFERROR(__xludf.DUMMYFUNCTION("""COMPUTED_VALUE"""),44056.7055555555)</f>
        <v>44056.705555555498</v>
      </c>
      <c r="N2628" s="111">
        <f ca="1">IFERROR(__xludf.DUMMYFUNCTION("""COMPUTED_VALUE"""),19.27)</f>
        <v>19.27</v>
      </c>
      <c r="O2628" s="112">
        <f ca="1">IFERROR(__xludf.DUMMYFUNCTION("""COMPUTED_VALUE"""),44132.7055555555)</f>
        <v>44132.705555555498</v>
      </c>
      <c r="P2628" s="111">
        <f ca="1">IFERROR(__xludf.DUMMYFUNCTION("""COMPUTED_VALUE"""),60.26)</f>
        <v>60.26</v>
      </c>
      <c r="Q2628" s="112">
        <f ca="1">IFERROR(__xludf.DUMMYFUNCTION("""COMPUTED_VALUE"""),44131.7055555555)</f>
        <v>44131.705555555498</v>
      </c>
      <c r="R2628" s="111">
        <f ca="1">IFERROR(__xludf.DUMMYFUNCTION("""COMPUTED_VALUE"""),32.78)</f>
        <v>32.78</v>
      </c>
      <c r="S2628" s="112">
        <f ca="1">IFERROR(__xludf.DUMMYFUNCTION("""COMPUTED_VALUE"""),44146.7055555555)</f>
        <v>44146.705555555498</v>
      </c>
      <c r="T2628" s="111">
        <f ca="1">IFERROR(__xludf.DUMMYFUNCTION("""COMPUTED_VALUE"""),42.62)</f>
        <v>42.62</v>
      </c>
    </row>
    <row r="2629" spans="1:20" x14ac:dyDescent="0.3">
      <c r="A2629" s="112">
        <f ca="1">IFERROR(__xludf.DUMMYFUNCTION("""COMPUTED_VALUE"""),44141.7055555555)</f>
        <v>44141.705555555498</v>
      </c>
      <c r="B2629" s="111">
        <f ca="1">IFERROR(__xludf.DUMMYFUNCTION("""COMPUTED_VALUE"""),33.35)</f>
        <v>33.35</v>
      </c>
      <c r="C2629" s="112">
        <f ca="1">IFERROR(__xludf.DUMMYFUNCTION("""COMPUTED_VALUE"""),44152.7055555555)</f>
        <v>44152.705555555498</v>
      </c>
      <c r="D2629" s="111">
        <f ca="1">IFERROR(__xludf.DUMMYFUNCTION("""COMPUTED_VALUE"""),29.49)</f>
        <v>29.49</v>
      </c>
      <c r="E2629" s="112">
        <f ca="1">IFERROR(__xludf.DUMMYFUNCTION("""COMPUTED_VALUE"""),44153.7055555555)</f>
        <v>44153.705555555498</v>
      </c>
      <c r="F2629" s="111">
        <f ca="1">IFERROR(__xludf.DUMMYFUNCTION("""COMPUTED_VALUE"""),10.19)</f>
        <v>10.19</v>
      </c>
      <c r="G2629" s="112">
        <f ca="1">IFERROR(__xludf.DUMMYFUNCTION("""COMPUTED_VALUE"""),44151.7055555555)</f>
        <v>44151.705555555498</v>
      </c>
      <c r="H2629" s="111">
        <f ca="1">IFERROR(__xludf.DUMMYFUNCTION("""COMPUTED_VALUE"""),23.29)</f>
        <v>23.29</v>
      </c>
      <c r="K2629" s="112">
        <f ca="1">IFERROR(__xludf.DUMMYFUNCTION("""COMPUTED_VALUE"""),44599.7055555555)</f>
        <v>44599.705555555498</v>
      </c>
      <c r="L2629" s="111">
        <f ca="1">IFERROR(__xludf.DUMMYFUNCTION("""COMPUTED_VALUE"""),6.31)</f>
        <v>6.31</v>
      </c>
      <c r="M2629" s="112">
        <f ca="1">IFERROR(__xludf.DUMMYFUNCTION("""COMPUTED_VALUE"""),44057.7055555555)</f>
        <v>44057.705555555498</v>
      </c>
      <c r="N2629" s="111">
        <f ca="1">IFERROR(__xludf.DUMMYFUNCTION("""COMPUTED_VALUE"""),19.3)</f>
        <v>19.3</v>
      </c>
      <c r="O2629" s="112">
        <f ca="1">IFERROR(__xludf.DUMMYFUNCTION("""COMPUTED_VALUE"""),44133.7055555555)</f>
        <v>44133.705555555498</v>
      </c>
      <c r="P2629" s="111">
        <f ca="1">IFERROR(__xludf.DUMMYFUNCTION("""COMPUTED_VALUE"""),62.02)</f>
        <v>62.02</v>
      </c>
      <c r="Q2629" s="112">
        <f ca="1">IFERROR(__xludf.DUMMYFUNCTION("""COMPUTED_VALUE"""),44132.7055555555)</f>
        <v>44132.705555555498</v>
      </c>
      <c r="R2629" s="111">
        <f ca="1">IFERROR(__xludf.DUMMYFUNCTION("""COMPUTED_VALUE"""),31.14)</f>
        <v>31.14</v>
      </c>
      <c r="S2629" s="112">
        <f ca="1">IFERROR(__xludf.DUMMYFUNCTION("""COMPUTED_VALUE"""),44147.7055555555)</f>
        <v>44147.705555555498</v>
      </c>
      <c r="T2629" s="111">
        <f ca="1">IFERROR(__xludf.DUMMYFUNCTION("""COMPUTED_VALUE"""),41.25)</f>
        <v>41.25</v>
      </c>
    </row>
    <row r="2630" spans="1:20" x14ac:dyDescent="0.3">
      <c r="A2630" s="112">
        <f ca="1">IFERROR(__xludf.DUMMYFUNCTION("""COMPUTED_VALUE"""),44144.7055555555)</f>
        <v>44144.705555555498</v>
      </c>
      <c r="B2630" s="111">
        <f ca="1">IFERROR(__xludf.DUMMYFUNCTION("""COMPUTED_VALUE"""),33.47)</f>
        <v>33.47</v>
      </c>
      <c r="C2630" s="112">
        <f ca="1">IFERROR(__xludf.DUMMYFUNCTION("""COMPUTED_VALUE"""),44153.7055555555)</f>
        <v>44153.705555555498</v>
      </c>
      <c r="D2630" s="111">
        <f ca="1">IFERROR(__xludf.DUMMYFUNCTION("""COMPUTED_VALUE"""),28.77)</f>
        <v>28.77</v>
      </c>
      <c r="E2630" s="112">
        <f ca="1">IFERROR(__xludf.DUMMYFUNCTION("""COMPUTED_VALUE"""),44154.7055555555)</f>
        <v>44154.705555555498</v>
      </c>
      <c r="F2630" s="111">
        <f ca="1">IFERROR(__xludf.DUMMYFUNCTION("""COMPUTED_VALUE"""),10.21)</f>
        <v>10.210000000000001</v>
      </c>
      <c r="G2630" s="112">
        <f ca="1">IFERROR(__xludf.DUMMYFUNCTION("""COMPUTED_VALUE"""),44152.7055555555)</f>
        <v>44152.705555555498</v>
      </c>
      <c r="H2630" s="111">
        <f ca="1">IFERROR(__xludf.DUMMYFUNCTION("""COMPUTED_VALUE"""),23.69)</f>
        <v>23.69</v>
      </c>
      <c r="K2630" s="112">
        <f ca="1">IFERROR(__xludf.DUMMYFUNCTION("""COMPUTED_VALUE"""),44600.7055555555)</f>
        <v>44600.705555555498</v>
      </c>
      <c r="L2630" s="111">
        <f ca="1">IFERROR(__xludf.DUMMYFUNCTION("""COMPUTED_VALUE"""),6.54)</f>
        <v>6.54</v>
      </c>
      <c r="M2630" s="112">
        <f ca="1">IFERROR(__xludf.DUMMYFUNCTION("""COMPUTED_VALUE"""),44060.7055555555)</f>
        <v>44060.705555555498</v>
      </c>
      <c r="N2630" s="111">
        <f ca="1">IFERROR(__xludf.DUMMYFUNCTION("""COMPUTED_VALUE"""),18.74)</f>
        <v>18.739999999999998</v>
      </c>
      <c r="O2630" s="112">
        <f ca="1">IFERROR(__xludf.DUMMYFUNCTION("""COMPUTED_VALUE"""),44134.7055555555)</f>
        <v>44134.705555555498</v>
      </c>
      <c r="P2630" s="111">
        <f ca="1">IFERROR(__xludf.DUMMYFUNCTION("""COMPUTED_VALUE"""),60.55)</f>
        <v>60.55</v>
      </c>
      <c r="Q2630" s="112">
        <f ca="1">IFERROR(__xludf.DUMMYFUNCTION("""COMPUTED_VALUE"""),44133.7055555555)</f>
        <v>44133.705555555498</v>
      </c>
      <c r="R2630" s="111">
        <f ca="1">IFERROR(__xludf.DUMMYFUNCTION("""COMPUTED_VALUE"""),30.96)</f>
        <v>30.96</v>
      </c>
      <c r="S2630" s="112">
        <f ca="1">IFERROR(__xludf.DUMMYFUNCTION("""COMPUTED_VALUE"""),44148.7055555555)</f>
        <v>44148.705555555498</v>
      </c>
      <c r="T2630" s="111">
        <f ca="1">IFERROR(__xludf.DUMMYFUNCTION("""COMPUTED_VALUE"""),41.52)</f>
        <v>41.52</v>
      </c>
    </row>
    <row r="2631" spans="1:20" x14ac:dyDescent="0.3">
      <c r="A2631" s="112">
        <f ca="1">IFERROR(__xludf.DUMMYFUNCTION("""COMPUTED_VALUE"""),44145.7055555555)</f>
        <v>44145.705555555498</v>
      </c>
      <c r="B2631" s="111">
        <f ca="1">IFERROR(__xludf.DUMMYFUNCTION("""COMPUTED_VALUE"""),34.36)</f>
        <v>34.36</v>
      </c>
      <c r="C2631" s="112">
        <f ca="1">IFERROR(__xludf.DUMMYFUNCTION("""COMPUTED_VALUE"""),44154.7055555555)</f>
        <v>44154.705555555498</v>
      </c>
      <c r="D2631" s="111">
        <f ca="1">IFERROR(__xludf.DUMMYFUNCTION("""COMPUTED_VALUE"""),28.81)</f>
        <v>28.81</v>
      </c>
      <c r="E2631" s="112">
        <f ca="1">IFERROR(__xludf.DUMMYFUNCTION("""COMPUTED_VALUE"""),44155.7055555555)</f>
        <v>44155.705555555498</v>
      </c>
      <c r="F2631" s="111">
        <f ca="1">IFERROR(__xludf.DUMMYFUNCTION("""COMPUTED_VALUE"""),10.12)</f>
        <v>10.119999999999999</v>
      </c>
      <c r="G2631" s="112">
        <f ca="1">IFERROR(__xludf.DUMMYFUNCTION("""COMPUTED_VALUE"""),44153.7055555555)</f>
        <v>44153.705555555498</v>
      </c>
      <c r="H2631" s="111">
        <f ca="1">IFERROR(__xludf.DUMMYFUNCTION("""COMPUTED_VALUE"""),23.55)</f>
        <v>23.55</v>
      </c>
      <c r="K2631" s="112">
        <f ca="1">IFERROR(__xludf.DUMMYFUNCTION("""COMPUTED_VALUE"""),44601.7055555555)</f>
        <v>44601.705555555498</v>
      </c>
      <c r="L2631" s="111">
        <f ca="1">IFERROR(__xludf.DUMMYFUNCTION("""COMPUTED_VALUE"""),6.6)</f>
        <v>6.6</v>
      </c>
      <c r="M2631" s="112">
        <f ca="1">IFERROR(__xludf.DUMMYFUNCTION("""COMPUTED_VALUE"""),44061.7055555555)</f>
        <v>44061.705555555498</v>
      </c>
      <c r="N2631" s="111">
        <f ca="1">IFERROR(__xludf.DUMMYFUNCTION("""COMPUTED_VALUE"""),18.94)</f>
        <v>18.940000000000001</v>
      </c>
      <c r="O2631" s="112">
        <f ca="1">IFERROR(__xludf.DUMMYFUNCTION("""COMPUTED_VALUE"""),44138.7055555555)</f>
        <v>44138.705555555498</v>
      </c>
      <c r="P2631" s="111">
        <f ca="1">IFERROR(__xludf.DUMMYFUNCTION("""COMPUTED_VALUE"""),63.34)</f>
        <v>63.34</v>
      </c>
      <c r="Q2631" s="112">
        <f ca="1">IFERROR(__xludf.DUMMYFUNCTION("""COMPUTED_VALUE"""),44134.7055555555)</f>
        <v>44134.705555555498</v>
      </c>
      <c r="R2631" s="111">
        <f ca="1">IFERROR(__xludf.DUMMYFUNCTION("""COMPUTED_VALUE"""),29.8)</f>
        <v>29.8</v>
      </c>
      <c r="S2631" s="112">
        <f ca="1">IFERROR(__xludf.DUMMYFUNCTION("""COMPUTED_VALUE"""),44151.7055555555)</f>
        <v>44151.705555555498</v>
      </c>
      <c r="T2631" s="111">
        <f ca="1">IFERROR(__xludf.DUMMYFUNCTION("""COMPUTED_VALUE"""),43.18)</f>
        <v>43.18</v>
      </c>
    </row>
    <row r="2632" spans="1:20" x14ac:dyDescent="0.3">
      <c r="A2632" s="112">
        <f ca="1">IFERROR(__xludf.DUMMYFUNCTION("""COMPUTED_VALUE"""),44146.7055555555)</f>
        <v>44146.705555555498</v>
      </c>
      <c r="B2632" s="111">
        <f ca="1">IFERROR(__xludf.DUMMYFUNCTION("""COMPUTED_VALUE"""),33.97)</f>
        <v>33.97</v>
      </c>
      <c r="C2632" s="112">
        <f ca="1">IFERROR(__xludf.DUMMYFUNCTION("""COMPUTED_VALUE"""),44155.7055555555)</f>
        <v>44155.705555555498</v>
      </c>
      <c r="D2632" s="111">
        <f ca="1">IFERROR(__xludf.DUMMYFUNCTION("""COMPUTED_VALUE"""),28.55)</f>
        <v>28.55</v>
      </c>
      <c r="E2632" s="112">
        <f ca="1">IFERROR(__xludf.DUMMYFUNCTION("""COMPUTED_VALUE"""),44158.7055555555)</f>
        <v>44158.705555555498</v>
      </c>
      <c r="F2632" s="111">
        <f ca="1">IFERROR(__xludf.DUMMYFUNCTION("""COMPUTED_VALUE"""),10.2)</f>
        <v>10.199999999999999</v>
      </c>
      <c r="G2632" s="112">
        <f ca="1">IFERROR(__xludf.DUMMYFUNCTION("""COMPUTED_VALUE"""),44154.7055555555)</f>
        <v>44154.705555555498</v>
      </c>
      <c r="H2632" s="111">
        <f ca="1">IFERROR(__xludf.DUMMYFUNCTION("""COMPUTED_VALUE"""),23.82)</f>
        <v>23.82</v>
      </c>
      <c r="K2632" s="112">
        <f ca="1">IFERROR(__xludf.DUMMYFUNCTION("""COMPUTED_VALUE"""),44602.7055555555)</f>
        <v>44602.705555555498</v>
      </c>
      <c r="L2632" s="111">
        <f ca="1">IFERROR(__xludf.DUMMYFUNCTION("""COMPUTED_VALUE"""),6.94)</f>
        <v>6.94</v>
      </c>
      <c r="M2632" s="112">
        <f ca="1">IFERROR(__xludf.DUMMYFUNCTION("""COMPUTED_VALUE"""),44062.7055555555)</f>
        <v>44062.705555555498</v>
      </c>
      <c r="N2632" s="111">
        <f ca="1">IFERROR(__xludf.DUMMYFUNCTION("""COMPUTED_VALUE"""),18.86)</f>
        <v>18.86</v>
      </c>
      <c r="O2632" s="112">
        <f ca="1">IFERROR(__xludf.DUMMYFUNCTION("""COMPUTED_VALUE"""),44139.7055555555)</f>
        <v>44139.705555555498</v>
      </c>
      <c r="P2632" s="111">
        <f ca="1">IFERROR(__xludf.DUMMYFUNCTION("""COMPUTED_VALUE"""),61.58)</f>
        <v>61.58</v>
      </c>
      <c r="Q2632" s="112">
        <f ca="1">IFERROR(__xludf.DUMMYFUNCTION("""COMPUTED_VALUE"""),44138.7055555555)</f>
        <v>44138.705555555498</v>
      </c>
      <c r="R2632" s="111">
        <f ca="1">IFERROR(__xludf.DUMMYFUNCTION("""COMPUTED_VALUE"""),30.1)</f>
        <v>30.1</v>
      </c>
      <c r="S2632" s="112">
        <f ca="1">IFERROR(__xludf.DUMMYFUNCTION("""COMPUTED_VALUE"""),44152.7055555555)</f>
        <v>44152.705555555498</v>
      </c>
      <c r="T2632" s="111">
        <f ca="1">IFERROR(__xludf.DUMMYFUNCTION("""COMPUTED_VALUE"""),44.41)</f>
        <v>44.41</v>
      </c>
    </row>
    <row r="2633" spans="1:20" x14ac:dyDescent="0.3">
      <c r="A2633" s="112">
        <f ca="1">IFERROR(__xludf.DUMMYFUNCTION("""COMPUTED_VALUE"""),44147.7055555555)</f>
        <v>44147.705555555498</v>
      </c>
      <c r="B2633" s="111">
        <f ca="1">IFERROR(__xludf.DUMMYFUNCTION("""COMPUTED_VALUE"""),32.21)</f>
        <v>32.21</v>
      </c>
      <c r="C2633" s="112">
        <f ca="1">IFERROR(__xludf.DUMMYFUNCTION("""COMPUTED_VALUE"""),44158.7055555555)</f>
        <v>44158.705555555498</v>
      </c>
      <c r="D2633" s="111">
        <f ca="1">IFERROR(__xludf.DUMMYFUNCTION("""COMPUTED_VALUE"""),28.9)</f>
        <v>28.9</v>
      </c>
      <c r="E2633" s="112">
        <f ca="1">IFERROR(__xludf.DUMMYFUNCTION("""COMPUTED_VALUE"""),44159.7055555555)</f>
        <v>44159.705555555498</v>
      </c>
      <c r="F2633" s="111">
        <f ca="1">IFERROR(__xludf.DUMMYFUNCTION("""COMPUTED_VALUE"""),10.42)</f>
        <v>10.42</v>
      </c>
      <c r="G2633" s="112">
        <f ca="1">IFERROR(__xludf.DUMMYFUNCTION("""COMPUTED_VALUE"""),44155.7055555555)</f>
        <v>44155.705555555498</v>
      </c>
      <c r="H2633" s="111">
        <f ca="1">IFERROR(__xludf.DUMMYFUNCTION("""COMPUTED_VALUE"""),23.65)</f>
        <v>23.65</v>
      </c>
      <c r="K2633" s="112">
        <f ca="1">IFERROR(__xludf.DUMMYFUNCTION("""COMPUTED_VALUE"""),44603.7055555555)</f>
        <v>44603.705555555498</v>
      </c>
      <c r="L2633" s="111">
        <f ca="1">IFERROR(__xludf.DUMMYFUNCTION("""COMPUTED_VALUE"""),6.35)</f>
        <v>6.35</v>
      </c>
      <c r="M2633" s="112">
        <f ca="1">IFERROR(__xludf.DUMMYFUNCTION("""COMPUTED_VALUE"""),44063.7055555555)</f>
        <v>44063.705555555498</v>
      </c>
      <c r="N2633" s="111">
        <f ca="1">IFERROR(__xludf.DUMMYFUNCTION("""COMPUTED_VALUE"""),18.82)</f>
        <v>18.82</v>
      </c>
      <c r="O2633" s="112">
        <f ca="1">IFERROR(__xludf.DUMMYFUNCTION("""COMPUTED_VALUE"""),44140.7055555555)</f>
        <v>44140.705555555498</v>
      </c>
      <c r="P2633" s="111">
        <f ca="1">IFERROR(__xludf.DUMMYFUNCTION("""COMPUTED_VALUE"""),62.55)</f>
        <v>62.55</v>
      </c>
      <c r="Q2633" s="112">
        <f ca="1">IFERROR(__xludf.DUMMYFUNCTION("""COMPUTED_VALUE"""),44139.7055555555)</f>
        <v>44139.705555555498</v>
      </c>
      <c r="R2633" s="111">
        <f ca="1">IFERROR(__xludf.DUMMYFUNCTION("""COMPUTED_VALUE"""),30.32)</f>
        <v>30.32</v>
      </c>
      <c r="S2633" s="112">
        <f ca="1">IFERROR(__xludf.DUMMYFUNCTION("""COMPUTED_VALUE"""),44153.7055555555)</f>
        <v>44153.705555555498</v>
      </c>
      <c r="T2633" s="111">
        <f ca="1">IFERROR(__xludf.DUMMYFUNCTION("""COMPUTED_VALUE"""),42.84)</f>
        <v>42.84</v>
      </c>
    </row>
    <row r="2634" spans="1:20" x14ac:dyDescent="0.3">
      <c r="A2634" s="112">
        <f ca="1">IFERROR(__xludf.DUMMYFUNCTION("""COMPUTED_VALUE"""),44148.7055555555)</f>
        <v>44148.705555555498</v>
      </c>
      <c r="B2634" s="111">
        <f ca="1">IFERROR(__xludf.DUMMYFUNCTION("""COMPUTED_VALUE"""),32.04)</f>
        <v>32.04</v>
      </c>
      <c r="C2634" s="112">
        <f ca="1">IFERROR(__xludf.DUMMYFUNCTION("""COMPUTED_VALUE"""),44159.7055555555)</f>
        <v>44159.705555555498</v>
      </c>
      <c r="D2634" s="111">
        <f ca="1">IFERROR(__xludf.DUMMYFUNCTION("""COMPUTED_VALUE"""),29.71)</f>
        <v>29.71</v>
      </c>
      <c r="E2634" s="112">
        <f ca="1">IFERROR(__xludf.DUMMYFUNCTION("""COMPUTED_VALUE"""),44160.7055555555)</f>
        <v>44160.705555555498</v>
      </c>
      <c r="F2634" s="111">
        <f ca="1">IFERROR(__xludf.DUMMYFUNCTION("""COMPUTED_VALUE"""),10.28)</f>
        <v>10.28</v>
      </c>
      <c r="G2634" s="112">
        <f ca="1">IFERROR(__xludf.DUMMYFUNCTION("""COMPUTED_VALUE"""),44158.7055555555)</f>
        <v>44158.705555555498</v>
      </c>
      <c r="H2634" s="111">
        <f ca="1">IFERROR(__xludf.DUMMYFUNCTION("""COMPUTED_VALUE"""),25.1)</f>
        <v>25.1</v>
      </c>
      <c r="K2634" s="112">
        <f ca="1">IFERROR(__xludf.DUMMYFUNCTION("""COMPUTED_VALUE"""),44606.7055555555)</f>
        <v>44606.705555555498</v>
      </c>
      <c r="L2634" s="111">
        <f ca="1">IFERROR(__xludf.DUMMYFUNCTION("""COMPUTED_VALUE"""),6.48)</f>
        <v>6.48</v>
      </c>
      <c r="M2634" s="112">
        <f ca="1">IFERROR(__xludf.DUMMYFUNCTION("""COMPUTED_VALUE"""),44064.7055555555)</f>
        <v>44064.705555555498</v>
      </c>
      <c r="N2634" s="111">
        <f ca="1">IFERROR(__xludf.DUMMYFUNCTION("""COMPUTED_VALUE"""),18.82)</f>
        <v>18.82</v>
      </c>
      <c r="O2634" s="112">
        <f ca="1">IFERROR(__xludf.DUMMYFUNCTION("""COMPUTED_VALUE"""),44141.7055555555)</f>
        <v>44141.705555555498</v>
      </c>
      <c r="P2634" s="111">
        <f ca="1">IFERROR(__xludf.DUMMYFUNCTION("""COMPUTED_VALUE"""),63.19)</f>
        <v>63.19</v>
      </c>
      <c r="Q2634" s="112">
        <f ca="1">IFERROR(__xludf.DUMMYFUNCTION("""COMPUTED_VALUE"""),44140.7055555555)</f>
        <v>44140.705555555498</v>
      </c>
      <c r="R2634" s="111">
        <f ca="1">IFERROR(__xludf.DUMMYFUNCTION("""COMPUTED_VALUE"""),30.69)</f>
        <v>30.69</v>
      </c>
      <c r="S2634" s="112">
        <f ca="1">IFERROR(__xludf.DUMMYFUNCTION("""COMPUTED_VALUE"""),44154.7055555555)</f>
        <v>44154.705555555498</v>
      </c>
      <c r="T2634" s="111">
        <f ca="1">IFERROR(__xludf.DUMMYFUNCTION("""COMPUTED_VALUE"""),42.67)</f>
        <v>42.67</v>
      </c>
    </row>
    <row r="2635" spans="1:20" x14ac:dyDescent="0.3">
      <c r="A2635" s="112">
        <f ca="1">IFERROR(__xludf.DUMMYFUNCTION("""COMPUTED_VALUE"""),44151.7055555555)</f>
        <v>44151.705555555498</v>
      </c>
      <c r="B2635" s="111">
        <f ca="1">IFERROR(__xludf.DUMMYFUNCTION("""COMPUTED_VALUE"""),32.1)</f>
        <v>32.1</v>
      </c>
      <c r="C2635" s="112">
        <f ca="1">IFERROR(__xludf.DUMMYFUNCTION("""COMPUTED_VALUE"""),44160.7055555555)</f>
        <v>44160.705555555498</v>
      </c>
      <c r="D2635" s="111">
        <f ca="1">IFERROR(__xludf.DUMMYFUNCTION("""COMPUTED_VALUE"""),29.36)</f>
        <v>29.36</v>
      </c>
      <c r="E2635" s="112">
        <f ca="1">IFERROR(__xludf.DUMMYFUNCTION("""COMPUTED_VALUE"""),44161.7055555555)</f>
        <v>44161.705555555498</v>
      </c>
      <c r="F2635" s="111">
        <f ca="1">IFERROR(__xludf.DUMMYFUNCTION("""COMPUTED_VALUE"""),10.2)</f>
        <v>10.199999999999999</v>
      </c>
      <c r="G2635" s="112">
        <f ca="1">IFERROR(__xludf.DUMMYFUNCTION("""COMPUTED_VALUE"""),44159.7055555555)</f>
        <v>44159.705555555498</v>
      </c>
      <c r="H2635" s="111">
        <f ca="1">IFERROR(__xludf.DUMMYFUNCTION("""COMPUTED_VALUE"""),26.22)</f>
        <v>26.22</v>
      </c>
      <c r="K2635" s="112">
        <f ca="1">IFERROR(__xludf.DUMMYFUNCTION("""COMPUTED_VALUE"""),44607.7055555555)</f>
        <v>44607.705555555498</v>
      </c>
      <c r="L2635" s="111">
        <f ca="1">IFERROR(__xludf.DUMMYFUNCTION("""COMPUTED_VALUE"""),6.84)</f>
        <v>6.84</v>
      </c>
      <c r="M2635" s="112">
        <f ca="1">IFERROR(__xludf.DUMMYFUNCTION("""COMPUTED_VALUE"""),44067.7055555555)</f>
        <v>44067.705555555498</v>
      </c>
      <c r="N2635" s="111">
        <f ca="1">IFERROR(__xludf.DUMMYFUNCTION("""COMPUTED_VALUE"""),19.25)</f>
        <v>19.25</v>
      </c>
      <c r="O2635" s="112">
        <f ca="1">IFERROR(__xludf.DUMMYFUNCTION("""COMPUTED_VALUE"""),44144.7055555555)</f>
        <v>44144.705555555498</v>
      </c>
      <c r="P2635" s="111">
        <f ca="1">IFERROR(__xludf.DUMMYFUNCTION("""COMPUTED_VALUE"""),63.19)</f>
        <v>63.19</v>
      </c>
      <c r="Q2635" s="112">
        <f ca="1">IFERROR(__xludf.DUMMYFUNCTION("""COMPUTED_VALUE"""),44141.7055555555)</f>
        <v>44141.705555555498</v>
      </c>
      <c r="R2635" s="111">
        <f ca="1">IFERROR(__xludf.DUMMYFUNCTION("""COMPUTED_VALUE"""),30.49)</f>
        <v>30.49</v>
      </c>
      <c r="S2635" s="112">
        <f ca="1">IFERROR(__xludf.DUMMYFUNCTION("""COMPUTED_VALUE"""),44155.7055555555)</f>
        <v>44155.705555555498</v>
      </c>
      <c r="T2635" s="111">
        <f ca="1">IFERROR(__xludf.DUMMYFUNCTION("""COMPUTED_VALUE"""),41.31)</f>
        <v>41.31</v>
      </c>
    </row>
    <row r="2636" spans="1:20" x14ac:dyDescent="0.3">
      <c r="A2636" s="112">
        <f ca="1">IFERROR(__xludf.DUMMYFUNCTION("""COMPUTED_VALUE"""),44152.7055555555)</f>
        <v>44152.705555555498</v>
      </c>
      <c r="B2636" s="111">
        <f ca="1">IFERROR(__xludf.DUMMYFUNCTION("""COMPUTED_VALUE"""),32.18)</f>
        <v>32.18</v>
      </c>
      <c r="C2636" s="112">
        <f ca="1">IFERROR(__xludf.DUMMYFUNCTION("""COMPUTED_VALUE"""),44161.7055555555)</f>
        <v>44161.705555555498</v>
      </c>
      <c r="D2636" s="111">
        <f ca="1">IFERROR(__xludf.DUMMYFUNCTION("""COMPUTED_VALUE"""),28.74)</f>
        <v>28.74</v>
      </c>
      <c r="E2636" s="112">
        <f ca="1">IFERROR(__xludf.DUMMYFUNCTION("""COMPUTED_VALUE"""),44162.7055555555)</f>
        <v>44162.705555555498</v>
      </c>
      <c r="F2636" s="111">
        <f ca="1">IFERROR(__xludf.DUMMYFUNCTION("""COMPUTED_VALUE"""),10.35)</f>
        <v>10.35</v>
      </c>
      <c r="G2636" s="112">
        <f ca="1">IFERROR(__xludf.DUMMYFUNCTION("""COMPUTED_VALUE"""),44160.7055555555)</f>
        <v>44160.705555555498</v>
      </c>
      <c r="H2636" s="111">
        <f ca="1">IFERROR(__xludf.DUMMYFUNCTION("""COMPUTED_VALUE"""),26.25)</f>
        <v>26.25</v>
      </c>
      <c r="K2636" s="112">
        <f ca="1">IFERROR(__xludf.DUMMYFUNCTION("""COMPUTED_VALUE"""),44608.7055555555)</f>
        <v>44608.705555555498</v>
      </c>
      <c r="L2636" s="111">
        <f ca="1">IFERROR(__xludf.DUMMYFUNCTION("""COMPUTED_VALUE"""),6.82)</f>
        <v>6.82</v>
      </c>
      <c r="M2636" s="112">
        <f ca="1">IFERROR(__xludf.DUMMYFUNCTION("""COMPUTED_VALUE"""),44068.7055555555)</f>
        <v>44068.705555555498</v>
      </c>
      <c r="N2636" s="111">
        <f ca="1">IFERROR(__xludf.DUMMYFUNCTION("""COMPUTED_VALUE"""),19.25)</f>
        <v>19.25</v>
      </c>
      <c r="O2636" s="112">
        <f ca="1">IFERROR(__xludf.DUMMYFUNCTION("""COMPUTED_VALUE"""),44145.7055555555)</f>
        <v>44145.705555555498</v>
      </c>
      <c r="P2636" s="111">
        <f ca="1">IFERROR(__xludf.DUMMYFUNCTION("""COMPUTED_VALUE"""),63.16)</f>
        <v>63.16</v>
      </c>
      <c r="Q2636" s="112">
        <f ca="1">IFERROR(__xludf.DUMMYFUNCTION("""COMPUTED_VALUE"""),44144.7055555555)</f>
        <v>44144.705555555498</v>
      </c>
      <c r="R2636" s="111">
        <f ca="1">IFERROR(__xludf.DUMMYFUNCTION("""COMPUTED_VALUE"""),32.7)</f>
        <v>32.700000000000003</v>
      </c>
      <c r="S2636" s="112">
        <f ca="1">IFERROR(__xludf.DUMMYFUNCTION("""COMPUTED_VALUE"""),44158.7055555555)</f>
        <v>44158.705555555498</v>
      </c>
      <c r="T2636" s="111">
        <f ca="1">IFERROR(__xludf.DUMMYFUNCTION("""COMPUTED_VALUE"""),41.44)</f>
        <v>41.44</v>
      </c>
    </row>
    <row r="2637" spans="1:20" x14ac:dyDescent="0.3">
      <c r="A2637" s="112">
        <f ca="1">IFERROR(__xludf.DUMMYFUNCTION("""COMPUTED_VALUE"""),44153.7055555555)</f>
        <v>44153.705555555498</v>
      </c>
      <c r="B2637" s="111">
        <f ca="1">IFERROR(__xludf.DUMMYFUNCTION("""COMPUTED_VALUE"""),31.38)</f>
        <v>31.38</v>
      </c>
      <c r="C2637" s="112">
        <f ca="1">IFERROR(__xludf.DUMMYFUNCTION("""COMPUTED_VALUE"""),44162.7055555555)</f>
        <v>44162.705555555498</v>
      </c>
      <c r="D2637" s="111">
        <f ca="1">IFERROR(__xludf.DUMMYFUNCTION("""COMPUTED_VALUE"""),28.96)</f>
        <v>28.96</v>
      </c>
      <c r="E2637" s="112">
        <f ca="1">IFERROR(__xludf.DUMMYFUNCTION("""COMPUTED_VALUE"""),44165.7055555555)</f>
        <v>44165.705555555498</v>
      </c>
      <c r="F2637" s="111">
        <f ca="1">IFERROR(__xludf.DUMMYFUNCTION("""COMPUTED_VALUE"""),10.08)</f>
        <v>10.08</v>
      </c>
      <c r="G2637" s="112">
        <f ca="1">IFERROR(__xludf.DUMMYFUNCTION("""COMPUTED_VALUE"""),44161.7055555555)</f>
        <v>44161.705555555498</v>
      </c>
      <c r="H2637" s="111">
        <f ca="1">IFERROR(__xludf.DUMMYFUNCTION("""COMPUTED_VALUE"""),25.82)</f>
        <v>25.82</v>
      </c>
      <c r="K2637" s="112">
        <f ca="1">IFERROR(__xludf.DUMMYFUNCTION("""COMPUTED_VALUE"""),44609.7055555555)</f>
        <v>44609.705555555498</v>
      </c>
      <c r="L2637" s="111">
        <f ca="1">IFERROR(__xludf.DUMMYFUNCTION("""COMPUTED_VALUE"""),6.63)</f>
        <v>6.63</v>
      </c>
      <c r="M2637" s="112">
        <f ca="1">IFERROR(__xludf.DUMMYFUNCTION("""COMPUTED_VALUE"""),44069.7055555555)</f>
        <v>44069.705555555498</v>
      </c>
      <c r="N2637" s="111">
        <f ca="1">IFERROR(__xludf.DUMMYFUNCTION("""COMPUTED_VALUE"""),18.85)</f>
        <v>18.850000000000001</v>
      </c>
      <c r="O2637" s="112">
        <f ca="1">IFERROR(__xludf.DUMMYFUNCTION("""COMPUTED_VALUE"""),44146.7055555555)</f>
        <v>44146.705555555498</v>
      </c>
      <c r="P2637" s="111">
        <f ca="1">IFERROR(__xludf.DUMMYFUNCTION("""COMPUTED_VALUE"""),63.6)</f>
        <v>63.6</v>
      </c>
      <c r="Q2637" s="112">
        <f ca="1">IFERROR(__xludf.DUMMYFUNCTION("""COMPUTED_VALUE"""),44145.7055555555)</f>
        <v>44145.705555555498</v>
      </c>
      <c r="R2637" s="111">
        <f ca="1">IFERROR(__xludf.DUMMYFUNCTION("""COMPUTED_VALUE"""),34.37)</f>
        <v>34.369999999999997</v>
      </c>
      <c r="S2637" s="112">
        <f ca="1">IFERROR(__xludf.DUMMYFUNCTION("""COMPUTED_VALUE"""),44159.7055555555)</f>
        <v>44159.705555555498</v>
      </c>
      <c r="T2637" s="111">
        <f ca="1">IFERROR(__xludf.DUMMYFUNCTION("""COMPUTED_VALUE"""),41.88)</f>
        <v>41.88</v>
      </c>
    </row>
    <row r="2638" spans="1:20" x14ac:dyDescent="0.3">
      <c r="A2638" s="112">
        <f ca="1">IFERROR(__xludf.DUMMYFUNCTION("""COMPUTED_VALUE"""),44154.7055555555)</f>
        <v>44154.705555555498</v>
      </c>
      <c r="B2638" s="111">
        <f ca="1">IFERROR(__xludf.DUMMYFUNCTION("""COMPUTED_VALUE"""),31.05)</f>
        <v>31.05</v>
      </c>
      <c r="C2638" s="112">
        <f ca="1">IFERROR(__xludf.DUMMYFUNCTION("""COMPUTED_VALUE"""),44165.7055555555)</f>
        <v>44165.705555555498</v>
      </c>
      <c r="D2638" s="111">
        <f ca="1">IFERROR(__xludf.DUMMYFUNCTION("""COMPUTED_VALUE"""),28.56)</f>
        <v>28.56</v>
      </c>
      <c r="E2638" s="112">
        <f ca="1">IFERROR(__xludf.DUMMYFUNCTION("""COMPUTED_VALUE"""),44166.7055555555)</f>
        <v>44166.705555555498</v>
      </c>
      <c r="F2638" s="111">
        <f ca="1">IFERROR(__xludf.DUMMYFUNCTION("""COMPUTED_VALUE"""),10.51)</f>
        <v>10.51</v>
      </c>
      <c r="G2638" s="112">
        <f ca="1">IFERROR(__xludf.DUMMYFUNCTION("""COMPUTED_VALUE"""),44162.7055555555)</f>
        <v>44162.705555555498</v>
      </c>
      <c r="H2638" s="111">
        <f ca="1">IFERROR(__xludf.DUMMYFUNCTION("""COMPUTED_VALUE"""),25.5)</f>
        <v>25.5</v>
      </c>
      <c r="K2638" s="112">
        <f ca="1">IFERROR(__xludf.DUMMYFUNCTION("""COMPUTED_VALUE"""),44610.7055555555)</f>
        <v>44610.705555555498</v>
      </c>
      <c r="L2638" s="111">
        <f ca="1">IFERROR(__xludf.DUMMYFUNCTION("""COMPUTED_VALUE"""),6.36)</f>
        <v>6.36</v>
      </c>
      <c r="M2638" s="112">
        <f ca="1">IFERROR(__xludf.DUMMYFUNCTION("""COMPUTED_VALUE"""),44070.7055555555)</f>
        <v>44070.705555555498</v>
      </c>
      <c r="N2638" s="111">
        <f ca="1">IFERROR(__xludf.DUMMYFUNCTION("""COMPUTED_VALUE"""),19.13)</f>
        <v>19.13</v>
      </c>
      <c r="O2638" s="112">
        <f ca="1">IFERROR(__xludf.DUMMYFUNCTION("""COMPUTED_VALUE"""),44147.7055555555)</f>
        <v>44147.705555555498</v>
      </c>
      <c r="P2638" s="111">
        <f ca="1">IFERROR(__xludf.DUMMYFUNCTION("""COMPUTED_VALUE"""),62.67)</f>
        <v>62.67</v>
      </c>
      <c r="Q2638" s="112">
        <f ca="1">IFERROR(__xludf.DUMMYFUNCTION("""COMPUTED_VALUE"""),44146.7055555555)</f>
        <v>44146.705555555498</v>
      </c>
      <c r="R2638" s="111">
        <f ca="1">IFERROR(__xludf.DUMMYFUNCTION("""COMPUTED_VALUE"""),34.16)</f>
        <v>34.159999999999997</v>
      </c>
      <c r="S2638" s="112">
        <f ca="1">IFERROR(__xludf.DUMMYFUNCTION("""COMPUTED_VALUE"""),44160.7055555555)</f>
        <v>44160.705555555498</v>
      </c>
      <c r="T2638" s="111">
        <f ca="1">IFERROR(__xludf.DUMMYFUNCTION("""COMPUTED_VALUE"""),42.18)</f>
        <v>42.18</v>
      </c>
    </row>
    <row r="2639" spans="1:20" x14ac:dyDescent="0.3">
      <c r="A2639" s="112">
        <f ca="1">IFERROR(__xludf.DUMMYFUNCTION("""COMPUTED_VALUE"""),44155.7055555555)</f>
        <v>44155.705555555498</v>
      </c>
      <c r="B2639" s="111">
        <f ca="1">IFERROR(__xludf.DUMMYFUNCTION("""COMPUTED_VALUE"""),30.88)</f>
        <v>30.88</v>
      </c>
      <c r="C2639" s="112">
        <f ca="1">IFERROR(__xludf.DUMMYFUNCTION("""COMPUTED_VALUE"""),44166.7055555555)</f>
        <v>44166.705555555498</v>
      </c>
      <c r="D2639" s="111">
        <f ca="1">IFERROR(__xludf.DUMMYFUNCTION("""COMPUTED_VALUE"""),29.75)</f>
        <v>29.75</v>
      </c>
      <c r="E2639" s="112">
        <f ca="1">IFERROR(__xludf.DUMMYFUNCTION("""COMPUTED_VALUE"""),44167.7055555555)</f>
        <v>44167.705555555498</v>
      </c>
      <c r="F2639" s="111">
        <f ca="1">IFERROR(__xludf.DUMMYFUNCTION("""COMPUTED_VALUE"""),10.5)</f>
        <v>10.5</v>
      </c>
      <c r="G2639" s="112">
        <f ca="1">IFERROR(__xludf.DUMMYFUNCTION("""COMPUTED_VALUE"""),44165.7055555555)</f>
        <v>44165.705555555498</v>
      </c>
      <c r="H2639" s="111">
        <f ca="1">IFERROR(__xludf.DUMMYFUNCTION("""COMPUTED_VALUE"""),24.9)</f>
        <v>24.9</v>
      </c>
      <c r="K2639" s="112">
        <f ca="1">IFERROR(__xludf.DUMMYFUNCTION("""COMPUTED_VALUE"""),44613.7055555555)</f>
        <v>44613.705555555498</v>
      </c>
      <c r="L2639" s="111">
        <f ca="1">IFERROR(__xludf.DUMMYFUNCTION("""COMPUTED_VALUE"""),6.02)</f>
        <v>6.02</v>
      </c>
      <c r="M2639" s="112">
        <f ca="1">IFERROR(__xludf.DUMMYFUNCTION("""COMPUTED_VALUE"""),44071.7055555555)</f>
        <v>44071.705555555498</v>
      </c>
      <c r="N2639" s="111">
        <f ca="1">IFERROR(__xludf.DUMMYFUNCTION("""COMPUTED_VALUE"""),19.52)</f>
        <v>19.52</v>
      </c>
      <c r="O2639" s="112">
        <f ca="1">IFERROR(__xludf.DUMMYFUNCTION("""COMPUTED_VALUE"""),44148.7055555555)</f>
        <v>44148.705555555498</v>
      </c>
      <c r="P2639" s="111">
        <f ca="1">IFERROR(__xludf.DUMMYFUNCTION("""COMPUTED_VALUE"""),63.25)</f>
        <v>63.25</v>
      </c>
      <c r="Q2639" s="112">
        <f ca="1">IFERROR(__xludf.DUMMYFUNCTION("""COMPUTED_VALUE"""),44147.7055555555)</f>
        <v>44147.705555555498</v>
      </c>
      <c r="R2639" s="111">
        <f ca="1">IFERROR(__xludf.DUMMYFUNCTION("""COMPUTED_VALUE"""),32.73)</f>
        <v>32.729999999999997</v>
      </c>
      <c r="S2639" s="112">
        <f ca="1">IFERROR(__xludf.DUMMYFUNCTION("""COMPUTED_VALUE"""),44161.7055555555)</f>
        <v>44161.705555555498</v>
      </c>
      <c r="T2639" s="111">
        <f ca="1">IFERROR(__xludf.DUMMYFUNCTION("""COMPUTED_VALUE"""),41.81)</f>
        <v>41.81</v>
      </c>
    </row>
    <row r="2640" spans="1:20" x14ac:dyDescent="0.3">
      <c r="A2640" s="112">
        <f ca="1">IFERROR(__xludf.DUMMYFUNCTION("""COMPUTED_VALUE"""),44158.7055555555)</f>
        <v>44158.705555555498</v>
      </c>
      <c r="B2640" s="111">
        <f ca="1">IFERROR(__xludf.DUMMYFUNCTION("""COMPUTED_VALUE"""),30.65)</f>
        <v>30.65</v>
      </c>
      <c r="C2640" s="112">
        <f ca="1">IFERROR(__xludf.DUMMYFUNCTION("""COMPUTED_VALUE"""),44167.7055555555)</f>
        <v>44167.705555555498</v>
      </c>
      <c r="D2640" s="111">
        <f ca="1">IFERROR(__xludf.DUMMYFUNCTION("""COMPUTED_VALUE"""),29.98)</f>
        <v>29.98</v>
      </c>
      <c r="E2640" s="112">
        <f ca="1">IFERROR(__xludf.DUMMYFUNCTION("""COMPUTED_VALUE"""),44168.7055555555)</f>
        <v>44168.705555555498</v>
      </c>
      <c r="F2640" s="111">
        <f ca="1">IFERROR(__xludf.DUMMYFUNCTION("""COMPUTED_VALUE"""),10.66)</f>
        <v>10.66</v>
      </c>
      <c r="G2640" s="112">
        <f ca="1">IFERROR(__xludf.DUMMYFUNCTION("""COMPUTED_VALUE"""),44166.7055555555)</f>
        <v>44166.705555555498</v>
      </c>
      <c r="H2640" s="111">
        <f ca="1">IFERROR(__xludf.DUMMYFUNCTION("""COMPUTED_VALUE"""),25.6)</f>
        <v>25.6</v>
      </c>
      <c r="K2640" s="112">
        <f ca="1">IFERROR(__xludf.DUMMYFUNCTION("""COMPUTED_VALUE"""),44614.7055555555)</f>
        <v>44614.705555555498</v>
      </c>
      <c r="L2640" s="111">
        <f ca="1">IFERROR(__xludf.DUMMYFUNCTION("""COMPUTED_VALUE"""),6.07)</f>
        <v>6.07</v>
      </c>
      <c r="M2640" s="112">
        <f ca="1">IFERROR(__xludf.DUMMYFUNCTION("""COMPUTED_VALUE"""),44074.7055555555)</f>
        <v>44074.705555555498</v>
      </c>
      <c r="N2640" s="111">
        <f ca="1">IFERROR(__xludf.DUMMYFUNCTION("""COMPUTED_VALUE"""),18.85)</f>
        <v>18.850000000000001</v>
      </c>
      <c r="O2640" s="112">
        <f ca="1">IFERROR(__xludf.DUMMYFUNCTION("""COMPUTED_VALUE"""),44151.7055555555)</f>
        <v>44151.705555555498</v>
      </c>
      <c r="P2640" s="111">
        <f ca="1">IFERROR(__xludf.DUMMYFUNCTION("""COMPUTED_VALUE"""),64.92)</f>
        <v>64.92</v>
      </c>
      <c r="Q2640" s="112">
        <f ca="1">IFERROR(__xludf.DUMMYFUNCTION("""COMPUTED_VALUE"""),44148.7055555555)</f>
        <v>44148.705555555498</v>
      </c>
      <c r="R2640" s="111">
        <f ca="1">IFERROR(__xludf.DUMMYFUNCTION("""COMPUTED_VALUE"""),33.05)</f>
        <v>33.049999999999997</v>
      </c>
      <c r="S2640" s="112">
        <f ca="1">IFERROR(__xludf.DUMMYFUNCTION("""COMPUTED_VALUE"""),44162.7055555555)</f>
        <v>44162.705555555498</v>
      </c>
      <c r="T2640" s="111">
        <f ca="1">IFERROR(__xludf.DUMMYFUNCTION("""COMPUTED_VALUE"""),42.14)</f>
        <v>42.14</v>
      </c>
    </row>
    <row r="2641" spans="1:20" x14ac:dyDescent="0.3">
      <c r="A2641" s="112">
        <f ca="1">IFERROR(__xludf.DUMMYFUNCTION("""COMPUTED_VALUE"""),44159.7055555555)</f>
        <v>44159.705555555498</v>
      </c>
      <c r="B2641" s="111">
        <f ca="1">IFERROR(__xludf.DUMMYFUNCTION("""COMPUTED_VALUE"""),31.75)</f>
        <v>31.75</v>
      </c>
      <c r="C2641" s="112">
        <f ca="1">IFERROR(__xludf.DUMMYFUNCTION("""COMPUTED_VALUE"""),44168.7055555555)</f>
        <v>44168.705555555498</v>
      </c>
      <c r="D2641" s="111">
        <f ca="1">IFERROR(__xludf.DUMMYFUNCTION("""COMPUTED_VALUE"""),29.96)</f>
        <v>29.96</v>
      </c>
      <c r="E2641" s="112">
        <f ca="1">IFERROR(__xludf.DUMMYFUNCTION("""COMPUTED_VALUE"""),44169.7055555555)</f>
        <v>44169.705555555498</v>
      </c>
      <c r="F2641" s="111">
        <f ca="1">IFERROR(__xludf.DUMMYFUNCTION("""COMPUTED_VALUE"""),10.68)</f>
        <v>10.68</v>
      </c>
      <c r="G2641" s="112">
        <f ca="1">IFERROR(__xludf.DUMMYFUNCTION("""COMPUTED_VALUE"""),44167.7055555555)</f>
        <v>44167.705555555498</v>
      </c>
      <c r="H2641" s="111">
        <f ca="1">IFERROR(__xludf.DUMMYFUNCTION("""COMPUTED_VALUE"""),25.91)</f>
        <v>25.91</v>
      </c>
      <c r="K2641" s="112">
        <f ca="1">IFERROR(__xludf.DUMMYFUNCTION("""COMPUTED_VALUE"""),44615.7055555555)</f>
        <v>44615.705555555498</v>
      </c>
      <c r="L2641" s="111">
        <f ca="1">IFERROR(__xludf.DUMMYFUNCTION("""COMPUTED_VALUE"""),5.91)</f>
        <v>5.91</v>
      </c>
      <c r="M2641" s="112">
        <f ca="1">IFERROR(__xludf.DUMMYFUNCTION("""COMPUTED_VALUE"""),44075.7055555555)</f>
        <v>44075.705555555498</v>
      </c>
      <c r="N2641" s="111">
        <f ca="1">IFERROR(__xludf.DUMMYFUNCTION("""COMPUTED_VALUE"""),19.24)</f>
        <v>19.239999999999998</v>
      </c>
      <c r="O2641" s="112">
        <f ca="1">IFERROR(__xludf.DUMMYFUNCTION("""COMPUTED_VALUE"""),44152.7055555555)</f>
        <v>44152.705555555498</v>
      </c>
      <c r="P2641" s="111">
        <f ca="1">IFERROR(__xludf.DUMMYFUNCTION("""COMPUTED_VALUE"""),66.97)</f>
        <v>66.97</v>
      </c>
      <c r="Q2641" s="112">
        <f ca="1">IFERROR(__xludf.DUMMYFUNCTION("""COMPUTED_VALUE"""),44151.7055555555)</f>
        <v>44151.705555555498</v>
      </c>
      <c r="R2641" s="111">
        <f ca="1">IFERROR(__xludf.DUMMYFUNCTION("""COMPUTED_VALUE"""),33.9)</f>
        <v>33.9</v>
      </c>
      <c r="S2641" s="112">
        <f ca="1">IFERROR(__xludf.DUMMYFUNCTION("""COMPUTED_VALUE"""),44165.7055555555)</f>
        <v>44165.705555555498</v>
      </c>
      <c r="T2641" s="111">
        <f ca="1">IFERROR(__xludf.DUMMYFUNCTION("""COMPUTED_VALUE"""),40.62)</f>
        <v>40.619999999999997</v>
      </c>
    </row>
    <row r="2642" spans="1:20" x14ac:dyDescent="0.3">
      <c r="A2642" s="112">
        <f ca="1">IFERROR(__xludf.DUMMYFUNCTION("""COMPUTED_VALUE"""),44160.7055555555)</f>
        <v>44160.705555555498</v>
      </c>
      <c r="B2642" s="111">
        <f ca="1">IFERROR(__xludf.DUMMYFUNCTION("""COMPUTED_VALUE"""),31.36)</f>
        <v>31.36</v>
      </c>
      <c r="C2642" s="112">
        <f ca="1">IFERROR(__xludf.DUMMYFUNCTION("""COMPUTED_VALUE"""),44169.7055555555)</f>
        <v>44169.705555555498</v>
      </c>
      <c r="D2642" s="111">
        <f ca="1">IFERROR(__xludf.DUMMYFUNCTION("""COMPUTED_VALUE"""),30.26)</f>
        <v>30.26</v>
      </c>
      <c r="E2642" s="112">
        <f ca="1">IFERROR(__xludf.DUMMYFUNCTION("""COMPUTED_VALUE"""),44172.7055555555)</f>
        <v>44172.705555555498</v>
      </c>
      <c r="F2642" s="111">
        <f ca="1">IFERROR(__xludf.DUMMYFUNCTION("""COMPUTED_VALUE"""),10.72)</f>
        <v>10.72</v>
      </c>
      <c r="G2642" s="112">
        <f ca="1">IFERROR(__xludf.DUMMYFUNCTION("""COMPUTED_VALUE"""),44168.7055555555)</f>
        <v>44168.705555555498</v>
      </c>
      <c r="H2642" s="111">
        <f ca="1">IFERROR(__xludf.DUMMYFUNCTION("""COMPUTED_VALUE"""),26.64)</f>
        <v>26.64</v>
      </c>
      <c r="K2642" s="112">
        <f ca="1">IFERROR(__xludf.DUMMYFUNCTION("""COMPUTED_VALUE"""),44616.7055555555)</f>
        <v>44616.705555555498</v>
      </c>
      <c r="L2642" s="111">
        <f ca="1">IFERROR(__xludf.DUMMYFUNCTION("""COMPUTED_VALUE"""),6.12)</f>
        <v>6.12</v>
      </c>
      <c r="M2642" s="112">
        <f ca="1">IFERROR(__xludf.DUMMYFUNCTION("""COMPUTED_VALUE"""),44076.7055555555)</f>
        <v>44076.705555555498</v>
      </c>
      <c r="N2642" s="111">
        <f ca="1">IFERROR(__xludf.DUMMYFUNCTION("""COMPUTED_VALUE"""),19.2)</f>
        <v>19.2</v>
      </c>
      <c r="O2642" s="112">
        <f ca="1">IFERROR(__xludf.DUMMYFUNCTION("""COMPUTED_VALUE"""),44153.7055555555)</f>
        <v>44153.705555555498</v>
      </c>
      <c r="P2642" s="111">
        <f ca="1">IFERROR(__xludf.DUMMYFUNCTION("""COMPUTED_VALUE"""),66.45)</f>
        <v>66.45</v>
      </c>
      <c r="Q2642" s="112">
        <f ca="1">IFERROR(__xludf.DUMMYFUNCTION("""COMPUTED_VALUE"""),44152.7055555555)</f>
        <v>44152.705555555498</v>
      </c>
      <c r="R2642" s="111">
        <f ca="1">IFERROR(__xludf.DUMMYFUNCTION("""COMPUTED_VALUE"""),34.2)</f>
        <v>34.200000000000003</v>
      </c>
      <c r="S2642" s="112">
        <f ca="1">IFERROR(__xludf.DUMMYFUNCTION("""COMPUTED_VALUE"""),44166.7055555555)</f>
        <v>44166.705555555498</v>
      </c>
      <c r="T2642" s="111">
        <f ca="1">IFERROR(__xludf.DUMMYFUNCTION("""COMPUTED_VALUE"""),40.84)</f>
        <v>40.840000000000003</v>
      </c>
    </row>
    <row r="2643" spans="1:20" x14ac:dyDescent="0.3">
      <c r="A2643" s="112">
        <f ca="1">IFERROR(__xludf.DUMMYFUNCTION("""COMPUTED_VALUE"""),44161.7055555555)</f>
        <v>44161.705555555498</v>
      </c>
      <c r="B2643" s="111">
        <f ca="1">IFERROR(__xludf.DUMMYFUNCTION("""COMPUTED_VALUE"""),32.01)</f>
        <v>32.01</v>
      </c>
      <c r="C2643" s="112">
        <f ca="1">IFERROR(__xludf.DUMMYFUNCTION("""COMPUTED_VALUE"""),44172.7055555555)</f>
        <v>44172.705555555498</v>
      </c>
      <c r="D2643" s="111">
        <f ca="1">IFERROR(__xludf.DUMMYFUNCTION("""COMPUTED_VALUE"""),30.44)</f>
        <v>30.44</v>
      </c>
      <c r="E2643" s="112">
        <f ca="1">IFERROR(__xludf.DUMMYFUNCTION("""COMPUTED_VALUE"""),44173.7055555555)</f>
        <v>44173.705555555498</v>
      </c>
      <c r="F2643" s="111">
        <f ca="1">IFERROR(__xludf.DUMMYFUNCTION("""COMPUTED_VALUE"""),10.68)</f>
        <v>10.68</v>
      </c>
      <c r="G2643" s="112">
        <f ca="1">IFERROR(__xludf.DUMMYFUNCTION("""COMPUTED_VALUE"""),44169.7055555555)</f>
        <v>44169.705555555498</v>
      </c>
      <c r="H2643" s="111">
        <f ca="1">IFERROR(__xludf.DUMMYFUNCTION("""COMPUTED_VALUE"""),27.53)</f>
        <v>27.53</v>
      </c>
      <c r="K2643" s="112">
        <f ca="1">IFERROR(__xludf.DUMMYFUNCTION("""COMPUTED_VALUE"""),44617.7055555555)</f>
        <v>44617.705555555498</v>
      </c>
      <c r="L2643" s="111">
        <f ca="1">IFERROR(__xludf.DUMMYFUNCTION("""COMPUTED_VALUE"""),6.01)</f>
        <v>6.01</v>
      </c>
      <c r="M2643" s="112">
        <f ca="1">IFERROR(__xludf.DUMMYFUNCTION("""COMPUTED_VALUE"""),44077.7055555555)</f>
        <v>44077.705555555498</v>
      </c>
      <c r="N2643" s="111">
        <f ca="1">IFERROR(__xludf.DUMMYFUNCTION("""COMPUTED_VALUE"""),19.95)</f>
        <v>19.95</v>
      </c>
      <c r="O2643" s="112">
        <f ca="1">IFERROR(__xludf.DUMMYFUNCTION("""COMPUTED_VALUE"""),44154.7055555555)</f>
        <v>44154.705555555498</v>
      </c>
      <c r="P2643" s="111">
        <f ca="1">IFERROR(__xludf.DUMMYFUNCTION("""COMPUTED_VALUE"""),67.72)</f>
        <v>67.72</v>
      </c>
      <c r="Q2643" s="112">
        <f ca="1">IFERROR(__xludf.DUMMYFUNCTION("""COMPUTED_VALUE"""),44153.7055555555)</f>
        <v>44153.705555555498</v>
      </c>
      <c r="R2643" s="111">
        <f ca="1">IFERROR(__xludf.DUMMYFUNCTION("""COMPUTED_VALUE"""),34.28)</f>
        <v>34.28</v>
      </c>
      <c r="S2643" s="112">
        <f ca="1">IFERROR(__xludf.DUMMYFUNCTION("""COMPUTED_VALUE"""),44167.7055555555)</f>
        <v>44167.705555555498</v>
      </c>
      <c r="T2643" s="111">
        <f ca="1">IFERROR(__xludf.DUMMYFUNCTION("""COMPUTED_VALUE"""),41.85)</f>
        <v>41.85</v>
      </c>
    </row>
    <row r="2644" spans="1:20" x14ac:dyDescent="0.3">
      <c r="A2644" s="112">
        <f ca="1">IFERROR(__xludf.DUMMYFUNCTION("""COMPUTED_VALUE"""),44162.7055555555)</f>
        <v>44162.705555555498</v>
      </c>
      <c r="B2644" s="111">
        <f ca="1">IFERROR(__xludf.DUMMYFUNCTION("""COMPUTED_VALUE"""),31.83)</f>
        <v>31.83</v>
      </c>
      <c r="C2644" s="112">
        <f ca="1">IFERROR(__xludf.DUMMYFUNCTION("""COMPUTED_VALUE"""),44173.7055555555)</f>
        <v>44173.705555555498</v>
      </c>
      <c r="D2644" s="111">
        <f ca="1">IFERROR(__xludf.DUMMYFUNCTION("""COMPUTED_VALUE"""),30.36)</f>
        <v>30.36</v>
      </c>
      <c r="E2644" s="112">
        <f ca="1">IFERROR(__xludf.DUMMYFUNCTION("""COMPUTED_VALUE"""),44174.7055555555)</f>
        <v>44174.705555555498</v>
      </c>
      <c r="F2644" s="111">
        <f ca="1">IFERROR(__xludf.DUMMYFUNCTION("""COMPUTED_VALUE"""),10.73)</f>
        <v>10.73</v>
      </c>
      <c r="G2644" s="112">
        <f ca="1">IFERROR(__xludf.DUMMYFUNCTION("""COMPUTED_VALUE"""),44172.7055555555)</f>
        <v>44172.705555555498</v>
      </c>
      <c r="H2644" s="111">
        <f ca="1">IFERROR(__xludf.DUMMYFUNCTION("""COMPUTED_VALUE"""),27)</f>
        <v>27</v>
      </c>
      <c r="K2644" s="112">
        <f ca="1">IFERROR(__xludf.DUMMYFUNCTION("""COMPUTED_VALUE"""),44622.7055555555)</f>
        <v>44622.705555555498</v>
      </c>
      <c r="L2644" s="111">
        <f ca="1">IFERROR(__xludf.DUMMYFUNCTION("""COMPUTED_VALUE"""),6.31)</f>
        <v>6.31</v>
      </c>
      <c r="M2644" s="112">
        <f ca="1">IFERROR(__xludf.DUMMYFUNCTION("""COMPUTED_VALUE"""),44078.7055555555)</f>
        <v>44078.705555555498</v>
      </c>
      <c r="N2644" s="111">
        <f ca="1">IFERROR(__xludf.DUMMYFUNCTION("""COMPUTED_VALUE"""),19.97)</f>
        <v>19.97</v>
      </c>
      <c r="O2644" s="112">
        <f ca="1">IFERROR(__xludf.DUMMYFUNCTION("""COMPUTED_VALUE"""),44155.7055555555)</f>
        <v>44155.705555555498</v>
      </c>
      <c r="P2644" s="111">
        <f ca="1">IFERROR(__xludf.DUMMYFUNCTION("""COMPUTED_VALUE"""),68.44)</f>
        <v>68.44</v>
      </c>
      <c r="Q2644" s="112">
        <f ca="1">IFERROR(__xludf.DUMMYFUNCTION("""COMPUTED_VALUE"""),44154.7055555555)</f>
        <v>44154.705555555498</v>
      </c>
      <c r="R2644" s="111">
        <f ca="1">IFERROR(__xludf.DUMMYFUNCTION("""COMPUTED_VALUE"""),34.62)</f>
        <v>34.619999999999997</v>
      </c>
      <c r="S2644" s="112">
        <f ca="1">IFERROR(__xludf.DUMMYFUNCTION("""COMPUTED_VALUE"""),44168.7055555555)</f>
        <v>44168.705555555498</v>
      </c>
      <c r="T2644" s="111">
        <f ca="1">IFERROR(__xludf.DUMMYFUNCTION("""COMPUTED_VALUE"""),42.16)</f>
        <v>42.16</v>
      </c>
    </row>
    <row r="2645" spans="1:20" x14ac:dyDescent="0.3">
      <c r="A2645" s="112">
        <f ca="1">IFERROR(__xludf.DUMMYFUNCTION("""COMPUTED_VALUE"""),44165.7055555555)</f>
        <v>44165.705555555498</v>
      </c>
      <c r="B2645" s="111">
        <f ca="1">IFERROR(__xludf.DUMMYFUNCTION("""COMPUTED_VALUE"""),30.73)</f>
        <v>30.73</v>
      </c>
      <c r="C2645" s="112">
        <f ca="1">IFERROR(__xludf.DUMMYFUNCTION("""COMPUTED_VALUE"""),44174.7055555555)</f>
        <v>44174.705555555498</v>
      </c>
      <c r="D2645" s="111">
        <f ca="1">IFERROR(__xludf.DUMMYFUNCTION("""COMPUTED_VALUE"""),30.54)</f>
        <v>30.54</v>
      </c>
      <c r="E2645" s="112">
        <f ca="1">IFERROR(__xludf.DUMMYFUNCTION("""COMPUTED_VALUE"""),44175.7055555555)</f>
        <v>44175.705555555498</v>
      </c>
      <c r="F2645" s="111">
        <f ca="1">IFERROR(__xludf.DUMMYFUNCTION("""COMPUTED_VALUE"""),10.95)</f>
        <v>10.95</v>
      </c>
      <c r="G2645" s="112">
        <f ca="1">IFERROR(__xludf.DUMMYFUNCTION("""COMPUTED_VALUE"""),44173.7055555555)</f>
        <v>44173.705555555498</v>
      </c>
      <c r="H2645" s="111">
        <f ca="1">IFERROR(__xludf.DUMMYFUNCTION("""COMPUTED_VALUE"""),26.66)</f>
        <v>26.66</v>
      </c>
      <c r="K2645" s="112">
        <f ca="1">IFERROR(__xludf.DUMMYFUNCTION("""COMPUTED_VALUE"""),44623.7055555555)</f>
        <v>44623.705555555498</v>
      </c>
      <c r="L2645" s="111">
        <f ca="1">IFERROR(__xludf.DUMMYFUNCTION("""COMPUTED_VALUE"""),6.31)</f>
        <v>6.31</v>
      </c>
      <c r="M2645" s="112">
        <f ca="1">IFERROR(__xludf.DUMMYFUNCTION("""COMPUTED_VALUE"""),44082.7055555555)</f>
        <v>44082.705555555498</v>
      </c>
      <c r="N2645" s="111">
        <f ca="1">IFERROR(__xludf.DUMMYFUNCTION("""COMPUTED_VALUE"""),19.65)</f>
        <v>19.649999999999999</v>
      </c>
      <c r="O2645" s="112">
        <f ca="1">IFERROR(__xludf.DUMMYFUNCTION("""COMPUTED_VALUE"""),44158.7055555555)</f>
        <v>44158.705555555498</v>
      </c>
      <c r="P2645" s="111">
        <f ca="1">IFERROR(__xludf.DUMMYFUNCTION("""COMPUTED_VALUE"""),71.29)</f>
        <v>71.290000000000006</v>
      </c>
      <c r="Q2645" s="112">
        <f ca="1">IFERROR(__xludf.DUMMYFUNCTION("""COMPUTED_VALUE"""),44155.7055555555)</f>
        <v>44155.705555555498</v>
      </c>
      <c r="R2645" s="111">
        <f ca="1">IFERROR(__xludf.DUMMYFUNCTION("""COMPUTED_VALUE"""),34.25)</f>
        <v>34.25</v>
      </c>
      <c r="S2645" s="112">
        <f ca="1">IFERROR(__xludf.DUMMYFUNCTION("""COMPUTED_VALUE"""),44169.7055555555)</f>
        <v>44169.705555555498</v>
      </c>
      <c r="T2645" s="111">
        <f ca="1">IFERROR(__xludf.DUMMYFUNCTION("""COMPUTED_VALUE"""),41.64)</f>
        <v>41.64</v>
      </c>
    </row>
    <row r="2646" spans="1:20" x14ac:dyDescent="0.3">
      <c r="A2646" s="112">
        <f ca="1">IFERROR(__xludf.DUMMYFUNCTION("""COMPUTED_VALUE"""),44166.7055555555)</f>
        <v>44166.705555555498</v>
      </c>
      <c r="B2646" s="111">
        <f ca="1">IFERROR(__xludf.DUMMYFUNCTION("""COMPUTED_VALUE"""),31.47)</f>
        <v>31.47</v>
      </c>
      <c r="C2646" s="112">
        <f ca="1">IFERROR(__xludf.DUMMYFUNCTION("""COMPUTED_VALUE"""),44175.7055555555)</f>
        <v>44175.705555555498</v>
      </c>
      <c r="D2646" s="111">
        <f ca="1">IFERROR(__xludf.DUMMYFUNCTION("""COMPUTED_VALUE"""),31.55)</f>
        <v>31.55</v>
      </c>
      <c r="E2646" s="112">
        <f ca="1">IFERROR(__xludf.DUMMYFUNCTION("""COMPUTED_VALUE"""),44176.7055555555)</f>
        <v>44176.705555555498</v>
      </c>
      <c r="F2646" s="111">
        <f ca="1">IFERROR(__xludf.DUMMYFUNCTION("""COMPUTED_VALUE"""),10.87)</f>
        <v>10.87</v>
      </c>
      <c r="G2646" s="112">
        <f ca="1">IFERROR(__xludf.DUMMYFUNCTION("""COMPUTED_VALUE"""),44174.7055555555)</f>
        <v>44174.705555555498</v>
      </c>
      <c r="H2646" s="111">
        <f ca="1">IFERROR(__xludf.DUMMYFUNCTION("""COMPUTED_VALUE"""),26.94)</f>
        <v>26.94</v>
      </c>
      <c r="K2646" s="112">
        <f ca="1">IFERROR(__xludf.DUMMYFUNCTION("""COMPUTED_VALUE"""),44624.7055555555)</f>
        <v>44624.705555555498</v>
      </c>
      <c r="L2646" s="111">
        <f ca="1">IFERROR(__xludf.DUMMYFUNCTION("""COMPUTED_VALUE"""),6.29)</f>
        <v>6.29</v>
      </c>
      <c r="M2646" s="112">
        <f ca="1">IFERROR(__xludf.DUMMYFUNCTION("""COMPUTED_VALUE"""),44083.7055555555)</f>
        <v>44083.705555555498</v>
      </c>
      <c r="N2646" s="111">
        <f ca="1">IFERROR(__xludf.DUMMYFUNCTION("""COMPUTED_VALUE"""),19.6)</f>
        <v>19.600000000000001</v>
      </c>
      <c r="O2646" s="112">
        <f ca="1">IFERROR(__xludf.DUMMYFUNCTION("""COMPUTED_VALUE"""),44159.7055555555)</f>
        <v>44159.705555555498</v>
      </c>
      <c r="P2646" s="111">
        <f ca="1">IFERROR(__xludf.DUMMYFUNCTION("""COMPUTED_VALUE"""),74.8)</f>
        <v>74.8</v>
      </c>
      <c r="Q2646" s="112">
        <f ca="1">IFERROR(__xludf.DUMMYFUNCTION("""COMPUTED_VALUE"""),44158.7055555555)</f>
        <v>44158.705555555498</v>
      </c>
      <c r="R2646" s="111">
        <f ca="1">IFERROR(__xludf.DUMMYFUNCTION("""COMPUTED_VALUE"""),34.52)</f>
        <v>34.520000000000003</v>
      </c>
      <c r="S2646" s="112">
        <f ca="1">IFERROR(__xludf.DUMMYFUNCTION("""COMPUTED_VALUE"""),44172.7055555555)</f>
        <v>44172.705555555498</v>
      </c>
      <c r="T2646" s="111">
        <f ca="1">IFERROR(__xludf.DUMMYFUNCTION("""COMPUTED_VALUE"""),40.93)</f>
        <v>40.93</v>
      </c>
    </row>
    <row r="2647" spans="1:20" x14ac:dyDescent="0.3">
      <c r="A2647" s="112">
        <f ca="1">IFERROR(__xludf.DUMMYFUNCTION("""COMPUTED_VALUE"""),44167.7055555555)</f>
        <v>44167.705555555498</v>
      </c>
      <c r="B2647" s="111">
        <f ca="1">IFERROR(__xludf.DUMMYFUNCTION("""COMPUTED_VALUE"""),32.85)</f>
        <v>32.85</v>
      </c>
      <c r="C2647" s="112">
        <f ca="1">IFERROR(__xludf.DUMMYFUNCTION("""COMPUTED_VALUE"""),44176.7055555555)</f>
        <v>44176.705555555498</v>
      </c>
      <c r="D2647" s="111">
        <f ca="1">IFERROR(__xludf.DUMMYFUNCTION("""COMPUTED_VALUE"""),31.3)</f>
        <v>31.3</v>
      </c>
      <c r="E2647" s="112">
        <f ca="1">IFERROR(__xludf.DUMMYFUNCTION("""COMPUTED_VALUE"""),44179.7055555555)</f>
        <v>44179.705555555498</v>
      </c>
      <c r="F2647" s="111">
        <f ca="1">IFERROR(__xludf.DUMMYFUNCTION("""COMPUTED_VALUE"""),10.74)</f>
        <v>10.74</v>
      </c>
      <c r="G2647" s="112">
        <f ca="1">IFERROR(__xludf.DUMMYFUNCTION("""COMPUTED_VALUE"""),44175.7055555555)</f>
        <v>44175.705555555498</v>
      </c>
      <c r="H2647" s="111">
        <f ca="1">IFERROR(__xludf.DUMMYFUNCTION("""COMPUTED_VALUE"""),27.82)</f>
        <v>27.82</v>
      </c>
      <c r="K2647" s="112">
        <f ca="1">IFERROR(__xludf.DUMMYFUNCTION("""COMPUTED_VALUE"""),44627.7055555555)</f>
        <v>44627.705555555498</v>
      </c>
      <c r="L2647" s="111">
        <f ca="1">IFERROR(__xludf.DUMMYFUNCTION("""COMPUTED_VALUE"""),5.85)</f>
        <v>5.85</v>
      </c>
      <c r="M2647" s="112">
        <f ca="1">IFERROR(__xludf.DUMMYFUNCTION("""COMPUTED_VALUE"""),44084.7055555555)</f>
        <v>44084.705555555498</v>
      </c>
      <c r="N2647" s="111">
        <f ca="1">IFERROR(__xludf.DUMMYFUNCTION("""COMPUTED_VALUE"""),18.95)</f>
        <v>18.95</v>
      </c>
      <c r="O2647" s="112">
        <f ca="1">IFERROR(__xludf.DUMMYFUNCTION("""COMPUTED_VALUE"""),44160.7055555555)</f>
        <v>44160.705555555498</v>
      </c>
      <c r="P2647" s="111">
        <f ca="1">IFERROR(__xludf.DUMMYFUNCTION("""COMPUTED_VALUE"""),75.5)</f>
        <v>75.5</v>
      </c>
      <c r="Q2647" s="112">
        <f ca="1">IFERROR(__xludf.DUMMYFUNCTION("""COMPUTED_VALUE"""),44159.7055555555)</f>
        <v>44159.705555555498</v>
      </c>
      <c r="R2647" s="111">
        <f ca="1">IFERROR(__xludf.DUMMYFUNCTION("""COMPUTED_VALUE"""),35.44)</f>
        <v>35.44</v>
      </c>
      <c r="S2647" s="112">
        <f ca="1">IFERROR(__xludf.DUMMYFUNCTION("""COMPUTED_VALUE"""),44173.7055555555)</f>
        <v>44173.705555555498</v>
      </c>
      <c r="T2647" s="111">
        <f ca="1">IFERROR(__xludf.DUMMYFUNCTION("""COMPUTED_VALUE"""),40.57)</f>
        <v>40.57</v>
      </c>
    </row>
    <row r="2648" spans="1:20" x14ac:dyDescent="0.3">
      <c r="A2648" s="112">
        <f ca="1">IFERROR(__xludf.DUMMYFUNCTION("""COMPUTED_VALUE"""),44168.7055555555)</f>
        <v>44168.705555555498</v>
      </c>
      <c r="B2648" s="111">
        <f ca="1">IFERROR(__xludf.DUMMYFUNCTION("""COMPUTED_VALUE"""),32.76)</f>
        <v>32.76</v>
      </c>
      <c r="C2648" s="112">
        <f ca="1">IFERROR(__xludf.DUMMYFUNCTION("""COMPUTED_VALUE"""),44179.7055555555)</f>
        <v>44179.705555555498</v>
      </c>
      <c r="D2648" s="111">
        <f ca="1">IFERROR(__xludf.DUMMYFUNCTION("""COMPUTED_VALUE"""),30.88)</f>
        <v>30.88</v>
      </c>
      <c r="E2648" s="112">
        <f ca="1">IFERROR(__xludf.DUMMYFUNCTION("""COMPUTED_VALUE"""),44180.7055555555)</f>
        <v>44180.705555555498</v>
      </c>
      <c r="F2648" s="111">
        <f ca="1">IFERROR(__xludf.DUMMYFUNCTION("""COMPUTED_VALUE"""),10.95)</f>
        <v>10.95</v>
      </c>
      <c r="G2648" s="112">
        <f ca="1">IFERROR(__xludf.DUMMYFUNCTION("""COMPUTED_VALUE"""),44176.7055555555)</f>
        <v>44176.705555555498</v>
      </c>
      <c r="H2648" s="111">
        <f ca="1">IFERROR(__xludf.DUMMYFUNCTION("""COMPUTED_VALUE"""),27.57)</f>
        <v>27.57</v>
      </c>
      <c r="K2648" s="112">
        <f ca="1">IFERROR(__xludf.DUMMYFUNCTION("""COMPUTED_VALUE"""),44628.7055555555)</f>
        <v>44628.705555555498</v>
      </c>
      <c r="L2648" s="111">
        <f ca="1">IFERROR(__xludf.DUMMYFUNCTION("""COMPUTED_VALUE"""),6.05)</f>
        <v>6.05</v>
      </c>
      <c r="M2648" s="112">
        <f ca="1">IFERROR(__xludf.DUMMYFUNCTION("""COMPUTED_VALUE"""),44085.7055555555)</f>
        <v>44085.705555555498</v>
      </c>
      <c r="N2648" s="111">
        <f ca="1">IFERROR(__xludf.DUMMYFUNCTION("""COMPUTED_VALUE"""),18.6)</f>
        <v>18.600000000000001</v>
      </c>
      <c r="O2648" s="112">
        <f ca="1">IFERROR(__xludf.DUMMYFUNCTION("""COMPUTED_VALUE"""),44161.7055555555)</f>
        <v>44161.705555555498</v>
      </c>
      <c r="P2648" s="111">
        <f ca="1">IFERROR(__xludf.DUMMYFUNCTION("""COMPUTED_VALUE"""),76.57)</f>
        <v>76.569999999999993</v>
      </c>
      <c r="Q2648" s="112">
        <f ca="1">IFERROR(__xludf.DUMMYFUNCTION("""COMPUTED_VALUE"""),44160.7055555555)</f>
        <v>44160.705555555498</v>
      </c>
      <c r="R2648" s="111">
        <f ca="1">IFERROR(__xludf.DUMMYFUNCTION("""COMPUTED_VALUE"""),35.34)</f>
        <v>35.340000000000003</v>
      </c>
      <c r="S2648" s="112">
        <f ca="1">IFERROR(__xludf.DUMMYFUNCTION("""COMPUTED_VALUE"""),44174.7055555555)</f>
        <v>44174.705555555498</v>
      </c>
      <c r="T2648" s="111">
        <f ca="1">IFERROR(__xludf.DUMMYFUNCTION("""COMPUTED_VALUE"""),40.49)</f>
        <v>40.49</v>
      </c>
    </row>
    <row r="2649" spans="1:20" x14ac:dyDescent="0.3">
      <c r="A2649" s="112">
        <f ca="1">IFERROR(__xludf.DUMMYFUNCTION("""COMPUTED_VALUE"""),44169.7055555555)</f>
        <v>44169.705555555498</v>
      </c>
      <c r="B2649" s="111">
        <f ca="1">IFERROR(__xludf.DUMMYFUNCTION("""COMPUTED_VALUE"""),33.88)</f>
        <v>33.880000000000003</v>
      </c>
      <c r="C2649" s="112">
        <f ca="1">IFERROR(__xludf.DUMMYFUNCTION("""COMPUTED_VALUE"""),44180.7055555555)</f>
        <v>44180.705555555498</v>
      </c>
      <c r="D2649" s="111">
        <f ca="1">IFERROR(__xludf.DUMMYFUNCTION("""COMPUTED_VALUE"""),31.16)</f>
        <v>31.16</v>
      </c>
      <c r="E2649" s="112">
        <f ca="1">IFERROR(__xludf.DUMMYFUNCTION("""COMPUTED_VALUE"""),44181.7055555555)</f>
        <v>44181.705555555498</v>
      </c>
      <c r="F2649" s="111">
        <f ca="1">IFERROR(__xludf.DUMMYFUNCTION("""COMPUTED_VALUE"""),11.1)</f>
        <v>11.1</v>
      </c>
      <c r="G2649" s="112">
        <f ca="1">IFERROR(__xludf.DUMMYFUNCTION("""COMPUTED_VALUE"""),44179.7055555555)</f>
        <v>44179.705555555498</v>
      </c>
      <c r="H2649" s="111">
        <f ca="1">IFERROR(__xludf.DUMMYFUNCTION("""COMPUTED_VALUE"""),27.62)</f>
        <v>27.62</v>
      </c>
      <c r="K2649" s="112">
        <f ca="1">IFERROR(__xludf.DUMMYFUNCTION("""COMPUTED_VALUE"""),44629.7055555555)</f>
        <v>44629.705555555498</v>
      </c>
      <c r="L2649" s="111">
        <f ca="1">IFERROR(__xludf.DUMMYFUNCTION("""COMPUTED_VALUE"""),6.23)</f>
        <v>6.23</v>
      </c>
      <c r="M2649" s="112">
        <f ca="1">IFERROR(__xludf.DUMMYFUNCTION("""COMPUTED_VALUE"""),44088.7055555555)</f>
        <v>44088.705555555498</v>
      </c>
      <c r="N2649" s="111">
        <f ca="1">IFERROR(__xludf.DUMMYFUNCTION("""COMPUTED_VALUE"""),18.82)</f>
        <v>18.82</v>
      </c>
      <c r="O2649" s="112">
        <f ca="1">IFERROR(__xludf.DUMMYFUNCTION("""COMPUTED_VALUE"""),44162.7055555555)</f>
        <v>44162.705555555498</v>
      </c>
      <c r="P2649" s="111">
        <f ca="1">IFERROR(__xludf.DUMMYFUNCTION("""COMPUTED_VALUE"""),78.44)</f>
        <v>78.44</v>
      </c>
      <c r="Q2649" s="112">
        <f ca="1">IFERROR(__xludf.DUMMYFUNCTION("""COMPUTED_VALUE"""),44161.7055555555)</f>
        <v>44161.705555555498</v>
      </c>
      <c r="R2649" s="111">
        <f ca="1">IFERROR(__xludf.DUMMYFUNCTION("""COMPUTED_VALUE"""),34.78)</f>
        <v>34.78</v>
      </c>
      <c r="S2649" s="112">
        <f ca="1">IFERROR(__xludf.DUMMYFUNCTION("""COMPUTED_VALUE"""),44175.7055555555)</f>
        <v>44175.705555555498</v>
      </c>
      <c r="T2649" s="111">
        <f ca="1">IFERROR(__xludf.DUMMYFUNCTION("""COMPUTED_VALUE"""),39.83)</f>
        <v>39.83</v>
      </c>
    </row>
    <row r="2650" spans="1:20" x14ac:dyDescent="0.3">
      <c r="A2650" s="112">
        <f ca="1">IFERROR(__xludf.DUMMYFUNCTION("""COMPUTED_VALUE"""),44172.7055555555)</f>
        <v>44172.705555555498</v>
      </c>
      <c r="B2650" s="111">
        <f ca="1">IFERROR(__xludf.DUMMYFUNCTION("""COMPUTED_VALUE"""),33.27)</f>
        <v>33.270000000000003</v>
      </c>
      <c r="C2650" s="112">
        <f ca="1">IFERROR(__xludf.DUMMYFUNCTION("""COMPUTED_VALUE"""),44181.7055555555)</f>
        <v>44181.705555555498</v>
      </c>
      <c r="D2650" s="111">
        <f ca="1">IFERROR(__xludf.DUMMYFUNCTION("""COMPUTED_VALUE"""),31.75)</f>
        <v>31.75</v>
      </c>
      <c r="E2650" s="112">
        <f ca="1">IFERROR(__xludf.DUMMYFUNCTION("""COMPUTED_VALUE"""),44182.7055555555)</f>
        <v>44182.705555555498</v>
      </c>
      <c r="F2650" s="111">
        <f ca="1">IFERROR(__xludf.DUMMYFUNCTION("""COMPUTED_VALUE"""),11.11)</f>
        <v>11.11</v>
      </c>
      <c r="G2650" s="112">
        <f ca="1">IFERROR(__xludf.DUMMYFUNCTION("""COMPUTED_VALUE"""),44180.7055555555)</f>
        <v>44180.705555555498</v>
      </c>
      <c r="H2650" s="111">
        <f ca="1">IFERROR(__xludf.DUMMYFUNCTION("""COMPUTED_VALUE"""),27.85)</f>
        <v>27.85</v>
      </c>
      <c r="K2650" s="112">
        <f ca="1">IFERROR(__xludf.DUMMYFUNCTION("""COMPUTED_VALUE"""),44630.7055555555)</f>
        <v>44630.705555555498</v>
      </c>
      <c r="L2650" s="111">
        <f ca="1">IFERROR(__xludf.DUMMYFUNCTION("""COMPUTED_VALUE"""),5.96)</f>
        <v>5.96</v>
      </c>
      <c r="M2650" s="112">
        <f ca="1">IFERROR(__xludf.DUMMYFUNCTION("""COMPUTED_VALUE"""),44089.7055555555)</f>
        <v>44089.705555555498</v>
      </c>
      <c r="N2650" s="111">
        <f ca="1">IFERROR(__xludf.DUMMYFUNCTION("""COMPUTED_VALUE"""),18.62)</f>
        <v>18.62</v>
      </c>
      <c r="O2650" s="112">
        <f ca="1">IFERROR(__xludf.DUMMYFUNCTION("""COMPUTED_VALUE"""),44165.7055555555)</f>
        <v>44165.705555555498</v>
      </c>
      <c r="P2650" s="111">
        <f ca="1">IFERROR(__xludf.DUMMYFUNCTION("""COMPUTED_VALUE"""),78)</f>
        <v>78</v>
      </c>
      <c r="Q2650" s="112">
        <f ca="1">IFERROR(__xludf.DUMMYFUNCTION("""COMPUTED_VALUE"""),44162.7055555555)</f>
        <v>44162.705555555498</v>
      </c>
      <c r="R2650" s="111">
        <f ca="1">IFERROR(__xludf.DUMMYFUNCTION("""COMPUTED_VALUE"""),34.61)</f>
        <v>34.61</v>
      </c>
      <c r="S2650" s="112">
        <f ca="1">IFERROR(__xludf.DUMMYFUNCTION("""COMPUTED_VALUE"""),44176.7055555555)</f>
        <v>44176.705555555498</v>
      </c>
      <c r="T2650" s="111">
        <f ca="1">IFERROR(__xludf.DUMMYFUNCTION("""COMPUTED_VALUE"""),40.55)</f>
        <v>40.549999999999997</v>
      </c>
    </row>
    <row r="2651" spans="1:20" x14ac:dyDescent="0.3">
      <c r="A2651" s="112">
        <f ca="1">IFERROR(__xludf.DUMMYFUNCTION("""COMPUTED_VALUE"""),44173.7055555555)</f>
        <v>44173.705555555498</v>
      </c>
      <c r="B2651" s="111">
        <f ca="1">IFERROR(__xludf.DUMMYFUNCTION("""COMPUTED_VALUE"""),35.24)</f>
        <v>35.24</v>
      </c>
      <c r="C2651" s="112">
        <f ca="1">IFERROR(__xludf.DUMMYFUNCTION("""COMPUTED_VALUE"""),44182.7055555555)</f>
        <v>44182.705555555498</v>
      </c>
      <c r="D2651" s="111">
        <f ca="1">IFERROR(__xludf.DUMMYFUNCTION("""COMPUTED_VALUE"""),31.71)</f>
        <v>31.71</v>
      </c>
      <c r="E2651" s="112">
        <f ca="1">IFERROR(__xludf.DUMMYFUNCTION("""COMPUTED_VALUE"""),44183.7055555555)</f>
        <v>44183.705555555498</v>
      </c>
      <c r="F2651" s="111">
        <f ca="1">IFERROR(__xludf.DUMMYFUNCTION("""COMPUTED_VALUE"""),11.01)</f>
        <v>11.01</v>
      </c>
      <c r="G2651" s="112">
        <f ca="1">IFERROR(__xludf.DUMMYFUNCTION("""COMPUTED_VALUE"""),44181.7055555555)</f>
        <v>44181.705555555498</v>
      </c>
      <c r="H2651" s="111">
        <f ca="1">IFERROR(__xludf.DUMMYFUNCTION("""COMPUTED_VALUE"""),28.19)</f>
        <v>28.19</v>
      </c>
      <c r="K2651" s="112">
        <f ca="1">IFERROR(__xludf.DUMMYFUNCTION("""COMPUTED_VALUE"""),44631.7055555555)</f>
        <v>44631.705555555498</v>
      </c>
      <c r="L2651" s="111">
        <f ca="1">IFERROR(__xludf.DUMMYFUNCTION("""COMPUTED_VALUE"""),5.69)</f>
        <v>5.69</v>
      </c>
      <c r="M2651" s="112">
        <f ca="1">IFERROR(__xludf.DUMMYFUNCTION("""COMPUTED_VALUE"""),44090.7055555555)</f>
        <v>44090.705555555498</v>
      </c>
      <c r="N2651" s="111">
        <f ca="1">IFERROR(__xludf.DUMMYFUNCTION("""COMPUTED_VALUE"""),18.65)</f>
        <v>18.649999999999999</v>
      </c>
      <c r="O2651" s="112">
        <f ca="1">IFERROR(__xludf.DUMMYFUNCTION("""COMPUTED_VALUE"""),44166.7055555555)</f>
        <v>44166.705555555498</v>
      </c>
      <c r="P2651" s="111">
        <f ca="1">IFERROR(__xludf.DUMMYFUNCTION("""COMPUTED_VALUE"""),81.25)</f>
        <v>81.25</v>
      </c>
      <c r="Q2651" s="112">
        <f ca="1">IFERROR(__xludf.DUMMYFUNCTION("""COMPUTED_VALUE"""),44165.7055555555)</f>
        <v>44165.705555555498</v>
      </c>
      <c r="R2651" s="111">
        <f ca="1">IFERROR(__xludf.DUMMYFUNCTION("""COMPUTED_VALUE"""),33.86)</f>
        <v>33.86</v>
      </c>
      <c r="S2651" s="112">
        <f ca="1">IFERROR(__xludf.DUMMYFUNCTION("""COMPUTED_VALUE"""),44179.7055555555)</f>
        <v>44179.705555555498</v>
      </c>
      <c r="T2651" s="111">
        <f ca="1">IFERROR(__xludf.DUMMYFUNCTION("""COMPUTED_VALUE"""),40.95)</f>
        <v>40.950000000000003</v>
      </c>
    </row>
    <row r="2652" spans="1:20" x14ac:dyDescent="0.3">
      <c r="A2652" s="112">
        <f ca="1">IFERROR(__xludf.DUMMYFUNCTION("""COMPUTED_VALUE"""),44174.7055555555)</f>
        <v>44174.705555555498</v>
      </c>
      <c r="B2652" s="111">
        <f ca="1">IFERROR(__xludf.DUMMYFUNCTION("""COMPUTED_VALUE"""),35.59)</f>
        <v>35.590000000000003</v>
      </c>
      <c r="C2652" s="112">
        <f ca="1">IFERROR(__xludf.DUMMYFUNCTION("""COMPUTED_VALUE"""),44183.7055555555)</f>
        <v>44183.705555555498</v>
      </c>
      <c r="D2652" s="111">
        <f ca="1">IFERROR(__xludf.DUMMYFUNCTION("""COMPUTED_VALUE"""),31.66)</f>
        <v>31.66</v>
      </c>
      <c r="E2652" s="112">
        <f ca="1">IFERROR(__xludf.DUMMYFUNCTION("""COMPUTED_VALUE"""),44186.7055555555)</f>
        <v>44186.705555555498</v>
      </c>
      <c r="F2652" s="111">
        <f ca="1">IFERROR(__xludf.DUMMYFUNCTION("""COMPUTED_VALUE"""),10.84)</f>
        <v>10.84</v>
      </c>
      <c r="G2652" s="112">
        <f ca="1">IFERROR(__xludf.DUMMYFUNCTION("""COMPUTED_VALUE"""),44182.7055555555)</f>
        <v>44182.705555555498</v>
      </c>
      <c r="H2652" s="111">
        <f ca="1">IFERROR(__xludf.DUMMYFUNCTION("""COMPUTED_VALUE"""),28.24)</f>
        <v>28.24</v>
      </c>
      <c r="K2652" s="112">
        <f ca="1">IFERROR(__xludf.DUMMYFUNCTION("""COMPUTED_VALUE"""),44634.7055555555)</f>
        <v>44634.705555555498</v>
      </c>
      <c r="L2652" s="111">
        <f ca="1">IFERROR(__xludf.DUMMYFUNCTION("""COMPUTED_VALUE"""),5.33)</f>
        <v>5.33</v>
      </c>
      <c r="M2652" s="112">
        <f ca="1">IFERROR(__xludf.DUMMYFUNCTION("""COMPUTED_VALUE"""),44091.7055555555)</f>
        <v>44091.705555555498</v>
      </c>
      <c r="N2652" s="111">
        <f ca="1">IFERROR(__xludf.DUMMYFUNCTION("""COMPUTED_VALUE"""),18.7)</f>
        <v>18.7</v>
      </c>
      <c r="O2652" s="112">
        <f ca="1">IFERROR(__xludf.DUMMYFUNCTION("""COMPUTED_VALUE"""),44167.7055555555)</f>
        <v>44167.705555555498</v>
      </c>
      <c r="P2652" s="111">
        <f ca="1">IFERROR(__xludf.DUMMYFUNCTION("""COMPUTED_VALUE"""),79.84)</f>
        <v>79.84</v>
      </c>
      <c r="Q2652" s="112">
        <f ca="1">IFERROR(__xludf.DUMMYFUNCTION("""COMPUTED_VALUE"""),44166.7055555555)</f>
        <v>44166.705555555498</v>
      </c>
      <c r="R2652" s="111">
        <f ca="1">IFERROR(__xludf.DUMMYFUNCTION("""COMPUTED_VALUE"""),34.79)</f>
        <v>34.79</v>
      </c>
      <c r="S2652" s="112">
        <f ca="1">IFERROR(__xludf.DUMMYFUNCTION("""COMPUTED_VALUE"""),44180.7055555555)</f>
        <v>44180.705555555498</v>
      </c>
      <c r="T2652" s="111">
        <f ca="1">IFERROR(__xludf.DUMMYFUNCTION("""COMPUTED_VALUE"""),41.84)</f>
        <v>41.84</v>
      </c>
    </row>
    <row r="2653" spans="1:20" x14ac:dyDescent="0.3">
      <c r="A2653" s="112">
        <f ca="1">IFERROR(__xludf.DUMMYFUNCTION("""COMPUTED_VALUE"""),44175.7055555555)</f>
        <v>44175.705555555498</v>
      </c>
      <c r="B2653" s="111">
        <f ca="1">IFERROR(__xludf.DUMMYFUNCTION("""COMPUTED_VALUE"""),36.23)</f>
        <v>36.229999999999997</v>
      </c>
      <c r="C2653" s="112">
        <f ca="1">IFERROR(__xludf.DUMMYFUNCTION("""COMPUTED_VALUE"""),44186.7055555555)</f>
        <v>44186.705555555498</v>
      </c>
      <c r="D2653" s="111">
        <f ca="1">IFERROR(__xludf.DUMMYFUNCTION("""COMPUTED_VALUE"""),31.1)</f>
        <v>31.1</v>
      </c>
      <c r="E2653" s="112">
        <f ca="1">IFERROR(__xludf.DUMMYFUNCTION("""COMPUTED_VALUE"""),44187.7055555555)</f>
        <v>44187.705555555498</v>
      </c>
      <c r="F2653" s="111">
        <f ca="1">IFERROR(__xludf.DUMMYFUNCTION("""COMPUTED_VALUE"""),10.86)</f>
        <v>10.86</v>
      </c>
      <c r="G2653" s="112">
        <f ca="1">IFERROR(__xludf.DUMMYFUNCTION("""COMPUTED_VALUE"""),44183.7055555555)</f>
        <v>44183.705555555498</v>
      </c>
      <c r="H2653" s="111">
        <f ca="1">IFERROR(__xludf.DUMMYFUNCTION("""COMPUTED_VALUE"""),28.1)</f>
        <v>28.1</v>
      </c>
      <c r="K2653" s="112">
        <f ca="1">IFERROR(__xludf.DUMMYFUNCTION("""COMPUTED_VALUE"""),44635.7055555555)</f>
        <v>44635.705555555498</v>
      </c>
      <c r="L2653" s="111">
        <f ca="1">IFERROR(__xludf.DUMMYFUNCTION("""COMPUTED_VALUE"""),4.87)</f>
        <v>4.87</v>
      </c>
      <c r="M2653" s="112">
        <f ca="1">IFERROR(__xludf.DUMMYFUNCTION("""COMPUTED_VALUE"""),44092.7055555555)</f>
        <v>44092.705555555498</v>
      </c>
      <c r="N2653" s="111">
        <f ca="1">IFERROR(__xludf.DUMMYFUNCTION("""COMPUTED_VALUE"""),18.25)</f>
        <v>18.25</v>
      </c>
      <c r="O2653" s="112">
        <f ca="1">IFERROR(__xludf.DUMMYFUNCTION("""COMPUTED_VALUE"""),44168.7055555555)</f>
        <v>44168.705555555498</v>
      </c>
      <c r="P2653" s="111">
        <f ca="1">IFERROR(__xludf.DUMMYFUNCTION("""COMPUTED_VALUE"""),78.96)</f>
        <v>78.959999999999994</v>
      </c>
      <c r="Q2653" s="112">
        <f ca="1">IFERROR(__xludf.DUMMYFUNCTION("""COMPUTED_VALUE"""),44167.7055555555)</f>
        <v>44167.705555555498</v>
      </c>
      <c r="R2653" s="111">
        <f ca="1">IFERROR(__xludf.DUMMYFUNCTION("""COMPUTED_VALUE"""),34.94)</f>
        <v>34.94</v>
      </c>
      <c r="S2653" s="112">
        <f ca="1">IFERROR(__xludf.DUMMYFUNCTION("""COMPUTED_VALUE"""),44181.7055555555)</f>
        <v>44181.705555555498</v>
      </c>
      <c r="T2653" s="111">
        <f ca="1">IFERROR(__xludf.DUMMYFUNCTION("""COMPUTED_VALUE"""),42.1)</f>
        <v>42.1</v>
      </c>
    </row>
    <row r="2654" spans="1:20" x14ac:dyDescent="0.3">
      <c r="A2654" s="112">
        <f ca="1">IFERROR(__xludf.DUMMYFUNCTION("""COMPUTED_VALUE"""),44176.7055555555)</f>
        <v>44176.705555555498</v>
      </c>
      <c r="B2654" s="111">
        <f ca="1">IFERROR(__xludf.DUMMYFUNCTION("""COMPUTED_VALUE"""),38.28)</f>
        <v>38.28</v>
      </c>
      <c r="C2654" s="112">
        <f ca="1">IFERROR(__xludf.DUMMYFUNCTION("""COMPUTED_VALUE"""),44187.7055555555)</f>
        <v>44187.705555555498</v>
      </c>
      <c r="D2654" s="111">
        <f ca="1">IFERROR(__xludf.DUMMYFUNCTION("""COMPUTED_VALUE"""),31.25)</f>
        <v>31.25</v>
      </c>
      <c r="E2654" s="112">
        <f ca="1">IFERROR(__xludf.DUMMYFUNCTION("""COMPUTED_VALUE"""),44188.7055555555)</f>
        <v>44188.705555555498</v>
      </c>
      <c r="F2654" s="111">
        <f ca="1">IFERROR(__xludf.DUMMYFUNCTION("""COMPUTED_VALUE"""),11.11)</f>
        <v>11.11</v>
      </c>
      <c r="G2654" s="112">
        <f ca="1">IFERROR(__xludf.DUMMYFUNCTION("""COMPUTED_VALUE"""),44186.7055555555)</f>
        <v>44186.705555555498</v>
      </c>
      <c r="H2654" s="111">
        <f ca="1">IFERROR(__xludf.DUMMYFUNCTION("""COMPUTED_VALUE"""),27.02)</f>
        <v>27.02</v>
      </c>
      <c r="K2654" s="112">
        <f ca="1">IFERROR(__xludf.DUMMYFUNCTION("""COMPUTED_VALUE"""),44636.7055555555)</f>
        <v>44636.705555555498</v>
      </c>
      <c r="L2654" s="111">
        <f ca="1">IFERROR(__xludf.DUMMYFUNCTION("""COMPUTED_VALUE"""),5.13)</f>
        <v>5.13</v>
      </c>
      <c r="M2654" s="112">
        <f ca="1">IFERROR(__xludf.DUMMYFUNCTION("""COMPUTED_VALUE"""),44095.7055555555)</f>
        <v>44095.705555555498</v>
      </c>
      <c r="N2654" s="111">
        <f ca="1">IFERROR(__xludf.DUMMYFUNCTION("""COMPUTED_VALUE"""),17.98)</f>
        <v>17.98</v>
      </c>
      <c r="O2654" s="112">
        <f ca="1">IFERROR(__xludf.DUMMYFUNCTION("""COMPUTED_VALUE"""),44169.7055555555)</f>
        <v>44169.705555555498</v>
      </c>
      <c r="P2654" s="111">
        <f ca="1">IFERROR(__xludf.DUMMYFUNCTION("""COMPUTED_VALUE"""),81.98)</f>
        <v>81.98</v>
      </c>
      <c r="Q2654" s="112">
        <f ca="1">IFERROR(__xludf.DUMMYFUNCTION("""COMPUTED_VALUE"""),44168.7055555555)</f>
        <v>44168.705555555498</v>
      </c>
      <c r="R2654" s="111">
        <f ca="1">IFERROR(__xludf.DUMMYFUNCTION("""COMPUTED_VALUE"""),35.24)</f>
        <v>35.24</v>
      </c>
      <c r="S2654" s="112">
        <f ca="1">IFERROR(__xludf.DUMMYFUNCTION("""COMPUTED_VALUE"""),44182.7055555555)</f>
        <v>44182.705555555498</v>
      </c>
      <c r="T2654" s="111">
        <f ca="1">IFERROR(__xludf.DUMMYFUNCTION("""COMPUTED_VALUE"""),41.36)</f>
        <v>41.36</v>
      </c>
    </row>
    <row r="2655" spans="1:20" x14ac:dyDescent="0.3">
      <c r="A2655" s="112">
        <f ca="1">IFERROR(__xludf.DUMMYFUNCTION("""COMPUTED_VALUE"""),44179.7055555555)</f>
        <v>44179.705555555498</v>
      </c>
      <c r="B2655" s="111">
        <f ca="1">IFERROR(__xludf.DUMMYFUNCTION("""COMPUTED_VALUE"""),37.72)</f>
        <v>37.72</v>
      </c>
      <c r="C2655" s="112">
        <f ca="1">IFERROR(__xludf.DUMMYFUNCTION("""COMPUTED_VALUE"""),44188.7055555555)</f>
        <v>44188.705555555498</v>
      </c>
      <c r="D2655" s="111">
        <f ca="1">IFERROR(__xludf.DUMMYFUNCTION("""COMPUTED_VALUE"""),31.94)</f>
        <v>31.94</v>
      </c>
      <c r="E2655" s="112">
        <f ca="1">IFERROR(__xludf.DUMMYFUNCTION("""COMPUTED_VALUE"""),44193.7055555555)</f>
        <v>44193.705555555498</v>
      </c>
      <c r="F2655" s="111">
        <f ca="1">IFERROR(__xludf.DUMMYFUNCTION("""COMPUTED_VALUE"""),11.24)</f>
        <v>11.24</v>
      </c>
      <c r="G2655" s="112">
        <f ca="1">IFERROR(__xludf.DUMMYFUNCTION("""COMPUTED_VALUE"""),44187.7055555555)</f>
        <v>44187.705555555498</v>
      </c>
      <c r="H2655" s="111">
        <f ca="1">IFERROR(__xludf.DUMMYFUNCTION("""COMPUTED_VALUE"""),27.28)</f>
        <v>27.28</v>
      </c>
      <c r="K2655" s="112">
        <f ca="1">IFERROR(__xludf.DUMMYFUNCTION("""COMPUTED_VALUE"""),44637.7055555555)</f>
        <v>44637.705555555498</v>
      </c>
      <c r="L2655" s="111">
        <f ca="1">IFERROR(__xludf.DUMMYFUNCTION("""COMPUTED_VALUE"""),5.54)</f>
        <v>5.54</v>
      </c>
      <c r="M2655" s="112">
        <f ca="1">IFERROR(__xludf.DUMMYFUNCTION("""COMPUTED_VALUE"""),44096.7055555555)</f>
        <v>44096.705555555498</v>
      </c>
      <c r="N2655" s="111">
        <f ca="1">IFERROR(__xludf.DUMMYFUNCTION("""COMPUTED_VALUE"""),18.09)</f>
        <v>18.09</v>
      </c>
      <c r="O2655" s="112">
        <f ca="1">IFERROR(__xludf.DUMMYFUNCTION("""COMPUTED_VALUE"""),44172.7055555555)</f>
        <v>44172.705555555498</v>
      </c>
      <c r="P2655" s="111">
        <f ca="1">IFERROR(__xludf.DUMMYFUNCTION("""COMPUTED_VALUE"""),82.95)</f>
        <v>82.95</v>
      </c>
      <c r="Q2655" s="112">
        <f ca="1">IFERROR(__xludf.DUMMYFUNCTION("""COMPUTED_VALUE"""),44169.7055555555)</f>
        <v>44169.705555555498</v>
      </c>
      <c r="R2655" s="111">
        <f ca="1">IFERROR(__xludf.DUMMYFUNCTION("""COMPUTED_VALUE"""),35.98)</f>
        <v>35.979999999999997</v>
      </c>
      <c r="S2655" s="112">
        <f ca="1">IFERROR(__xludf.DUMMYFUNCTION("""COMPUTED_VALUE"""),44183.7055555555)</f>
        <v>44183.705555555498</v>
      </c>
      <c r="T2655" s="111">
        <f ca="1">IFERROR(__xludf.DUMMYFUNCTION("""COMPUTED_VALUE"""),41.08)</f>
        <v>41.08</v>
      </c>
    </row>
    <row r="2656" spans="1:20" x14ac:dyDescent="0.3">
      <c r="A2656" s="112">
        <f ca="1">IFERROR(__xludf.DUMMYFUNCTION("""COMPUTED_VALUE"""),44180.7055555555)</f>
        <v>44180.705555555498</v>
      </c>
      <c r="B2656" s="111">
        <f ca="1">IFERROR(__xludf.DUMMYFUNCTION("""COMPUTED_VALUE"""),38.29)</f>
        <v>38.29</v>
      </c>
      <c r="C2656" s="112">
        <f ca="1">IFERROR(__xludf.DUMMYFUNCTION("""COMPUTED_VALUE"""),44193.7055555555)</f>
        <v>44193.705555555498</v>
      </c>
      <c r="D2656" s="111">
        <f ca="1">IFERROR(__xludf.DUMMYFUNCTION("""COMPUTED_VALUE"""),32.17)</f>
        <v>32.17</v>
      </c>
      <c r="E2656" s="112">
        <f ca="1">IFERROR(__xludf.DUMMYFUNCTION("""COMPUTED_VALUE"""),44194.7055555555)</f>
        <v>44194.705555555498</v>
      </c>
      <c r="F2656" s="111">
        <f ca="1">IFERROR(__xludf.DUMMYFUNCTION("""COMPUTED_VALUE"""),11.3)</f>
        <v>11.3</v>
      </c>
      <c r="G2656" s="112">
        <f ca="1">IFERROR(__xludf.DUMMYFUNCTION("""COMPUTED_VALUE"""),44188.7055555555)</f>
        <v>44188.705555555498</v>
      </c>
      <c r="H2656" s="111">
        <f ca="1">IFERROR(__xludf.DUMMYFUNCTION("""COMPUTED_VALUE"""),27.95)</f>
        <v>27.95</v>
      </c>
      <c r="K2656" s="112">
        <f ca="1">IFERROR(__xludf.DUMMYFUNCTION("""COMPUTED_VALUE"""),44638.7055555555)</f>
        <v>44638.705555555498</v>
      </c>
      <c r="L2656" s="111">
        <f ca="1">IFERROR(__xludf.DUMMYFUNCTION("""COMPUTED_VALUE"""),5.82)</f>
        <v>5.82</v>
      </c>
      <c r="M2656" s="112">
        <f ca="1">IFERROR(__xludf.DUMMYFUNCTION("""COMPUTED_VALUE"""),44097.7055555555)</f>
        <v>44097.705555555498</v>
      </c>
      <c r="N2656" s="111">
        <f ca="1">IFERROR(__xludf.DUMMYFUNCTION("""COMPUTED_VALUE"""),17.66)</f>
        <v>17.66</v>
      </c>
      <c r="O2656" s="112">
        <f ca="1">IFERROR(__xludf.DUMMYFUNCTION("""COMPUTED_VALUE"""),44173.7055555555)</f>
        <v>44173.705555555498</v>
      </c>
      <c r="P2656" s="111">
        <f ca="1">IFERROR(__xludf.DUMMYFUNCTION("""COMPUTED_VALUE"""),82.9)</f>
        <v>82.9</v>
      </c>
      <c r="Q2656" s="112">
        <f ca="1">IFERROR(__xludf.DUMMYFUNCTION("""COMPUTED_VALUE"""),44172.7055555555)</f>
        <v>44172.705555555498</v>
      </c>
      <c r="R2656" s="111">
        <f ca="1">IFERROR(__xludf.DUMMYFUNCTION("""COMPUTED_VALUE"""),36.15)</f>
        <v>36.15</v>
      </c>
      <c r="S2656" s="112">
        <f ca="1">IFERROR(__xludf.DUMMYFUNCTION("""COMPUTED_VALUE"""),44186.7055555555)</f>
        <v>44186.705555555498</v>
      </c>
      <c r="T2656" s="111">
        <f ca="1">IFERROR(__xludf.DUMMYFUNCTION("""COMPUTED_VALUE"""),39.95)</f>
        <v>39.950000000000003</v>
      </c>
    </row>
    <row r="2657" spans="1:20" x14ac:dyDescent="0.3">
      <c r="A2657" s="112">
        <f ca="1">IFERROR(__xludf.DUMMYFUNCTION("""COMPUTED_VALUE"""),44181.7055555555)</f>
        <v>44181.705555555498</v>
      </c>
      <c r="B2657" s="111">
        <f ca="1">IFERROR(__xludf.DUMMYFUNCTION("""COMPUTED_VALUE"""),37)</f>
        <v>37</v>
      </c>
      <c r="C2657" s="112">
        <f ca="1">IFERROR(__xludf.DUMMYFUNCTION("""COMPUTED_VALUE"""),44194.7055555555)</f>
        <v>44194.705555555498</v>
      </c>
      <c r="D2657" s="111">
        <f ca="1">IFERROR(__xludf.DUMMYFUNCTION("""COMPUTED_VALUE"""),32.1)</f>
        <v>32.1</v>
      </c>
      <c r="E2657" s="112">
        <f ca="1">IFERROR(__xludf.DUMMYFUNCTION("""COMPUTED_VALUE"""),44195.7055555555)</f>
        <v>44195.705555555498</v>
      </c>
      <c r="F2657" s="111">
        <f ca="1">IFERROR(__xludf.DUMMYFUNCTION("""COMPUTED_VALUE"""),11.17)</f>
        <v>11.17</v>
      </c>
      <c r="G2657" s="112">
        <f ca="1">IFERROR(__xludf.DUMMYFUNCTION("""COMPUTED_VALUE"""),44193.7055555555)</f>
        <v>44193.705555555498</v>
      </c>
      <c r="H2657" s="111">
        <f ca="1">IFERROR(__xludf.DUMMYFUNCTION("""COMPUTED_VALUE"""),28.18)</f>
        <v>28.18</v>
      </c>
      <c r="K2657" s="112">
        <f ca="1">IFERROR(__xludf.DUMMYFUNCTION("""COMPUTED_VALUE"""),44641.7055555555)</f>
        <v>44641.705555555498</v>
      </c>
      <c r="L2657" s="111">
        <f ca="1">IFERROR(__xludf.DUMMYFUNCTION("""COMPUTED_VALUE"""),5.72)</f>
        <v>5.72</v>
      </c>
      <c r="M2657" s="112">
        <f ca="1">IFERROR(__xludf.DUMMYFUNCTION("""COMPUTED_VALUE"""),44098.7055555555)</f>
        <v>44098.705555555498</v>
      </c>
      <c r="N2657" s="111">
        <f ca="1">IFERROR(__xludf.DUMMYFUNCTION("""COMPUTED_VALUE"""),18)</f>
        <v>18</v>
      </c>
      <c r="O2657" s="112">
        <f ca="1">IFERROR(__xludf.DUMMYFUNCTION("""COMPUTED_VALUE"""),44174.7055555555)</f>
        <v>44174.705555555498</v>
      </c>
      <c r="P2657" s="111">
        <f ca="1">IFERROR(__xludf.DUMMYFUNCTION("""COMPUTED_VALUE"""),82.7)</f>
        <v>82.7</v>
      </c>
      <c r="Q2657" s="112">
        <f ca="1">IFERROR(__xludf.DUMMYFUNCTION("""COMPUTED_VALUE"""),44173.7055555555)</f>
        <v>44173.705555555498</v>
      </c>
      <c r="R2657" s="111">
        <f ca="1">IFERROR(__xludf.DUMMYFUNCTION("""COMPUTED_VALUE"""),36.46)</f>
        <v>36.46</v>
      </c>
      <c r="S2657" s="112">
        <f ca="1">IFERROR(__xludf.DUMMYFUNCTION("""COMPUTED_VALUE"""),44187.7055555555)</f>
        <v>44187.705555555498</v>
      </c>
      <c r="T2657" s="111">
        <f ca="1">IFERROR(__xludf.DUMMYFUNCTION("""COMPUTED_VALUE"""),39.24)</f>
        <v>39.24</v>
      </c>
    </row>
    <row r="2658" spans="1:20" x14ac:dyDescent="0.3">
      <c r="A2658" s="112">
        <f ca="1">IFERROR(__xludf.DUMMYFUNCTION("""COMPUTED_VALUE"""),44182.7055555555)</f>
        <v>44182.705555555498</v>
      </c>
      <c r="B2658" s="111">
        <f ca="1">IFERROR(__xludf.DUMMYFUNCTION("""COMPUTED_VALUE"""),36.45)</f>
        <v>36.450000000000003</v>
      </c>
      <c r="C2658" s="112">
        <f ca="1">IFERROR(__xludf.DUMMYFUNCTION("""COMPUTED_VALUE"""),44195.7055555555)</f>
        <v>44195.705555555498</v>
      </c>
      <c r="D2658" s="111">
        <f ca="1">IFERROR(__xludf.DUMMYFUNCTION("""COMPUTED_VALUE"""),31.63)</f>
        <v>31.63</v>
      </c>
      <c r="E2658" s="112">
        <f ca="1">IFERROR(__xludf.DUMMYFUNCTION("""COMPUTED_VALUE"""),44200.7055555555)</f>
        <v>44200.705555555498</v>
      </c>
      <c r="F2658" s="111">
        <f ca="1">IFERROR(__xludf.DUMMYFUNCTION("""COMPUTED_VALUE"""),11)</f>
        <v>11</v>
      </c>
      <c r="G2658" s="112">
        <f ca="1">IFERROR(__xludf.DUMMYFUNCTION("""COMPUTED_VALUE"""),44194.7055555555)</f>
        <v>44194.705555555498</v>
      </c>
      <c r="H2658" s="111">
        <f ca="1">IFERROR(__xludf.DUMMYFUNCTION("""COMPUTED_VALUE"""),28.27)</f>
        <v>28.27</v>
      </c>
      <c r="K2658" s="112">
        <f ca="1">IFERROR(__xludf.DUMMYFUNCTION("""COMPUTED_VALUE"""),44642.7055555555)</f>
        <v>44642.705555555498</v>
      </c>
      <c r="L2658" s="111">
        <f ca="1">IFERROR(__xludf.DUMMYFUNCTION("""COMPUTED_VALUE"""),5.81)</f>
        <v>5.81</v>
      </c>
      <c r="M2658" s="112">
        <f ca="1">IFERROR(__xludf.DUMMYFUNCTION("""COMPUTED_VALUE"""),44099.7055555555)</f>
        <v>44099.705555555498</v>
      </c>
      <c r="N2658" s="111">
        <f ca="1">IFERROR(__xludf.DUMMYFUNCTION("""COMPUTED_VALUE"""),17.98)</f>
        <v>17.98</v>
      </c>
      <c r="O2658" s="112">
        <f ca="1">IFERROR(__xludf.DUMMYFUNCTION("""COMPUTED_VALUE"""),44175.7055555555)</f>
        <v>44175.705555555498</v>
      </c>
      <c r="P2658" s="111">
        <f ca="1">IFERROR(__xludf.DUMMYFUNCTION("""COMPUTED_VALUE"""),85)</f>
        <v>85</v>
      </c>
      <c r="Q2658" s="112">
        <f ca="1">IFERROR(__xludf.DUMMYFUNCTION("""COMPUTED_VALUE"""),44174.7055555555)</f>
        <v>44174.705555555498</v>
      </c>
      <c r="R2658" s="111">
        <f ca="1">IFERROR(__xludf.DUMMYFUNCTION("""COMPUTED_VALUE"""),35.96)</f>
        <v>35.96</v>
      </c>
      <c r="S2658" s="112">
        <f ca="1">IFERROR(__xludf.DUMMYFUNCTION("""COMPUTED_VALUE"""),44188.7055555555)</f>
        <v>44188.705555555498</v>
      </c>
      <c r="T2658" s="111">
        <f ca="1">IFERROR(__xludf.DUMMYFUNCTION("""COMPUTED_VALUE"""),39.75)</f>
        <v>39.75</v>
      </c>
    </row>
    <row r="2659" spans="1:20" x14ac:dyDescent="0.3">
      <c r="A2659" s="112">
        <f ca="1">IFERROR(__xludf.DUMMYFUNCTION("""COMPUTED_VALUE"""),44183.7055555555)</f>
        <v>44183.705555555498</v>
      </c>
      <c r="B2659" s="111">
        <f ca="1">IFERROR(__xludf.DUMMYFUNCTION("""COMPUTED_VALUE"""),36.47)</f>
        <v>36.47</v>
      </c>
      <c r="C2659" s="112">
        <f ca="1">IFERROR(__xludf.DUMMYFUNCTION("""COMPUTED_VALUE"""),44200.7055555555)</f>
        <v>44200.705555555498</v>
      </c>
      <c r="D2659" s="111">
        <f ca="1">IFERROR(__xludf.DUMMYFUNCTION("""COMPUTED_VALUE"""),30.9)</f>
        <v>30.9</v>
      </c>
      <c r="E2659" s="112">
        <f ca="1">IFERROR(__xludf.DUMMYFUNCTION("""COMPUTED_VALUE"""),44201.7055555555)</f>
        <v>44201.705555555498</v>
      </c>
      <c r="F2659" s="111">
        <f ca="1">IFERROR(__xludf.DUMMYFUNCTION("""COMPUTED_VALUE"""),10.91)</f>
        <v>10.91</v>
      </c>
      <c r="G2659" s="112">
        <f ca="1">IFERROR(__xludf.DUMMYFUNCTION("""COMPUTED_VALUE"""),44195.7055555555)</f>
        <v>44195.705555555498</v>
      </c>
      <c r="H2659" s="111">
        <f ca="1">IFERROR(__xludf.DUMMYFUNCTION("""COMPUTED_VALUE"""),28.34)</f>
        <v>28.34</v>
      </c>
      <c r="K2659" s="112">
        <f ca="1">IFERROR(__xludf.DUMMYFUNCTION("""COMPUTED_VALUE"""),44643.7055555555)</f>
        <v>44643.705555555498</v>
      </c>
      <c r="L2659" s="111">
        <f ca="1">IFERROR(__xludf.DUMMYFUNCTION("""COMPUTED_VALUE"""),6)</f>
        <v>6</v>
      </c>
      <c r="M2659" s="112">
        <f ca="1">IFERROR(__xludf.DUMMYFUNCTION("""COMPUTED_VALUE"""),44102.7055555555)</f>
        <v>44102.705555555498</v>
      </c>
      <c r="N2659" s="111">
        <f ca="1">IFERROR(__xludf.DUMMYFUNCTION("""COMPUTED_VALUE"""),17.93)</f>
        <v>17.93</v>
      </c>
      <c r="O2659" s="112">
        <f ca="1">IFERROR(__xludf.DUMMYFUNCTION("""COMPUTED_VALUE"""),44176.7055555555)</f>
        <v>44176.705555555498</v>
      </c>
      <c r="P2659" s="111">
        <f ca="1">IFERROR(__xludf.DUMMYFUNCTION("""COMPUTED_VALUE"""),84.86)</f>
        <v>84.86</v>
      </c>
      <c r="Q2659" s="112">
        <f ca="1">IFERROR(__xludf.DUMMYFUNCTION("""COMPUTED_VALUE"""),44175.7055555555)</f>
        <v>44175.705555555498</v>
      </c>
      <c r="R2659" s="111">
        <f ca="1">IFERROR(__xludf.DUMMYFUNCTION("""COMPUTED_VALUE"""),37.83)</f>
        <v>37.83</v>
      </c>
      <c r="S2659" s="112">
        <f ca="1">IFERROR(__xludf.DUMMYFUNCTION("""COMPUTED_VALUE"""),44193.7055555555)</f>
        <v>44193.705555555498</v>
      </c>
      <c r="T2659" s="111">
        <f ca="1">IFERROR(__xludf.DUMMYFUNCTION("""COMPUTED_VALUE"""),39.97)</f>
        <v>39.97</v>
      </c>
    </row>
    <row r="2660" spans="1:20" x14ac:dyDescent="0.3">
      <c r="A2660" s="112">
        <f ca="1">IFERROR(__xludf.DUMMYFUNCTION("""COMPUTED_VALUE"""),44186.7055555555)</f>
        <v>44186.705555555498</v>
      </c>
      <c r="B2660" s="111">
        <f ca="1">IFERROR(__xludf.DUMMYFUNCTION("""COMPUTED_VALUE"""),35.6)</f>
        <v>35.6</v>
      </c>
      <c r="C2660" s="112">
        <f ca="1">IFERROR(__xludf.DUMMYFUNCTION("""COMPUTED_VALUE"""),44201.7055555555)</f>
        <v>44201.705555555498</v>
      </c>
      <c r="D2660" s="111">
        <f ca="1">IFERROR(__xludf.DUMMYFUNCTION("""COMPUTED_VALUE"""),30.7)</f>
        <v>30.7</v>
      </c>
      <c r="E2660" s="112">
        <f ca="1">IFERROR(__xludf.DUMMYFUNCTION("""COMPUTED_VALUE"""),44202.7055555555)</f>
        <v>44202.705555555498</v>
      </c>
      <c r="F2660" s="111">
        <f ca="1">IFERROR(__xludf.DUMMYFUNCTION("""COMPUTED_VALUE"""),11.13)</f>
        <v>11.13</v>
      </c>
      <c r="G2660" s="112">
        <f ca="1">IFERROR(__xludf.DUMMYFUNCTION("""COMPUTED_VALUE"""),44200.7055555555)</f>
        <v>44200.705555555498</v>
      </c>
      <c r="H2660" s="111">
        <f ca="1">IFERROR(__xludf.DUMMYFUNCTION("""COMPUTED_VALUE"""),28.91)</f>
        <v>28.91</v>
      </c>
      <c r="K2660" s="112">
        <f ca="1">IFERROR(__xludf.DUMMYFUNCTION("""COMPUTED_VALUE"""),44644.7055555555)</f>
        <v>44644.705555555498</v>
      </c>
      <c r="L2660" s="111">
        <f ca="1">IFERROR(__xludf.DUMMYFUNCTION("""COMPUTED_VALUE"""),6.6)</f>
        <v>6.6</v>
      </c>
      <c r="M2660" s="112">
        <f ca="1">IFERROR(__xludf.DUMMYFUNCTION("""COMPUTED_VALUE"""),44103.7055555555)</f>
        <v>44103.705555555498</v>
      </c>
      <c r="N2660" s="111">
        <f ca="1">IFERROR(__xludf.DUMMYFUNCTION("""COMPUTED_VALUE"""),17.5)</f>
        <v>17.5</v>
      </c>
      <c r="O2660" s="112">
        <f ca="1">IFERROR(__xludf.DUMMYFUNCTION("""COMPUTED_VALUE"""),44179.7055555555)</f>
        <v>44179.705555555498</v>
      </c>
      <c r="P2660" s="111">
        <f ca="1">IFERROR(__xludf.DUMMYFUNCTION("""COMPUTED_VALUE"""),83.55)</f>
        <v>83.55</v>
      </c>
      <c r="Q2660" s="112">
        <f ca="1">IFERROR(__xludf.DUMMYFUNCTION("""COMPUTED_VALUE"""),44176.7055555555)</f>
        <v>44176.705555555498</v>
      </c>
      <c r="R2660" s="111">
        <f ca="1">IFERROR(__xludf.DUMMYFUNCTION("""COMPUTED_VALUE"""),38.49)</f>
        <v>38.49</v>
      </c>
      <c r="S2660" s="112">
        <f ca="1">IFERROR(__xludf.DUMMYFUNCTION("""COMPUTED_VALUE"""),44194.7055555555)</f>
        <v>44194.705555555498</v>
      </c>
      <c r="T2660" s="111">
        <f ca="1">IFERROR(__xludf.DUMMYFUNCTION("""COMPUTED_VALUE"""),40.12)</f>
        <v>40.119999999999997</v>
      </c>
    </row>
    <row r="2661" spans="1:20" x14ac:dyDescent="0.3">
      <c r="A2661" s="112">
        <f ca="1">IFERROR(__xludf.DUMMYFUNCTION("""COMPUTED_VALUE"""),44187.7055555555)</f>
        <v>44187.705555555498</v>
      </c>
      <c r="B2661" s="111">
        <f ca="1">IFERROR(__xludf.DUMMYFUNCTION("""COMPUTED_VALUE"""),35.02)</f>
        <v>35.020000000000003</v>
      </c>
      <c r="C2661" s="112">
        <f ca="1">IFERROR(__xludf.DUMMYFUNCTION("""COMPUTED_VALUE"""),44202.7055555555)</f>
        <v>44202.705555555498</v>
      </c>
      <c r="D2661" s="111">
        <f ca="1">IFERROR(__xludf.DUMMYFUNCTION("""COMPUTED_VALUE"""),31.6)</f>
        <v>31.6</v>
      </c>
      <c r="E2661" s="112">
        <f ca="1">IFERROR(__xludf.DUMMYFUNCTION("""COMPUTED_VALUE"""),44203.7055555555)</f>
        <v>44203.705555555498</v>
      </c>
      <c r="F2661" s="111">
        <f ca="1">IFERROR(__xludf.DUMMYFUNCTION("""COMPUTED_VALUE"""),11.58)</f>
        <v>11.58</v>
      </c>
      <c r="G2661" s="112">
        <f ca="1">IFERROR(__xludf.DUMMYFUNCTION("""COMPUTED_VALUE"""),44201.7055555555)</f>
        <v>44201.705555555498</v>
      </c>
      <c r="H2661" s="111">
        <f ca="1">IFERROR(__xludf.DUMMYFUNCTION("""COMPUTED_VALUE"""),30.04)</f>
        <v>30.04</v>
      </c>
      <c r="K2661" s="112">
        <f ca="1">IFERROR(__xludf.DUMMYFUNCTION("""COMPUTED_VALUE"""),44645.7055555555)</f>
        <v>44645.705555555498</v>
      </c>
      <c r="L2661" s="111">
        <f ca="1">IFERROR(__xludf.DUMMYFUNCTION("""COMPUTED_VALUE"""),6.54)</f>
        <v>6.54</v>
      </c>
      <c r="M2661" s="112">
        <f ca="1">IFERROR(__xludf.DUMMYFUNCTION("""COMPUTED_VALUE"""),44104.7055555555)</f>
        <v>44104.705555555498</v>
      </c>
      <c r="N2661" s="111">
        <f ca="1">IFERROR(__xludf.DUMMYFUNCTION("""COMPUTED_VALUE"""),17.65)</f>
        <v>17.649999999999999</v>
      </c>
      <c r="O2661" s="112">
        <f ca="1">IFERROR(__xludf.DUMMYFUNCTION("""COMPUTED_VALUE"""),44180.7055555555)</f>
        <v>44180.705555555498</v>
      </c>
      <c r="P2661" s="111">
        <f ca="1">IFERROR(__xludf.DUMMYFUNCTION("""COMPUTED_VALUE"""),84.5)</f>
        <v>84.5</v>
      </c>
      <c r="Q2661" s="112">
        <f ca="1">IFERROR(__xludf.DUMMYFUNCTION("""COMPUTED_VALUE"""),44179.7055555555)</f>
        <v>44179.705555555498</v>
      </c>
      <c r="R2661" s="111">
        <f ca="1">IFERROR(__xludf.DUMMYFUNCTION("""COMPUTED_VALUE"""),38.5)</f>
        <v>38.5</v>
      </c>
      <c r="S2661" s="112">
        <f ca="1">IFERROR(__xludf.DUMMYFUNCTION("""COMPUTED_VALUE"""),44195.7055555555)</f>
        <v>44195.705555555498</v>
      </c>
      <c r="T2661" s="111">
        <f ca="1">IFERROR(__xludf.DUMMYFUNCTION("""COMPUTED_VALUE"""),39.58)</f>
        <v>39.58</v>
      </c>
    </row>
    <row r="2662" spans="1:20" x14ac:dyDescent="0.3">
      <c r="A2662" s="112">
        <f ca="1">IFERROR(__xludf.DUMMYFUNCTION("""COMPUTED_VALUE"""),44188.7055555555)</f>
        <v>44188.705555555498</v>
      </c>
      <c r="B2662" s="111">
        <f ca="1">IFERROR(__xludf.DUMMYFUNCTION("""COMPUTED_VALUE"""),35.65)</f>
        <v>35.65</v>
      </c>
      <c r="C2662" s="112">
        <f ca="1">IFERROR(__xludf.DUMMYFUNCTION("""COMPUTED_VALUE"""),44203.7055555555)</f>
        <v>44203.705555555498</v>
      </c>
      <c r="D2662" s="111">
        <f ca="1">IFERROR(__xludf.DUMMYFUNCTION("""COMPUTED_VALUE"""),32.83)</f>
        <v>32.83</v>
      </c>
      <c r="E2662" s="112">
        <f ca="1">IFERROR(__xludf.DUMMYFUNCTION("""COMPUTED_VALUE"""),44204.7055555555)</f>
        <v>44204.705555555498</v>
      </c>
      <c r="F2662" s="111">
        <f ca="1">IFERROR(__xludf.DUMMYFUNCTION("""COMPUTED_VALUE"""),11.55)</f>
        <v>11.55</v>
      </c>
      <c r="G2662" s="112">
        <f ca="1">IFERROR(__xludf.DUMMYFUNCTION("""COMPUTED_VALUE"""),44202.7055555555)</f>
        <v>44202.705555555498</v>
      </c>
      <c r="H2662" s="111">
        <f ca="1">IFERROR(__xludf.DUMMYFUNCTION("""COMPUTED_VALUE"""),30.1)</f>
        <v>30.1</v>
      </c>
      <c r="K2662" s="112">
        <f ca="1">IFERROR(__xludf.DUMMYFUNCTION("""COMPUTED_VALUE"""),44648.7055555555)</f>
        <v>44648.705555555498</v>
      </c>
      <c r="L2662" s="111">
        <f ca="1">IFERROR(__xludf.DUMMYFUNCTION("""COMPUTED_VALUE"""),6.47)</f>
        <v>6.47</v>
      </c>
      <c r="M2662" s="112">
        <f ca="1">IFERROR(__xludf.DUMMYFUNCTION("""COMPUTED_VALUE"""),44105.7055555555)</f>
        <v>44105.705555555498</v>
      </c>
      <c r="N2662" s="111">
        <f ca="1">IFERROR(__xludf.DUMMYFUNCTION("""COMPUTED_VALUE"""),17.73)</f>
        <v>17.73</v>
      </c>
      <c r="O2662" s="112">
        <f ca="1">IFERROR(__xludf.DUMMYFUNCTION("""COMPUTED_VALUE"""),44181.7055555555)</f>
        <v>44181.705555555498</v>
      </c>
      <c r="P2662" s="111">
        <f ca="1">IFERROR(__xludf.DUMMYFUNCTION("""COMPUTED_VALUE"""),86.22)</f>
        <v>86.22</v>
      </c>
      <c r="Q2662" s="112">
        <f ca="1">IFERROR(__xludf.DUMMYFUNCTION("""COMPUTED_VALUE"""),44180.7055555555)</f>
        <v>44180.705555555498</v>
      </c>
      <c r="R2662" s="111">
        <f ca="1">IFERROR(__xludf.DUMMYFUNCTION("""COMPUTED_VALUE"""),38.99)</f>
        <v>38.99</v>
      </c>
      <c r="S2662" s="112">
        <f ca="1">IFERROR(__xludf.DUMMYFUNCTION("""COMPUTED_VALUE"""),44200.7055555555)</f>
        <v>44200.705555555498</v>
      </c>
      <c r="T2662" s="111">
        <f ca="1">IFERROR(__xludf.DUMMYFUNCTION("""COMPUTED_VALUE"""),38.37)</f>
        <v>38.369999999999997</v>
      </c>
    </row>
    <row r="2663" spans="1:20" x14ac:dyDescent="0.3">
      <c r="A2663" s="112">
        <f ca="1">IFERROR(__xludf.DUMMYFUNCTION("""COMPUTED_VALUE"""),44193.7055555555)</f>
        <v>44193.705555555498</v>
      </c>
      <c r="B2663" s="111">
        <f ca="1">IFERROR(__xludf.DUMMYFUNCTION("""COMPUTED_VALUE"""),36.23)</f>
        <v>36.229999999999997</v>
      </c>
      <c r="C2663" s="112">
        <f ca="1">IFERROR(__xludf.DUMMYFUNCTION("""COMPUTED_VALUE"""),44204.7055555555)</f>
        <v>44204.705555555498</v>
      </c>
      <c r="D2663" s="111">
        <f ca="1">IFERROR(__xludf.DUMMYFUNCTION("""COMPUTED_VALUE"""),32.82)</f>
        <v>32.82</v>
      </c>
      <c r="E2663" s="112">
        <f ca="1">IFERROR(__xludf.DUMMYFUNCTION("""COMPUTED_VALUE"""),44207.7055555555)</f>
        <v>44207.705555555498</v>
      </c>
      <c r="F2663" s="111">
        <f ca="1">IFERROR(__xludf.DUMMYFUNCTION("""COMPUTED_VALUE"""),11.29)</f>
        <v>11.29</v>
      </c>
      <c r="G2663" s="112">
        <f ca="1">IFERROR(__xludf.DUMMYFUNCTION("""COMPUTED_VALUE"""),44203.7055555555)</f>
        <v>44203.705555555498</v>
      </c>
      <c r="H2663" s="111">
        <f ca="1">IFERROR(__xludf.DUMMYFUNCTION("""COMPUTED_VALUE"""),31)</f>
        <v>31</v>
      </c>
      <c r="K2663" s="112">
        <f ca="1">IFERROR(__xludf.DUMMYFUNCTION("""COMPUTED_VALUE"""),44649.7055555555)</f>
        <v>44649.705555555498</v>
      </c>
      <c r="L2663" s="111">
        <f ca="1">IFERROR(__xludf.DUMMYFUNCTION("""COMPUTED_VALUE"""),7)</f>
        <v>7</v>
      </c>
      <c r="M2663" s="112">
        <f ca="1">IFERROR(__xludf.DUMMYFUNCTION("""COMPUTED_VALUE"""),44106.7055555555)</f>
        <v>44106.705555555498</v>
      </c>
      <c r="N2663" s="111">
        <f ca="1">IFERROR(__xludf.DUMMYFUNCTION("""COMPUTED_VALUE"""),17.85)</f>
        <v>17.850000000000001</v>
      </c>
      <c r="O2663" s="112">
        <f ca="1">IFERROR(__xludf.DUMMYFUNCTION("""COMPUTED_VALUE"""),44182.7055555555)</f>
        <v>44182.705555555498</v>
      </c>
      <c r="P2663" s="111">
        <f ca="1">IFERROR(__xludf.DUMMYFUNCTION("""COMPUTED_VALUE"""),87.2)</f>
        <v>87.2</v>
      </c>
      <c r="Q2663" s="112">
        <f ca="1">IFERROR(__xludf.DUMMYFUNCTION("""COMPUTED_VALUE"""),44181.7055555555)</f>
        <v>44181.705555555498</v>
      </c>
      <c r="R2663" s="111">
        <f ca="1">IFERROR(__xludf.DUMMYFUNCTION("""COMPUTED_VALUE"""),39.35)</f>
        <v>39.35</v>
      </c>
      <c r="S2663" s="112">
        <f ca="1">IFERROR(__xludf.DUMMYFUNCTION("""COMPUTED_VALUE"""),44201.7055555555)</f>
        <v>44201.705555555498</v>
      </c>
      <c r="T2663" s="111">
        <f ca="1">IFERROR(__xludf.DUMMYFUNCTION("""COMPUTED_VALUE"""),38)</f>
        <v>38</v>
      </c>
    </row>
    <row r="2664" spans="1:20" x14ac:dyDescent="0.3">
      <c r="A2664" s="112">
        <f ca="1">IFERROR(__xludf.DUMMYFUNCTION("""COMPUTED_VALUE"""),44194.7055555555)</f>
        <v>44194.705555555498</v>
      </c>
      <c r="B2664" s="111">
        <f ca="1">IFERROR(__xludf.DUMMYFUNCTION("""COMPUTED_VALUE"""),36.19)</f>
        <v>36.19</v>
      </c>
      <c r="C2664" s="112">
        <f ca="1">IFERROR(__xludf.DUMMYFUNCTION("""COMPUTED_VALUE"""),44207.7055555555)</f>
        <v>44207.705555555498</v>
      </c>
      <c r="D2664" s="111">
        <f ca="1">IFERROR(__xludf.DUMMYFUNCTION("""COMPUTED_VALUE"""),32.08)</f>
        <v>32.08</v>
      </c>
      <c r="E2664" s="112">
        <f ca="1">IFERROR(__xludf.DUMMYFUNCTION("""COMPUTED_VALUE"""),44208.8125)</f>
        <v>44208.8125</v>
      </c>
      <c r="F2664" s="111">
        <f ca="1">IFERROR(__xludf.DUMMYFUNCTION("""COMPUTED_VALUE"""),11.37)</f>
        <v>11.37</v>
      </c>
      <c r="G2664" s="112">
        <f ca="1">IFERROR(__xludf.DUMMYFUNCTION("""COMPUTED_VALUE"""),44204.7055555555)</f>
        <v>44204.705555555498</v>
      </c>
      <c r="H2664" s="111">
        <f ca="1">IFERROR(__xludf.DUMMYFUNCTION("""COMPUTED_VALUE"""),31.12)</f>
        <v>31.12</v>
      </c>
      <c r="K2664" s="112">
        <f ca="1">IFERROR(__xludf.DUMMYFUNCTION("""COMPUTED_VALUE"""),44650.7055555555)</f>
        <v>44650.705555555498</v>
      </c>
      <c r="L2664" s="111">
        <f ca="1">IFERROR(__xludf.DUMMYFUNCTION("""COMPUTED_VALUE"""),6.87)</f>
        <v>6.87</v>
      </c>
      <c r="M2664" s="112">
        <f ca="1">IFERROR(__xludf.DUMMYFUNCTION("""COMPUTED_VALUE"""),44109.7055555555)</f>
        <v>44109.705555555498</v>
      </c>
      <c r="N2664" s="111">
        <f ca="1">IFERROR(__xludf.DUMMYFUNCTION("""COMPUTED_VALUE"""),18.11)</f>
        <v>18.11</v>
      </c>
      <c r="O2664" s="112">
        <f ca="1">IFERROR(__xludf.DUMMYFUNCTION("""COMPUTED_VALUE"""),44183.7055555555)</f>
        <v>44183.705555555498</v>
      </c>
      <c r="P2664" s="111">
        <f ca="1">IFERROR(__xludf.DUMMYFUNCTION("""COMPUTED_VALUE"""),87.8)</f>
        <v>87.8</v>
      </c>
      <c r="Q2664" s="112">
        <f ca="1">IFERROR(__xludf.DUMMYFUNCTION("""COMPUTED_VALUE"""),44182.7055555555)</f>
        <v>44182.705555555498</v>
      </c>
      <c r="R2664" s="111">
        <f ca="1">IFERROR(__xludf.DUMMYFUNCTION("""COMPUTED_VALUE"""),39.39)</f>
        <v>39.39</v>
      </c>
      <c r="S2664" s="112">
        <f ca="1">IFERROR(__xludf.DUMMYFUNCTION("""COMPUTED_VALUE"""),44202.7055555555)</f>
        <v>44202.705555555498</v>
      </c>
      <c r="T2664" s="111">
        <f ca="1">IFERROR(__xludf.DUMMYFUNCTION("""COMPUTED_VALUE"""),36.09)</f>
        <v>36.090000000000003</v>
      </c>
    </row>
    <row r="2665" spans="1:20" x14ac:dyDescent="0.3">
      <c r="A2665" s="112">
        <f ca="1">IFERROR(__xludf.DUMMYFUNCTION("""COMPUTED_VALUE"""),44195.7055555555)</f>
        <v>44195.705555555498</v>
      </c>
      <c r="B2665" s="111">
        <f ca="1">IFERROR(__xludf.DUMMYFUNCTION("""COMPUTED_VALUE"""),36.28)</f>
        <v>36.28</v>
      </c>
      <c r="C2665" s="112">
        <f ca="1">IFERROR(__xludf.DUMMYFUNCTION("""COMPUTED_VALUE"""),44208.8125)</f>
        <v>44208.8125</v>
      </c>
      <c r="D2665" s="111">
        <f ca="1">IFERROR(__xludf.DUMMYFUNCTION("""COMPUTED_VALUE"""),32.18)</f>
        <v>32.18</v>
      </c>
      <c r="E2665" s="112">
        <f ca="1">IFERROR(__xludf.DUMMYFUNCTION("""COMPUTED_VALUE"""),44209.7055555555)</f>
        <v>44209.705555555498</v>
      </c>
      <c r="F2665" s="111">
        <f ca="1">IFERROR(__xludf.DUMMYFUNCTION("""COMPUTED_VALUE"""),11.26)</f>
        <v>11.26</v>
      </c>
      <c r="G2665" s="112">
        <f ca="1">IFERROR(__xludf.DUMMYFUNCTION("""COMPUTED_VALUE"""),44207.7055555555)</f>
        <v>44207.705555555498</v>
      </c>
      <c r="H2665" s="111">
        <f ca="1">IFERROR(__xludf.DUMMYFUNCTION("""COMPUTED_VALUE"""),30.86)</f>
        <v>30.86</v>
      </c>
      <c r="K2665" s="112">
        <f ca="1">IFERROR(__xludf.DUMMYFUNCTION("""COMPUTED_VALUE"""),44651.7055555555)</f>
        <v>44651.705555555498</v>
      </c>
      <c r="L2665" s="111">
        <f ca="1">IFERROR(__xludf.DUMMYFUNCTION("""COMPUTED_VALUE"""),6.82)</f>
        <v>6.82</v>
      </c>
      <c r="M2665" s="112">
        <f ca="1">IFERROR(__xludf.DUMMYFUNCTION("""COMPUTED_VALUE"""),44110.7055555555)</f>
        <v>44110.705555555498</v>
      </c>
      <c r="N2665" s="111">
        <f ca="1">IFERROR(__xludf.DUMMYFUNCTION("""COMPUTED_VALUE"""),18.05)</f>
        <v>18.05</v>
      </c>
      <c r="O2665" s="112">
        <f ca="1">IFERROR(__xludf.DUMMYFUNCTION("""COMPUTED_VALUE"""),44186.7055555555)</f>
        <v>44186.705555555498</v>
      </c>
      <c r="P2665" s="111">
        <f ca="1">IFERROR(__xludf.DUMMYFUNCTION("""COMPUTED_VALUE"""),86.86)</f>
        <v>86.86</v>
      </c>
      <c r="Q2665" s="112">
        <f ca="1">IFERROR(__xludf.DUMMYFUNCTION("""COMPUTED_VALUE"""),44183.7055555555)</f>
        <v>44183.705555555498</v>
      </c>
      <c r="R2665" s="111">
        <f ca="1">IFERROR(__xludf.DUMMYFUNCTION("""COMPUTED_VALUE"""),39.1)</f>
        <v>39.1</v>
      </c>
      <c r="S2665" s="112">
        <f ca="1">IFERROR(__xludf.DUMMYFUNCTION("""COMPUTED_VALUE"""),44203.7055555555)</f>
        <v>44203.705555555498</v>
      </c>
      <c r="T2665" s="111">
        <f ca="1">IFERROR(__xludf.DUMMYFUNCTION("""COMPUTED_VALUE"""),37.05)</f>
        <v>37.049999999999997</v>
      </c>
    </row>
    <row r="2666" spans="1:20" x14ac:dyDescent="0.3">
      <c r="A2666" s="112">
        <f ca="1">IFERROR(__xludf.DUMMYFUNCTION("""COMPUTED_VALUE"""),44200.7055555555)</f>
        <v>44200.705555555498</v>
      </c>
      <c r="B2666" s="111">
        <f ca="1">IFERROR(__xludf.DUMMYFUNCTION("""COMPUTED_VALUE"""),35.25)</f>
        <v>35.25</v>
      </c>
      <c r="C2666" s="112">
        <f ca="1">IFERROR(__xludf.DUMMYFUNCTION("""COMPUTED_VALUE"""),44209.7055555555)</f>
        <v>44209.705555555498</v>
      </c>
      <c r="D2666" s="111">
        <f ca="1">IFERROR(__xludf.DUMMYFUNCTION("""COMPUTED_VALUE"""),31.65)</f>
        <v>31.65</v>
      </c>
      <c r="E2666" s="112">
        <f ca="1">IFERROR(__xludf.DUMMYFUNCTION("""COMPUTED_VALUE"""),44210.7055555555)</f>
        <v>44210.705555555498</v>
      </c>
      <c r="F2666" s="111">
        <f ca="1">IFERROR(__xludf.DUMMYFUNCTION("""COMPUTED_VALUE"""),11.5)</f>
        <v>11.5</v>
      </c>
      <c r="G2666" s="112">
        <f ca="1">IFERROR(__xludf.DUMMYFUNCTION("""COMPUTED_VALUE"""),44208.8125)</f>
        <v>44208.8125</v>
      </c>
      <c r="H2666" s="111">
        <f ca="1">IFERROR(__xludf.DUMMYFUNCTION("""COMPUTED_VALUE"""),30.63)</f>
        <v>30.63</v>
      </c>
      <c r="K2666" s="112">
        <f ca="1">IFERROR(__xludf.DUMMYFUNCTION("""COMPUTED_VALUE"""),44652.7055555555)</f>
        <v>44652.705555555498</v>
      </c>
      <c r="L2666" s="111">
        <f ca="1">IFERROR(__xludf.DUMMYFUNCTION("""COMPUTED_VALUE"""),7.35)</f>
        <v>7.35</v>
      </c>
      <c r="M2666" s="112">
        <f ca="1">IFERROR(__xludf.DUMMYFUNCTION("""COMPUTED_VALUE"""),44111.7055555555)</f>
        <v>44111.705555555498</v>
      </c>
      <c r="N2666" s="111">
        <f ca="1">IFERROR(__xludf.DUMMYFUNCTION("""COMPUTED_VALUE"""),17.85)</f>
        <v>17.850000000000001</v>
      </c>
      <c r="O2666" s="112">
        <f ca="1">IFERROR(__xludf.DUMMYFUNCTION("""COMPUTED_VALUE"""),44187.7055555555)</f>
        <v>44187.705555555498</v>
      </c>
      <c r="P2666" s="111">
        <f ca="1">IFERROR(__xludf.DUMMYFUNCTION("""COMPUTED_VALUE"""),86.94)</f>
        <v>86.94</v>
      </c>
      <c r="Q2666" s="112">
        <f ca="1">IFERROR(__xludf.DUMMYFUNCTION("""COMPUTED_VALUE"""),44186.7055555555)</f>
        <v>44186.705555555498</v>
      </c>
      <c r="R2666" s="111">
        <f ca="1">IFERROR(__xludf.DUMMYFUNCTION("""COMPUTED_VALUE"""),37.79)</f>
        <v>37.79</v>
      </c>
      <c r="S2666" s="112">
        <f ca="1">IFERROR(__xludf.DUMMYFUNCTION("""COMPUTED_VALUE"""),44204.7055555555)</f>
        <v>44204.705555555498</v>
      </c>
      <c r="T2666" s="111">
        <f ca="1">IFERROR(__xludf.DUMMYFUNCTION("""COMPUTED_VALUE"""),39.18)</f>
        <v>39.18</v>
      </c>
    </row>
    <row r="2667" spans="1:20" x14ac:dyDescent="0.3">
      <c r="A2667" s="112">
        <f ca="1">IFERROR(__xludf.DUMMYFUNCTION("""COMPUTED_VALUE"""),44201.7055555555)</f>
        <v>44201.705555555498</v>
      </c>
      <c r="B2667" s="111">
        <f ca="1">IFERROR(__xludf.DUMMYFUNCTION("""COMPUTED_VALUE"""),34.34)</f>
        <v>34.340000000000003</v>
      </c>
      <c r="C2667" s="112">
        <f ca="1">IFERROR(__xludf.DUMMYFUNCTION("""COMPUTED_VALUE"""),44210.7055555555)</f>
        <v>44210.705555555498</v>
      </c>
      <c r="D2667" s="111">
        <f ca="1">IFERROR(__xludf.DUMMYFUNCTION("""COMPUTED_VALUE"""),32.59)</f>
        <v>32.590000000000003</v>
      </c>
      <c r="E2667" s="112">
        <f ca="1">IFERROR(__xludf.DUMMYFUNCTION("""COMPUTED_VALUE"""),44211.7055555555)</f>
        <v>44211.705555555498</v>
      </c>
      <c r="F2667" s="111">
        <f ca="1">IFERROR(__xludf.DUMMYFUNCTION("""COMPUTED_VALUE"""),11.06)</f>
        <v>11.06</v>
      </c>
      <c r="G2667" s="112">
        <f ca="1">IFERROR(__xludf.DUMMYFUNCTION("""COMPUTED_VALUE"""),44209.7055555555)</f>
        <v>44209.705555555498</v>
      </c>
      <c r="H2667" s="111">
        <f ca="1">IFERROR(__xludf.DUMMYFUNCTION("""COMPUTED_VALUE"""),29.15)</f>
        <v>29.15</v>
      </c>
      <c r="K2667" s="112">
        <f ca="1">IFERROR(__xludf.DUMMYFUNCTION("""COMPUTED_VALUE"""),44655.7055555555)</f>
        <v>44655.705555555498</v>
      </c>
      <c r="L2667" s="111">
        <f ca="1">IFERROR(__xludf.DUMMYFUNCTION("""COMPUTED_VALUE"""),7.19)</f>
        <v>7.19</v>
      </c>
      <c r="M2667" s="112">
        <f ca="1">IFERROR(__xludf.DUMMYFUNCTION("""COMPUTED_VALUE"""),44112.7055555555)</f>
        <v>44112.705555555498</v>
      </c>
      <c r="N2667" s="111">
        <f ca="1">IFERROR(__xludf.DUMMYFUNCTION("""COMPUTED_VALUE"""),18.77)</f>
        <v>18.77</v>
      </c>
      <c r="O2667" s="112">
        <f ca="1">IFERROR(__xludf.DUMMYFUNCTION("""COMPUTED_VALUE"""),44188.7055555555)</f>
        <v>44188.705555555498</v>
      </c>
      <c r="P2667" s="111">
        <f ca="1">IFERROR(__xludf.DUMMYFUNCTION("""COMPUTED_VALUE"""),87.36)</f>
        <v>87.36</v>
      </c>
      <c r="Q2667" s="112">
        <f ca="1">IFERROR(__xludf.DUMMYFUNCTION("""COMPUTED_VALUE"""),44187.7055555555)</f>
        <v>44187.705555555498</v>
      </c>
      <c r="R2667" s="111">
        <f ca="1">IFERROR(__xludf.DUMMYFUNCTION("""COMPUTED_VALUE"""),38.29)</f>
        <v>38.29</v>
      </c>
      <c r="S2667" s="112">
        <f ca="1">IFERROR(__xludf.DUMMYFUNCTION("""COMPUTED_VALUE"""),44207.7055555555)</f>
        <v>44207.705555555498</v>
      </c>
      <c r="T2667" s="111">
        <f ca="1">IFERROR(__xludf.DUMMYFUNCTION("""COMPUTED_VALUE"""),37.68)</f>
        <v>37.68</v>
      </c>
    </row>
    <row r="2668" spans="1:20" x14ac:dyDescent="0.3">
      <c r="A2668" s="112">
        <f ca="1">IFERROR(__xludf.DUMMYFUNCTION("""COMPUTED_VALUE"""),44202.7055555555)</f>
        <v>44202.705555555498</v>
      </c>
      <c r="B2668" s="111">
        <f ca="1">IFERROR(__xludf.DUMMYFUNCTION("""COMPUTED_VALUE"""),33.78)</f>
        <v>33.78</v>
      </c>
      <c r="C2668" s="112">
        <f ca="1">IFERROR(__xludf.DUMMYFUNCTION("""COMPUTED_VALUE"""),44211.7055555555)</f>
        <v>44211.705555555498</v>
      </c>
      <c r="D2668" s="111">
        <f ca="1">IFERROR(__xludf.DUMMYFUNCTION("""COMPUTED_VALUE"""),31.36)</f>
        <v>31.36</v>
      </c>
      <c r="E2668" s="112">
        <f ca="1">IFERROR(__xludf.DUMMYFUNCTION("""COMPUTED_VALUE"""),44214.7055555555)</f>
        <v>44214.705555555498</v>
      </c>
      <c r="F2668" s="111">
        <f ca="1">IFERROR(__xludf.DUMMYFUNCTION("""COMPUTED_VALUE"""),11.08)</f>
        <v>11.08</v>
      </c>
      <c r="G2668" s="112">
        <f ca="1">IFERROR(__xludf.DUMMYFUNCTION("""COMPUTED_VALUE"""),44210.7055555555)</f>
        <v>44210.705555555498</v>
      </c>
      <c r="H2668" s="111">
        <f ca="1">IFERROR(__xludf.DUMMYFUNCTION("""COMPUTED_VALUE"""),29.45)</f>
        <v>29.45</v>
      </c>
      <c r="K2668" s="112">
        <f ca="1">IFERROR(__xludf.DUMMYFUNCTION("""COMPUTED_VALUE"""),44656.7055555555)</f>
        <v>44656.705555555498</v>
      </c>
      <c r="L2668" s="111">
        <f ca="1">IFERROR(__xludf.DUMMYFUNCTION("""COMPUTED_VALUE"""),6.91)</f>
        <v>6.91</v>
      </c>
      <c r="M2668" s="112">
        <f ca="1">IFERROR(__xludf.DUMMYFUNCTION("""COMPUTED_VALUE"""),44113.7055555555)</f>
        <v>44113.705555555498</v>
      </c>
      <c r="N2668" s="111">
        <f ca="1">IFERROR(__xludf.DUMMYFUNCTION("""COMPUTED_VALUE"""),18.85)</f>
        <v>18.850000000000001</v>
      </c>
      <c r="O2668" s="112">
        <f ca="1">IFERROR(__xludf.DUMMYFUNCTION("""COMPUTED_VALUE"""),44193.7055555555)</f>
        <v>44193.705555555498</v>
      </c>
      <c r="P2668" s="111">
        <f ca="1">IFERROR(__xludf.DUMMYFUNCTION("""COMPUTED_VALUE"""),87.31)</f>
        <v>87.31</v>
      </c>
      <c r="Q2668" s="112">
        <f ca="1">IFERROR(__xludf.DUMMYFUNCTION("""COMPUTED_VALUE"""),44188.7055555555)</f>
        <v>44188.705555555498</v>
      </c>
      <c r="R2668" s="111">
        <f ca="1">IFERROR(__xludf.DUMMYFUNCTION("""COMPUTED_VALUE"""),38.92)</f>
        <v>38.92</v>
      </c>
      <c r="S2668" s="112">
        <f ca="1">IFERROR(__xludf.DUMMYFUNCTION("""COMPUTED_VALUE"""),44208.8125)</f>
        <v>44208.8125</v>
      </c>
      <c r="T2668" s="111">
        <f ca="1">IFERROR(__xludf.DUMMYFUNCTION("""COMPUTED_VALUE"""),38.09)</f>
        <v>38.090000000000003</v>
      </c>
    </row>
    <row r="2669" spans="1:20" x14ac:dyDescent="0.3">
      <c r="A2669" s="112">
        <f ca="1">IFERROR(__xludf.DUMMYFUNCTION("""COMPUTED_VALUE"""),44203.7055555555)</f>
        <v>44203.705555555498</v>
      </c>
      <c r="B2669" s="111">
        <f ca="1">IFERROR(__xludf.DUMMYFUNCTION("""COMPUTED_VALUE"""),33.55)</f>
        <v>33.549999999999997</v>
      </c>
      <c r="C2669" s="112">
        <f ca="1">IFERROR(__xludf.DUMMYFUNCTION("""COMPUTED_VALUE"""),44214.7055555555)</f>
        <v>44214.705555555498</v>
      </c>
      <c r="D2669" s="111">
        <f ca="1">IFERROR(__xludf.DUMMYFUNCTION("""COMPUTED_VALUE"""),31.2)</f>
        <v>31.2</v>
      </c>
      <c r="E2669" s="112">
        <f ca="1">IFERROR(__xludf.DUMMYFUNCTION("""COMPUTED_VALUE"""),44215.7055555555)</f>
        <v>44215.705555555498</v>
      </c>
      <c r="F2669" s="111">
        <f ca="1">IFERROR(__xludf.DUMMYFUNCTION("""COMPUTED_VALUE"""),10.9)</f>
        <v>10.9</v>
      </c>
      <c r="G2669" s="112">
        <f ca="1">IFERROR(__xludf.DUMMYFUNCTION("""COMPUTED_VALUE"""),44211.7055555555)</f>
        <v>44211.705555555498</v>
      </c>
      <c r="H2669" s="111">
        <f ca="1">IFERROR(__xludf.DUMMYFUNCTION("""COMPUTED_VALUE"""),28.12)</f>
        <v>28.12</v>
      </c>
      <c r="K2669" s="112">
        <f ca="1">IFERROR(__xludf.DUMMYFUNCTION("""COMPUTED_VALUE"""),44657.7055555555)</f>
        <v>44657.705555555498</v>
      </c>
      <c r="L2669" s="111">
        <f ca="1">IFERROR(__xludf.DUMMYFUNCTION("""COMPUTED_VALUE"""),6.62)</f>
        <v>6.62</v>
      </c>
      <c r="M2669" s="112">
        <f ca="1">IFERROR(__xludf.DUMMYFUNCTION("""COMPUTED_VALUE"""),44117.7055555555)</f>
        <v>44117.705555555498</v>
      </c>
      <c r="N2669" s="111">
        <f ca="1">IFERROR(__xludf.DUMMYFUNCTION("""COMPUTED_VALUE"""),18.96)</f>
        <v>18.96</v>
      </c>
      <c r="O2669" s="112">
        <f ca="1">IFERROR(__xludf.DUMMYFUNCTION("""COMPUTED_VALUE"""),44194.7055555555)</f>
        <v>44194.705555555498</v>
      </c>
      <c r="P2669" s="111">
        <f ca="1">IFERROR(__xludf.DUMMYFUNCTION("""COMPUTED_VALUE"""),87.07)</f>
        <v>87.07</v>
      </c>
      <c r="Q2669" s="112">
        <f ca="1">IFERROR(__xludf.DUMMYFUNCTION("""COMPUTED_VALUE"""),44193.7055555555)</f>
        <v>44193.705555555498</v>
      </c>
      <c r="R2669" s="111">
        <f ca="1">IFERROR(__xludf.DUMMYFUNCTION("""COMPUTED_VALUE"""),39.35)</f>
        <v>39.35</v>
      </c>
      <c r="S2669" s="112">
        <f ca="1">IFERROR(__xludf.DUMMYFUNCTION("""COMPUTED_VALUE"""),44209.7055555555)</f>
        <v>44209.705555555498</v>
      </c>
      <c r="T2669" s="111">
        <f ca="1">IFERROR(__xludf.DUMMYFUNCTION("""COMPUTED_VALUE"""),37.64)</f>
        <v>37.64</v>
      </c>
    </row>
    <row r="2670" spans="1:20" x14ac:dyDescent="0.3">
      <c r="A2670" s="112">
        <f ca="1">IFERROR(__xludf.DUMMYFUNCTION("""COMPUTED_VALUE"""),44204.7055555555)</f>
        <v>44204.705555555498</v>
      </c>
      <c r="B2670" s="111">
        <f ca="1">IFERROR(__xludf.DUMMYFUNCTION("""COMPUTED_VALUE"""),34.61)</f>
        <v>34.61</v>
      </c>
      <c r="C2670" s="112">
        <f ca="1">IFERROR(__xludf.DUMMYFUNCTION("""COMPUTED_VALUE"""),44215.7055555555)</f>
        <v>44215.705555555498</v>
      </c>
      <c r="D2670" s="111">
        <f ca="1">IFERROR(__xludf.DUMMYFUNCTION("""COMPUTED_VALUE"""),30.83)</f>
        <v>30.83</v>
      </c>
      <c r="E2670" s="112">
        <f ca="1">IFERROR(__xludf.DUMMYFUNCTION("""COMPUTED_VALUE"""),44216.7055555555)</f>
        <v>44216.705555555498</v>
      </c>
      <c r="F2670" s="111">
        <f ca="1">IFERROR(__xludf.DUMMYFUNCTION("""COMPUTED_VALUE"""),10.73)</f>
        <v>10.73</v>
      </c>
      <c r="G2670" s="112">
        <f ca="1">IFERROR(__xludf.DUMMYFUNCTION("""COMPUTED_VALUE"""),44214.7055555555)</f>
        <v>44214.705555555498</v>
      </c>
      <c r="H2670" s="111">
        <f ca="1">IFERROR(__xludf.DUMMYFUNCTION("""COMPUTED_VALUE"""),28.07)</f>
        <v>28.07</v>
      </c>
      <c r="K2670" s="112">
        <f ca="1">IFERROR(__xludf.DUMMYFUNCTION("""COMPUTED_VALUE"""),44658.7055555555)</f>
        <v>44658.705555555498</v>
      </c>
      <c r="L2670" s="111">
        <f ca="1">IFERROR(__xludf.DUMMYFUNCTION("""COMPUTED_VALUE"""),6.56)</f>
        <v>6.56</v>
      </c>
      <c r="M2670" s="112">
        <f ca="1">IFERROR(__xludf.DUMMYFUNCTION("""COMPUTED_VALUE"""),44118.7055555555)</f>
        <v>44118.705555555498</v>
      </c>
      <c r="N2670" s="111">
        <f ca="1">IFERROR(__xludf.DUMMYFUNCTION("""COMPUTED_VALUE"""),18.98)</f>
        <v>18.98</v>
      </c>
      <c r="O2670" s="112">
        <f ca="1">IFERROR(__xludf.DUMMYFUNCTION("""COMPUTED_VALUE"""),44195.7055555555)</f>
        <v>44195.705555555498</v>
      </c>
      <c r="P2670" s="111">
        <f ca="1">IFERROR(__xludf.DUMMYFUNCTION("""COMPUTED_VALUE"""),87.45)</f>
        <v>87.45</v>
      </c>
      <c r="Q2670" s="112">
        <f ca="1">IFERROR(__xludf.DUMMYFUNCTION("""COMPUTED_VALUE"""),44194.7055555555)</f>
        <v>44194.705555555498</v>
      </c>
      <c r="R2670" s="111">
        <f ca="1">IFERROR(__xludf.DUMMYFUNCTION("""COMPUTED_VALUE"""),39.12)</f>
        <v>39.119999999999997</v>
      </c>
      <c r="S2670" s="112">
        <f ca="1">IFERROR(__xludf.DUMMYFUNCTION("""COMPUTED_VALUE"""),44210.7055555555)</f>
        <v>44210.705555555498</v>
      </c>
      <c r="T2670" s="111">
        <f ca="1">IFERROR(__xludf.DUMMYFUNCTION("""COMPUTED_VALUE"""),39.44)</f>
        <v>39.44</v>
      </c>
    </row>
    <row r="2671" spans="1:20" x14ac:dyDescent="0.3">
      <c r="A2671" s="112">
        <f ca="1">IFERROR(__xludf.DUMMYFUNCTION("""COMPUTED_VALUE"""),44207.7055555555)</f>
        <v>44207.705555555498</v>
      </c>
      <c r="B2671" s="111">
        <f ca="1">IFERROR(__xludf.DUMMYFUNCTION("""COMPUTED_VALUE"""),33.35)</f>
        <v>33.35</v>
      </c>
      <c r="C2671" s="112">
        <f ca="1">IFERROR(__xludf.DUMMYFUNCTION("""COMPUTED_VALUE"""),44216.7055555555)</f>
        <v>44216.705555555498</v>
      </c>
      <c r="D2671" s="111">
        <f ca="1">IFERROR(__xludf.DUMMYFUNCTION("""COMPUTED_VALUE"""),30.32)</f>
        <v>30.32</v>
      </c>
      <c r="E2671" s="112">
        <f ca="1">IFERROR(__xludf.DUMMYFUNCTION("""COMPUTED_VALUE"""),44217.7055555555)</f>
        <v>44217.705555555498</v>
      </c>
      <c r="F2671" s="111">
        <f ca="1">IFERROR(__xludf.DUMMYFUNCTION("""COMPUTED_VALUE"""),10.51)</f>
        <v>10.51</v>
      </c>
      <c r="G2671" s="112">
        <f ca="1">IFERROR(__xludf.DUMMYFUNCTION("""COMPUTED_VALUE"""),44215.7055555555)</f>
        <v>44215.705555555498</v>
      </c>
      <c r="H2671" s="111">
        <f ca="1">IFERROR(__xludf.DUMMYFUNCTION("""COMPUTED_VALUE"""),28.69)</f>
        <v>28.69</v>
      </c>
      <c r="K2671" s="112">
        <f ca="1">IFERROR(__xludf.DUMMYFUNCTION("""COMPUTED_VALUE"""),44659.7055555555)</f>
        <v>44659.705555555498</v>
      </c>
      <c r="L2671" s="111">
        <f ca="1">IFERROR(__xludf.DUMMYFUNCTION("""COMPUTED_VALUE"""),6.13)</f>
        <v>6.13</v>
      </c>
      <c r="M2671" s="112">
        <f ca="1">IFERROR(__xludf.DUMMYFUNCTION("""COMPUTED_VALUE"""),44119.7055555555)</f>
        <v>44119.705555555498</v>
      </c>
      <c r="N2671" s="111">
        <f ca="1">IFERROR(__xludf.DUMMYFUNCTION("""COMPUTED_VALUE"""),18.85)</f>
        <v>18.850000000000001</v>
      </c>
      <c r="O2671" s="112">
        <f ca="1">IFERROR(__xludf.DUMMYFUNCTION("""COMPUTED_VALUE"""),44200.7055555555)</f>
        <v>44200.705555555498</v>
      </c>
      <c r="P2671" s="111">
        <f ca="1">IFERROR(__xludf.DUMMYFUNCTION("""COMPUTED_VALUE"""),91.46)</f>
        <v>91.46</v>
      </c>
      <c r="Q2671" s="112">
        <f ca="1">IFERROR(__xludf.DUMMYFUNCTION("""COMPUTED_VALUE"""),44195.7055555555)</f>
        <v>44195.705555555498</v>
      </c>
      <c r="R2671" s="111">
        <f ca="1">IFERROR(__xludf.DUMMYFUNCTION("""COMPUTED_VALUE"""),38.8)</f>
        <v>38.799999999999997</v>
      </c>
      <c r="S2671" s="112">
        <f ca="1">IFERROR(__xludf.DUMMYFUNCTION("""COMPUTED_VALUE"""),44211.7055555555)</f>
        <v>44211.705555555498</v>
      </c>
      <c r="T2671" s="111">
        <f ca="1">IFERROR(__xludf.DUMMYFUNCTION("""COMPUTED_VALUE"""),39.16)</f>
        <v>39.159999999999997</v>
      </c>
    </row>
    <row r="2672" spans="1:20" x14ac:dyDescent="0.3">
      <c r="A2672" s="112">
        <f ca="1">IFERROR(__xludf.DUMMYFUNCTION("""COMPUTED_VALUE"""),44208.8125)</f>
        <v>44208.8125</v>
      </c>
      <c r="B2672" s="111">
        <f ca="1">IFERROR(__xludf.DUMMYFUNCTION("""COMPUTED_VALUE"""),34.04)</f>
        <v>34.04</v>
      </c>
      <c r="C2672" s="112">
        <f ca="1">IFERROR(__xludf.DUMMYFUNCTION("""COMPUTED_VALUE"""),44217.7055555555)</f>
        <v>44217.705555555498</v>
      </c>
      <c r="D2672" s="111">
        <f ca="1">IFERROR(__xludf.DUMMYFUNCTION("""COMPUTED_VALUE"""),29.91)</f>
        <v>29.91</v>
      </c>
      <c r="E2672" s="112">
        <f ca="1">IFERROR(__xludf.DUMMYFUNCTION("""COMPUTED_VALUE"""),44218.7055555555)</f>
        <v>44218.705555555498</v>
      </c>
      <c r="F2672" s="111">
        <f ca="1">IFERROR(__xludf.DUMMYFUNCTION("""COMPUTED_VALUE"""),10.36)</f>
        <v>10.36</v>
      </c>
      <c r="G2672" s="112">
        <f ca="1">IFERROR(__xludf.DUMMYFUNCTION("""COMPUTED_VALUE"""),44216.7055555555)</f>
        <v>44216.705555555498</v>
      </c>
      <c r="H2672" s="111">
        <f ca="1">IFERROR(__xludf.DUMMYFUNCTION("""COMPUTED_VALUE"""),28.21)</f>
        <v>28.21</v>
      </c>
      <c r="K2672" s="112">
        <f ca="1">IFERROR(__xludf.DUMMYFUNCTION("""COMPUTED_VALUE"""),44662.7055555555)</f>
        <v>44662.705555555498</v>
      </c>
      <c r="L2672" s="111">
        <f ca="1">IFERROR(__xludf.DUMMYFUNCTION("""COMPUTED_VALUE"""),6.08)</f>
        <v>6.08</v>
      </c>
      <c r="M2672" s="112">
        <f ca="1">IFERROR(__xludf.DUMMYFUNCTION("""COMPUTED_VALUE"""),44120.7055555555)</f>
        <v>44120.705555555498</v>
      </c>
      <c r="N2672" s="111">
        <f ca="1">IFERROR(__xludf.DUMMYFUNCTION("""COMPUTED_VALUE"""),18.48)</f>
        <v>18.48</v>
      </c>
      <c r="O2672" s="112">
        <f ca="1">IFERROR(__xludf.DUMMYFUNCTION("""COMPUTED_VALUE"""),44201.7055555555)</f>
        <v>44201.705555555498</v>
      </c>
      <c r="P2672" s="111">
        <f ca="1">IFERROR(__xludf.DUMMYFUNCTION("""COMPUTED_VALUE"""),93)</f>
        <v>93</v>
      </c>
      <c r="Q2672" s="112">
        <f ca="1">IFERROR(__xludf.DUMMYFUNCTION("""COMPUTED_VALUE"""),44200.7055555555)</f>
        <v>44200.705555555498</v>
      </c>
      <c r="R2672" s="111">
        <f ca="1">IFERROR(__xludf.DUMMYFUNCTION("""COMPUTED_VALUE"""),37.59)</f>
        <v>37.590000000000003</v>
      </c>
      <c r="S2672" s="112">
        <f ca="1">IFERROR(__xludf.DUMMYFUNCTION("""COMPUTED_VALUE"""),44214.7055555555)</f>
        <v>44214.705555555498</v>
      </c>
      <c r="T2672" s="111">
        <f ca="1">IFERROR(__xludf.DUMMYFUNCTION("""COMPUTED_VALUE"""),39.21)</f>
        <v>39.21</v>
      </c>
    </row>
    <row r="2673" spans="1:20" x14ac:dyDescent="0.3">
      <c r="A2673" s="112">
        <f ca="1">IFERROR(__xludf.DUMMYFUNCTION("""COMPUTED_VALUE"""),44209.7055555555)</f>
        <v>44209.705555555498</v>
      </c>
      <c r="B2673" s="111">
        <f ca="1">IFERROR(__xludf.DUMMYFUNCTION("""COMPUTED_VALUE"""),33.86)</f>
        <v>33.86</v>
      </c>
      <c r="C2673" s="112">
        <f ca="1">IFERROR(__xludf.DUMMYFUNCTION("""COMPUTED_VALUE"""),44218.7055555555)</f>
        <v>44218.705555555498</v>
      </c>
      <c r="D2673" s="111">
        <f ca="1">IFERROR(__xludf.DUMMYFUNCTION("""COMPUTED_VALUE"""),29.27)</f>
        <v>29.27</v>
      </c>
      <c r="E2673" s="112">
        <f ca="1">IFERROR(__xludf.DUMMYFUNCTION("""COMPUTED_VALUE"""),44222.7055555555)</f>
        <v>44222.705555555498</v>
      </c>
      <c r="F2673" s="111">
        <f ca="1">IFERROR(__xludf.DUMMYFUNCTION("""COMPUTED_VALUE"""),10.11)</f>
        <v>10.11</v>
      </c>
      <c r="G2673" s="112">
        <f ca="1">IFERROR(__xludf.DUMMYFUNCTION("""COMPUTED_VALUE"""),44217.7055555555)</f>
        <v>44217.705555555498</v>
      </c>
      <c r="H2673" s="111">
        <f ca="1">IFERROR(__xludf.DUMMYFUNCTION("""COMPUTED_VALUE"""),27.55)</f>
        <v>27.55</v>
      </c>
      <c r="K2673" s="112">
        <f ca="1">IFERROR(__xludf.DUMMYFUNCTION("""COMPUTED_VALUE"""),44663.7055555555)</f>
        <v>44663.705555555498</v>
      </c>
      <c r="L2673" s="111">
        <f ca="1">IFERROR(__xludf.DUMMYFUNCTION("""COMPUTED_VALUE"""),5.97)</f>
        <v>5.97</v>
      </c>
      <c r="M2673" s="112">
        <f ca="1">IFERROR(__xludf.DUMMYFUNCTION("""COMPUTED_VALUE"""),44123.7055555555)</f>
        <v>44123.705555555498</v>
      </c>
      <c r="N2673" s="111">
        <f ca="1">IFERROR(__xludf.DUMMYFUNCTION("""COMPUTED_VALUE"""),18.74)</f>
        <v>18.739999999999998</v>
      </c>
      <c r="O2673" s="112">
        <f ca="1">IFERROR(__xludf.DUMMYFUNCTION("""COMPUTED_VALUE"""),44202.7055555555)</f>
        <v>44202.705555555498</v>
      </c>
      <c r="P2673" s="111">
        <f ca="1">IFERROR(__xludf.DUMMYFUNCTION("""COMPUTED_VALUE"""),96.05)</f>
        <v>96.05</v>
      </c>
      <c r="Q2673" s="112">
        <f ca="1">IFERROR(__xludf.DUMMYFUNCTION("""COMPUTED_VALUE"""),44201.7055555555)</f>
        <v>44201.705555555498</v>
      </c>
      <c r="R2673" s="111">
        <f ca="1">IFERROR(__xludf.DUMMYFUNCTION("""COMPUTED_VALUE"""),37.2)</f>
        <v>37.200000000000003</v>
      </c>
      <c r="S2673" s="112">
        <f ca="1">IFERROR(__xludf.DUMMYFUNCTION("""COMPUTED_VALUE"""),44215.7055555555)</f>
        <v>44215.705555555498</v>
      </c>
      <c r="T2673" s="111">
        <f ca="1">IFERROR(__xludf.DUMMYFUNCTION("""COMPUTED_VALUE"""),39.91)</f>
        <v>39.909999999999997</v>
      </c>
    </row>
    <row r="2674" spans="1:20" x14ac:dyDescent="0.3">
      <c r="A2674" s="112">
        <f ca="1">IFERROR(__xludf.DUMMYFUNCTION("""COMPUTED_VALUE"""),44210.7055555555)</f>
        <v>44210.705555555498</v>
      </c>
      <c r="B2674" s="111">
        <f ca="1">IFERROR(__xludf.DUMMYFUNCTION("""COMPUTED_VALUE"""),35.11)</f>
        <v>35.11</v>
      </c>
      <c r="C2674" s="112">
        <f ca="1">IFERROR(__xludf.DUMMYFUNCTION("""COMPUTED_VALUE"""),44222.7055555555)</f>
        <v>44222.705555555498</v>
      </c>
      <c r="D2674" s="111">
        <f ca="1">IFERROR(__xludf.DUMMYFUNCTION("""COMPUTED_VALUE"""),28.25)</f>
        <v>28.25</v>
      </c>
      <c r="E2674" s="112">
        <f ca="1">IFERROR(__xludf.DUMMYFUNCTION("""COMPUTED_VALUE"""),44223.7055555555)</f>
        <v>44223.705555555498</v>
      </c>
      <c r="F2674" s="111">
        <f ca="1">IFERROR(__xludf.DUMMYFUNCTION("""COMPUTED_VALUE"""),10.04)</f>
        <v>10.039999999999999</v>
      </c>
      <c r="G2674" s="112">
        <f ca="1">IFERROR(__xludf.DUMMYFUNCTION("""COMPUTED_VALUE"""),44218.7055555555)</f>
        <v>44218.705555555498</v>
      </c>
      <c r="H2674" s="111">
        <f ca="1">IFERROR(__xludf.DUMMYFUNCTION("""COMPUTED_VALUE"""),27.09)</f>
        <v>27.09</v>
      </c>
      <c r="K2674" s="112">
        <f ca="1">IFERROR(__xludf.DUMMYFUNCTION("""COMPUTED_VALUE"""),44664.7055555555)</f>
        <v>44664.705555555498</v>
      </c>
      <c r="L2674" s="111">
        <f ca="1">IFERROR(__xludf.DUMMYFUNCTION("""COMPUTED_VALUE"""),6.03)</f>
        <v>6.03</v>
      </c>
      <c r="M2674" s="112">
        <f ca="1">IFERROR(__xludf.DUMMYFUNCTION("""COMPUTED_VALUE"""),44124.7055555555)</f>
        <v>44124.705555555498</v>
      </c>
      <c r="N2674" s="111">
        <f ca="1">IFERROR(__xludf.DUMMYFUNCTION("""COMPUTED_VALUE"""),19.55)</f>
        <v>19.55</v>
      </c>
      <c r="O2674" s="112">
        <f ca="1">IFERROR(__xludf.DUMMYFUNCTION("""COMPUTED_VALUE"""),44203.7055555555)</f>
        <v>44203.705555555498</v>
      </c>
      <c r="P2674" s="111">
        <f ca="1">IFERROR(__xludf.DUMMYFUNCTION("""COMPUTED_VALUE"""),102.32)</f>
        <v>102.32</v>
      </c>
      <c r="Q2674" s="112">
        <f ca="1">IFERROR(__xludf.DUMMYFUNCTION("""COMPUTED_VALUE"""),44202.7055555555)</f>
        <v>44202.705555555498</v>
      </c>
      <c r="R2674" s="111">
        <f ca="1">IFERROR(__xludf.DUMMYFUNCTION("""COMPUTED_VALUE"""),38.05)</f>
        <v>38.049999999999997</v>
      </c>
      <c r="S2674" s="112">
        <f ca="1">IFERROR(__xludf.DUMMYFUNCTION("""COMPUTED_VALUE"""),44216.7055555555)</f>
        <v>44216.705555555498</v>
      </c>
      <c r="T2674" s="111">
        <f ca="1">IFERROR(__xludf.DUMMYFUNCTION("""COMPUTED_VALUE"""),39.19)</f>
        <v>39.19</v>
      </c>
    </row>
    <row r="2675" spans="1:20" x14ac:dyDescent="0.3">
      <c r="A2675" s="112">
        <f ca="1">IFERROR(__xludf.DUMMYFUNCTION("""COMPUTED_VALUE"""),44211.7055555555)</f>
        <v>44211.705555555498</v>
      </c>
      <c r="B2675" s="111">
        <f ca="1">IFERROR(__xludf.DUMMYFUNCTION("""COMPUTED_VALUE"""),33.73)</f>
        <v>33.729999999999997</v>
      </c>
      <c r="C2675" s="112">
        <f ca="1">IFERROR(__xludf.DUMMYFUNCTION("""COMPUTED_VALUE"""),44223.7055555555)</f>
        <v>44223.705555555498</v>
      </c>
      <c r="D2675" s="111">
        <f ca="1">IFERROR(__xludf.DUMMYFUNCTION("""COMPUTED_VALUE"""),28.25)</f>
        <v>28.25</v>
      </c>
      <c r="E2675" s="112">
        <f ca="1">IFERROR(__xludf.DUMMYFUNCTION("""COMPUTED_VALUE"""),44224.7055555555)</f>
        <v>44224.705555555498</v>
      </c>
      <c r="F2675" s="111">
        <f ca="1">IFERROR(__xludf.DUMMYFUNCTION("""COMPUTED_VALUE"""),10.45)</f>
        <v>10.45</v>
      </c>
      <c r="G2675" s="112">
        <f ca="1">IFERROR(__xludf.DUMMYFUNCTION("""COMPUTED_VALUE"""),44222.7055555555)</f>
        <v>44222.705555555498</v>
      </c>
      <c r="H2675" s="111">
        <f ca="1">IFERROR(__xludf.DUMMYFUNCTION("""COMPUTED_VALUE"""),27)</f>
        <v>27</v>
      </c>
      <c r="K2675" s="112">
        <f ca="1">IFERROR(__xludf.DUMMYFUNCTION("""COMPUTED_VALUE"""),44665.7055555555)</f>
        <v>44665.705555555498</v>
      </c>
      <c r="L2675" s="111">
        <f ca="1">IFERROR(__xludf.DUMMYFUNCTION("""COMPUTED_VALUE"""),6.01)</f>
        <v>6.01</v>
      </c>
      <c r="M2675" s="112">
        <f ca="1">IFERROR(__xludf.DUMMYFUNCTION("""COMPUTED_VALUE"""),44125.7055555555)</f>
        <v>44125.705555555498</v>
      </c>
      <c r="N2675" s="111">
        <f ca="1">IFERROR(__xludf.DUMMYFUNCTION("""COMPUTED_VALUE"""),19.75)</f>
        <v>19.75</v>
      </c>
      <c r="O2675" s="112">
        <f ca="1">IFERROR(__xludf.DUMMYFUNCTION("""COMPUTED_VALUE"""),44204.7055555555)</f>
        <v>44204.705555555498</v>
      </c>
      <c r="P2675" s="111">
        <f ca="1">IFERROR(__xludf.DUMMYFUNCTION("""COMPUTED_VALUE"""),102)</f>
        <v>102</v>
      </c>
      <c r="Q2675" s="112">
        <f ca="1">IFERROR(__xludf.DUMMYFUNCTION("""COMPUTED_VALUE"""),44203.7055555555)</f>
        <v>44203.705555555498</v>
      </c>
      <c r="R2675" s="111">
        <f ca="1">IFERROR(__xludf.DUMMYFUNCTION("""COMPUTED_VALUE"""),39.56)</f>
        <v>39.56</v>
      </c>
      <c r="S2675" s="112">
        <f ca="1">IFERROR(__xludf.DUMMYFUNCTION("""COMPUTED_VALUE"""),44217.7055555555)</f>
        <v>44217.705555555498</v>
      </c>
      <c r="T2675" s="111">
        <f ca="1">IFERROR(__xludf.DUMMYFUNCTION("""COMPUTED_VALUE"""),38.51)</f>
        <v>38.51</v>
      </c>
    </row>
    <row r="2676" spans="1:20" x14ac:dyDescent="0.3">
      <c r="A2676" s="112">
        <f ca="1">IFERROR(__xludf.DUMMYFUNCTION("""COMPUTED_VALUE"""),44214.7055555555)</f>
        <v>44214.705555555498</v>
      </c>
      <c r="B2676" s="111">
        <f ca="1">IFERROR(__xludf.DUMMYFUNCTION("""COMPUTED_VALUE"""),33.5)</f>
        <v>33.5</v>
      </c>
      <c r="C2676" s="112">
        <f ca="1">IFERROR(__xludf.DUMMYFUNCTION("""COMPUTED_VALUE"""),44224.7055555555)</f>
        <v>44224.705555555498</v>
      </c>
      <c r="D2676" s="111">
        <f ca="1">IFERROR(__xludf.DUMMYFUNCTION("""COMPUTED_VALUE"""),29.39)</f>
        <v>29.39</v>
      </c>
      <c r="E2676" s="112">
        <f ca="1">IFERROR(__xludf.DUMMYFUNCTION("""COMPUTED_VALUE"""),44225.7055555555)</f>
        <v>44225.705555555498</v>
      </c>
      <c r="F2676" s="111">
        <f ca="1">IFERROR(__xludf.DUMMYFUNCTION("""COMPUTED_VALUE"""),10.1)</f>
        <v>10.1</v>
      </c>
      <c r="G2676" s="112">
        <f ca="1">IFERROR(__xludf.DUMMYFUNCTION("""COMPUTED_VALUE"""),44223.7055555555)</f>
        <v>44223.705555555498</v>
      </c>
      <c r="H2676" s="111">
        <f ca="1">IFERROR(__xludf.DUMMYFUNCTION("""COMPUTED_VALUE"""),27.4)</f>
        <v>27.4</v>
      </c>
      <c r="K2676" s="112">
        <f ca="1">IFERROR(__xludf.DUMMYFUNCTION("""COMPUTED_VALUE"""),44669.7055555555)</f>
        <v>44669.705555555498</v>
      </c>
      <c r="L2676" s="111">
        <f ca="1">IFERROR(__xludf.DUMMYFUNCTION("""COMPUTED_VALUE"""),5.89)</f>
        <v>5.89</v>
      </c>
      <c r="M2676" s="112">
        <f ca="1">IFERROR(__xludf.DUMMYFUNCTION("""COMPUTED_VALUE"""),44126.7055555555)</f>
        <v>44126.705555555498</v>
      </c>
      <c r="N2676" s="111">
        <f ca="1">IFERROR(__xludf.DUMMYFUNCTION("""COMPUTED_VALUE"""),20.65)</f>
        <v>20.65</v>
      </c>
      <c r="O2676" s="112">
        <f ca="1">IFERROR(__xludf.DUMMYFUNCTION("""COMPUTED_VALUE"""),44207.7055555555)</f>
        <v>44207.705555555498</v>
      </c>
      <c r="P2676" s="111">
        <f ca="1">IFERROR(__xludf.DUMMYFUNCTION("""COMPUTED_VALUE"""),101.98)</f>
        <v>101.98</v>
      </c>
      <c r="Q2676" s="112">
        <f ca="1">IFERROR(__xludf.DUMMYFUNCTION("""COMPUTED_VALUE"""),44204.7055555555)</f>
        <v>44204.705555555498</v>
      </c>
      <c r="R2676" s="111">
        <f ca="1">IFERROR(__xludf.DUMMYFUNCTION("""COMPUTED_VALUE"""),39.79)</f>
        <v>39.79</v>
      </c>
      <c r="S2676" s="112">
        <f ca="1">IFERROR(__xludf.DUMMYFUNCTION("""COMPUTED_VALUE"""),44218.7055555555)</f>
        <v>44218.705555555498</v>
      </c>
      <c r="T2676" s="111">
        <f ca="1">IFERROR(__xludf.DUMMYFUNCTION("""COMPUTED_VALUE"""),37.29)</f>
        <v>37.29</v>
      </c>
    </row>
    <row r="2677" spans="1:20" x14ac:dyDescent="0.3">
      <c r="A2677" s="112">
        <f ca="1">IFERROR(__xludf.DUMMYFUNCTION("""COMPUTED_VALUE"""),44215.7055555555)</f>
        <v>44215.705555555498</v>
      </c>
      <c r="B2677" s="111">
        <f ca="1">IFERROR(__xludf.DUMMYFUNCTION("""COMPUTED_VALUE"""),32.94)</f>
        <v>32.94</v>
      </c>
      <c r="C2677" s="112">
        <f ca="1">IFERROR(__xludf.DUMMYFUNCTION("""COMPUTED_VALUE"""),44225.7055555555)</f>
        <v>44225.705555555498</v>
      </c>
      <c r="D2677" s="111">
        <f ca="1">IFERROR(__xludf.DUMMYFUNCTION("""COMPUTED_VALUE"""),28.34)</f>
        <v>28.34</v>
      </c>
      <c r="E2677" s="112">
        <f ca="1">IFERROR(__xludf.DUMMYFUNCTION("""COMPUTED_VALUE"""),44228.7055555555)</f>
        <v>44228.705555555498</v>
      </c>
      <c r="F2677" s="111">
        <f ca="1">IFERROR(__xludf.DUMMYFUNCTION("""COMPUTED_VALUE"""),10.28)</f>
        <v>10.28</v>
      </c>
      <c r="G2677" s="112">
        <f ca="1">IFERROR(__xludf.DUMMYFUNCTION("""COMPUTED_VALUE"""),44224.7055555555)</f>
        <v>44224.705555555498</v>
      </c>
      <c r="H2677" s="111">
        <f ca="1">IFERROR(__xludf.DUMMYFUNCTION("""COMPUTED_VALUE"""),27.76)</f>
        <v>27.76</v>
      </c>
      <c r="K2677" s="112">
        <f ca="1">IFERROR(__xludf.DUMMYFUNCTION("""COMPUTED_VALUE"""),44670.7055555555)</f>
        <v>44670.705555555498</v>
      </c>
      <c r="L2677" s="111">
        <f ca="1">IFERROR(__xludf.DUMMYFUNCTION("""COMPUTED_VALUE"""),5.94)</f>
        <v>5.94</v>
      </c>
      <c r="M2677" s="112">
        <f ca="1">IFERROR(__xludf.DUMMYFUNCTION("""COMPUTED_VALUE"""),44127.7055555555)</f>
        <v>44127.705555555498</v>
      </c>
      <c r="N2677" s="111">
        <f ca="1">IFERROR(__xludf.DUMMYFUNCTION("""COMPUTED_VALUE"""),20.56)</f>
        <v>20.56</v>
      </c>
      <c r="O2677" s="112">
        <f ca="1">IFERROR(__xludf.DUMMYFUNCTION("""COMPUTED_VALUE"""),44208.8125)</f>
        <v>44208.8125</v>
      </c>
      <c r="P2677" s="111">
        <f ca="1">IFERROR(__xludf.DUMMYFUNCTION("""COMPUTED_VALUE"""),99.19)</f>
        <v>99.19</v>
      </c>
      <c r="Q2677" s="112">
        <f ca="1">IFERROR(__xludf.DUMMYFUNCTION("""COMPUTED_VALUE"""),44207.7055555555)</f>
        <v>44207.705555555498</v>
      </c>
      <c r="R2677" s="111">
        <f ca="1">IFERROR(__xludf.DUMMYFUNCTION("""COMPUTED_VALUE"""),39.14)</f>
        <v>39.14</v>
      </c>
      <c r="S2677" s="112">
        <f ca="1">IFERROR(__xludf.DUMMYFUNCTION("""COMPUTED_VALUE"""),44222.7055555555)</f>
        <v>44222.705555555498</v>
      </c>
      <c r="T2677" s="111">
        <f ca="1">IFERROR(__xludf.DUMMYFUNCTION("""COMPUTED_VALUE"""),37.65)</f>
        <v>37.65</v>
      </c>
    </row>
    <row r="2678" spans="1:20" x14ac:dyDescent="0.3">
      <c r="A2678" s="112">
        <f ca="1">IFERROR(__xludf.DUMMYFUNCTION("""COMPUTED_VALUE"""),44216.7055555555)</f>
        <v>44216.705555555498</v>
      </c>
      <c r="B2678" s="111">
        <f ca="1">IFERROR(__xludf.DUMMYFUNCTION("""COMPUTED_VALUE"""),32.65)</f>
        <v>32.65</v>
      </c>
      <c r="C2678" s="112">
        <f ca="1">IFERROR(__xludf.DUMMYFUNCTION("""COMPUTED_VALUE"""),44228.7055555555)</f>
        <v>44228.705555555498</v>
      </c>
      <c r="D2678" s="111">
        <f ca="1">IFERROR(__xludf.DUMMYFUNCTION("""COMPUTED_VALUE"""),29.08)</f>
        <v>29.08</v>
      </c>
      <c r="E2678" s="112">
        <f ca="1">IFERROR(__xludf.DUMMYFUNCTION("""COMPUTED_VALUE"""),44229.7055555555)</f>
        <v>44229.705555555498</v>
      </c>
      <c r="F2678" s="111">
        <f ca="1">IFERROR(__xludf.DUMMYFUNCTION("""COMPUTED_VALUE"""),10.3)</f>
        <v>10.3</v>
      </c>
      <c r="G2678" s="112">
        <f ca="1">IFERROR(__xludf.DUMMYFUNCTION("""COMPUTED_VALUE"""),44225.7055555555)</f>
        <v>44225.705555555498</v>
      </c>
      <c r="H2678" s="111">
        <f ca="1">IFERROR(__xludf.DUMMYFUNCTION("""COMPUTED_VALUE"""),26.69)</f>
        <v>26.69</v>
      </c>
      <c r="K2678" s="112">
        <f ca="1">IFERROR(__xludf.DUMMYFUNCTION("""COMPUTED_VALUE"""),44671.7055555555)</f>
        <v>44671.705555555498</v>
      </c>
      <c r="L2678" s="111">
        <f ca="1">IFERROR(__xludf.DUMMYFUNCTION("""COMPUTED_VALUE"""),5.61)</f>
        <v>5.61</v>
      </c>
      <c r="M2678" s="112">
        <f ca="1">IFERROR(__xludf.DUMMYFUNCTION("""COMPUTED_VALUE"""),44130.7055555555)</f>
        <v>44130.705555555498</v>
      </c>
      <c r="N2678" s="111">
        <f ca="1">IFERROR(__xludf.DUMMYFUNCTION("""COMPUTED_VALUE"""),20.82)</f>
        <v>20.82</v>
      </c>
      <c r="O2678" s="112">
        <f ca="1">IFERROR(__xludf.DUMMYFUNCTION("""COMPUTED_VALUE"""),44209.7055555555)</f>
        <v>44209.705555555498</v>
      </c>
      <c r="P2678" s="111">
        <f ca="1">IFERROR(__xludf.DUMMYFUNCTION("""COMPUTED_VALUE"""),96.22)</f>
        <v>96.22</v>
      </c>
      <c r="Q2678" s="112">
        <f ca="1">IFERROR(__xludf.DUMMYFUNCTION("""COMPUTED_VALUE"""),44208.8125)</f>
        <v>44208.8125</v>
      </c>
      <c r="R2678" s="111">
        <f ca="1">IFERROR(__xludf.DUMMYFUNCTION("""COMPUTED_VALUE"""),39.5)</f>
        <v>39.5</v>
      </c>
      <c r="S2678" s="112">
        <f ca="1">IFERROR(__xludf.DUMMYFUNCTION("""COMPUTED_VALUE"""),44223.7055555555)</f>
        <v>44223.705555555498</v>
      </c>
      <c r="T2678" s="111">
        <f ca="1">IFERROR(__xludf.DUMMYFUNCTION("""COMPUTED_VALUE"""),38.07)</f>
        <v>38.07</v>
      </c>
    </row>
    <row r="2679" spans="1:20" x14ac:dyDescent="0.3">
      <c r="A2679" s="112">
        <f ca="1">IFERROR(__xludf.DUMMYFUNCTION("""COMPUTED_VALUE"""),44217.7055555555)</f>
        <v>44217.705555555498</v>
      </c>
      <c r="B2679" s="111">
        <f ca="1">IFERROR(__xludf.DUMMYFUNCTION("""COMPUTED_VALUE"""),30.97)</f>
        <v>30.97</v>
      </c>
      <c r="C2679" s="112">
        <f ca="1">IFERROR(__xludf.DUMMYFUNCTION("""COMPUTED_VALUE"""),44229.7055555555)</f>
        <v>44229.705555555498</v>
      </c>
      <c r="D2679" s="111">
        <f ca="1">IFERROR(__xludf.DUMMYFUNCTION("""COMPUTED_VALUE"""),28.46)</f>
        <v>28.46</v>
      </c>
      <c r="E2679" s="112">
        <f ca="1">IFERROR(__xludf.DUMMYFUNCTION("""COMPUTED_VALUE"""),44230.7055555555)</f>
        <v>44230.705555555498</v>
      </c>
      <c r="F2679" s="111">
        <f ca="1">IFERROR(__xludf.DUMMYFUNCTION("""COMPUTED_VALUE"""),10.3)</f>
        <v>10.3</v>
      </c>
      <c r="G2679" s="112">
        <f ca="1">IFERROR(__xludf.DUMMYFUNCTION("""COMPUTED_VALUE"""),44228.7055555555)</f>
        <v>44228.705555555498</v>
      </c>
      <c r="H2679" s="111">
        <f ca="1">IFERROR(__xludf.DUMMYFUNCTION("""COMPUTED_VALUE"""),27.53)</f>
        <v>27.53</v>
      </c>
      <c r="K2679" s="112">
        <f ca="1">IFERROR(__xludf.DUMMYFUNCTION("""COMPUTED_VALUE"""),44673.7055555555)</f>
        <v>44673.705555555498</v>
      </c>
      <c r="L2679" s="111">
        <f ca="1">IFERROR(__xludf.DUMMYFUNCTION("""COMPUTED_VALUE"""),5.55)</f>
        <v>5.55</v>
      </c>
      <c r="M2679" s="112">
        <f ca="1">IFERROR(__xludf.DUMMYFUNCTION("""COMPUTED_VALUE"""),44131.7055555555)</f>
        <v>44131.705555555498</v>
      </c>
      <c r="N2679" s="111">
        <f ca="1">IFERROR(__xludf.DUMMYFUNCTION("""COMPUTED_VALUE"""),20.24)</f>
        <v>20.239999999999998</v>
      </c>
      <c r="O2679" s="112">
        <f ca="1">IFERROR(__xludf.DUMMYFUNCTION("""COMPUTED_VALUE"""),44210.7055555555)</f>
        <v>44210.705555555498</v>
      </c>
      <c r="P2679" s="111">
        <f ca="1">IFERROR(__xludf.DUMMYFUNCTION("""COMPUTED_VALUE"""),97.8)</f>
        <v>97.8</v>
      </c>
      <c r="Q2679" s="112">
        <f ca="1">IFERROR(__xludf.DUMMYFUNCTION("""COMPUTED_VALUE"""),44209.7055555555)</f>
        <v>44209.705555555498</v>
      </c>
      <c r="R2679" s="111">
        <f ca="1">IFERROR(__xludf.DUMMYFUNCTION("""COMPUTED_VALUE"""),37.55)</f>
        <v>37.549999999999997</v>
      </c>
      <c r="S2679" s="112">
        <f ca="1">IFERROR(__xludf.DUMMYFUNCTION("""COMPUTED_VALUE"""),44224.7055555555)</f>
        <v>44224.705555555498</v>
      </c>
      <c r="T2679" s="111">
        <f ca="1">IFERROR(__xludf.DUMMYFUNCTION("""COMPUTED_VALUE"""),39.3)</f>
        <v>39.299999999999997</v>
      </c>
    </row>
    <row r="2680" spans="1:20" x14ac:dyDescent="0.3">
      <c r="A2680" s="112">
        <f ca="1">IFERROR(__xludf.DUMMYFUNCTION("""COMPUTED_VALUE"""),44218.7055555555)</f>
        <v>44218.705555555498</v>
      </c>
      <c r="B2680" s="111">
        <f ca="1">IFERROR(__xludf.DUMMYFUNCTION("""COMPUTED_VALUE"""),29.92)</f>
        <v>29.92</v>
      </c>
      <c r="C2680" s="112">
        <f ca="1">IFERROR(__xludf.DUMMYFUNCTION("""COMPUTED_VALUE"""),44230.7055555555)</f>
        <v>44230.705555555498</v>
      </c>
      <c r="D2680" s="111">
        <f ca="1">IFERROR(__xludf.DUMMYFUNCTION("""COMPUTED_VALUE"""),28.32)</f>
        <v>28.32</v>
      </c>
      <c r="E2680" s="112">
        <f ca="1">IFERROR(__xludf.DUMMYFUNCTION("""COMPUTED_VALUE"""),44231.7055555555)</f>
        <v>44231.705555555498</v>
      </c>
      <c r="F2680" s="111">
        <f ca="1">IFERROR(__xludf.DUMMYFUNCTION("""COMPUTED_VALUE"""),10.3)</f>
        <v>10.3</v>
      </c>
      <c r="G2680" s="112">
        <f ca="1">IFERROR(__xludf.DUMMYFUNCTION("""COMPUTED_VALUE"""),44229.7055555555)</f>
        <v>44229.705555555498</v>
      </c>
      <c r="H2680" s="111">
        <f ca="1">IFERROR(__xludf.DUMMYFUNCTION("""COMPUTED_VALUE"""),28.66)</f>
        <v>28.66</v>
      </c>
      <c r="K2680" s="112">
        <f ca="1">IFERROR(__xludf.DUMMYFUNCTION("""COMPUTED_VALUE"""),44676.7055555555)</f>
        <v>44676.705555555498</v>
      </c>
      <c r="L2680" s="111">
        <f ca="1">IFERROR(__xludf.DUMMYFUNCTION("""COMPUTED_VALUE"""),5.44)</f>
        <v>5.44</v>
      </c>
      <c r="M2680" s="112">
        <f ca="1">IFERROR(__xludf.DUMMYFUNCTION("""COMPUTED_VALUE"""),44132.7055555555)</f>
        <v>44132.705555555498</v>
      </c>
      <c r="N2680" s="111">
        <f ca="1">IFERROR(__xludf.DUMMYFUNCTION("""COMPUTED_VALUE"""),19.09)</f>
        <v>19.09</v>
      </c>
      <c r="O2680" s="112">
        <f ca="1">IFERROR(__xludf.DUMMYFUNCTION("""COMPUTED_VALUE"""),44211.7055555555)</f>
        <v>44211.705555555498</v>
      </c>
      <c r="P2680" s="111">
        <f ca="1">IFERROR(__xludf.DUMMYFUNCTION("""COMPUTED_VALUE"""),93.55)</f>
        <v>93.55</v>
      </c>
      <c r="Q2680" s="112">
        <f ca="1">IFERROR(__xludf.DUMMYFUNCTION("""COMPUTED_VALUE"""),44210.7055555555)</f>
        <v>44210.705555555498</v>
      </c>
      <c r="R2680" s="111">
        <f ca="1">IFERROR(__xludf.DUMMYFUNCTION("""COMPUTED_VALUE"""),37.46)</f>
        <v>37.46</v>
      </c>
      <c r="S2680" s="112">
        <f ca="1">IFERROR(__xludf.DUMMYFUNCTION("""COMPUTED_VALUE"""),44225.7055555555)</f>
        <v>44225.705555555498</v>
      </c>
      <c r="T2680" s="111">
        <f ca="1">IFERROR(__xludf.DUMMYFUNCTION("""COMPUTED_VALUE"""),37.7)</f>
        <v>37.700000000000003</v>
      </c>
    </row>
    <row r="2681" spans="1:20" x14ac:dyDescent="0.3">
      <c r="A2681" s="112">
        <f ca="1">IFERROR(__xludf.DUMMYFUNCTION("""COMPUTED_VALUE"""),44222.7055555555)</f>
        <v>44222.705555555498</v>
      </c>
      <c r="B2681" s="111">
        <f ca="1">IFERROR(__xludf.DUMMYFUNCTION("""COMPUTED_VALUE"""),27.02)</f>
        <v>27.02</v>
      </c>
      <c r="C2681" s="112">
        <f ca="1">IFERROR(__xludf.DUMMYFUNCTION("""COMPUTED_VALUE"""),44231.7055555555)</f>
        <v>44231.705555555498</v>
      </c>
      <c r="D2681" s="111">
        <f ca="1">IFERROR(__xludf.DUMMYFUNCTION("""COMPUTED_VALUE"""),28.2)</f>
        <v>28.2</v>
      </c>
      <c r="E2681" s="112">
        <f ca="1">IFERROR(__xludf.DUMMYFUNCTION("""COMPUTED_VALUE"""),44232.7055555555)</f>
        <v>44232.705555555498</v>
      </c>
      <c r="F2681" s="111">
        <f ca="1">IFERROR(__xludf.DUMMYFUNCTION("""COMPUTED_VALUE"""),10.25)</f>
        <v>10.25</v>
      </c>
      <c r="G2681" s="112">
        <f ca="1">IFERROR(__xludf.DUMMYFUNCTION("""COMPUTED_VALUE"""),44230.7055555555)</f>
        <v>44230.705555555498</v>
      </c>
      <c r="H2681" s="111">
        <f ca="1">IFERROR(__xludf.DUMMYFUNCTION("""COMPUTED_VALUE"""),28.94)</f>
        <v>28.94</v>
      </c>
      <c r="K2681" s="112">
        <f ca="1">IFERROR(__xludf.DUMMYFUNCTION("""COMPUTED_VALUE"""),44677.7055555555)</f>
        <v>44677.705555555498</v>
      </c>
      <c r="L2681" s="111">
        <f ca="1">IFERROR(__xludf.DUMMYFUNCTION("""COMPUTED_VALUE"""),5.18)</f>
        <v>5.18</v>
      </c>
      <c r="M2681" s="112">
        <f ca="1">IFERROR(__xludf.DUMMYFUNCTION("""COMPUTED_VALUE"""),44133.7055555555)</f>
        <v>44133.705555555498</v>
      </c>
      <c r="N2681" s="111">
        <f ca="1">IFERROR(__xludf.DUMMYFUNCTION("""COMPUTED_VALUE"""),18.9)</f>
        <v>18.899999999999999</v>
      </c>
      <c r="O2681" s="112">
        <f ca="1">IFERROR(__xludf.DUMMYFUNCTION("""COMPUTED_VALUE"""),44214.7055555555)</f>
        <v>44214.705555555498</v>
      </c>
      <c r="P2681" s="111">
        <f ca="1">IFERROR(__xludf.DUMMYFUNCTION("""COMPUTED_VALUE"""),94.31)</f>
        <v>94.31</v>
      </c>
      <c r="Q2681" s="112">
        <f ca="1">IFERROR(__xludf.DUMMYFUNCTION("""COMPUTED_VALUE"""),44211.7055555555)</f>
        <v>44211.705555555498</v>
      </c>
      <c r="R2681" s="111">
        <f ca="1">IFERROR(__xludf.DUMMYFUNCTION("""COMPUTED_VALUE"""),36.3)</f>
        <v>36.299999999999997</v>
      </c>
      <c r="S2681" s="112">
        <f ca="1">IFERROR(__xludf.DUMMYFUNCTION("""COMPUTED_VALUE"""),44228.7055555555)</f>
        <v>44228.705555555498</v>
      </c>
      <c r="T2681" s="111">
        <f ca="1">IFERROR(__xludf.DUMMYFUNCTION("""COMPUTED_VALUE"""),37.34)</f>
        <v>37.340000000000003</v>
      </c>
    </row>
    <row r="2682" spans="1:20" x14ac:dyDescent="0.3">
      <c r="A2682" s="112">
        <f ca="1">IFERROR(__xludf.DUMMYFUNCTION("""COMPUTED_VALUE"""),44223.7055555555)</f>
        <v>44223.705555555498</v>
      </c>
      <c r="B2682" s="111">
        <f ca="1">IFERROR(__xludf.DUMMYFUNCTION("""COMPUTED_VALUE"""),27.82)</f>
        <v>27.82</v>
      </c>
      <c r="C2682" s="112">
        <f ca="1">IFERROR(__xludf.DUMMYFUNCTION("""COMPUTED_VALUE"""),44232.7055555555)</f>
        <v>44232.705555555498</v>
      </c>
      <c r="D2682" s="111">
        <f ca="1">IFERROR(__xludf.DUMMYFUNCTION("""COMPUTED_VALUE"""),28.08)</f>
        <v>28.08</v>
      </c>
      <c r="E2682" s="112">
        <f ca="1">IFERROR(__xludf.DUMMYFUNCTION("""COMPUTED_VALUE"""),44235.7055555555)</f>
        <v>44235.705555555498</v>
      </c>
      <c r="F2682" s="111">
        <f ca="1">IFERROR(__xludf.DUMMYFUNCTION("""COMPUTED_VALUE"""),10.1)</f>
        <v>10.1</v>
      </c>
      <c r="G2682" s="112">
        <f ca="1">IFERROR(__xludf.DUMMYFUNCTION("""COMPUTED_VALUE"""),44231.7055555555)</f>
        <v>44231.705555555498</v>
      </c>
      <c r="H2682" s="111">
        <f ca="1">IFERROR(__xludf.DUMMYFUNCTION("""COMPUTED_VALUE"""),28.82)</f>
        <v>28.82</v>
      </c>
      <c r="K2682" s="112">
        <f ca="1">IFERROR(__xludf.DUMMYFUNCTION("""COMPUTED_VALUE"""),44678.7055555555)</f>
        <v>44678.705555555498</v>
      </c>
      <c r="L2682" s="111">
        <f ca="1">IFERROR(__xludf.DUMMYFUNCTION("""COMPUTED_VALUE"""),5.1)</f>
        <v>5.0999999999999996</v>
      </c>
      <c r="M2682" s="112">
        <f ca="1">IFERROR(__xludf.DUMMYFUNCTION("""COMPUTED_VALUE"""),44134.7055555555)</f>
        <v>44134.705555555498</v>
      </c>
      <c r="N2682" s="111">
        <f ca="1">IFERROR(__xludf.DUMMYFUNCTION("""COMPUTED_VALUE"""),18.33)</f>
        <v>18.329999999999998</v>
      </c>
      <c r="O2682" s="112">
        <f ca="1">IFERROR(__xludf.DUMMYFUNCTION("""COMPUTED_VALUE"""),44215.7055555555)</f>
        <v>44215.705555555498</v>
      </c>
      <c r="P2682" s="111">
        <f ca="1">IFERROR(__xludf.DUMMYFUNCTION("""COMPUTED_VALUE"""),94.06)</f>
        <v>94.06</v>
      </c>
      <c r="Q2682" s="112">
        <f ca="1">IFERROR(__xludf.DUMMYFUNCTION("""COMPUTED_VALUE"""),44214.7055555555)</f>
        <v>44214.705555555498</v>
      </c>
      <c r="R2682" s="111">
        <f ca="1">IFERROR(__xludf.DUMMYFUNCTION("""COMPUTED_VALUE"""),35.93)</f>
        <v>35.93</v>
      </c>
      <c r="S2682" s="112">
        <f ca="1">IFERROR(__xludf.DUMMYFUNCTION("""COMPUTED_VALUE"""),44229.7055555555)</f>
        <v>44229.705555555498</v>
      </c>
      <c r="T2682" s="111">
        <f ca="1">IFERROR(__xludf.DUMMYFUNCTION("""COMPUTED_VALUE"""),37.28)</f>
        <v>37.28</v>
      </c>
    </row>
    <row r="2683" spans="1:20" x14ac:dyDescent="0.3">
      <c r="A2683" s="112">
        <f ca="1">IFERROR(__xludf.DUMMYFUNCTION("""COMPUTED_VALUE"""),44224.7055555555)</f>
        <v>44224.705555555498</v>
      </c>
      <c r="B2683" s="111">
        <f ca="1">IFERROR(__xludf.DUMMYFUNCTION("""COMPUTED_VALUE"""),28.92)</f>
        <v>28.92</v>
      </c>
      <c r="C2683" s="112">
        <f ca="1">IFERROR(__xludf.DUMMYFUNCTION("""COMPUTED_VALUE"""),44235.7055555555)</f>
        <v>44235.705555555498</v>
      </c>
      <c r="D2683" s="111">
        <f ca="1">IFERROR(__xludf.DUMMYFUNCTION("""COMPUTED_VALUE"""),27.56)</f>
        <v>27.56</v>
      </c>
      <c r="E2683" s="112">
        <f ca="1">IFERROR(__xludf.DUMMYFUNCTION("""COMPUTED_VALUE"""),44236.7055555555)</f>
        <v>44236.705555555498</v>
      </c>
      <c r="F2683" s="111">
        <f ca="1">IFERROR(__xludf.DUMMYFUNCTION("""COMPUTED_VALUE"""),10.18)</f>
        <v>10.18</v>
      </c>
      <c r="G2683" s="112">
        <f ca="1">IFERROR(__xludf.DUMMYFUNCTION("""COMPUTED_VALUE"""),44232.7055555555)</f>
        <v>44232.705555555498</v>
      </c>
      <c r="H2683" s="111">
        <f ca="1">IFERROR(__xludf.DUMMYFUNCTION("""COMPUTED_VALUE"""),28.84)</f>
        <v>28.84</v>
      </c>
      <c r="K2683" s="112">
        <f ca="1">IFERROR(__xludf.DUMMYFUNCTION("""COMPUTED_VALUE"""),44679.7055555555)</f>
        <v>44679.705555555498</v>
      </c>
      <c r="L2683" s="111">
        <f ca="1">IFERROR(__xludf.DUMMYFUNCTION("""COMPUTED_VALUE"""),5.18)</f>
        <v>5.18</v>
      </c>
      <c r="M2683" s="112">
        <f ca="1">IFERROR(__xludf.DUMMYFUNCTION("""COMPUTED_VALUE"""),44138.7055555555)</f>
        <v>44138.705555555498</v>
      </c>
      <c r="N2683" s="111">
        <f ca="1">IFERROR(__xludf.DUMMYFUNCTION("""COMPUTED_VALUE"""),18.95)</f>
        <v>18.95</v>
      </c>
      <c r="O2683" s="112">
        <f ca="1">IFERROR(__xludf.DUMMYFUNCTION("""COMPUTED_VALUE"""),44216.7055555555)</f>
        <v>44216.705555555498</v>
      </c>
      <c r="P2683" s="111">
        <f ca="1">IFERROR(__xludf.DUMMYFUNCTION("""COMPUTED_VALUE"""),92.32)</f>
        <v>92.32</v>
      </c>
      <c r="Q2683" s="112">
        <f ca="1">IFERROR(__xludf.DUMMYFUNCTION("""COMPUTED_VALUE"""),44215.7055555555)</f>
        <v>44215.705555555498</v>
      </c>
      <c r="R2683" s="111">
        <f ca="1">IFERROR(__xludf.DUMMYFUNCTION("""COMPUTED_VALUE"""),35.32)</f>
        <v>35.32</v>
      </c>
      <c r="S2683" s="112">
        <f ca="1">IFERROR(__xludf.DUMMYFUNCTION("""COMPUTED_VALUE"""),44230.7055555555)</f>
        <v>44230.705555555498</v>
      </c>
      <c r="T2683" s="111">
        <f ca="1">IFERROR(__xludf.DUMMYFUNCTION("""COMPUTED_VALUE"""),38.04)</f>
        <v>38.04</v>
      </c>
    </row>
    <row r="2684" spans="1:20" x14ac:dyDescent="0.3">
      <c r="A2684" s="112">
        <f ca="1">IFERROR(__xludf.DUMMYFUNCTION("""COMPUTED_VALUE"""),44225.7055555555)</f>
        <v>44225.705555555498</v>
      </c>
      <c r="B2684" s="111">
        <f ca="1">IFERROR(__xludf.DUMMYFUNCTION("""COMPUTED_VALUE"""),28.38)</f>
        <v>28.38</v>
      </c>
      <c r="C2684" s="112">
        <f ca="1">IFERROR(__xludf.DUMMYFUNCTION("""COMPUTED_VALUE"""),44236.7055555555)</f>
        <v>44236.705555555498</v>
      </c>
      <c r="D2684" s="111">
        <f ca="1">IFERROR(__xludf.DUMMYFUNCTION("""COMPUTED_VALUE"""),27.89)</f>
        <v>27.89</v>
      </c>
      <c r="E2684" s="112">
        <f ca="1">IFERROR(__xludf.DUMMYFUNCTION("""COMPUTED_VALUE"""),44237.7055555555)</f>
        <v>44237.705555555498</v>
      </c>
      <c r="F2684" s="111">
        <f ca="1">IFERROR(__xludf.DUMMYFUNCTION("""COMPUTED_VALUE"""),10.11)</f>
        <v>10.11</v>
      </c>
      <c r="G2684" s="112">
        <f ca="1">IFERROR(__xludf.DUMMYFUNCTION("""COMPUTED_VALUE"""),44235.7055555555)</f>
        <v>44235.705555555498</v>
      </c>
      <c r="H2684" s="111">
        <f ca="1">IFERROR(__xludf.DUMMYFUNCTION("""COMPUTED_VALUE"""),28.11)</f>
        <v>28.11</v>
      </c>
      <c r="K2684" s="112">
        <f ca="1">IFERROR(__xludf.DUMMYFUNCTION("""COMPUTED_VALUE"""),44680.7055555555)</f>
        <v>44680.705555555498</v>
      </c>
      <c r="L2684" s="111">
        <f ca="1">IFERROR(__xludf.DUMMYFUNCTION("""COMPUTED_VALUE"""),4.88)</f>
        <v>4.88</v>
      </c>
      <c r="M2684" s="112">
        <f ca="1">IFERROR(__xludf.DUMMYFUNCTION("""COMPUTED_VALUE"""),44139.7055555555)</f>
        <v>44139.705555555498</v>
      </c>
      <c r="N2684" s="111">
        <f ca="1">IFERROR(__xludf.DUMMYFUNCTION("""COMPUTED_VALUE"""),18.8)</f>
        <v>18.8</v>
      </c>
      <c r="O2684" s="112">
        <f ca="1">IFERROR(__xludf.DUMMYFUNCTION("""COMPUTED_VALUE"""),44217.7055555555)</f>
        <v>44217.705555555498</v>
      </c>
      <c r="P2684" s="111">
        <f ca="1">IFERROR(__xludf.DUMMYFUNCTION("""COMPUTED_VALUE"""),93.36)</f>
        <v>93.36</v>
      </c>
      <c r="Q2684" s="112">
        <f ca="1">IFERROR(__xludf.DUMMYFUNCTION("""COMPUTED_VALUE"""),44216.7055555555)</f>
        <v>44216.705555555498</v>
      </c>
      <c r="R2684" s="111">
        <f ca="1">IFERROR(__xludf.DUMMYFUNCTION("""COMPUTED_VALUE"""),34.53)</f>
        <v>34.53</v>
      </c>
      <c r="S2684" s="112">
        <f ca="1">IFERROR(__xludf.DUMMYFUNCTION("""COMPUTED_VALUE"""),44231.7055555555)</f>
        <v>44231.705555555498</v>
      </c>
      <c r="T2684" s="111">
        <f ca="1">IFERROR(__xludf.DUMMYFUNCTION("""COMPUTED_VALUE"""),37.58)</f>
        <v>37.58</v>
      </c>
    </row>
    <row r="2685" spans="1:20" x14ac:dyDescent="0.3">
      <c r="A2685" s="112">
        <f ca="1">IFERROR(__xludf.DUMMYFUNCTION("""COMPUTED_VALUE"""),44228.7055555555)</f>
        <v>44228.705555555498</v>
      </c>
      <c r="B2685" s="111">
        <f ca="1">IFERROR(__xludf.DUMMYFUNCTION("""COMPUTED_VALUE"""),30.5)</f>
        <v>30.5</v>
      </c>
      <c r="C2685" s="112">
        <f ca="1">IFERROR(__xludf.DUMMYFUNCTION("""COMPUTED_VALUE"""),44237.7055555555)</f>
        <v>44237.705555555498</v>
      </c>
      <c r="D2685" s="111">
        <f ca="1">IFERROR(__xludf.DUMMYFUNCTION("""COMPUTED_VALUE"""),27.69)</f>
        <v>27.69</v>
      </c>
      <c r="E2685" s="112">
        <f ca="1">IFERROR(__xludf.DUMMYFUNCTION("""COMPUTED_VALUE"""),44238.7055555555)</f>
        <v>44238.705555555498</v>
      </c>
      <c r="F2685" s="111">
        <f ca="1">IFERROR(__xludf.DUMMYFUNCTION("""COMPUTED_VALUE"""),10.13)</f>
        <v>10.130000000000001</v>
      </c>
      <c r="G2685" s="112">
        <f ca="1">IFERROR(__xludf.DUMMYFUNCTION("""COMPUTED_VALUE"""),44236.7055555555)</f>
        <v>44236.705555555498</v>
      </c>
      <c r="H2685" s="111">
        <f ca="1">IFERROR(__xludf.DUMMYFUNCTION("""COMPUTED_VALUE"""),27.54)</f>
        <v>27.54</v>
      </c>
      <c r="K2685" s="112">
        <f ca="1">IFERROR(__xludf.DUMMYFUNCTION("""COMPUTED_VALUE"""),44683.7055555555)</f>
        <v>44683.705555555498</v>
      </c>
      <c r="L2685" s="111">
        <f ca="1">IFERROR(__xludf.DUMMYFUNCTION("""COMPUTED_VALUE"""),4.8)</f>
        <v>4.8</v>
      </c>
      <c r="M2685" s="112">
        <f ca="1">IFERROR(__xludf.DUMMYFUNCTION("""COMPUTED_VALUE"""),44140.7055555555)</f>
        <v>44140.705555555498</v>
      </c>
      <c r="N2685" s="111">
        <f ca="1">IFERROR(__xludf.DUMMYFUNCTION("""COMPUTED_VALUE"""),19.09)</f>
        <v>19.09</v>
      </c>
      <c r="O2685" s="112">
        <f ca="1">IFERROR(__xludf.DUMMYFUNCTION("""COMPUTED_VALUE"""),44218.7055555555)</f>
        <v>44218.705555555498</v>
      </c>
      <c r="P2685" s="111">
        <f ca="1">IFERROR(__xludf.DUMMYFUNCTION("""COMPUTED_VALUE"""),93.17)</f>
        <v>93.17</v>
      </c>
      <c r="Q2685" s="112">
        <f ca="1">IFERROR(__xludf.DUMMYFUNCTION("""COMPUTED_VALUE"""),44217.7055555555)</f>
        <v>44217.705555555498</v>
      </c>
      <c r="R2685" s="111">
        <f ca="1">IFERROR(__xludf.DUMMYFUNCTION("""COMPUTED_VALUE"""),34.18)</f>
        <v>34.18</v>
      </c>
      <c r="S2685" s="112">
        <f ca="1">IFERROR(__xludf.DUMMYFUNCTION("""COMPUTED_VALUE"""),44232.7055555555)</f>
        <v>44232.705555555498</v>
      </c>
      <c r="T2685" s="111">
        <f ca="1">IFERROR(__xludf.DUMMYFUNCTION("""COMPUTED_VALUE"""),37.28)</f>
        <v>37.28</v>
      </c>
    </row>
    <row r="2686" spans="1:20" x14ac:dyDescent="0.3">
      <c r="A2686" s="112">
        <f ca="1">IFERROR(__xludf.DUMMYFUNCTION("""COMPUTED_VALUE"""),44229.7055555555)</f>
        <v>44229.705555555498</v>
      </c>
      <c r="B2686" s="111">
        <f ca="1">IFERROR(__xludf.DUMMYFUNCTION("""COMPUTED_VALUE"""),31)</f>
        <v>31</v>
      </c>
      <c r="C2686" s="112">
        <f ca="1">IFERROR(__xludf.DUMMYFUNCTION("""COMPUTED_VALUE"""),44238.7055555555)</f>
        <v>44238.705555555498</v>
      </c>
      <c r="D2686" s="111">
        <f ca="1">IFERROR(__xludf.DUMMYFUNCTION("""COMPUTED_VALUE"""),27.69)</f>
        <v>27.69</v>
      </c>
      <c r="E2686" s="112">
        <f ca="1">IFERROR(__xludf.DUMMYFUNCTION("""COMPUTED_VALUE"""),44239.7055555555)</f>
        <v>44239.705555555498</v>
      </c>
      <c r="F2686" s="111">
        <f ca="1">IFERROR(__xludf.DUMMYFUNCTION("""COMPUTED_VALUE"""),10.1)</f>
        <v>10.1</v>
      </c>
      <c r="G2686" s="112">
        <f ca="1">IFERROR(__xludf.DUMMYFUNCTION("""COMPUTED_VALUE"""),44237.7055555555)</f>
        <v>44237.705555555498</v>
      </c>
      <c r="H2686" s="111">
        <f ca="1">IFERROR(__xludf.DUMMYFUNCTION("""COMPUTED_VALUE"""),27.8)</f>
        <v>27.8</v>
      </c>
      <c r="K2686" s="112">
        <f ca="1">IFERROR(__xludf.DUMMYFUNCTION("""COMPUTED_VALUE"""),44684.7055555555)</f>
        <v>44684.705555555498</v>
      </c>
      <c r="L2686" s="111">
        <f ca="1">IFERROR(__xludf.DUMMYFUNCTION("""COMPUTED_VALUE"""),4.6)</f>
        <v>4.5999999999999996</v>
      </c>
      <c r="M2686" s="112">
        <f ca="1">IFERROR(__xludf.DUMMYFUNCTION("""COMPUTED_VALUE"""),44141.7055555555)</f>
        <v>44141.705555555498</v>
      </c>
      <c r="N2686" s="111">
        <f ca="1">IFERROR(__xludf.DUMMYFUNCTION("""COMPUTED_VALUE"""),19.05)</f>
        <v>19.05</v>
      </c>
      <c r="O2686" s="112">
        <f ca="1">IFERROR(__xludf.DUMMYFUNCTION("""COMPUTED_VALUE"""),44222.7055555555)</f>
        <v>44222.705555555498</v>
      </c>
      <c r="P2686" s="111">
        <f ca="1">IFERROR(__xludf.DUMMYFUNCTION("""COMPUTED_VALUE"""),91.75)</f>
        <v>91.75</v>
      </c>
      <c r="Q2686" s="112">
        <f ca="1">IFERROR(__xludf.DUMMYFUNCTION("""COMPUTED_VALUE"""),44218.7055555555)</f>
        <v>44218.705555555498</v>
      </c>
      <c r="R2686" s="111">
        <f ca="1">IFERROR(__xludf.DUMMYFUNCTION("""COMPUTED_VALUE"""),33.69)</f>
        <v>33.69</v>
      </c>
      <c r="S2686" s="112">
        <f ca="1">IFERROR(__xludf.DUMMYFUNCTION("""COMPUTED_VALUE"""),44235.7055555555)</f>
        <v>44235.705555555498</v>
      </c>
      <c r="T2686" s="111">
        <f ca="1">IFERROR(__xludf.DUMMYFUNCTION("""COMPUTED_VALUE"""),37.49)</f>
        <v>37.49</v>
      </c>
    </row>
    <row r="2687" spans="1:20" x14ac:dyDescent="0.3">
      <c r="A2687" s="112">
        <f ca="1">IFERROR(__xludf.DUMMYFUNCTION("""COMPUTED_VALUE"""),44230.7055555555)</f>
        <v>44230.705555555498</v>
      </c>
      <c r="B2687" s="111">
        <f ca="1">IFERROR(__xludf.DUMMYFUNCTION("""COMPUTED_VALUE"""),31.38)</f>
        <v>31.38</v>
      </c>
      <c r="C2687" s="112">
        <f ca="1">IFERROR(__xludf.DUMMYFUNCTION("""COMPUTED_VALUE"""),44239.7055555555)</f>
        <v>44239.705555555498</v>
      </c>
      <c r="D2687" s="111">
        <f ca="1">IFERROR(__xludf.DUMMYFUNCTION("""COMPUTED_VALUE"""),27.76)</f>
        <v>27.76</v>
      </c>
      <c r="E2687" s="112">
        <f ca="1">IFERROR(__xludf.DUMMYFUNCTION("""COMPUTED_VALUE"""),44244.7055555555)</f>
        <v>44244.705555555498</v>
      </c>
      <c r="F2687" s="111">
        <f ca="1">IFERROR(__xludf.DUMMYFUNCTION("""COMPUTED_VALUE"""),10.04)</f>
        <v>10.039999999999999</v>
      </c>
      <c r="G2687" s="112">
        <f ca="1">IFERROR(__xludf.DUMMYFUNCTION("""COMPUTED_VALUE"""),44238.7055555555)</f>
        <v>44238.705555555498</v>
      </c>
      <c r="H2687" s="111">
        <f ca="1">IFERROR(__xludf.DUMMYFUNCTION("""COMPUTED_VALUE"""),28.08)</f>
        <v>28.08</v>
      </c>
      <c r="K2687" s="112">
        <f ca="1">IFERROR(__xludf.DUMMYFUNCTION("""COMPUTED_VALUE"""),44685.7055555555)</f>
        <v>44685.705555555498</v>
      </c>
      <c r="L2687" s="111">
        <f ca="1">IFERROR(__xludf.DUMMYFUNCTION("""COMPUTED_VALUE"""),4.95)</f>
        <v>4.95</v>
      </c>
      <c r="M2687" s="112">
        <f ca="1">IFERROR(__xludf.DUMMYFUNCTION("""COMPUTED_VALUE"""),44144.7055555555)</f>
        <v>44144.705555555498</v>
      </c>
      <c r="N2687" s="111">
        <f ca="1">IFERROR(__xludf.DUMMYFUNCTION("""COMPUTED_VALUE"""),20.85)</f>
        <v>20.85</v>
      </c>
      <c r="O2687" s="112">
        <f ca="1">IFERROR(__xludf.DUMMYFUNCTION("""COMPUTED_VALUE"""),44223.7055555555)</f>
        <v>44223.705555555498</v>
      </c>
      <c r="P2687" s="111">
        <f ca="1">IFERROR(__xludf.DUMMYFUNCTION("""COMPUTED_VALUE"""),89.25)</f>
        <v>89.25</v>
      </c>
      <c r="Q2687" s="112">
        <f ca="1">IFERROR(__xludf.DUMMYFUNCTION("""COMPUTED_VALUE"""),44222.7055555555)</f>
        <v>44222.705555555498</v>
      </c>
      <c r="R2687" s="111">
        <f ca="1">IFERROR(__xludf.DUMMYFUNCTION("""COMPUTED_VALUE"""),32.79)</f>
        <v>32.79</v>
      </c>
      <c r="S2687" s="112">
        <f ca="1">IFERROR(__xludf.DUMMYFUNCTION("""COMPUTED_VALUE"""),44236.7055555555)</f>
        <v>44236.705555555498</v>
      </c>
      <c r="T2687" s="111">
        <f ca="1">IFERROR(__xludf.DUMMYFUNCTION("""COMPUTED_VALUE"""),37.17)</f>
        <v>37.17</v>
      </c>
    </row>
    <row r="2688" spans="1:20" x14ac:dyDescent="0.3">
      <c r="A2688" s="112">
        <f ca="1">IFERROR(__xludf.DUMMYFUNCTION("""COMPUTED_VALUE"""),44231.7055555555)</f>
        <v>44231.705555555498</v>
      </c>
      <c r="B2688" s="111">
        <f ca="1">IFERROR(__xludf.DUMMYFUNCTION("""COMPUTED_VALUE"""),29.53)</f>
        <v>29.53</v>
      </c>
      <c r="C2688" s="112">
        <f ca="1">IFERROR(__xludf.DUMMYFUNCTION("""COMPUTED_VALUE"""),44244.7055555555)</f>
        <v>44244.705555555498</v>
      </c>
      <c r="D2688" s="111">
        <f ca="1">IFERROR(__xludf.DUMMYFUNCTION("""COMPUTED_VALUE"""),28.11)</f>
        <v>28.11</v>
      </c>
      <c r="E2688" s="112">
        <f ca="1">IFERROR(__xludf.DUMMYFUNCTION("""COMPUTED_VALUE"""),44245.7055555555)</f>
        <v>44245.705555555498</v>
      </c>
      <c r="F2688" s="111">
        <f ca="1">IFERROR(__xludf.DUMMYFUNCTION("""COMPUTED_VALUE"""),9.86)</f>
        <v>9.86</v>
      </c>
      <c r="G2688" s="112">
        <f ca="1">IFERROR(__xludf.DUMMYFUNCTION("""COMPUTED_VALUE"""),44239.7055555555)</f>
        <v>44239.705555555498</v>
      </c>
      <c r="H2688" s="111">
        <f ca="1">IFERROR(__xludf.DUMMYFUNCTION("""COMPUTED_VALUE"""),28.44)</f>
        <v>28.44</v>
      </c>
      <c r="K2688" s="112">
        <f ca="1">IFERROR(__xludf.DUMMYFUNCTION("""COMPUTED_VALUE"""),44686.7055555555)</f>
        <v>44686.705555555498</v>
      </c>
      <c r="L2688" s="111">
        <f ca="1">IFERROR(__xludf.DUMMYFUNCTION("""COMPUTED_VALUE"""),4.42)</f>
        <v>4.42</v>
      </c>
      <c r="M2688" s="112">
        <f ca="1">IFERROR(__xludf.DUMMYFUNCTION("""COMPUTED_VALUE"""),44145.7055555555)</f>
        <v>44145.705555555498</v>
      </c>
      <c r="N2688" s="111">
        <f ca="1">IFERROR(__xludf.DUMMYFUNCTION("""COMPUTED_VALUE"""),22.2)</f>
        <v>22.2</v>
      </c>
      <c r="O2688" s="112">
        <f ca="1">IFERROR(__xludf.DUMMYFUNCTION("""COMPUTED_VALUE"""),44224.7055555555)</f>
        <v>44224.705555555498</v>
      </c>
      <c r="P2688" s="111">
        <f ca="1">IFERROR(__xludf.DUMMYFUNCTION("""COMPUTED_VALUE"""),91.1)</f>
        <v>91.1</v>
      </c>
      <c r="Q2688" s="112">
        <f ca="1">IFERROR(__xludf.DUMMYFUNCTION("""COMPUTED_VALUE"""),44223.7055555555)</f>
        <v>44223.705555555498</v>
      </c>
      <c r="R2688" s="111">
        <f ca="1">IFERROR(__xludf.DUMMYFUNCTION("""COMPUTED_VALUE"""),33.56)</f>
        <v>33.56</v>
      </c>
      <c r="S2688" s="112">
        <f ca="1">IFERROR(__xludf.DUMMYFUNCTION("""COMPUTED_VALUE"""),44237.7055555555)</f>
        <v>44237.705555555498</v>
      </c>
      <c r="T2688" s="111">
        <f ca="1">IFERROR(__xludf.DUMMYFUNCTION("""COMPUTED_VALUE"""),36.15)</f>
        <v>36.15</v>
      </c>
    </row>
    <row r="2689" spans="1:20" x14ac:dyDescent="0.3">
      <c r="A2689" s="112">
        <f ca="1">IFERROR(__xludf.DUMMYFUNCTION("""COMPUTED_VALUE"""),44232.7055555555)</f>
        <v>44232.705555555498</v>
      </c>
      <c r="B2689" s="111">
        <f ca="1">IFERROR(__xludf.DUMMYFUNCTION("""COMPUTED_VALUE"""),29.48)</f>
        <v>29.48</v>
      </c>
      <c r="C2689" s="112">
        <f ca="1">IFERROR(__xludf.DUMMYFUNCTION("""COMPUTED_VALUE"""),44245.7055555555)</f>
        <v>44245.705555555498</v>
      </c>
      <c r="D2689" s="111">
        <f ca="1">IFERROR(__xludf.DUMMYFUNCTION("""COMPUTED_VALUE"""),27.91)</f>
        <v>27.91</v>
      </c>
      <c r="E2689" s="112">
        <f ca="1">IFERROR(__xludf.DUMMYFUNCTION("""COMPUTED_VALUE"""),44246.7055555555)</f>
        <v>44246.705555555498</v>
      </c>
      <c r="F2689" s="111">
        <f ca="1">IFERROR(__xludf.DUMMYFUNCTION("""COMPUTED_VALUE"""),9.76)</f>
        <v>9.76</v>
      </c>
      <c r="G2689" s="112">
        <f ca="1">IFERROR(__xludf.DUMMYFUNCTION("""COMPUTED_VALUE"""),44244.7055555555)</f>
        <v>44244.705555555498</v>
      </c>
      <c r="H2689" s="111">
        <f ca="1">IFERROR(__xludf.DUMMYFUNCTION("""COMPUTED_VALUE"""),29.59)</f>
        <v>29.59</v>
      </c>
      <c r="K2689" s="112">
        <f ca="1">IFERROR(__xludf.DUMMYFUNCTION("""COMPUTED_VALUE"""),44687.7055555555)</f>
        <v>44687.705555555498</v>
      </c>
      <c r="L2689" s="111">
        <f ca="1">IFERROR(__xludf.DUMMYFUNCTION("""COMPUTED_VALUE"""),4.3)</f>
        <v>4.3</v>
      </c>
      <c r="M2689" s="112">
        <f ca="1">IFERROR(__xludf.DUMMYFUNCTION("""COMPUTED_VALUE"""),44146.7055555555)</f>
        <v>44146.705555555498</v>
      </c>
      <c r="N2689" s="111">
        <f ca="1">IFERROR(__xludf.DUMMYFUNCTION("""COMPUTED_VALUE"""),22.11)</f>
        <v>22.11</v>
      </c>
      <c r="O2689" s="112">
        <f ca="1">IFERROR(__xludf.DUMMYFUNCTION("""COMPUTED_VALUE"""),44225.7055555555)</f>
        <v>44225.705555555498</v>
      </c>
      <c r="P2689" s="111">
        <f ca="1">IFERROR(__xludf.DUMMYFUNCTION("""COMPUTED_VALUE"""),87.95)</f>
        <v>87.95</v>
      </c>
      <c r="Q2689" s="112">
        <f ca="1">IFERROR(__xludf.DUMMYFUNCTION("""COMPUTED_VALUE"""),44224.7055555555)</f>
        <v>44224.705555555498</v>
      </c>
      <c r="R2689" s="111">
        <f ca="1">IFERROR(__xludf.DUMMYFUNCTION("""COMPUTED_VALUE"""),34.54)</f>
        <v>34.54</v>
      </c>
      <c r="S2689" s="112">
        <f ca="1">IFERROR(__xludf.DUMMYFUNCTION("""COMPUTED_VALUE"""),44238.7055555555)</f>
        <v>44238.705555555498</v>
      </c>
      <c r="T2689" s="111">
        <f ca="1">IFERROR(__xludf.DUMMYFUNCTION("""COMPUTED_VALUE"""),35.81)</f>
        <v>35.81</v>
      </c>
    </row>
    <row r="2690" spans="1:20" x14ac:dyDescent="0.3">
      <c r="A2690" s="112">
        <f ca="1">IFERROR(__xludf.DUMMYFUNCTION("""COMPUTED_VALUE"""),44235.7055555555)</f>
        <v>44235.705555555498</v>
      </c>
      <c r="B2690" s="111">
        <f ca="1">IFERROR(__xludf.DUMMYFUNCTION("""COMPUTED_VALUE"""),29.37)</f>
        <v>29.37</v>
      </c>
      <c r="C2690" s="112">
        <f ca="1">IFERROR(__xludf.DUMMYFUNCTION("""COMPUTED_VALUE"""),44246.7055555555)</f>
        <v>44246.705555555498</v>
      </c>
      <c r="D2690" s="111">
        <f ca="1">IFERROR(__xludf.DUMMYFUNCTION("""COMPUTED_VALUE"""),27.62)</f>
        <v>27.62</v>
      </c>
      <c r="E2690" s="112">
        <f ca="1">IFERROR(__xludf.DUMMYFUNCTION("""COMPUTED_VALUE"""),44249.7055555555)</f>
        <v>44249.705555555498</v>
      </c>
      <c r="F2690" s="111">
        <f ca="1">IFERROR(__xludf.DUMMYFUNCTION("""COMPUTED_VALUE"""),9.31)</f>
        <v>9.31</v>
      </c>
      <c r="G2690" s="112">
        <f ca="1">IFERROR(__xludf.DUMMYFUNCTION("""COMPUTED_VALUE"""),44245.7055555555)</f>
        <v>44245.705555555498</v>
      </c>
      <c r="H2690" s="111">
        <f ca="1">IFERROR(__xludf.DUMMYFUNCTION("""COMPUTED_VALUE"""),29.27)</f>
        <v>29.27</v>
      </c>
      <c r="K2690" s="112">
        <f ca="1">IFERROR(__xludf.DUMMYFUNCTION("""COMPUTED_VALUE"""),44690.7055555555)</f>
        <v>44690.705555555498</v>
      </c>
      <c r="L2690" s="111">
        <f ca="1">IFERROR(__xludf.DUMMYFUNCTION("""COMPUTED_VALUE"""),3.91)</f>
        <v>3.91</v>
      </c>
      <c r="M2690" s="112">
        <f ca="1">IFERROR(__xludf.DUMMYFUNCTION("""COMPUTED_VALUE"""),44147.7055555555)</f>
        <v>44147.705555555498</v>
      </c>
      <c r="N2690" s="111">
        <f ca="1">IFERROR(__xludf.DUMMYFUNCTION("""COMPUTED_VALUE"""),21.24)</f>
        <v>21.24</v>
      </c>
      <c r="O2690" s="112">
        <f ca="1">IFERROR(__xludf.DUMMYFUNCTION("""COMPUTED_VALUE"""),44228.7055555555)</f>
        <v>44228.705555555498</v>
      </c>
      <c r="P2690" s="111">
        <f ca="1">IFERROR(__xludf.DUMMYFUNCTION("""COMPUTED_VALUE"""),91.27)</f>
        <v>91.27</v>
      </c>
      <c r="Q2690" s="112">
        <f ca="1">IFERROR(__xludf.DUMMYFUNCTION("""COMPUTED_VALUE"""),44225.7055555555)</f>
        <v>44225.705555555498</v>
      </c>
      <c r="R2690" s="111">
        <f ca="1">IFERROR(__xludf.DUMMYFUNCTION("""COMPUTED_VALUE"""),33.86)</f>
        <v>33.86</v>
      </c>
      <c r="S2690" s="112">
        <f ca="1">IFERROR(__xludf.DUMMYFUNCTION("""COMPUTED_VALUE"""),44239.7055555555)</f>
        <v>44239.705555555498</v>
      </c>
      <c r="T2690" s="111">
        <f ca="1">IFERROR(__xludf.DUMMYFUNCTION("""COMPUTED_VALUE"""),36.27)</f>
        <v>36.270000000000003</v>
      </c>
    </row>
    <row r="2691" spans="1:20" x14ac:dyDescent="0.3">
      <c r="A2691" s="112">
        <f ca="1">IFERROR(__xludf.DUMMYFUNCTION("""COMPUTED_VALUE"""),44236.7055555555)</f>
        <v>44236.705555555498</v>
      </c>
      <c r="B2691" s="111">
        <f ca="1">IFERROR(__xludf.DUMMYFUNCTION("""COMPUTED_VALUE"""),29.51)</f>
        <v>29.51</v>
      </c>
      <c r="C2691" s="112">
        <f ca="1">IFERROR(__xludf.DUMMYFUNCTION("""COMPUTED_VALUE"""),44249.7055555555)</f>
        <v>44249.705555555498</v>
      </c>
      <c r="D2691" s="111">
        <f ca="1">IFERROR(__xludf.DUMMYFUNCTION("""COMPUTED_VALUE"""),25.61)</f>
        <v>25.61</v>
      </c>
      <c r="E2691" s="112">
        <f ca="1">IFERROR(__xludf.DUMMYFUNCTION("""COMPUTED_VALUE"""),44250.7055555555)</f>
        <v>44250.705555555498</v>
      </c>
      <c r="F2691" s="111">
        <f ca="1">IFERROR(__xludf.DUMMYFUNCTION("""COMPUTED_VALUE"""),10.02)</f>
        <v>10.02</v>
      </c>
      <c r="G2691" s="112">
        <f ca="1">IFERROR(__xludf.DUMMYFUNCTION("""COMPUTED_VALUE"""),44246.7055555555)</f>
        <v>44246.705555555498</v>
      </c>
      <c r="H2691" s="111">
        <f ca="1">IFERROR(__xludf.DUMMYFUNCTION("""COMPUTED_VALUE"""),27.33)</f>
        <v>27.33</v>
      </c>
      <c r="K2691" s="112">
        <f ca="1">IFERROR(__xludf.DUMMYFUNCTION("""COMPUTED_VALUE"""),44691.7055555555)</f>
        <v>44691.705555555498</v>
      </c>
      <c r="L2691" s="111">
        <f ca="1">IFERROR(__xludf.DUMMYFUNCTION("""COMPUTED_VALUE"""),3.95)</f>
        <v>3.95</v>
      </c>
      <c r="M2691" s="112">
        <f ca="1">IFERROR(__xludf.DUMMYFUNCTION("""COMPUTED_VALUE"""),44148.7055555555)</f>
        <v>44148.705555555498</v>
      </c>
      <c r="N2691" s="111">
        <f ca="1">IFERROR(__xludf.DUMMYFUNCTION("""COMPUTED_VALUE"""),21.99)</f>
        <v>21.99</v>
      </c>
      <c r="O2691" s="112">
        <f ca="1">IFERROR(__xludf.DUMMYFUNCTION("""COMPUTED_VALUE"""),44229.7055555555)</f>
        <v>44229.705555555498</v>
      </c>
      <c r="P2691" s="111">
        <f ca="1">IFERROR(__xludf.DUMMYFUNCTION("""COMPUTED_VALUE"""),87.66)</f>
        <v>87.66</v>
      </c>
      <c r="Q2691" s="112">
        <f ca="1">IFERROR(__xludf.DUMMYFUNCTION("""COMPUTED_VALUE"""),44228.7055555555)</f>
        <v>44228.705555555498</v>
      </c>
      <c r="R2691" s="111">
        <f ca="1">IFERROR(__xludf.DUMMYFUNCTION("""COMPUTED_VALUE"""),34.29)</f>
        <v>34.29</v>
      </c>
      <c r="S2691" s="112">
        <f ca="1">IFERROR(__xludf.DUMMYFUNCTION("""COMPUTED_VALUE"""),44244.7055555555)</f>
        <v>44244.705555555498</v>
      </c>
      <c r="T2691" s="111">
        <f ca="1">IFERROR(__xludf.DUMMYFUNCTION("""COMPUTED_VALUE"""),36.86)</f>
        <v>36.86</v>
      </c>
    </row>
    <row r="2692" spans="1:20" x14ac:dyDescent="0.3">
      <c r="A2692" s="112">
        <f ca="1">IFERROR(__xludf.DUMMYFUNCTION("""COMPUTED_VALUE"""),44237.7055555555)</f>
        <v>44237.705555555498</v>
      </c>
      <c r="B2692" s="111">
        <f ca="1">IFERROR(__xludf.DUMMYFUNCTION("""COMPUTED_VALUE"""),28.96)</f>
        <v>28.96</v>
      </c>
      <c r="C2692" s="112">
        <f ca="1">IFERROR(__xludf.DUMMYFUNCTION("""COMPUTED_VALUE"""),44250.7055555555)</f>
        <v>44250.705555555498</v>
      </c>
      <c r="D2692" s="111">
        <f ca="1">IFERROR(__xludf.DUMMYFUNCTION("""COMPUTED_VALUE"""),27.25)</f>
        <v>27.25</v>
      </c>
      <c r="E2692" s="112">
        <f ca="1">IFERROR(__xludf.DUMMYFUNCTION("""COMPUTED_VALUE"""),44251.7055555555)</f>
        <v>44251.705555555498</v>
      </c>
      <c r="F2692" s="111">
        <f ca="1">IFERROR(__xludf.DUMMYFUNCTION("""COMPUTED_VALUE"""),9.92)</f>
        <v>9.92</v>
      </c>
      <c r="G2692" s="112">
        <f ca="1">IFERROR(__xludf.DUMMYFUNCTION("""COMPUTED_VALUE"""),44249.7055555555)</f>
        <v>44249.705555555498</v>
      </c>
      <c r="H2692" s="111">
        <f ca="1">IFERROR(__xludf.DUMMYFUNCTION("""COMPUTED_VALUE"""),21.67)</f>
        <v>21.67</v>
      </c>
      <c r="K2692" s="112">
        <f ca="1">IFERROR(__xludf.DUMMYFUNCTION("""COMPUTED_VALUE"""),44692.7055555555)</f>
        <v>44692.705555555498</v>
      </c>
      <c r="L2692" s="111">
        <f ca="1">IFERROR(__xludf.DUMMYFUNCTION("""COMPUTED_VALUE"""),3.93)</f>
        <v>3.93</v>
      </c>
      <c r="M2692" s="112">
        <f ca="1">IFERROR(__xludf.DUMMYFUNCTION("""COMPUTED_VALUE"""),44151.7055555555)</f>
        <v>44151.705555555498</v>
      </c>
      <c r="N2692" s="111">
        <f ca="1">IFERROR(__xludf.DUMMYFUNCTION("""COMPUTED_VALUE"""),22.96)</f>
        <v>22.96</v>
      </c>
      <c r="O2692" s="112">
        <f ca="1">IFERROR(__xludf.DUMMYFUNCTION("""COMPUTED_VALUE"""),44230.7055555555)</f>
        <v>44230.705555555498</v>
      </c>
      <c r="P2692" s="111">
        <f ca="1">IFERROR(__xludf.DUMMYFUNCTION("""COMPUTED_VALUE"""),90.43)</f>
        <v>90.43</v>
      </c>
      <c r="Q2692" s="112">
        <f ca="1">IFERROR(__xludf.DUMMYFUNCTION("""COMPUTED_VALUE"""),44229.7055555555)</f>
        <v>44229.705555555498</v>
      </c>
      <c r="R2692" s="111">
        <f ca="1">IFERROR(__xludf.DUMMYFUNCTION("""COMPUTED_VALUE"""),34.06)</f>
        <v>34.06</v>
      </c>
      <c r="S2692" s="112">
        <f ca="1">IFERROR(__xludf.DUMMYFUNCTION("""COMPUTED_VALUE"""),44245.7055555555)</f>
        <v>44245.705555555498</v>
      </c>
      <c r="T2692" s="111">
        <f ca="1">IFERROR(__xludf.DUMMYFUNCTION("""COMPUTED_VALUE"""),36.36)</f>
        <v>36.36</v>
      </c>
    </row>
    <row r="2693" spans="1:20" x14ac:dyDescent="0.3">
      <c r="A2693" s="112">
        <f ca="1">IFERROR(__xludf.DUMMYFUNCTION("""COMPUTED_VALUE"""),44238.7055555555)</f>
        <v>44238.705555555498</v>
      </c>
      <c r="B2693" s="111">
        <f ca="1">IFERROR(__xludf.DUMMYFUNCTION("""COMPUTED_VALUE"""),29.36)</f>
        <v>29.36</v>
      </c>
      <c r="C2693" s="112">
        <f ca="1">IFERROR(__xludf.DUMMYFUNCTION("""COMPUTED_VALUE"""),44251.7055555555)</f>
        <v>44251.705555555498</v>
      </c>
      <c r="D2693" s="111">
        <f ca="1">IFERROR(__xludf.DUMMYFUNCTION("""COMPUTED_VALUE"""),26.85)</f>
        <v>26.85</v>
      </c>
      <c r="E2693" s="112">
        <f ca="1">IFERROR(__xludf.DUMMYFUNCTION("""COMPUTED_VALUE"""),44252.7055555555)</f>
        <v>44252.705555555498</v>
      </c>
      <c r="F2693" s="111">
        <f ca="1">IFERROR(__xludf.DUMMYFUNCTION("""COMPUTED_VALUE"""),9.63)</f>
        <v>9.6300000000000008</v>
      </c>
      <c r="G2693" s="112">
        <f ca="1">IFERROR(__xludf.DUMMYFUNCTION("""COMPUTED_VALUE"""),44250.7055555555)</f>
        <v>44250.705555555498</v>
      </c>
      <c r="H2693" s="111">
        <f ca="1">IFERROR(__xludf.DUMMYFUNCTION("""COMPUTED_VALUE"""),24.06)</f>
        <v>24.06</v>
      </c>
      <c r="K2693" s="112">
        <f ca="1">IFERROR(__xludf.DUMMYFUNCTION("""COMPUTED_VALUE"""),44693.7055555555)</f>
        <v>44693.705555555498</v>
      </c>
      <c r="L2693" s="111">
        <f ca="1">IFERROR(__xludf.DUMMYFUNCTION("""COMPUTED_VALUE"""),4.18)</f>
        <v>4.18</v>
      </c>
      <c r="M2693" s="112">
        <f ca="1">IFERROR(__xludf.DUMMYFUNCTION("""COMPUTED_VALUE"""),44152.7055555555)</f>
        <v>44152.705555555498</v>
      </c>
      <c r="N2693" s="111">
        <f ca="1">IFERROR(__xludf.DUMMYFUNCTION("""COMPUTED_VALUE"""),23.09)</f>
        <v>23.09</v>
      </c>
      <c r="O2693" s="112">
        <f ca="1">IFERROR(__xludf.DUMMYFUNCTION("""COMPUTED_VALUE"""),44231.7055555555)</f>
        <v>44231.705555555498</v>
      </c>
      <c r="P2693" s="111">
        <f ca="1">IFERROR(__xludf.DUMMYFUNCTION("""COMPUTED_VALUE"""),89.29)</f>
        <v>89.29</v>
      </c>
      <c r="Q2693" s="112">
        <f ca="1">IFERROR(__xludf.DUMMYFUNCTION("""COMPUTED_VALUE"""),44230.7055555555)</f>
        <v>44230.705555555498</v>
      </c>
      <c r="R2693" s="111">
        <f ca="1">IFERROR(__xludf.DUMMYFUNCTION("""COMPUTED_VALUE"""),34.33)</f>
        <v>34.33</v>
      </c>
      <c r="S2693" s="112">
        <f ca="1">IFERROR(__xludf.DUMMYFUNCTION("""COMPUTED_VALUE"""),44246.7055555555)</f>
        <v>44246.705555555498</v>
      </c>
      <c r="T2693" s="111">
        <f ca="1">IFERROR(__xludf.DUMMYFUNCTION("""COMPUTED_VALUE"""),36.06)</f>
        <v>36.06</v>
      </c>
    </row>
    <row r="2694" spans="1:20" x14ac:dyDescent="0.3">
      <c r="A2694" s="112">
        <f ca="1">IFERROR(__xludf.DUMMYFUNCTION("""COMPUTED_VALUE"""),44239.7055555555)</f>
        <v>44239.705555555498</v>
      </c>
      <c r="B2694" s="111">
        <f ca="1">IFERROR(__xludf.DUMMYFUNCTION("""COMPUTED_VALUE"""),29.72)</f>
        <v>29.72</v>
      </c>
      <c r="C2694" s="112">
        <f ca="1">IFERROR(__xludf.DUMMYFUNCTION("""COMPUTED_VALUE"""),44252.7055555555)</f>
        <v>44252.705555555498</v>
      </c>
      <c r="D2694" s="111">
        <f ca="1">IFERROR(__xludf.DUMMYFUNCTION("""COMPUTED_VALUE"""),26.01)</f>
        <v>26.01</v>
      </c>
      <c r="E2694" s="112">
        <f ca="1">IFERROR(__xludf.DUMMYFUNCTION("""COMPUTED_VALUE"""),44253.7055555555)</f>
        <v>44253.705555555498</v>
      </c>
      <c r="F2694" s="111">
        <f ca="1">IFERROR(__xludf.DUMMYFUNCTION("""COMPUTED_VALUE"""),9.48)</f>
        <v>9.48</v>
      </c>
      <c r="G2694" s="112">
        <f ca="1">IFERROR(__xludf.DUMMYFUNCTION("""COMPUTED_VALUE"""),44251.7055555555)</f>
        <v>44251.705555555498</v>
      </c>
      <c r="H2694" s="111">
        <f ca="1">IFERROR(__xludf.DUMMYFUNCTION("""COMPUTED_VALUE"""),24.4)</f>
        <v>24.4</v>
      </c>
      <c r="K2694" s="112">
        <f ca="1">IFERROR(__xludf.DUMMYFUNCTION("""COMPUTED_VALUE"""),44694.7055555555)</f>
        <v>44694.705555555498</v>
      </c>
      <c r="L2694" s="111">
        <f ca="1">IFERROR(__xludf.DUMMYFUNCTION("""COMPUTED_VALUE"""),4.38)</f>
        <v>4.38</v>
      </c>
      <c r="M2694" s="112">
        <f ca="1">IFERROR(__xludf.DUMMYFUNCTION("""COMPUTED_VALUE"""),44153.7055555555)</f>
        <v>44153.705555555498</v>
      </c>
      <c r="N2694" s="111">
        <f ca="1">IFERROR(__xludf.DUMMYFUNCTION("""COMPUTED_VALUE"""),22.38)</f>
        <v>22.38</v>
      </c>
      <c r="O2694" s="112">
        <f ca="1">IFERROR(__xludf.DUMMYFUNCTION("""COMPUTED_VALUE"""),44232.7055555555)</f>
        <v>44232.705555555498</v>
      </c>
      <c r="P2694" s="111">
        <f ca="1">IFERROR(__xludf.DUMMYFUNCTION("""COMPUTED_VALUE"""),92.69)</f>
        <v>92.69</v>
      </c>
      <c r="Q2694" s="112">
        <f ca="1">IFERROR(__xludf.DUMMYFUNCTION("""COMPUTED_VALUE"""),44231.7055555555)</f>
        <v>44231.705555555498</v>
      </c>
      <c r="R2694" s="111">
        <f ca="1">IFERROR(__xludf.DUMMYFUNCTION("""COMPUTED_VALUE"""),34.19)</f>
        <v>34.19</v>
      </c>
      <c r="S2694" s="112">
        <f ca="1">IFERROR(__xludf.DUMMYFUNCTION("""COMPUTED_VALUE"""),44249.7055555555)</f>
        <v>44249.705555555498</v>
      </c>
      <c r="T2694" s="111">
        <f ca="1">IFERROR(__xludf.DUMMYFUNCTION("""COMPUTED_VALUE"""),34.85)</f>
        <v>34.85</v>
      </c>
    </row>
    <row r="2695" spans="1:20" x14ac:dyDescent="0.3">
      <c r="A2695" s="112">
        <f ca="1">IFERROR(__xludf.DUMMYFUNCTION("""COMPUTED_VALUE"""),44244.7055555555)</f>
        <v>44244.705555555498</v>
      </c>
      <c r="B2695" s="111">
        <f ca="1">IFERROR(__xludf.DUMMYFUNCTION("""COMPUTED_VALUE"""),29.73)</f>
        <v>29.73</v>
      </c>
      <c r="C2695" s="112">
        <f ca="1">IFERROR(__xludf.DUMMYFUNCTION("""COMPUTED_VALUE"""),44253.7055555555)</f>
        <v>44253.705555555498</v>
      </c>
      <c r="D2695" s="111">
        <f ca="1">IFERROR(__xludf.DUMMYFUNCTION("""COMPUTED_VALUE"""),25.55)</f>
        <v>25.55</v>
      </c>
      <c r="E2695" s="112">
        <f ca="1">IFERROR(__xludf.DUMMYFUNCTION("""COMPUTED_VALUE"""),44256.7055555555)</f>
        <v>44256.705555555498</v>
      </c>
      <c r="F2695" s="111">
        <f ca="1">IFERROR(__xludf.DUMMYFUNCTION("""COMPUTED_VALUE"""),9.16)</f>
        <v>9.16</v>
      </c>
      <c r="G2695" s="112">
        <f ca="1">IFERROR(__xludf.DUMMYFUNCTION("""COMPUTED_VALUE"""),44252.7055555555)</f>
        <v>44252.705555555498</v>
      </c>
      <c r="H2695" s="111">
        <f ca="1">IFERROR(__xludf.DUMMYFUNCTION("""COMPUTED_VALUE"""),23.19)</f>
        <v>23.19</v>
      </c>
      <c r="K2695" s="112">
        <f ca="1">IFERROR(__xludf.DUMMYFUNCTION("""COMPUTED_VALUE"""),44698.7055555555)</f>
        <v>44698.705555555498</v>
      </c>
      <c r="L2695" s="111">
        <f ca="1">IFERROR(__xludf.DUMMYFUNCTION("""COMPUTED_VALUE"""),3.94)</f>
        <v>3.94</v>
      </c>
      <c r="M2695" s="112">
        <f ca="1">IFERROR(__xludf.DUMMYFUNCTION("""COMPUTED_VALUE"""),44154.7055555555)</f>
        <v>44154.705555555498</v>
      </c>
      <c r="N2695" s="111">
        <f ca="1">IFERROR(__xludf.DUMMYFUNCTION("""COMPUTED_VALUE"""),22.4)</f>
        <v>22.4</v>
      </c>
      <c r="O2695" s="112">
        <f ca="1">IFERROR(__xludf.DUMMYFUNCTION("""COMPUTED_VALUE"""),44235.7055555555)</f>
        <v>44235.705555555498</v>
      </c>
      <c r="P2695" s="111">
        <f ca="1">IFERROR(__xludf.DUMMYFUNCTION("""COMPUTED_VALUE"""),94.01)</f>
        <v>94.01</v>
      </c>
      <c r="Q2695" s="112">
        <f ca="1">IFERROR(__xludf.DUMMYFUNCTION("""COMPUTED_VALUE"""),44232.7055555555)</f>
        <v>44232.705555555498</v>
      </c>
      <c r="R2695" s="111">
        <f ca="1">IFERROR(__xludf.DUMMYFUNCTION("""COMPUTED_VALUE"""),33.96)</f>
        <v>33.96</v>
      </c>
      <c r="S2695" s="112">
        <f ca="1">IFERROR(__xludf.DUMMYFUNCTION("""COMPUTED_VALUE"""),44250.7055555555)</f>
        <v>44250.705555555498</v>
      </c>
      <c r="T2695" s="111">
        <f ca="1">IFERROR(__xludf.DUMMYFUNCTION("""COMPUTED_VALUE"""),34.78)</f>
        <v>34.78</v>
      </c>
    </row>
    <row r="2696" spans="1:20" x14ac:dyDescent="0.3">
      <c r="A2696" s="112">
        <f ca="1">IFERROR(__xludf.DUMMYFUNCTION("""COMPUTED_VALUE"""),44245.7055555555)</f>
        <v>44245.705555555498</v>
      </c>
      <c r="B2696" s="111">
        <f ca="1">IFERROR(__xludf.DUMMYFUNCTION("""COMPUTED_VALUE"""),29.18)</f>
        <v>29.18</v>
      </c>
      <c r="C2696" s="112">
        <f ca="1">IFERROR(__xludf.DUMMYFUNCTION("""COMPUTED_VALUE"""),44256.7055555555)</f>
        <v>44256.705555555498</v>
      </c>
      <c r="D2696" s="111">
        <f ca="1">IFERROR(__xludf.DUMMYFUNCTION("""COMPUTED_VALUE"""),24.77)</f>
        <v>24.77</v>
      </c>
      <c r="E2696" s="112">
        <f ca="1">IFERROR(__xludf.DUMMYFUNCTION("""COMPUTED_VALUE"""),44257.7055555555)</f>
        <v>44257.705555555498</v>
      </c>
      <c r="F2696" s="111">
        <f ca="1">IFERROR(__xludf.DUMMYFUNCTION("""COMPUTED_VALUE"""),9.43)</f>
        <v>9.43</v>
      </c>
      <c r="G2696" s="112">
        <f ca="1">IFERROR(__xludf.DUMMYFUNCTION("""COMPUTED_VALUE"""),44253.7055555555)</f>
        <v>44253.705555555498</v>
      </c>
      <c r="H2696" s="111">
        <f ca="1">IFERROR(__xludf.DUMMYFUNCTION("""COMPUTED_VALUE"""),22.24)</f>
        <v>22.24</v>
      </c>
      <c r="K2696" s="112">
        <f ca="1">IFERROR(__xludf.DUMMYFUNCTION("""COMPUTED_VALUE"""),44699.7055555555)</f>
        <v>44699.705555555498</v>
      </c>
      <c r="L2696" s="111">
        <f ca="1">IFERROR(__xludf.DUMMYFUNCTION("""COMPUTED_VALUE"""),3.72)</f>
        <v>3.72</v>
      </c>
      <c r="M2696" s="112">
        <f ca="1">IFERROR(__xludf.DUMMYFUNCTION("""COMPUTED_VALUE"""),44155.7055555555)</f>
        <v>44155.705555555498</v>
      </c>
      <c r="N2696" s="111">
        <f ca="1">IFERROR(__xludf.DUMMYFUNCTION("""COMPUTED_VALUE"""),22.15)</f>
        <v>22.15</v>
      </c>
      <c r="O2696" s="112">
        <f ca="1">IFERROR(__xludf.DUMMYFUNCTION("""COMPUTED_VALUE"""),44236.7055555555)</f>
        <v>44236.705555555498</v>
      </c>
      <c r="P2696" s="111">
        <f ca="1">IFERROR(__xludf.DUMMYFUNCTION("""COMPUTED_VALUE"""),94.25)</f>
        <v>94.25</v>
      </c>
      <c r="Q2696" s="112">
        <f ca="1">IFERROR(__xludf.DUMMYFUNCTION("""COMPUTED_VALUE"""),44235.7055555555)</f>
        <v>44235.705555555498</v>
      </c>
      <c r="R2696" s="111">
        <f ca="1">IFERROR(__xludf.DUMMYFUNCTION("""COMPUTED_VALUE"""),33.87)</f>
        <v>33.869999999999997</v>
      </c>
      <c r="S2696" s="112">
        <f ca="1">IFERROR(__xludf.DUMMYFUNCTION("""COMPUTED_VALUE"""),44251.7055555555)</f>
        <v>44251.705555555498</v>
      </c>
      <c r="T2696" s="111">
        <f ca="1">IFERROR(__xludf.DUMMYFUNCTION("""COMPUTED_VALUE"""),33.93)</f>
        <v>33.93</v>
      </c>
    </row>
    <row r="2697" spans="1:20" x14ac:dyDescent="0.3">
      <c r="A2697" s="112">
        <f ca="1">IFERROR(__xludf.DUMMYFUNCTION("""COMPUTED_VALUE"""),44246.7055555555)</f>
        <v>44246.705555555498</v>
      </c>
      <c r="B2697" s="111">
        <f ca="1">IFERROR(__xludf.DUMMYFUNCTION("""COMPUTED_VALUE"""),28.8)</f>
        <v>28.8</v>
      </c>
      <c r="C2697" s="112">
        <f ca="1">IFERROR(__xludf.DUMMYFUNCTION("""COMPUTED_VALUE"""),44257.7055555555)</f>
        <v>44257.705555555498</v>
      </c>
      <c r="D2697" s="111">
        <f ca="1">IFERROR(__xludf.DUMMYFUNCTION("""COMPUTED_VALUE"""),25.77)</f>
        <v>25.77</v>
      </c>
      <c r="E2697" s="112">
        <f ca="1">IFERROR(__xludf.DUMMYFUNCTION("""COMPUTED_VALUE"""),44258.7055555555)</f>
        <v>44258.705555555498</v>
      </c>
      <c r="F2697" s="111">
        <f ca="1">IFERROR(__xludf.DUMMYFUNCTION("""COMPUTED_VALUE"""),9.51)</f>
        <v>9.51</v>
      </c>
      <c r="G2697" s="112">
        <f ca="1">IFERROR(__xludf.DUMMYFUNCTION("""COMPUTED_VALUE"""),44256.7055555555)</f>
        <v>44256.705555555498</v>
      </c>
      <c r="H2697" s="111">
        <f ca="1">IFERROR(__xludf.DUMMYFUNCTION("""COMPUTED_VALUE"""),22)</f>
        <v>22</v>
      </c>
      <c r="K2697" s="112">
        <f ca="1">IFERROR(__xludf.DUMMYFUNCTION("""COMPUTED_VALUE"""),44700.7055555555)</f>
        <v>44700.705555555498</v>
      </c>
      <c r="L2697" s="111">
        <f ca="1">IFERROR(__xludf.DUMMYFUNCTION("""COMPUTED_VALUE"""),3.73)</f>
        <v>3.73</v>
      </c>
      <c r="M2697" s="112">
        <f ca="1">IFERROR(__xludf.DUMMYFUNCTION("""COMPUTED_VALUE"""),44158.7055555555)</f>
        <v>44158.705555555498</v>
      </c>
      <c r="N2697" s="111">
        <f ca="1">IFERROR(__xludf.DUMMYFUNCTION("""COMPUTED_VALUE"""),22.25)</f>
        <v>22.25</v>
      </c>
      <c r="O2697" s="112">
        <f ca="1">IFERROR(__xludf.DUMMYFUNCTION("""COMPUTED_VALUE"""),44237.7055555555)</f>
        <v>44237.705555555498</v>
      </c>
      <c r="P2697" s="111">
        <f ca="1">IFERROR(__xludf.DUMMYFUNCTION("""COMPUTED_VALUE"""),94.7)</f>
        <v>94.7</v>
      </c>
      <c r="Q2697" s="112">
        <f ca="1">IFERROR(__xludf.DUMMYFUNCTION("""COMPUTED_VALUE"""),44236.7055555555)</f>
        <v>44236.705555555498</v>
      </c>
      <c r="R2697" s="111">
        <f ca="1">IFERROR(__xludf.DUMMYFUNCTION("""COMPUTED_VALUE"""),34.28)</f>
        <v>34.28</v>
      </c>
      <c r="S2697" s="112">
        <f ca="1">IFERROR(__xludf.DUMMYFUNCTION("""COMPUTED_VALUE"""),44252.7055555555)</f>
        <v>44252.705555555498</v>
      </c>
      <c r="T2697" s="111">
        <f ca="1">IFERROR(__xludf.DUMMYFUNCTION("""COMPUTED_VALUE"""),33.88)</f>
        <v>33.880000000000003</v>
      </c>
    </row>
    <row r="2698" spans="1:20" x14ac:dyDescent="0.3">
      <c r="A2698" s="112">
        <f ca="1">IFERROR(__xludf.DUMMYFUNCTION("""COMPUTED_VALUE"""),44249.7055555555)</f>
        <v>44249.705555555498</v>
      </c>
      <c r="B2698" s="111">
        <f ca="1">IFERROR(__xludf.DUMMYFUNCTION("""COMPUTED_VALUE"""),28.6)</f>
        <v>28.6</v>
      </c>
      <c r="C2698" s="112">
        <f ca="1">IFERROR(__xludf.DUMMYFUNCTION("""COMPUTED_VALUE"""),44258.7055555555)</f>
        <v>44258.705555555498</v>
      </c>
      <c r="D2698" s="111">
        <f ca="1">IFERROR(__xludf.DUMMYFUNCTION("""COMPUTED_VALUE"""),25.83)</f>
        <v>25.83</v>
      </c>
      <c r="E2698" s="112">
        <f ca="1">IFERROR(__xludf.DUMMYFUNCTION("""COMPUTED_VALUE"""),44259.7055555555)</f>
        <v>44259.705555555498</v>
      </c>
      <c r="F2698" s="111">
        <f ca="1">IFERROR(__xludf.DUMMYFUNCTION("""COMPUTED_VALUE"""),9.72)</f>
        <v>9.7200000000000006</v>
      </c>
      <c r="G2698" s="112">
        <f ca="1">IFERROR(__xludf.DUMMYFUNCTION("""COMPUTED_VALUE"""),44257.7055555555)</f>
        <v>44257.705555555498</v>
      </c>
      <c r="H2698" s="111">
        <f ca="1">IFERROR(__xludf.DUMMYFUNCTION("""COMPUTED_VALUE"""),21.99)</f>
        <v>21.99</v>
      </c>
      <c r="K2698" s="112">
        <f ca="1">IFERROR(__xludf.DUMMYFUNCTION("""COMPUTED_VALUE"""),44701.7055555555)</f>
        <v>44701.705555555498</v>
      </c>
      <c r="L2698" s="111">
        <f ca="1">IFERROR(__xludf.DUMMYFUNCTION("""COMPUTED_VALUE"""),3.67)</f>
        <v>3.67</v>
      </c>
      <c r="M2698" s="112">
        <f ca="1">IFERROR(__xludf.DUMMYFUNCTION("""COMPUTED_VALUE"""),44159.7055555555)</f>
        <v>44159.705555555498</v>
      </c>
      <c r="N2698" s="111">
        <f ca="1">IFERROR(__xludf.DUMMYFUNCTION("""COMPUTED_VALUE"""),23.25)</f>
        <v>23.25</v>
      </c>
      <c r="O2698" s="112">
        <f ca="1">IFERROR(__xludf.DUMMYFUNCTION("""COMPUTED_VALUE"""),44238.7055555555)</f>
        <v>44238.705555555498</v>
      </c>
      <c r="P2698" s="111">
        <f ca="1">IFERROR(__xludf.DUMMYFUNCTION("""COMPUTED_VALUE"""),93.1)</f>
        <v>93.1</v>
      </c>
      <c r="Q2698" s="112">
        <f ca="1">IFERROR(__xludf.DUMMYFUNCTION("""COMPUTED_VALUE"""),44237.7055555555)</f>
        <v>44237.705555555498</v>
      </c>
      <c r="R2698" s="111">
        <f ca="1">IFERROR(__xludf.DUMMYFUNCTION("""COMPUTED_VALUE"""),33.81)</f>
        <v>33.81</v>
      </c>
      <c r="S2698" s="112">
        <f ca="1">IFERROR(__xludf.DUMMYFUNCTION("""COMPUTED_VALUE"""),44253.7055555555)</f>
        <v>44253.705555555498</v>
      </c>
      <c r="T2698" s="111">
        <f ca="1">IFERROR(__xludf.DUMMYFUNCTION("""COMPUTED_VALUE"""),33.33)</f>
        <v>33.33</v>
      </c>
    </row>
    <row r="2699" spans="1:20" x14ac:dyDescent="0.3">
      <c r="A2699" s="112">
        <f ca="1">IFERROR(__xludf.DUMMYFUNCTION("""COMPUTED_VALUE"""),44250.7055555555)</f>
        <v>44250.705555555498</v>
      </c>
      <c r="B2699" s="111">
        <f ca="1">IFERROR(__xludf.DUMMYFUNCTION("""COMPUTED_VALUE"""),32.32)</f>
        <v>32.32</v>
      </c>
      <c r="C2699" s="112">
        <f ca="1">IFERROR(__xludf.DUMMYFUNCTION("""COMPUTED_VALUE"""),44259.7055555555)</f>
        <v>44259.705555555498</v>
      </c>
      <c r="D2699" s="111">
        <f ca="1">IFERROR(__xludf.DUMMYFUNCTION("""COMPUTED_VALUE"""),26.64)</f>
        <v>26.64</v>
      </c>
      <c r="E2699" s="112">
        <f ca="1">IFERROR(__xludf.DUMMYFUNCTION("""COMPUTED_VALUE"""),44260.7055555555)</f>
        <v>44260.705555555498</v>
      </c>
      <c r="F2699" s="111">
        <f ca="1">IFERROR(__xludf.DUMMYFUNCTION("""COMPUTED_VALUE"""),9.88)</f>
        <v>9.8800000000000008</v>
      </c>
      <c r="G2699" s="112">
        <f ca="1">IFERROR(__xludf.DUMMYFUNCTION("""COMPUTED_VALUE"""),44258.7055555555)</f>
        <v>44258.705555555498</v>
      </c>
      <c r="H2699" s="111">
        <f ca="1">IFERROR(__xludf.DUMMYFUNCTION("""COMPUTED_VALUE"""),21.19)</f>
        <v>21.19</v>
      </c>
      <c r="K2699" s="112">
        <f ca="1">IFERROR(__xludf.DUMMYFUNCTION("""COMPUTED_VALUE"""),44704.7055555555)</f>
        <v>44704.705555555498</v>
      </c>
      <c r="L2699" s="111">
        <f ca="1">IFERROR(__xludf.DUMMYFUNCTION("""COMPUTED_VALUE"""),3.7)</f>
        <v>3.7</v>
      </c>
      <c r="M2699" s="112">
        <f ca="1">IFERROR(__xludf.DUMMYFUNCTION("""COMPUTED_VALUE"""),44160.7055555555)</f>
        <v>44160.705555555498</v>
      </c>
      <c r="N2699" s="111">
        <f ca="1">IFERROR(__xludf.DUMMYFUNCTION("""COMPUTED_VALUE"""),22.95)</f>
        <v>22.95</v>
      </c>
      <c r="O2699" s="112">
        <f ca="1">IFERROR(__xludf.DUMMYFUNCTION("""COMPUTED_VALUE"""),44239.7055555555)</f>
        <v>44239.705555555498</v>
      </c>
      <c r="P2699" s="111">
        <f ca="1">IFERROR(__xludf.DUMMYFUNCTION("""COMPUTED_VALUE"""),93.89)</f>
        <v>93.89</v>
      </c>
      <c r="Q2699" s="112">
        <f ca="1">IFERROR(__xludf.DUMMYFUNCTION("""COMPUTED_VALUE"""),44238.7055555555)</f>
        <v>44238.705555555498</v>
      </c>
      <c r="R2699" s="111">
        <f ca="1">IFERROR(__xludf.DUMMYFUNCTION("""COMPUTED_VALUE"""),33.94)</f>
        <v>33.94</v>
      </c>
      <c r="S2699" s="112">
        <f ca="1">IFERROR(__xludf.DUMMYFUNCTION("""COMPUTED_VALUE"""),44256.7055555555)</f>
        <v>44256.705555555498</v>
      </c>
      <c r="T2699" s="111">
        <f ca="1">IFERROR(__xludf.DUMMYFUNCTION("""COMPUTED_VALUE"""),33.79)</f>
        <v>33.79</v>
      </c>
    </row>
    <row r="2700" spans="1:20" x14ac:dyDescent="0.3">
      <c r="A2700" s="112">
        <f ca="1">IFERROR(__xludf.DUMMYFUNCTION("""COMPUTED_VALUE"""),44251.7055555555)</f>
        <v>44251.705555555498</v>
      </c>
      <c r="B2700" s="111">
        <f ca="1">IFERROR(__xludf.DUMMYFUNCTION("""COMPUTED_VALUE"""),33.44)</f>
        <v>33.44</v>
      </c>
      <c r="C2700" s="112">
        <f ca="1">IFERROR(__xludf.DUMMYFUNCTION("""COMPUTED_VALUE"""),44260.7055555555)</f>
        <v>44260.705555555498</v>
      </c>
      <c r="D2700" s="111">
        <f ca="1">IFERROR(__xludf.DUMMYFUNCTION("""COMPUTED_VALUE"""),27.63)</f>
        <v>27.63</v>
      </c>
      <c r="E2700" s="112">
        <f ca="1">IFERROR(__xludf.DUMMYFUNCTION("""COMPUTED_VALUE"""),44263.7055555555)</f>
        <v>44263.705555555498</v>
      </c>
      <c r="F2700" s="111">
        <f ca="1">IFERROR(__xludf.DUMMYFUNCTION("""COMPUTED_VALUE"""),9.49)</f>
        <v>9.49</v>
      </c>
      <c r="G2700" s="112">
        <f ca="1">IFERROR(__xludf.DUMMYFUNCTION("""COMPUTED_VALUE"""),44259.7055555555)</f>
        <v>44259.705555555498</v>
      </c>
      <c r="H2700" s="111">
        <f ca="1">IFERROR(__xludf.DUMMYFUNCTION("""COMPUTED_VALUE"""),22.22)</f>
        <v>22.22</v>
      </c>
      <c r="K2700" s="112">
        <f ca="1">IFERROR(__xludf.DUMMYFUNCTION("""COMPUTED_VALUE"""),44705.7055555555)</f>
        <v>44705.705555555498</v>
      </c>
      <c r="L2700" s="111">
        <f ca="1">IFERROR(__xludf.DUMMYFUNCTION("""COMPUTED_VALUE"""),3.71)</f>
        <v>3.71</v>
      </c>
      <c r="M2700" s="112">
        <f ca="1">IFERROR(__xludf.DUMMYFUNCTION("""COMPUTED_VALUE"""),44161.7055555555)</f>
        <v>44161.705555555498</v>
      </c>
      <c r="N2700" s="111">
        <f ca="1">IFERROR(__xludf.DUMMYFUNCTION("""COMPUTED_VALUE"""),22.58)</f>
        <v>22.58</v>
      </c>
      <c r="O2700" s="112">
        <f ca="1">IFERROR(__xludf.DUMMYFUNCTION("""COMPUTED_VALUE"""),44244.7055555555)</f>
        <v>44244.705555555498</v>
      </c>
      <c r="P2700" s="111">
        <f ca="1">IFERROR(__xludf.DUMMYFUNCTION("""COMPUTED_VALUE"""),96.35)</f>
        <v>96.35</v>
      </c>
      <c r="Q2700" s="112">
        <f ca="1">IFERROR(__xludf.DUMMYFUNCTION("""COMPUTED_VALUE"""),44239.7055555555)</f>
        <v>44239.705555555498</v>
      </c>
      <c r="R2700" s="111">
        <f ca="1">IFERROR(__xludf.DUMMYFUNCTION("""COMPUTED_VALUE"""),33.75)</f>
        <v>33.75</v>
      </c>
      <c r="S2700" s="112">
        <f ca="1">IFERROR(__xludf.DUMMYFUNCTION("""COMPUTED_VALUE"""),44257.7055555555)</f>
        <v>44257.705555555498</v>
      </c>
      <c r="T2700" s="111">
        <f ca="1">IFERROR(__xludf.DUMMYFUNCTION("""COMPUTED_VALUE"""),33.97)</f>
        <v>33.97</v>
      </c>
    </row>
    <row r="2701" spans="1:20" x14ac:dyDescent="0.3">
      <c r="A2701" s="112">
        <f ca="1">IFERROR(__xludf.DUMMYFUNCTION("""COMPUTED_VALUE"""),44252.7055555555)</f>
        <v>44252.705555555498</v>
      </c>
      <c r="B2701" s="111">
        <f ca="1">IFERROR(__xludf.DUMMYFUNCTION("""COMPUTED_VALUE"""),33.16)</f>
        <v>33.159999999999997</v>
      </c>
      <c r="C2701" s="112">
        <f ca="1">IFERROR(__xludf.DUMMYFUNCTION("""COMPUTED_VALUE"""),44263.7055555555)</f>
        <v>44263.705555555498</v>
      </c>
      <c r="D2701" s="111">
        <f ca="1">IFERROR(__xludf.DUMMYFUNCTION("""COMPUTED_VALUE"""),26.75)</f>
        <v>26.75</v>
      </c>
      <c r="E2701" s="112">
        <f ca="1">IFERROR(__xludf.DUMMYFUNCTION("""COMPUTED_VALUE"""),44264.7055555555)</f>
        <v>44264.705555555498</v>
      </c>
      <c r="F2701" s="111">
        <f ca="1">IFERROR(__xludf.DUMMYFUNCTION("""COMPUTED_VALUE"""),9.57)</f>
        <v>9.57</v>
      </c>
      <c r="G2701" s="112">
        <f ca="1">IFERROR(__xludf.DUMMYFUNCTION("""COMPUTED_VALUE"""),44260.7055555555)</f>
        <v>44260.705555555498</v>
      </c>
      <c r="H2701" s="111">
        <f ca="1">IFERROR(__xludf.DUMMYFUNCTION("""COMPUTED_VALUE"""),22.39)</f>
        <v>22.39</v>
      </c>
      <c r="K2701" s="112">
        <f ca="1">IFERROR(__xludf.DUMMYFUNCTION("""COMPUTED_VALUE"""),44706.7055555555)</f>
        <v>44706.705555555498</v>
      </c>
      <c r="L2701" s="111">
        <f ca="1">IFERROR(__xludf.DUMMYFUNCTION("""COMPUTED_VALUE"""),3.71)</f>
        <v>3.71</v>
      </c>
      <c r="M2701" s="112">
        <f ca="1">IFERROR(__xludf.DUMMYFUNCTION("""COMPUTED_VALUE"""),44162.7055555555)</f>
        <v>44162.705555555498</v>
      </c>
      <c r="N2701" s="111">
        <f ca="1">IFERROR(__xludf.DUMMYFUNCTION("""COMPUTED_VALUE"""),22.4)</f>
        <v>22.4</v>
      </c>
      <c r="O2701" s="112">
        <f ca="1">IFERROR(__xludf.DUMMYFUNCTION("""COMPUTED_VALUE"""),44245.7055555555)</f>
        <v>44245.705555555498</v>
      </c>
      <c r="P2701" s="111">
        <f ca="1">IFERROR(__xludf.DUMMYFUNCTION("""COMPUTED_VALUE"""),97.4)</f>
        <v>97.4</v>
      </c>
      <c r="Q2701" s="112">
        <f ca="1">IFERROR(__xludf.DUMMYFUNCTION("""COMPUTED_VALUE"""),44244.7055555555)</f>
        <v>44244.705555555498</v>
      </c>
      <c r="R2701" s="111">
        <f ca="1">IFERROR(__xludf.DUMMYFUNCTION("""COMPUTED_VALUE"""),33.36)</f>
        <v>33.36</v>
      </c>
      <c r="S2701" s="112">
        <f ca="1">IFERROR(__xludf.DUMMYFUNCTION("""COMPUTED_VALUE"""),44258.7055555555)</f>
        <v>44258.705555555498</v>
      </c>
      <c r="T2701" s="111">
        <f ca="1">IFERROR(__xludf.DUMMYFUNCTION("""COMPUTED_VALUE"""),34.07)</f>
        <v>34.07</v>
      </c>
    </row>
    <row r="2702" spans="1:20" x14ac:dyDescent="0.3">
      <c r="A2702" s="112">
        <f ca="1">IFERROR(__xludf.DUMMYFUNCTION("""COMPUTED_VALUE"""),44253.7055555555)</f>
        <v>44253.705555555498</v>
      </c>
      <c r="B2702" s="111">
        <f ca="1">IFERROR(__xludf.DUMMYFUNCTION("""COMPUTED_VALUE"""),32.06)</f>
        <v>32.06</v>
      </c>
      <c r="C2702" s="112">
        <f ca="1">IFERROR(__xludf.DUMMYFUNCTION("""COMPUTED_VALUE"""),44264.7055555555)</f>
        <v>44264.705555555498</v>
      </c>
      <c r="D2702" s="111">
        <f ca="1">IFERROR(__xludf.DUMMYFUNCTION("""COMPUTED_VALUE"""),27.12)</f>
        <v>27.12</v>
      </c>
      <c r="E2702" s="112">
        <f ca="1">IFERROR(__xludf.DUMMYFUNCTION("""COMPUTED_VALUE"""),44265.7055555555)</f>
        <v>44265.705555555498</v>
      </c>
      <c r="F2702" s="111">
        <f ca="1">IFERROR(__xludf.DUMMYFUNCTION("""COMPUTED_VALUE"""),9.82)</f>
        <v>9.82</v>
      </c>
      <c r="G2702" s="112">
        <f ca="1">IFERROR(__xludf.DUMMYFUNCTION("""COMPUTED_VALUE"""),44263.7055555555)</f>
        <v>44263.705555555498</v>
      </c>
      <c r="H2702" s="111">
        <f ca="1">IFERROR(__xludf.DUMMYFUNCTION("""COMPUTED_VALUE"""),21.1)</f>
        <v>21.1</v>
      </c>
      <c r="K2702" s="112">
        <f ca="1">IFERROR(__xludf.DUMMYFUNCTION("""COMPUTED_VALUE"""),44707.7055555555)</f>
        <v>44707.705555555498</v>
      </c>
      <c r="L2702" s="111">
        <f ca="1">IFERROR(__xludf.DUMMYFUNCTION("""COMPUTED_VALUE"""),4.07)</f>
        <v>4.07</v>
      </c>
      <c r="M2702" s="112">
        <f ca="1">IFERROR(__xludf.DUMMYFUNCTION("""COMPUTED_VALUE"""),44165.7055555555)</f>
        <v>44165.705555555498</v>
      </c>
      <c r="N2702" s="111">
        <f ca="1">IFERROR(__xludf.DUMMYFUNCTION("""COMPUTED_VALUE"""),22.09)</f>
        <v>22.09</v>
      </c>
      <c r="O2702" s="112">
        <f ca="1">IFERROR(__xludf.DUMMYFUNCTION("""COMPUTED_VALUE"""),44246.7055555555)</f>
        <v>44246.705555555498</v>
      </c>
      <c r="P2702" s="111">
        <f ca="1">IFERROR(__xludf.DUMMYFUNCTION("""COMPUTED_VALUE"""),97.77)</f>
        <v>97.77</v>
      </c>
      <c r="Q2702" s="112">
        <f ca="1">IFERROR(__xludf.DUMMYFUNCTION("""COMPUTED_VALUE"""),44245.7055555555)</f>
        <v>44245.705555555498</v>
      </c>
      <c r="R2702" s="111">
        <f ca="1">IFERROR(__xludf.DUMMYFUNCTION("""COMPUTED_VALUE"""),33.26)</f>
        <v>33.26</v>
      </c>
      <c r="S2702" s="112">
        <f ca="1">IFERROR(__xludf.DUMMYFUNCTION("""COMPUTED_VALUE"""),44259.7055555555)</f>
        <v>44259.705555555498</v>
      </c>
      <c r="T2702" s="111">
        <f ca="1">IFERROR(__xludf.DUMMYFUNCTION("""COMPUTED_VALUE"""),35.75)</f>
        <v>35.75</v>
      </c>
    </row>
    <row r="2703" spans="1:20" x14ac:dyDescent="0.3">
      <c r="A2703" s="112">
        <f ca="1">IFERROR(__xludf.DUMMYFUNCTION("""COMPUTED_VALUE"""),44256.7055555555)</f>
        <v>44256.705555555498</v>
      </c>
      <c r="B2703" s="111">
        <f ca="1">IFERROR(__xludf.DUMMYFUNCTION("""COMPUTED_VALUE"""),31.2)</f>
        <v>31.2</v>
      </c>
      <c r="C2703" s="112">
        <f ca="1">IFERROR(__xludf.DUMMYFUNCTION("""COMPUTED_VALUE"""),44265.7055555555)</f>
        <v>44265.705555555498</v>
      </c>
      <c r="D2703" s="111">
        <f ca="1">IFERROR(__xludf.DUMMYFUNCTION("""COMPUTED_VALUE"""),27.32)</f>
        <v>27.32</v>
      </c>
      <c r="E2703" s="112">
        <f ca="1">IFERROR(__xludf.DUMMYFUNCTION("""COMPUTED_VALUE"""),44266.7055555555)</f>
        <v>44266.705555555498</v>
      </c>
      <c r="F2703" s="111">
        <f ca="1">IFERROR(__xludf.DUMMYFUNCTION("""COMPUTED_VALUE"""),9.79)</f>
        <v>9.7899999999999991</v>
      </c>
      <c r="G2703" s="112">
        <f ca="1">IFERROR(__xludf.DUMMYFUNCTION("""COMPUTED_VALUE"""),44264.7055555555)</f>
        <v>44264.705555555498</v>
      </c>
      <c r="H2703" s="111">
        <f ca="1">IFERROR(__xludf.DUMMYFUNCTION("""COMPUTED_VALUE"""),21.59)</f>
        <v>21.59</v>
      </c>
      <c r="K2703" s="112">
        <f ca="1">IFERROR(__xludf.DUMMYFUNCTION("""COMPUTED_VALUE"""),44708.7055555555)</f>
        <v>44708.705555555498</v>
      </c>
      <c r="L2703" s="111">
        <f ca="1">IFERROR(__xludf.DUMMYFUNCTION("""COMPUTED_VALUE"""),4)</f>
        <v>4</v>
      </c>
      <c r="M2703" s="112">
        <f ca="1">IFERROR(__xludf.DUMMYFUNCTION("""COMPUTED_VALUE"""),44166.7055555555)</f>
        <v>44166.705555555498</v>
      </c>
      <c r="N2703" s="111">
        <f ca="1">IFERROR(__xludf.DUMMYFUNCTION("""COMPUTED_VALUE"""),23.33)</f>
        <v>23.33</v>
      </c>
      <c r="O2703" s="112">
        <f ca="1">IFERROR(__xludf.DUMMYFUNCTION("""COMPUTED_VALUE"""),44249.7055555555)</f>
        <v>44249.705555555498</v>
      </c>
      <c r="P2703" s="111">
        <f ca="1">IFERROR(__xludf.DUMMYFUNCTION("""COMPUTED_VALUE"""),95.35)</f>
        <v>95.35</v>
      </c>
      <c r="Q2703" s="112">
        <f ca="1">IFERROR(__xludf.DUMMYFUNCTION("""COMPUTED_VALUE"""),44246.7055555555)</f>
        <v>44246.705555555498</v>
      </c>
      <c r="R2703" s="111">
        <f ca="1">IFERROR(__xludf.DUMMYFUNCTION("""COMPUTED_VALUE"""),32.63)</f>
        <v>32.630000000000003</v>
      </c>
      <c r="S2703" s="112">
        <f ca="1">IFERROR(__xludf.DUMMYFUNCTION("""COMPUTED_VALUE"""),44260.7055555555)</f>
        <v>44260.705555555498</v>
      </c>
      <c r="T2703" s="111">
        <f ca="1">IFERROR(__xludf.DUMMYFUNCTION("""COMPUTED_VALUE"""),35.96)</f>
        <v>35.96</v>
      </c>
    </row>
    <row r="2704" spans="1:20" x14ac:dyDescent="0.3">
      <c r="A2704" s="112">
        <f ca="1">IFERROR(__xludf.DUMMYFUNCTION("""COMPUTED_VALUE"""),44257.7055555555)</f>
        <v>44257.705555555498</v>
      </c>
      <c r="B2704" s="111">
        <f ca="1">IFERROR(__xludf.DUMMYFUNCTION("""COMPUTED_VALUE"""),31.58)</f>
        <v>31.58</v>
      </c>
      <c r="C2704" s="112">
        <f ca="1">IFERROR(__xludf.DUMMYFUNCTION("""COMPUTED_VALUE"""),44266.7055555555)</f>
        <v>44266.705555555498</v>
      </c>
      <c r="D2704" s="111">
        <f ca="1">IFERROR(__xludf.DUMMYFUNCTION("""COMPUTED_VALUE"""),27.36)</f>
        <v>27.36</v>
      </c>
      <c r="E2704" s="112">
        <f ca="1">IFERROR(__xludf.DUMMYFUNCTION("""COMPUTED_VALUE"""),44267.8125)</f>
        <v>44267.8125</v>
      </c>
      <c r="F2704" s="111">
        <f ca="1">IFERROR(__xludf.DUMMYFUNCTION("""COMPUTED_VALUE"""),9.71)</f>
        <v>9.7100000000000009</v>
      </c>
      <c r="G2704" s="112">
        <f ca="1">IFERROR(__xludf.DUMMYFUNCTION("""COMPUTED_VALUE"""),44265.7055555555)</f>
        <v>44265.705555555498</v>
      </c>
      <c r="H2704" s="111">
        <f ca="1">IFERROR(__xludf.DUMMYFUNCTION("""COMPUTED_VALUE"""),22.34)</f>
        <v>22.34</v>
      </c>
      <c r="K2704" s="112">
        <f ca="1">IFERROR(__xludf.DUMMYFUNCTION("""COMPUTED_VALUE"""),44711.7055555555)</f>
        <v>44711.705555555498</v>
      </c>
      <c r="L2704" s="111">
        <f ca="1">IFERROR(__xludf.DUMMYFUNCTION("""COMPUTED_VALUE"""),3.84)</f>
        <v>3.84</v>
      </c>
      <c r="M2704" s="112">
        <f ca="1">IFERROR(__xludf.DUMMYFUNCTION("""COMPUTED_VALUE"""),44167.7055555555)</f>
        <v>44167.705555555498</v>
      </c>
      <c r="N2704" s="111">
        <f ca="1">IFERROR(__xludf.DUMMYFUNCTION("""COMPUTED_VALUE"""),23.56)</f>
        <v>23.56</v>
      </c>
      <c r="O2704" s="112">
        <f ca="1">IFERROR(__xludf.DUMMYFUNCTION("""COMPUTED_VALUE"""),44250.7055555555)</f>
        <v>44250.705555555498</v>
      </c>
      <c r="P2704" s="111">
        <f ca="1">IFERROR(__xludf.DUMMYFUNCTION("""COMPUTED_VALUE"""),96.95)</f>
        <v>96.95</v>
      </c>
      <c r="Q2704" s="112">
        <f ca="1">IFERROR(__xludf.DUMMYFUNCTION("""COMPUTED_VALUE"""),44249.7055555555)</f>
        <v>44249.705555555498</v>
      </c>
      <c r="R2704" s="111">
        <f ca="1">IFERROR(__xludf.DUMMYFUNCTION("""COMPUTED_VALUE"""),28.83)</f>
        <v>28.83</v>
      </c>
      <c r="S2704" s="112">
        <f ca="1">IFERROR(__xludf.DUMMYFUNCTION("""COMPUTED_VALUE"""),44263.7055555555)</f>
        <v>44263.705555555498</v>
      </c>
      <c r="T2704" s="111">
        <f ca="1">IFERROR(__xludf.DUMMYFUNCTION("""COMPUTED_VALUE"""),34.55)</f>
        <v>34.549999999999997</v>
      </c>
    </row>
    <row r="2705" spans="1:20" x14ac:dyDescent="0.3">
      <c r="A2705" s="112">
        <f ca="1">IFERROR(__xludf.DUMMYFUNCTION("""COMPUTED_VALUE"""),44258.7055555555)</f>
        <v>44258.705555555498</v>
      </c>
      <c r="B2705" s="111">
        <f ca="1">IFERROR(__xludf.DUMMYFUNCTION("""COMPUTED_VALUE"""),31.38)</f>
        <v>31.38</v>
      </c>
      <c r="C2705" s="112">
        <f ca="1">IFERROR(__xludf.DUMMYFUNCTION("""COMPUTED_VALUE"""),44267.8125)</f>
        <v>44267.8125</v>
      </c>
      <c r="D2705" s="111">
        <f ca="1">IFERROR(__xludf.DUMMYFUNCTION("""COMPUTED_VALUE"""),27.18)</f>
        <v>27.18</v>
      </c>
      <c r="E2705" s="112">
        <f ca="1">IFERROR(__xludf.DUMMYFUNCTION("""COMPUTED_VALUE"""),44270.7055555555)</f>
        <v>44270.705555555498</v>
      </c>
      <c r="F2705" s="111">
        <f ca="1">IFERROR(__xludf.DUMMYFUNCTION("""COMPUTED_VALUE"""),9.74)</f>
        <v>9.74</v>
      </c>
      <c r="G2705" s="112">
        <f ca="1">IFERROR(__xludf.DUMMYFUNCTION("""COMPUTED_VALUE"""),44266.7055555555)</f>
        <v>44266.705555555498</v>
      </c>
      <c r="H2705" s="111">
        <f ca="1">IFERROR(__xludf.DUMMYFUNCTION("""COMPUTED_VALUE"""),23.29)</f>
        <v>23.29</v>
      </c>
      <c r="K2705" s="112">
        <f ca="1">IFERROR(__xludf.DUMMYFUNCTION("""COMPUTED_VALUE"""),44712.7055555555)</f>
        <v>44712.705555555498</v>
      </c>
      <c r="L2705" s="111">
        <f ca="1">IFERROR(__xludf.DUMMYFUNCTION("""COMPUTED_VALUE"""),3.72)</f>
        <v>3.72</v>
      </c>
      <c r="M2705" s="112">
        <f ca="1">IFERROR(__xludf.DUMMYFUNCTION("""COMPUTED_VALUE"""),44168.7055555555)</f>
        <v>44168.705555555498</v>
      </c>
      <c r="N2705" s="111">
        <f ca="1">IFERROR(__xludf.DUMMYFUNCTION("""COMPUTED_VALUE"""),23.25)</f>
        <v>23.25</v>
      </c>
      <c r="O2705" s="112">
        <f ca="1">IFERROR(__xludf.DUMMYFUNCTION("""COMPUTED_VALUE"""),44251.7055555555)</f>
        <v>44251.705555555498</v>
      </c>
      <c r="P2705" s="111">
        <f ca="1">IFERROR(__xludf.DUMMYFUNCTION("""COMPUTED_VALUE"""),97.93)</f>
        <v>97.93</v>
      </c>
      <c r="Q2705" s="112">
        <f ca="1">IFERROR(__xludf.DUMMYFUNCTION("""COMPUTED_VALUE"""),44250.7055555555)</f>
        <v>44250.705555555498</v>
      </c>
      <c r="R2705" s="111">
        <f ca="1">IFERROR(__xludf.DUMMYFUNCTION("""COMPUTED_VALUE"""),30.43)</f>
        <v>30.43</v>
      </c>
      <c r="S2705" s="112">
        <f ca="1">IFERROR(__xludf.DUMMYFUNCTION("""COMPUTED_VALUE"""),44264.7055555555)</f>
        <v>44264.705555555498</v>
      </c>
      <c r="T2705" s="111">
        <f ca="1">IFERROR(__xludf.DUMMYFUNCTION("""COMPUTED_VALUE"""),33.53)</f>
        <v>33.53</v>
      </c>
    </row>
    <row r="2706" spans="1:20" x14ac:dyDescent="0.3">
      <c r="A2706" s="112">
        <f ca="1">IFERROR(__xludf.DUMMYFUNCTION("""COMPUTED_VALUE"""),44259.7055555555)</f>
        <v>44259.705555555498</v>
      </c>
      <c r="B2706" s="111">
        <f ca="1">IFERROR(__xludf.DUMMYFUNCTION("""COMPUTED_VALUE"""),31.63)</f>
        <v>31.63</v>
      </c>
      <c r="C2706" s="112">
        <f ca="1">IFERROR(__xludf.DUMMYFUNCTION("""COMPUTED_VALUE"""),44270.7055555555)</f>
        <v>44270.705555555498</v>
      </c>
      <c r="D2706" s="111">
        <f ca="1">IFERROR(__xludf.DUMMYFUNCTION("""COMPUTED_VALUE"""),27.5)</f>
        <v>27.5</v>
      </c>
      <c r="E2706" s="112">
        <f ca="1">IFERROR(__xludf.DUMMYFUNCTION("""COMPUTED_VALUE"""),44271.7055555555)</f>
        <v>44271.705555555498</v>
      </c>
      <c r="F2706" s="111">
        <f ca="1">IFERROR(__xludf.DUMMYFUNCTION("""COMPUTED_VALUE"""),9.6)</f>
        <v>9.6</v>
      </c>
      <c r="G2706" s="112">
        <f ca="1">IFERROR(__xludf.DUMMYFUNCTION("""COMPUTED_VALUE"""),44267.8125)</f>
        <v>44267.8125</v>
      </c>
      <c r="H2706" s="111">
        <f ca="1">IFERROR(__xludf.DUMMYFUNCTION("""COMPUTED_VALUE"""),23.17)</f>
        <v>23.17</v>
      </c>
      <c r="K2706" s="112">
        <f ca="1">IFERROR(__xludf.DUMMYFUNCTION("""COMPUTED_VALUE"""),44713.7055555555)</f>
        <v>44713.705555555498</v>
      </c>
      <c r="L2706" s="111">
        <f ca="1">IFERROR(__xludf.DUMMYFUNCTION("""COMPUTED_VALUE"""),3.71)</f>
        <v>3.71</v>
      </c>
      <c r="M2706" s="112">
        <f ca="1">IFERROR(__xludf.DUMMYFUNCTION("""COMPUTED_VALUE"""),44169.7055555555)</f>
        <v>44169.705555555498</v>
      </c>
      <c r="N2706" s="111">
        <f ca="1">IFERROR(__xludf.DUMMYFUNCTION("""COMPUTED_VALUE"""),23.45)</f>
        <v>23.45</v>
      </c>
      <c r="O2706" s="112">
        <f ca="1">IFERROR(__xludf.DUMMYFUNCTION("""COMPUTED_VALUE"""),44252.7055555555)</f>
        <v>44252.705555555498</v>
      </c>
      <c r="P2706" s="111">
        <f ca="1">IFERROR(__xludf.DUMMYFUNCTION("""COMPUTED_VALUE"""),95.71)</f>
        <v>95.71</v>
      </c>
      <c r="Q2706" s="112">
        <f ca="1">IFERROR(__xludf.DUMMYFUNCTION("""COMPUTED_VALUE"""),44251.7055555555)</f>
        <v>44251.705555555498</v>
      </c>
      <c r="R2706" s="111">
        <f ca="1">IFERROR(__xludf.DUMMYFUNCTION("""COMPUTED_VALUE"""),30.31)</f>
        <v>30.31</v>
      </c>
      <c r="S2706" s="112">
        <f ca="1">IFERROR(__xludf.DUMMYFUNCTION("""COMPUTED_VALUE"""),44265.7055555555)</f>
        <v>44265.705555555498</v>
      </c>
      <c r="T2706" s="111">
        <f ca="1">IFERROR(__xludf.DUMMYFUNCTION("""COMPUTED_VALUE"""),34.84)</f>
        <v>34.840000000000003</v>
      </c>
    </row>
    <row r="2707" spans="1:20" x14ac:dyDescent="0.3">
      <c r="A2707" s="112">
        <f ca="1">IFERROR(__xludf.DUMMYFUNCTION("""COMPUTED_VALUE"""),44260.7055555555)</f>
        <v>44260.705555555498</v>
      </c>
      <c r="B2707" s="111">
        <f ca="1">IFERROR(__xludf.DUMMYFUNCTION("""COMPUTED_VALUE"""),31.43)</f>
        <v>31.43</v>
      </c>
      <c r="C2707" s="112">
        <f ca="1">IFERROR(__xludf.DUMMYFUNCTION("""COMPUTED_VALUE"""),44271.7055555555)</f>
        <v>44271.705555555498</v>
      </c>
      <c r="D2707" s="111">
        <f ca="1">IFERROR(__xludf.DUMMYFUNCTION("""COMPUTED_VALUE"""),26.94)</f>
        <v>26.94</v>
      </c>
      <c r="E2707" s="112">
        <f ca="1">IFERROR(__xludf.DUMMYFUNCTION("""COMPUTED_VALUE"""),44272.7055555555)</f>
        <v>44272.705555555498</v>
      </c>
      <c r="F2707" s="111">
        <f ca="1">IFERROR(__xludf.DUMMYFUNCTION("""COMPUTED_VALUE"""),9.88)</f>
        <v>9.8800000000000008</v>
      </c>
      <c r="G2707" s="112">
        <f ca="1">IFERROR(__xludf.DUMMYFUNCTION("""COMPUTED_VALUE"""),44270.7055555555)</f>
        <v>44270.705555555498</v>
      </c>
      <c r="H2707" s="111">
        <f ca="1">IFERROR(__xludf.DUMMYFUNCTION("""COMPUTED_VALUE"""),23.65)</f>
        <v>23.65</v>
      </c>
      <c r="K2707" s="112">
        <f ca="1">IFERROR(__xludf.DUMMYFUNCTION("""COMPUTED_VALUE"""),44714.7055555555)</f>
        <v>44714.705555555498</v>
      </c>
      <c r="L2707" s="111">
        <f ca="1">IFERROR(__xludf.DUMMYFUNCTION("""COMPUTED_VALUE"""),3.8)</f>
        <v>3.8</v>
      </c>
      <c r="M2707" s="112">
        <f ca="1">IFERROR(__xludf.DUMMYFUNCTION("""COMPUTED_VALUE"""),44172.7055555555)</f>
        <v>44172.705555555498</v>
      </c>
      <c r="N2707" s="111">
        <f ca="1">IFERROR(__xludf.DUMMYFUNCTION("""COMPUTED_VALUE"""),23.61)</f>
        <v>23.61</v>
      </c>
      <c r="O2707" s="112">
        <f ca="1">IFERROR(__xludf.DUMMYFUNCTION("""COMPUTED_VALUE"""),44253.7055555555)</f>
        <v>44253.705555555498</v>
      </c>
      <c r="P2707" s="111">
        <f ca="1">IFERROR(__xludf.DUMMYFUNCTION("""COMPUTED_VALUE"""),94.52)</f>
        <v>94.52</v>
      </c>
      <c r="Q2707" s="112">
        <f ca="1">IFERROR(__xludf.DUMMYFUNCTION("""COMPUTED_VALUE"""),44252.7055555555)</f>
        <v>44252.705555555498</v>
      </c>
      <c r="R2707" s="111">
        <f ca="1">IFERROR(__xludf.DUMMYFUNCTION("""COMPUTED_VALUE"""),29.46)</f>
        <v>29.46</v>
      </c>
      <c r="S2707" s="112">
        <f ca="1">IFERROR(__xludf.DUMMYFUNCTION("""COMPUTED_VALUE"""),44266.7055555555)</f>
        <v>44266.705555555498</v>
      </c>
      <c r="T2707" s="111">
        <f ca="1">IFERROR(__xludf.DUMMYFUNCTION("""COMPUTED_VALUE"""),36.75)</f>
        <v>36.75</v>
      </c>
    </row>
    <row r="2708" spans="1:20" x14ac:dyDescent="0.3">
      <c r="A2708" s="112">
        <f ca="1">IFERROR(__xludf.DUMMYFUNCTION("""COMPUTED_VALUE"""),44263.7055555555)</f>
        <v>44263.705555555498</v>
      </c>
      <c r="B2708" s="111">
        <f ca="1">IFERROR(__xludf.DUMMYFUNCTION("""COMPUTED_VALUE"""),31.49)</f>
        <v>31.49</v>
      </c>
      <c r="C2708" s="112">
        <f ca="1">IFERROR(__xludf.DUMMYFUNCTION("""COMPUTED_VALUE"""),44272.7055555555)</f>
        <v>44272.705555555498</v>
      </c>
      <c r="D2708" s="111">
        <f ca="1">IFERROR(__xludf.DUMMYFUNCTION("""COMPUTED_VALUE"""),27.99)</f>
        <v>27.99</v>
      </c>
      <c r="E2708" s="112">
        <f ca="1">IFERROR(__xludf.DUMMYFUNCTION("""COMPUTED_VALUE"""),44273.7055555555)</f>
        <v>44273.705555555498</v>
      </c>
      <c r="F2708" s="111">
        <f ca="1">IFERROR(__xludf.DUMMYFUNCTION("""COMPUTED_VALUE"""),9.97)</f>
        <v>9.9700000000000006</v>
      </c>
      <c r="G2708" s="112">
        <f ca="1">IFERROR(__xludf.DUMMYFUNCTION("""COMPUTED_VALUE"""),44271.7055555555)</f>
        <v>44271.705555555498</v>
      </c>
      <c r="H2708" s="111">
        <f ca="1">IFERROR(__xludf.DUMMYFUNCTION("""COMPUTED_VALUE"""),23.28)</f>
        <v>23.28</v>
      </c>
      <c r="K2708" s="112">
        <f ca="1">IFERROR(__xludf.DUMMYFUNCTION("""COMPUTED_VALUE"""),44715.7055555555)</f>
        <v>44715.705555555498</v>
      </c>
      <c r="L2708" s="111">
        <f ca="1">IFERROR(__xludf.DUMMYFUNCTION("""COMPUTED_VALUE"""),3.59)</f>
        <v>3.59</v>
      </c>
      <c r="M2708" s="112">
        <f ca="1">IFERROR(__xludf.DUMMYFUNCTION("""COMPUTED_VALUE"""),44173.7055555555)</f>
        <v>44173.705555555498</v>
      </c>
      <c r="N2708" s="111">
        <f ca="1">IFERROR(__xludf.DUMMYFUNCTION("""COMPUTED_VALUE"""),23.33)</f>
        <v>23.33</v>
      </c>
      <c r="O2708" s="112">
        <f ca="1">IFERROR(__xludf.DUMMYFUNCTION("""COMPUTED_VALUE"""),44256.7055555555)</f>
        <v>44256.705555555498</v>
      </c>
      <c r="P2708" s="111">
        <f ca="1">IFERROR(__xludf.DUMMYFUNCTION("""COMPUTED_VALUE"""),98.57)</f>
        <v>98.57</v>
      </c>
      <c r="Q2708" s="112">
        <f ca="1">IFERROR(__xludf.DUMMYFUNCTION("""COMPUTED_VALUE"""),44253.7055555555)</f>
        <v>44253.705555555498</v>
      </c>
      <c r="R2708" s="111">
        <f ca="1">IFERROR(__xludf.DUMMYFUNCTION("""COMPUTED_VALUE"""),28.05)</f>
        <v>28.05</v>
      </c>
      <c r="S2708" s="112">
        <f ca="1">IFERROR(__xludf.DUMMYFUNCTION("""COMPUTED_VALUE"""),44267.8125)</f>
        <v>44267.8125</v>
      </c>
      <c r="T2708" s="111">
        <f ca="1">IFERROR(__xludf.DUMMYFUNCTION("""COMPUTED_VALUE"""),37.78)</f>
        <v>37.78</v>
      </c>
    </row>
    <row r="2709" spans="1:20" x14ac:dyDescent="0.3">
      <c r="A2709" s="112">
        <f ca="1">IFERROR(__xludf.DUMMYFUNCTION("""COMPUTED_VALUE"""),44264.7055555555)</f>
        <v>44264.705555555498</v>
      </c>
      <c r="B2709" s="111">
        <f ca="1">IFERROR(__xludf.DUMMYFUNCTION("""COMPUTED_VALUE"""),30.95)</f>
        <v>30.95</v>
      </c>
      <c r="C2709" s="112">
        <f ca="1">IFERROR(__xludf.DUMMYFUNCTION("""COMPUTED_VALUE"""),44273.7055555555)</f>
        <v>44273.705555555498</v>
      </c>
      <c r="D2709" s="111">
        <f ca="1">IFERROR(__xludf.DUMMYFUNCTION("""COMPUTED_VALUE"""),28.15)</f>
        <v>28.15</v>
      </c>
      <c r="E2709" s="112">
        <f ca="1">IFERROR(__xludf.DUMMYFUNCTION("""COMPUTED_VALUE"""),44274.7055555555)</f>
        <v>44274.705555555498</v>
      </c>
      <c r="F2709" s="111">
        <f ca="1">IFERROR(__xludf.DUMMYFUNCTION("""COMPUTED_VALUE"""),9.94)</f>
        <v>9.94</v>
      </c>
      <c r="G2709" s="112">
        <f ca="1">IFERROR(__xludf.DUMMYFUNCTION("""COMPUTED_VALUE"""),44272.7055555555)</f>
        <v>44272.705555555498</v>
      </c>
      <c r="H2709" s="111">
        <f ca="1">IFERROR(__xludf.DUMMYFUNCTION("""COMPUTED_VALUE"""),24.08)</f>
        <v>24.08</v>
      </c>
      <c r="K2709" s="112">
        <f ca="1">IFERROR(__xludf.DUMMYFUNCTION("""COMPUTED_VALUE"""),44718.7055555555)</f>
        <v>44718.705555555498</v>
      </c>
      <c r="L2709" s="111">
        <f ca="1">IFERROR(__xludf.DUMMYFUNCTION("""COMPUTED_VALUE"""),3.4)</f>
        <v>3.4</v>
      </c>
      <c r="M2709" s="112">
        <f ca="1">IFERROR(__xludf.DUMMYFUNCTION("""COMPUTED_VALUE"""),44174.7055555555)</f>
        <v>44174.705555555498</v>
      </c>
      <c r="N2709" s="111">
        <f ca="1">IFERROR(__xludf.DUMMYFUNCTION("""COMPUTED_VALUE"""),23.39)</f>
        <v>23.39</v>
      </c>
      <c r="O2709" s="112">
        <f ca="1">IFERROR(__xludf.DUMMYFUNCTION("""COMPUTED_VALUE"""),44257.7055555555)</f>
        <v>44257.705555555498</v>
      </c>
      <c r="P2709" s="111">
        <f ca="1">IFERROR(__xludf.DUMMYFUNCTION("""COMPUTED_VALUE"""),101.6)</f>
        <v>101.6</v>
      </c>
      <c r="Q2709" s="112">
        <f ca="1">IFERROR(__xludf.DUMMYFUNCTION("""COMPUTED_VALUE"""),44256.7055555555)</f>
        <v>44256.705555555498</v>
      </c>
      <c r="R2709" s="111">
        <f ca="1">IFERROR(__xludf.DUMMYFUNCTION("""COMPUTED_VALUE"""),27.86)</f>
        <v>27.86</v>
      </c>
      <c r="S2709" s="112">
        <f ca="1">IFERROR(__xludf.DUMMYFUNCTION("""COMPUTED_VALUE"""),44270.7055555555)</f>
        <v>44270.705555555498</v>
      </c>
      <c r="T2709" s="111">
        <f ca="1">IFERROR(__xludf.DUMMYFUNCTION("""COMPUTED_VALUE"""),38.02)</f>
        <v>38.020000000000003</v>
      </c>
    </row>
    <row r="2710" spans="1:20" x14ac:dyDescent="0.3">
      <c r="A2710" s="112">
        <f ca="1">IFERROR(__xludf.DUMMYFUNCTION("""COMPUTED_VALUE"""),44265.7055555555)</f>
        <v>44265.705555555498</v>
      </c>
      <c r="B2710" s="111">
        <f ca="1">IFERROR(__xludf.DUMMYFUNCTION("""COMPUTED_VALUE"""),31.35)</f>
        <v>31.35</v>
      </c>
      <c r="C2710" s="112">
        <f ca="1">IFERROR(__xludf.DUMMYFUNCTION("""COMPUTED_VALUE"""),44274.7055555555)</f>
        <v>44274.705555555498</v>
      </c>
      <c r="D2710" s="111">
        <f ca="1">IFERROR(__xludf.DUMMYFUNCTION("""COMPUTED_VALUE"""),28.21)</f>
        <v>28.21</v>
      </c>
      <c r="E2710" s="112">
        <f ca="1">IFERROR(__xludf.DUMMYFUNCTION("""COMPUTED_VALUE"""),44277.7055555555)</f>
        <v>44277.705555555498</v>
      </c>
      <c r="F2710" s="111">
        <f ca="1">IFERROR(__xludf.DUMMYFUNCTION("""COMPUTED_VALUE"""),10.02)</f>
        <v>10.02</v>
      </c>
      <c r="G2710" s="112">
        <f ca="1">IFERROR(__xludf.DUMMYFUNCTION("""COMPUTED_VALUE"""),44273.7055555555)</f>
        <v>44273.705555555498</v>
      </c>
      <c r="H2710" s="111">
        <f ca="1">IFERROR(__xludf.DUMMYFUNCTION("""COMPUTED_VALUE"""),23.24)</f>
        <v>23.24</v>
      </c>
      <c r="K2710" s="112">
        <f ca="1">IFERROR(__xludf.DUMMYFUNCTION("""COMPUTED_VALUE"""),44719.7055555555)</f>
        <v>44719.705555555498</v>
      </c>
      <c r="L2710" s="111">
        <f ca="1">IFERROR(__xludf.DUMMYFUNCTION("""COMPUTED_VALUE"""),3.29)</f>
        <v>3.29</v>
      </c>
      <c r="M2710" s="112">
        <f ca="1">IFERROR(__xludf.DUMMYFUNCTION("""COMPUTED_VALUE"""),44175.7055555555)</f>
        <v>44175.705555555498</v>
      </c>
      <c r="N2710" s="111">
        <f ca="1">IFERROR(__xludf.DUMMYFUNCTION("""COMPUTED_VALUE"""),24.35)</f>
        <v>24.35</v>
      </c>
      <c r="O2710" s="112">
        <f ca="1">IFERROR(__xludf.DUMMYFUNCTION("""COMPUTED_VALUE"""),44258.7055555555)</f>
        <v>44258.705555555498</v>
      </c>
      <c r="P2710" s="111">
        <f ca="1">IFERROR(__xludf.DUMMYFUNCTION("""COMPUTED_VALUE"""),100.35)</f>
        <v>100.35</v>
      </c>
      <c r="Q2710" s="112">
        <f ca="1">IFERROR(__xludf.DUMMYFUNCTION("""COMPUTED_VALUE"""),44257.7055555555)</f>
        <v>44257.705555555498</v>
      </c>
      <c r="R2710" s="111">
        <f ca="1">IFERROR(__xludf.DUMMYFUNCTION("""COMPUTED_VALUE"""),28.93)</f>
        <v>28.93</v>
      </c>
      <c r="S2710" s="112">
        <f ca="1">IFERROR(__xludf.DUMMYFUNCTION("""COMPUTED_VALUE"""),44271.7055555555)</f>
        <v>44271.705555555498</v>
      </c>
      <c r="T2710" s="111">
        <f ca="1">IFERROR(__xludf.DUMMYFUNCTION("""COMPUTED_VALUE"""),37)</f>
        <v>37</v>
      </c>
    </row>
    <row r="2711" spans="1:20" x14ac:dyDescent="0.3">
      <c r="A2711" s="112">
        <f ca="1">IFERROR(__xludf.DUMMYFUNCTION("""COMPUTED_VALUE"""),44266.7055555555)</f>
        <v>44266.705555555498</v>
      </c>
      <c r="B2711" s="111">
        <f ca="1">IFERROR(__xludf.DUMMYFUNCTION("""COMPUTED_VALUE"""),31.4)</f>
        <v>31.4</v>
      </c>
      <c r="C2711" s="112">
        <f ca="1">IFERROR(__xludf.DUMMYFUNCTION("""COMPUTED_VALUE"""),44277.7055555555)</f>
        <v>44277.705555555498</v>
      </c>
      <c r="D2711" s="111">
        <f ca="1">IFERROR(__xludf.DUMMYFUNCTION("""COMPUTED_VALUE"""),28.37)</f>
        <v>28.37</v>
      </c>
      <c r="E2711" s="112">
        <f ca="1">IFERROR(__xludf.DUMMYFUNCTION("""COMPUTED_VALUE"""),44278.7055555555)</f>
        <v>44278.705555555498</v>
      </c>
      <c r="F2711" s="111">
        <f ca="1">IFERROR(__xludf.DUMMYFUNCTION("""COMPUTED_VALUE"""),9.77)</f>
        <v>9.77</v>
      </c>
      <c r="G2711" s="112">
        <f ca="1">IFERROR(__xludf.DUMMYFUNCTION("""COMPUTED_VALUE"""),44274.7055555555)</f>
        <v>44274.705555555498</v>
      </c>
      <c r="H2711" s="111">
        <f ca="1">IFERROR(__xludf.DUMMYFUNCTION("""COMPUTED_VALUE"""),24)</f>
        <v>24</v>
      </c>
      <c r="K2711" s="112">
        <f ca="1">IFERROR(__xludf.DUMMYFUNCTION("""COMPUTED_VALUE"""),44720.7055555555)</f>
        <v>44720.705555555498</v>
      </c>
      <c r="L2711" s="111">
        <f ca="1">IFERROR(__xludf.DUMMYFUNCTION("""COMPUTED_VALUE"""),3.22)</f>
        <v>3.22</v>
      </c>
      <c r="M2711" s="112">
        <f ca="1">IFERROR(__xludf.DUMMYFUNCTION("""COMPUTED_VALUE"""),44176.7055555555)</f>
        <v>44176.705555555498</v>
      </c>
      <c r="N2711" s="111">
        <f ca="1">IFERROR(__xludf.DUMMYFUNCTION("""COMPUTED_VALUE"""),24.16)</f>
        <v>24.16</v>
      </c>
      <c r="O2711" s="112">
        <f ca="1">IFERROR(__xludf.DUMMYFUNCTION("""COMPUTED_VALUE"""),44259.7055555555)</f>
        <v>44259.705555555498</v>
      </c>
      <c r="P2711" s="111">
        <f ca="1">IFERROR(__xludf.DUMMYFUNCTION("""COMPUTED_VALUE"""),98.86)</f>
        <v>98.86</v>
      </c>
      <c r="Q2711" s="112">
        <f ca="1">IFERROR(__xludf.DUMMYFUNCTION("""COMPUTED_VALUE"""),44258.7055555555)</f>
        <v>44258.705555555498</v>
      </c>
      <c r="R2711" s="111">
        <f ca="1">IFERROR(__xludf.DUMMYFUNCTION("""COMPUTED_VALUE"""),28.99)</f>
        <v>28.99</v>
      </c>
      <c r="S2711" s="112">
        <f ca="1">IFERROR(__xludf.DUMMYFUNCTION("""COMPUTED_VALUE"""),44272.7055555555)</f>
        <v>44272.705555555498</v>
      </c>
      <c r="T2711" s="111">
        <f ca="1">IFERROR(__xludf.DUMMYFUNCTION("""COMPUTED_VALUE"""),37.84)</f>
        <v>37.840000000000003</v>
      </c>
    </row>
    <row r="2712" spans="1:20" x14ac:dyDescent="0.3">
      <c r="A2712" s="112">
        <f ca="1">IFERROR(__xludf.DUMMYFUNCTION("""COMPUTED_VALUE"""),44267.8125)</f>
        <v>44267.8125</v>
      </c>
      <c r="B2712" s="111">
        <f ca="1">IFERROR(__xludf.DUMMYFUNCTION("""COMPUTED_VALUE"""),31.46)</f>
        <v>31.46</v>
      </c>
      <c r="C2712" s="112">
        <f ca="1">IFERROR(__xludf.DUMMYFUNCTION("""COMPUTED_VALUE"""),44278.7055555555)</f>
        <v>44278.705555555498</v>
      </c>
      <c r="D2712" s="111">
        <f ca="1">IFERROR(__xludf.DUMMYFUNCTION("""COMPUTED_VALUE"""),27.65)</f>
        <v>27.65</v>
      </c>
      <c r="E2712" s="112">
        <f ca="1">IFERROR(__xludf.DUMMYFUNCTION("""COMPUTED_VALUE"""),44279.7055555555)</f>
        <v>44279.705555555498</v>
      </c>
      <c r="F2712" s="111">
        <f ca="1">IFERROR(__xludf.DUMMYFUNCTION("""COMPUTED_VALUE"""),9.57)</f>
        <v>9.57</v>
      </c>
      <c r="G2712" s="112">
        <f ca="1">IFERROR(__xludf.DUMMYFUNCTION("""COMPUTED_VALUE"""),44277.7055555555)</f>
        <v>44277.705555555498</v>
      </c>
      <c r="H2712" s="111">
        <f ca="1">IFERROR(__xludf.DUMMYFUNCTION("""COMPUTED_VALUE"""),23.52)</f>
        <v>23.52</v>
      </c>
      <c r="K2712" s="112">
        <f ca="1">IFERROR(__xludf.DUMMYFUNCTION("""COMPUTED_VALUE"""),44721.7055555555)</f>
        <v>44721.705555555498</v>
      </c>
      <c r="L2712" s="111">
        <f ca="1">IFERROR(__xludf.DUMMYFUNCTION("""COMPUTED_VALUE"""),3.01)</f>
        <v>3.01</v>
      </c>
      <c r="M2712" s="112">
        <f ca="1">IFERROR(__xludf.DUMMYFUNCTION("""COMPUTED_VALUE"""),44179.7055555555)</f>
        <v>44179.705555555498</v>
      </c>
      <c r="N2712" s="111">
        <f ca="1">IFERROR(__xludf.DUMMYFUNCTION("""COMPUTED_VALUE"""),24.04)</f>
        <v>24.04</v>
      </c>
      <c r="O2712" s="112">
        <f ca="1">IFERROR(__xludf.DUMMYFUNCTION("""COMPUTED_VALUE"""),44260.7055555555)</f>
        <v>44260.705555555498</v>
      </c>
      <c r="P2712" s="111">
        <f ca="1">IFERROR(__xludf.DUMMYFUNCTION("""COMPUTED_VALUE"""),100.21)</f>
        <v>100.21</v>
      </c>
      <c r="Q2712" s="112">
        <f ca="1">IFERROR(__xludf.DUMMYFUNCTION("""COMPUTED_VALUE"""),44259.7055555555)</f>
        <v>44259.705555555498</v>
      </c>
      <c r="R2712" s="111">
        <f ca="1">IFERROR(__xludf.DUMMYFUNCTION("""COMPUTED_VALUE"""),30.04)</f>
        <v>30.04</v>
      </c>
      <c r="S2712" s="112">
        <f ca="1">IFERROR(__xludf.DUMMYFUNCTION("""COMPUTED_VALUE"""),44273.7055555555)</f>
        <v>44273.705555555498</v>
      </c>
      <c r="T2712" s="111">
        <f ca="1">IFERROR(__xludf.DUMMYFUNCTION("""COMPUTED_VALUE"""),37.37)</f>
        <v>37.369999999999997</v>
      </c>
    </row>
    <row r="2713" spans="1:20" x14ac:dyDescent="0.3">
      <c r="A2713" s="112">
        <f ca="1">IFERROR(__xludf.DUMMYFUNCTION("""COMPUTED_VALUE"""),44270.7055555555)</f>
        <v>44270.705555555498</v>
      </c>
      <c r="B2713" s="111">
        <f ca="1">IFERROR(__xludf.DUMMYFUNCTION("""COMPUTED_VALUE"""),32.57)</f>
        <v>32.57</v>
      </c>
      <c r="C2713" s="112">
        <f ca="1">IFERROR(__xludf.DUMMYFUNCTION("""COMPUTED_VALUE"""),44279.7055555555)</f>
        <v>44279.705555555498</v>
      </c>
      <c r="D2713" s="111">
        <f ca="1">IFERROR(__xludf.DUMMYFUNCTION("""COMPUTED_VALUE"""),27.17)</f>
        <v>27.17</v>
      </c>
      <c r="E2713" s="112">
        <f ca="1">IFERROR(__xludf.DUMMYFUNCTION("""COMPUTED_VALUE"""),44280.7055555555)</f>
        <v>44280.705555555498</v>
      </c>
      <c r="F2713" s="111">
        <f ca="1">IFERROR(__xludf.DUMMYFUNCTION("""COMPUTED_VALUE"""),9.77)</f>
        <v>9.77</v>
      </c>
      <c r="G2713" s="112">
        <f ca="1">IFERROR(__xludf.DUMMYFUNCTION("""COMPUTED_VALUE"""),44278.7055555555)</f>
        <v>44278.705555555498</v>
      </c>
      <c r="H2713" s="111">
        <f ca="1">IFERROR(__xludf.DUMMYFUNCTION("""COMPUTED_VALUE"""),22.8)</f>
        <v>22.8</v>
      </c>
      <c r="K2713" s="112">
        <f ca="1">IFERROR(__xludf.DUMMYFUNCTION("""COMPUTED_VALUE"""),44722.7055555555)</f>
        <v>44722.705555555498</v>
      </c>
      <c r="L2713" s="111">
        <f ca="1">IFERROR(__xludf.DUMMYFUNCTION("""COMPUTED_VALUE"""),2.9)</f>
        <v>2.9</v>
      </c>
      <c r="M2713" s="112">
        <f ca="1">IFERROR(__xludf.DUMMYFUNCTION("""COMPUTED_VALUE"""),44180.7055555555)</f>
        <v>44180.705555555498</v>
      </c>
      <c r="N2713" s="111">
        <f ca="1">IFERROR(__xludf.DUMMYFUNCTION("""COMPUTED_VALUE"""),24.04)</f>
        <v>24.04</v>
      </c>
      <c r="O2713" s="112">
        <f ca="1">IFERROR(__xludf.DUMMYFUNCTION("""COMPUTED_VALUE"""),44263.7055555555)</f>
        <v>44263.705555555498</v>
      </c>
      <c r="P2713" s="111">
        <f ca="1">IFERROR(__xludf.DUMMYFUNCTION("""COMPUTED_VALUE"""),99.67)</f>
        <v>99.67</v>
      </c>
      <c r="Q2713" s="112">
        <f ca="1">IFERROR(__xludf.DUMMYFUNCTION("""COMPUTED_VALUE"""),44260.7055555555)</f>
        <v>44260.705555555498</v>
      </c>
      <c r="R2713" s="111">
        <f ca="1">IFERROR(__xludf.DUMMYFUNCTION("""COMPUTED_VALUE"""),30.6)</f>
        <v>30.6</v>
      </c>
      <c r="S2713" s="112">
        <f ca="1">IFERROR(__xludf.DUMMYFUNCTION("""COMPUTED_VALUE"""),44274.7055555555)</f>
        <v>44274.705555555498</v>
      </c>
      <c r="T2713" s="111">
        <f ca="1">IFERROR(__xludf.DUMMYFUNCTION("""COMPUTED_VALUE"""),38.61)</f>
        <v>38.61</v>
      </c>
    </row>
    <row r="2714" spans="1:20" x14ac:dyDescent="0.3">
      <c r="A2714" s="112">
        <f ca="1">IFERROR(__xludf.DUMMYFUNCTION("""COMPUTED_VALUE"""),44271.7055555555)</f>
        <v>44271.705555555498</v>
      </c>
      <c r="B2714" s="111">
        <f ca="1">IFERROR(__xludf.DUMMYFUNCTION("""COMPUTED_VALUE"""),32.67)</f>
        <v>32.67</v>
      </c>
      <c r="C2714" s="112">
        <f ca="1">IFERROR(__xludf.DUMMYFUNCTION("""COMPUTED_VALUE"""),44280.7055555555)</f>
        <v>44280.705555555498</v>
      </c>
      <c r="D2714" s="111">
        <f ca="1">IFERROR(__xludf.DUMMYFUNCTION("""COMPUTED_VALUE"""),27.65)</f>
        <v>27.65</v>
      </c>
      <c r="E2714" s="112">
        <f ca="1">IFERROR(__xludf.DUMMYFUNCTION("""COMPUTED_VALUE"""),44281.7055555555)</f>
        <v>44281.705555555498</v>
      </c>
      <c r="F2714" s="111">
        <f ca="1">IFERROR(__xludf.DUMMYFUNCTION("""COMPUTED_VALUE"""),9.87)</f>
        <v>9.8699999999999992</v>
      </c>
      <c r="G2714" s="112">
        <f ca="1">IFERROR(__xludf.DUMMYFUNCTION("""COMPUTED_VALUE"""),44279.7055555555)</f>
        <v>44279.705555555498</v>
      </c>
      <c r="H2714" s="111">
        <f ca="1">IFERROR(__xludf.DUMMYFUNCTION("""COMPUTED_VALUE"""),22.82)</f>
        <v>22.82</v>
      </c>
      <c r="K2714" s="112">
        <f ca="1">IFERROR(__xludf.DUMMYFUNCTION("""COMPUTED_VALUE"""),44725.7055555555)</f>
        <v>44725.705555555498</v>
      </c>
      <c r="L2714" s="111">
        <f ca="1">IFERROR(__xludf.DUMMYFUNCTION("""COMPUTED_VALUE"""),2.67)</f>
        <v>2.67</v>
      </c>
      <c r="M2714" s="112">
        <f ca="1">IFERROR(__xludf.DUMMYFUNCTION("""COMPUTED_VALUE"""),44181.7055555555)</f>
        <v>44181.705555555498</v>
      </c>
      <c r="N2714" s="111">
        <f ca="1">IFERROR(__xludf.DUMMYFUNCTION("""COMPUTED_VALUE"""),24.58)</f>
        <v>24.58</v>
      </c>
      <c r="O2714" s="112">
        <f ca="1">IFERROR(__xludf.DUMMYFUNCTION("""COMPUTED_VALUE"""),44264.7055555555)</f>
        <v>44264.705555555498</v>
      </c>
      <c r="P2714" s="111">
        <f ca="1">IFERROR(__xludf.DUMMYFUNCTION("""COMPUTED_VALUE"""),98.67)</f>
        <v>98.67</v>
      </c>
      <c r="Q2714" s="112">
        <f ca="1">IFERROR(__xludf.DUMMYFUNCTION("""COMPUTED_VALUE"""),44263.7055555555)</f>
        <v>44263.705555555498</v>
      </c>
      <c r="R2714" s="111">
        <f ca="1">IFERROR(__xludf.DUMMYFUNCTION("""COMPUTED_VALUE"""),29.2)</f>
        <v>29.2</v>
      </c>
      <c r="S2714" s="112">
        <f ca="1">IFERROR(__xludf.DUMMYFUNCTION("""COMPUTED_VALUE"""),44277.7055555555)</f>
        <v>44277.705555555498</v>
      </c>
      <c r="T2714" s="111">
        <f ca="1">IFERROR(__xludf.DUMMYFUNCTION("""COMPUTED_VALUE"""),37.77)</f>
        <v>37.770000000000003</v>
      </c>
    </row>
    <row r="2715" spans="1:20" x14ac:dyDescent="0.3">
      <c r="A2715" s="112">
        <f ca="1">IFERROR(__xludf.DUMMYFUNCTION("""COMPUTED_VALUE"""),44272.7055555555)</f>
        <v>44272.705555555498</v>
      </c>
      <c r="B2715" s="111">
        <f ca="1">IFERROR(__xludf.DUMMYFUNCTION("""COMPUTED_VALUE"""),33.35)</f>
        <v>33.35</v>
      </c>
      <c r="C2715" s="112">
        <f ca="1">IFERROR(__xludf.DUMMYFUNCTION("""COMPUTED_VALUE"""),44281.7055555555)</f>
        <v>44281.705555555498</v>
      </c>
      <c r="D2715" s="111">
        <f ca="1">IFERROR(__xludf.DUMMYFUNCTION("""COMPUTED_VALUE"""),28.07)</f>
        <v>28.07</v>
      </c>
      <c r="E2715" s="112">
        <f ca="1">IFERROR(__xludf.DUMMYFUNCTION("""COMPUTED_VALUE"""),44284.7055555555)</f>
        <v>44284.705555555498</v>
      </c>
      <c r="F2715" s="111">
        <f ca="1">IFERROR(__xludf.DUMMYFUNCTION("""COMPUTED_VALUE"""),9.83)</f>
        <v>9.83</v>
      </c>
      <c r="G2715" s="112">
        <f ca="1">IFERROR(__xludf.DUMMYFUNCTION("""COMPUTED_VALUE"""),44280.7055555555)</f>
        <v>44280.705555555498</v>
      </c>
      <c r="H2715" s="111">
        <f ca="1">IFERROR(__xludf.DUMMYFUNCTION("""COMPUTED_VALUE"""),23.2)</f>
        <v>23.2</v>
      </c>
      <c r="K2715" s="112">
        <f ca="1">IFERROR(__xludf.DUMMYFUNCTION("""COMPUTED_VALUE"""),44726.7055555555)</f>
        <v>44726.705555555498</v>
      </c>
      <c r="L2715" s="111">
        <f ca="1">IFERROR(__xludf.DUMMYFUNCTION("""COMPUTED_VALUE"""),2.54)</f>
        <v>2.54</v>
      </c>
      <c r="M2715" s="112">
        <f ca="1">IFERROR(__xludf.DUMMYFUNCTION("""COMPUTED_VALUE"""),44182.7055555555)</f>
        <v>44182.705555555498</v>
      </c>
      <c r="N2715" s="111">
        <f ca="1">IFERROR(__xludf.DUMMYFUNCTION("""COMPUTED_VALUE"""),24.7)</f>
        <v>24.7</v>
      </c>
      <c r="O2715" s="112">
        <f ca="1">IFERROR(__xludf.DUMMYFUNCTION("""COMPUTED_VALUE"""),44265.7055555555)</f>
        <v>44265.705555555498</v>
      </c>
      <c r="P2715" s="111">
        <f ca="1">IFERROR(__xludf.DUMMYFUNCTION("""COMPUTED_VALUE"""),97.15)</f>
        <v>97.15</v>
      </c>
      <c r="Q2715" s="112">
        <f ca="1">IFERROR(__xludf.DUMMYFUNCTION("""COMPUTED_VALUE"""),44264.7055555555)</f>
        <v>44264.705555555498</v>
      </c>
      <c r="R2715" s="111">
        <f ca="1">IFERROR(__xludf.DUMMYFUNCTION("""COMPUTED_VALUE"""),28.99)</f>
        <v>28.99</v>
      </c>
      <c r="S2715" s="112">
        <f ca="1">IFERROR(__xludf.DUMMYFUNCTION("""COMPUTED_VALUE"""),44278.7055555555)</f>
        <v>44278.705555555498</v>
      </c>
      <c r="T2715" s="111">
        <f ca="1">IFERROR(__xludf.DUMMYFUNCTION("""COMPUTED_VALUE"""),37.86)</f>
        <v>37.86</v>
      </c>
    </row>
    <row r="2716" spans="1:20" x14ac:dyDescent="0.3">
      <c r="A2716" s="112">
        <f ca="1">IFERROR(__xludf.DUMMYFUNCTION("""COMPUTED_VALUE"""),44273.7055555555)</f>
        <v>44273.705555555498</v>
      </c>
      <c r="B2716" s="111">
        <f ca="1">IFERROR(__xludf.DUMMYFUNCTION("""COMPUTED_VALUE"""),33.44)</f>
        <v>33.44</v>
      </c>
      <c r="C2716" s="112">
        <f ca="1">IFERROR(__xludf.DUMMYFUNCTION("""COMPUTED_VALUE"""),44284.7055555555)</f>
        <v>44284.705555555498</v>
      </c>
      <c r="D2716" s="111">
        <f ca="1">IFERROR(__xludf.DUMMYFUNCTION("""COMPUTED_VALUE"""),28.06)</f>
        <v>28.06</v>
      </c>
      <c r="E2716" s="112">
        <f ca="1">IFERROR(__xludf.DUMMYFUNCTION("""COMPUTED_VALUE"""),44285.7055555555)</f>
        <v>44285.705555555498</v>
      </c>
      <c r="F2716" s="111">
        <f ca="1">IFERROR(__xludf.DUMMYFUNCTION("""COMPUTED_VALUE"""),9.97)</f>
        <v>9.9700000000000006</v>
      </c>
      <c r="G2716" s="112">
        <f ca="1">IFERROR(__xludf.DUMMYFUNCTION("""COMPUTED_VALUE"""),44281.7055555555)</f>
        <v>44281.705555555498</v>
      </c>
      <c r="H2716" s="111">
        <f ca="1">IFERROR(__xludf.DUMMYFUNCTION("""COMPUTED_VALUE"""),23.46)</f>
        <v>23.46</v>
      </c>
      <c r="K2716" s="112">
        <f ca="1">IFERROR(__xludf.DUMMYFUNCTION("""COMPUTED_VALUE"""),44727.7055555555)</f>
        <v>44727.705555555498</v>
      </c>
      <c r="L2716" s="111">
        <f ca="1">IFERROR(__xludf.DUMMYFUNCTION("""COMPUTED_VALUE"""),2.55)</f>
        <v>2.5499999999999998</v>
      </c>
      <c r="M2716" s="112">
        <f ca="1">IFERROR(__xludf.DUMMYFUNCTION("""COMPUTED_VALUE"""),44183.7055555555)</f>
        <v>44183.705555555498</v>
      </c>
      <c r="N2716" s="111">
        <f ca="1">IFERROR(__xludf.DUMMYFUNCTION("""COMPUTED_VALUE"""),24.75)</f>
        <v>24.75</v>
      </c>
      <c r="O2716" s="112">
        <f ca="1">IFERROR(__xludf.DUMMYFUNCTION("""COMPUTED_VALUE"""),44266.7055555555)</f>
        <v>44266.705555555498</v>
      </c>
      <c r="P2716" s="111">
        <f ca="1">IFERROR(__xludf.DUMMYFUNCTION("""COMPUTED_VALUE"""),99.7)</f>
        <v>99.7</v>
      </c>
      <c r="Q2716" s="112">
        <f ca="1">IFERROR(__xludf.DUMMYFUNCTION("""COMPUTED_VALUE"""),44265.7055555555)</f>
        <v>44265.705555555498</v>
      </c>
      <c r="R2716" s="111">
        <f ca="1">IFERROR(__xludf.DUMMYFUNCTION("""COMPUTED_VALUE"""),29.9)</f>
        <v>29.9</v>
      </c>
      <c r="S2716" s="112">
        <f ca="1">IFERROR(__xludf.DUMMYFUNCTION("""COMPUTED_VALUE"""),44279.7055555555)</f>
        <v>44279.705555555498</v>
      </c>
      <c r="T2716" s="111">
        <f ca="1">IFERROR(__xludf.DUMMYFUNCTION("""COMPUTED_VALUE"""),37.19)</f>
        <v>37.19</v>
      </c>
    </row>
    <row r="2717" spans="1:20" x14ac:dyDescent="0.3">
      <c r="A2717" s="112">
        <f ca="1">IFERROR(__xludf.DUMMYFUNCTION("""COMPUTED_VALUE"""),44274.7055555555)</f>
        <v>44274.705555555498</v>
      </c>
      <c r="B2717" s="111">
        <f ca="1">IFERROR(__xludf.DUMMYFUNCTION("""COMPUTED_VALUE"""),32.86)</f>
        <v>32.86</v>
      </c>
      <c r="C2717" s="112">
        <f ca="1">IFERROR(__xludf.DUMMYFUNCTION("""COMPUTED_VALUE"""),44285.7055555555)</f>
        <v>44285.705555555498</v>
      </c>
      <c r="D2717" s="111">
        <f ca="1">IFERROR(__xludf.DUMMYFUNCTION("""COMPUTED_VALUE"""),28.52)</f>
        <v>28.52</v>
      </c>
      <c r="E2717" s="112">
        <f ca="1">IFERROR(__xludf.DUMMYFUNCTION("""COMPUTED_VALUE"""),44286.7055555555)</f>
        <v>44286.705555555498</v>
      </c>
      <c r="F2717" s="111">
        <f ca="1">IFERROR(__xludf.DUMMYFUNCTION("""COMPUTED_VALUE"""),9.83)</f>
        <v>9.83</v>
      </c>
      <c r="G2717" s="112">
        <f ca="1">IFERROR(__xludf.DUMMYFUNCTION("""COMPUTED_VALUE"""),44284.7055555555)</f>
        <v>44284.705555555498</v>
      </c>
      <c r="H2717" s="111">
        <f ca="1">IFERROR(__xludf.DUMMYFUNCTION("""COMPUTED_VALUE"""),23.83)</f>
        <v>23.83</v>
      </c>
      <c r="K2717" s="112">
        <f ca="1">IFERROR(__xludf.DUMMYFUNCTION("""COMPUTED_VALUE"""),44729.7055555555)</f>
        <v>44729.705555555498</v>
      </c>
      <c r="L2717" s="111">
        <f ca="1">IFERROR(__xludf.DUMMYFUNCTION("""COMPUTED_VALUE"""),2.38)</f>
        <v>2.38</v>
      </c>
      <c r="M2717" s="112">
        <f ca="1">IFERROR(__xludf.DUMMYFUNCTION("""COMPUTED_VALUE"""),44186.7055555555)</f>
        <v>44186.705555555498</v>
      </c>
      <c r="N2717" s="111">
        <f ca="1">IFERROR(__xludf.DUMMYFUNCTION("""COMPUTED_VALUE"""),24.15)</f>
        <v>24.15</v>
      </c>
      <c r="O2717" s="112">
        <f ca="1">IFERROR(__xludf.DUMMYFUNCTION("""COMPUTED_VALUE"""),44267.8125)</f>
        <v>44267.8125</v>
      </c>
      <c r="P2717" s="111">
        <f ca="1">IFERROR(__xludf.DUMMYFUNCTION("""COMPUTED_VALUE"""),97.4)</f>
        <v>97.4</v>
      </c>
      <c r="Q2717" s="112">
        <f ca="1">IFERROR(__xludf.DUMMYFUNCTION("""COMPUTED_VALUE"""),44266.7055555555)</f>
        <v>44266.705555555498</v>
      </c>
      <c r="R2717" s="111">
        <f ca="1">IFERROR(__xludf.DUMMYFUNCTION("""COMPUTED_VALUE"""),30.05)</f>
        <v>30.05</v>
      </c>
      <c r="S2717" s="112">
        <f ca="1">IFERROR(__xludf.DUMMYFUNCTION("""COMPUTED_VALUE"""),44280.7055555555)</f>
        <v>44280.705555555498</v>
      </c>
      <c r="T2717" s="111">
        <f ca="1">IFERROR(__xludf.DUMMYFUNCTION("""COMPUTED_VALUE"""),38.97)</f>
        <v>38.97</v>
      </c>
    </row>
    <row r="2718" spans="1:20" x14ac:dyDescent="0.3">
      <c r="A2718" s="112">
        <f ca="1">IFERROR(__xludf.DUMMYFUNCTION("""COMPUTED_VALUE"""),44277.7055555555)</f>
        <v>44277.705555555498</v>
      </c>
      <c r="B2718" s="111">
        <f ca="1">IFERROR(__xludf.DUMMYFUNCTION("""COMPUTED_VALUE"""),32.13)</f>
        <v>32.130000000000003</v>
      </c>
      <c r="C2718" s="112">
        <f ca="1">IFERROR(__xludf.DUMMYFUNCTION("""COMPUTED_VALUE"""),44286.7055555555)</f>
        <v>44286.705555555498</v>
      </c>
      <c r="D2718" s="111">
        <f ca="1">IFERROR(__xludf.DUMMYFUNCTION("""COMPUTED_VALUE"""),27.97)</f>
        <v>27.97</v>
      </c>
      <c r="E2718" s="112">
        <f ca="1">IFERROR(__xludf.DUMMYFUNCTION("""COMPUTED_VALUE"""),44287.7055555555)</f>
        <v>44287.705555555498</v>
      </c>
      <c r="F2718" s="111">
        <f ca="1">IFERROR(__xludf.DUMMYFUNCTION("""COMPUTED_VALUE"""),9.62)</f>
        <v>9.6199999999999992</v>
      </c>
      <c r="G2718" s="112">
        <f ca="1">IFERROR(__xludf.DUMMYFUNCTION("""COMPUTED_VALUE"""),44285.7055555555)</f>
        <v>44285.705555555498</v>
      </c>
      <c r="H2718" s="111">
        <f ca="1">IFERROR(__xludf.DUMMYFUNCTION("""COMPUTED_VALUE"""),23.83)</f>
        <v>23.83</v>
      </c>
      <c r="K2718" s="112">
        <f ca="1">IFERROR(__xludf.DUMMYFUNCTION("""COMPUTED_VALUE"""),44732.7055555555)</f>
        <v>44732.705555555498</v>
      </c>
      <c r="L2718" s="111">
        <f ca="1">IFERROR(__xludf.DUMMYFUNCTION("""COMPUTED_VALUE"""),2.58)</f>
        <v>2.58</v>
      </c>
      <c r="M2718" s="112">
        <f ca="1">IFERROR(__xludf.DUMMYFUNCTION("""COMPUTED_VALUE"""),44187.7055555555)</f>
        <v>44187.705555555498</v>
      </c>
      <c r="N2718" s="111">
        <f ca="1">IFERROR(__xludf.DUMMYFUNCTION("""COMPUTED_VALUE"""),24.64)</f>
        <v>24.64</v>
      </c>
      <c r="O2718" s="112">
        <f ca="1">IFERROR(__xludf.DUMMYFUNCTION("""COMPUTED_VALUE"""),44270.7055555555)</f>
        <v>44270.705555555498</v>
      </c>
      <c r="P2718" s="111">
        <f ca="1">IFERROR(__xludf.DUMMYFUNCTION("""COMPUTED_VALUE"""),96.82)</f>
        <v>96.82</v>
      </c>
      <c r="Q2718" s="112">
        <f ca="1">IFERROR(__xludf.DUMMYFUNCTION("""COMPUTED_VALUE"""),44267.8125)</f>
        <v>44267.8125</v>
      </c>
      <c r="R2718" s="111">
        <f ca="1">IFERROR(__xludf.DUMMYFUNCTION("""COMPUTED_VALUE"""),30)</f>
        <v>30</v>
      </c>
      <c r="S2718" s="112">
        <f ca="1">IFERROR(__xludf.DUMMYFUNCTION("""COMPUTED_VALUE"""),44281.7055555555)</f>
        <v>44281.705555555498</v>
      </c>
      <c r="T2718" s="111">
        <f ca="1">IFERROR(__xludf.DUMMYFUNCTION("""COMPUTED_VALUE"""),38.16)</f>
        <v>38.159999999999997</v>
      </c>
    </row>
    <row r="2719" spans="1:20" x14ac:dyDescent="0.3">
      <c r="A2719" s="112">
        <f ca="1">IFERROR(__xludf.DUMMYFUNCTION("""COMPUTED_VALUE"""),44278.7055555555)</f>
        <v>44278.705555555498</v>
      </c>
      <c r="B2719" s="111">
        <f ca="1">IFERROR(__xludf.DUMMYFUNCTION("""COMPUTED_VALUE"""),32.65)</f>
        <v>32.65</v>
      </c>
      <c r="C2719" s="112">
        <f ca="1">IFERROR(__xludf.DUMMYFUNCTION("""COMPUTED_VALUE"""),44287.7055555555)</f>
        <v>44287.705555555498</v>
      </c>
      <c r="D2719" s="111">
        <f ca="1">IFERROR(__xludf.DUMMYFUNCTION("""COMPUTED_VALUE"""),27.1)</f>
        <v>27.1</v>
      </c>
      <c r="E2719" s="112">
        <f ca="1">IFERROR(__xludf.DUMMYFUNCTION("""COMPUTED_VALUE"""),44291.7055555555)</f>
        <v>44291.705555555498</v>
      </c>
      <c r="F2719" s="111">
        <f ca="1">IFERROR(__xludf.DUMMYFUNCTION("""COMPUTED_VALUE"""),9.74)</f>
        <v>9.74</v>
      </c>
      <c r="G2719" s="112">
        <f ca="1">IFERROR(__xludf.DUMMYFUNCTION("""COMPUTED_VALUE"""),44286.7055555555)</f>
        <v>44286.705555555498</v>
      </c>
      <c r="H2719" s="111">
        <f ca="1">IFERROR(__xludf.DUMMYFUNCTION("""COMPUTED_VALUE"""),24.1)</f>
        <v>24.1</v>
      </c>
      <c r="K2719" s="112">
        <f ca="1">IFERROR(__xludf.DUMMYFUNCTION("""COMPUTED_VALUE"""),44733.7055555555)</f>
        <v>44733.705555555498</v>
      </c>
      <c r="L2719" s="111">
        <f ca="1">IFERROR(__xludf.DUMMYFUNCTION("""COMPUTED_VALUE"""),2.51)</f>
        <v>2.5099999999999998</v>
      </c>
      <c r="M2719" s="112">
        <f ca="1">IFERROR(__xludf.DUMMYFUNCTION("""COMPUTED_VALUE"""),44188.7055555555)</f>
        <v>44188.705555555498</v>
      </c>
      <c r="N2719" s="111">
        <f ca="1">IFERROR(__xludf.DUMMYFUNCTION("""COMPUTED_VALUE"""),25.2)</f>
        <v>25.2</v>
      </c>
      <c r="O2719" s="112">
        <f ca="1">IFERROR(__xludf.DUMMYFUNCTION("""COMPUTED_VALUE"""),44271.7055555555)</f>
        <v>44271.705555555498</v>
      </c>
      <c r="P2719" s="111">
        <f ca="1">IFERROR(__xludf.DUMMYFUNCTION("""COMPUTED_VALUE"""),96.51)</f>
        <v>96.51</v>
      </c>
      <c r="Q2719" s="112">
        <f ca="1">IFERROR(__xludf.DUMMYFUNCTION("""COMPUTED_VALUE"""),44270.7055555555)</f>
        <v>44270.705555555498</v>
      </c>
      <c r="R2719" s="111">
        <f ca="1">IFERROR(__xludf.DUMMYFUNCTION("""COMPUTED_VALUE"""),29.79)</f>
        <v>29.79</v>
      </c>
      <c r="S2719" s="112">
        <f ca="1">IFERROR(__xludf.DUMMYFUNCTION("""COMPUTED_VALUE"""),44284.7055555555)</f>
        <v>44284.705555555498</v>
      </c>
      <c r="T2719" s="111">
        <f ca="1">IFERROR(__xludf.DUMMYFUNCTION("""COMPUTED_VALUE"""),37.72)</f>
        <v>37.72</v>
      </c>
    </row>
    <row r="2720" spans="1:20" x14ac:dyDescent="0.3">
      <c r="A2720" s="112">
        <f ca="1">IFERROR(__xludf.DUMMYFUNCTION("""COMPUTED_VALUE"""),44279.7055555555)</f>
        <v>44279.705555555498</v>
      </c>
      <c r="B2720" s="111">
        <f ca="1">IFERROR(__xludf.DUMMYFUNCTION("""COMPUTED_VALUE"""),31.94)</f>
        <v>31.94</v>
      </c>
      <c r="C2720" s="112">
        <f ca="1">IFERROR(__xludf.DUMMYFUNCTION("""COMPUTED_VALUE"""),44291.7055555555)</f>
        <v>44291.705555555498</v>
      </c>
      <c r="D2720" s="111">
        <f ca="1">IFERROR(__xludf.DUMMYFUNCTION("""COMPUTED_VALUE"""),27.45)</f>
        <v>27.45</v>
      </c>
      <c r="E2720" s="112">
        <f ca="1">IFERROR(__xludf.DUMMYFUNCTION("""COMPUTED_VALUE"""),44292.7055555555)</f>
        <v>44292.705555555498</v>
      </c>
      <c r="F2720" s="111">
        <f ca="1">IFERROR(__xludf.DUMMYFUNCTION("""COMPUTED_VALUE"""),9.65)</f>
        <v>9.65</v>
      </c>
      <c r="G2720" s="112">
        <f ca="1">IFERROR(__xludf.DUMMYFUNCTION("""COMPUTED_VALUE"""),44287.7055555555)</f>
        <v>44287.705555555498</v>
      </c>
      <c r="H2720" s="111">
        <f ca="1">IFERROR(__xludf.DUMMYFUNCTION("""COMPUTED_VALUE"""),23.89)</f>
        <v>23.89</v>
      </c>
      <c r="K2720" s="112">
        <f ca="1">IFERROR(__xludf.DUMMYFUNCTION("""COMPUTED_VALUE"""),44734.7055555555)</f>
        <v>44734.705555555498</v>
      </c>
      <c r="L2720" s="111">
        <f ca="1">IFERROR(__xludf.DUMMYFUNCTION("""COMPUTED_VALUE"""),2.44)</f>
        <v>2.44</v>
      </c>
      <c r="M2720" s="112">
        <f ca="1">IFERROR(__xludf.DUMMYFUNCTION("""COMPUTED_VALUE"""),44193.7055555555)</f>
        <v>44193.705555555498</v>
      </c>
      <c r="N2720" s="111">
        <f ca="1">IFERROR(__xludf.DUMMYFUNCTION("""COMPUTED_VALUE"""),25.45)</f>
        <v>25.45</v>
      </c>
      <c r="O2720" s="112">
        <f ca="1">IFERROR(__xludf.DUMMYFUNCTION("""COMPUTED_VALUE"""),44272.7055555555)</f>
        <v>44272.705555555498</v>
      </c>
      <c r="P2720" s="111">
        <f ca="1">IFERROR(__xludf.DUMMYFUNCTION("""COMPUTED_VALUE"""),97.9)</f>
        <v>97.9</v>
      </c>
      <c r="Q2720" s="112">
        <f ca="1">IFERROR(__xludf.DUMMYFUNCTION("""COMPUTED_VALUE"""),44271.7055555555)</f>
        <v>44271.705555555498</v>
      </c>
      <c r="R2720" s="111">
        <f ca="1">IFERROR(__xludf.DUMMYFUNCTION("""COMPUTED_VALUE"""),29.87)</f>
        <v>29.87</v>
      </c>
      <c r="S2720" s="112">
        <f ca="1">IFERROR(__xludf.DUMMYFUNCTION("""COMPUTED_VALUE"""),44285.7055555555)</f>
        <v>44285.705555555498</v>
      </c>
      <c r="T2720" s="111">
        <f ca="1">IFERROR(__xludf.DUMMYFUNCTION("""COMPUTED_VALUE"""),39.93)</f>
        <v>39.93</v>
      </c>
    </row>
    <row r="2721" spans="1:20" x14ac:dyDescent="0.3">
      <c r="A2721" s="112">
        <f ca="1">IFERROR(__xludf.DUMMYFUNCTION("""COMPUTED_VALUE"""),44280.7055555555)</f>
        <v>44280.705555555498</v>
      </c>
      <c r="B2721" s="111">
        <f ca="1">IFERROR(__xludf.DUMMYFUNCTION("""COMPUTED_VALUE"""),33.53)</f>
        <v>33.53</v>
      </c>
      <c r="C2721" s="112">
        <f ca="1">IFERROR(__xludf.DUMMYFUNCTION("""COMPUTED_VALUE"""),44292.7055555555)</f>
        <v>44292.705555555498</v>
      </c>
      <c r="D2721" s="111">
        <f ca="1">IFERROR(__xludf.DUMMYFUNCTION("""COMPUTED_VALUE"""),27.13)</f>
        <v>27.13</v>
      </c>
      <c r="E2721" s="112">
        <f ca="1">IFERROR(__xludf.DUMMYFUNCTION("""COMPUTED_VALUE"""),44293.7055555555)</f>
        <v>44293.705555555498</v>
      </c>
      <c r="F2721" s="111">
        <f ca="1">IFERROR(__xludf.DUMMYFUNCTION("""COMPUTED_VALUE"""),9.64)</f>
        <v>9.64</v>
      </c>
      <c r="G2721" s="112">
        <f ca="1">IFERROR(__xludf.DUMMYFUNCTION("""COMPUTED_VALUE"""),44291.7055555555)</f>
        <v>44291.705555555498</v>
      </c>
      <c r="H2721" s="111">
        <f ca="1">IFERROR(__xludf.DUMMYFUNCTION("""COMPUTED_VALUE"""),24.04)</f>
        <v>24.04</v>
      </c>
      <c r="K2721" s="112">
        <f ca="1">IFERROR(__xludf.DUMMYFUNCTION("""COMPUTED_VALUE"""),44735.7055555555)</f>
        <v>44735.705555555498</v>
      </c>
      <c r="L2721" s="111">
        <f ca="1">IFERROR(__xludf.DUMMYFUNCTION("""COMPUTED_VALUE"""),2.55)</f>
        <v>2.5499999999999998</v>
      </c>
      <c r="M2721" s="112">
        <f ca="1">IFERROR(__xludf.DUMMYFUNCTION("""COMPUTED_VALUE"""),44194.7055555555)</f>
        <v>44194.705555555498</v>
      </c>
      <c r="N2721" s="111">
        <f ca="1">IFERROR(__xludf.DUMMYFUNCTION("""COMPUTED_VALUE"""),25.03)</f>
        <v>25.03</v>
      </c>
      <c r="O2721" s="112">
        <f ca="1">IFERROR(__xludf.DUMMYFUNCTION("""COMPUTED_VALUE"""),44273.7055555555)</f>
        <v>44273.705555555498</v>
      </c>
      <c r="P2721" s="111">
        <f ca="1">IFERROR(__xludf.DUMMYFUNCTION("""COMPUTED_VALUE"""),96.16)</f>
        <v>96.16</v>
      </c>
      <c r="Q2721" s="112">
        <f ca="1">IFERROR(__xludf.DUMMYFUNCTION("""COMPUTED_VALUE"""),44272.7055555555)</f>
        <v>44272.705555555498</v>
      </c>
      <c r="R2721" s="111">
        <f ca="1">IFERROR(__xludf.DUMMYFUNCTION("""COMPUTED_VALUE"""),30.7)</f>
        <v>30.7</v>
      </c>
      <c r="S2721" s="112">
        <f ca="1">IFERROR(__xludf.DUMMYFUNCTION("""COMPUTED_VALUE"""),44286.7055555555)</f>
        <v>44286.705555555498</v>
      </c>
      <c r="T2721" s="111">
        <f ca="1">IFERROR(__xludf.DUMMYFUNCTION("""COMPUTED_VALUE"""),38.72)</f>
        <v>38.72</v>
      </c>
    </row>
    <row r="2722" spans="1:20" x14ac:dyDescent="0.3">
      <c r="A2722" s="112">
        <f ca="1">IFERROR(__xludf.DUMMYFUNCTION("""COMPUTED_VALUE"""),44281.7055555555)</f>
        <v>44281.705555555498</v>
      </c>
      <c r="B2722" s="111">
        <f ca="1">IFERROR(__xludf.DUMMYFUNCTION("""COMPUTED_VALUE"""),33.41)</f>
        <v>33.409999999999997</v>
      </c>
      <c r="C2722" s="112">
        <f ca="1">IFERROR(__xludf.DUMMYFUNCTION("""COMPUTED_VALUE"""),44293.7055555555)</f>
        <v>44293.705555555498</v>
      </c>
      <c r="D2722" s="111">
        <f ca="1">IFERROR(__xludf.DUMMYFUNCTION("""COMPUTED_VALUE"""),26.89)</f>
        <v>26.89</v>
      </c>
      <c r="E2722" s="112">
        <f ca="1">IFERROR(__xludf.DUMMYFUNCTION("""COMPUTED_VALUE"""),44294.7055555555)</f>
        <v>44294.705555555498</v>
      </c>
      <c r="F2722" s="111">
        <f ca="1">IFERROR(__xludf.DUMMYFUNCTION("""COMPUTED_VALUE"""),9.61)</f>
        <v>9.61</v>
      </c>
      <c r="G2722" s="112">
        <f ca="1">IFERROR(__xludf.DUMMYFUNCTION("""COMPUTED_VALUE"""),44292.7055555555)</f>
        <v>44292.705555555498</v>
      </c>
      <c r="H2722" s="111">
        <f ca="1">IFERROR(__xludf.DUMMYFUNCTION("""COMPUTED_VALUE"""),24.02)</f>
        <v>24.02</v>
      </c>
      <c r="K2722" s="112">
        <f ca="1">IFERROR(__xludf.DUMMYFUNCTION("""COMPUTED_VALUE"""),44736.7055555555)</f>
        <v>44736.705555555498</v>
      </c>
      <c r="L2722" s="111">
        <f ca="1">IFERROR(__xludf.DUMMYFUNCTION("""COMPUTED_VALUE"""),2.47)</f>
        <v>2.4700000000000002</v>
      </c>
      <c r="M2722" s="112">
        <f ca="1">IFERROR(__xludf.DUMMYFUNCTION("""COMPUTED_VALUE"""),44195.7055555555)</f>
        <v>44195.705555555498</v>
      </c>
      <c r="N2722" s="111">
        <f ca="1">IFERROR(__xludf.DUMMYFUNCTION("""COMPUTED_VALUE"""),24.67)</f>
        <v>24.67</v>
      </c>
      <c r="O2722" s="112">
        <f ca="1">IFERROR(__xludf.DUMMYFUNCTION("""COMPUTED_VALUE"""),44274.7055555555)</f>
        <v>44274.705555555498</v>
      </c>
      <c r="P2722" s="111">
        <f ca="1">IFERROR(__xludf.DUMMYFUNCTION("""COMPUTED_VALUE"""),94.78)</f>
        <v>94.78</v>
      </c>
      <c r="Q2722" s="112">
        <f ca="1">IFERROR(__xludf.DUMMYFUNCTION("""COMPUTED_VALUE"""),44273.7055555555)</f>
        <v>44273.705555555498</v>
      </c>
      <c r="R2722" s="111">
        <f ca="1">IFERROR(__xludf.DUMMYFUNCTION("""COMPUTED_VALUE"""),30.44)</f>
        <v>30.44</v>
      </c>
      <c r="S2722" s="112">
        <f ca="1">IFERROR(__xludf.DUMMYFUNCTION("""COMPUTED_VALUE"""),44287.7055555555)</f>
        <v>44287.705555555498</v>
      </c>
      <c r="T2722" s="111">
        <f ca="1">IFERROR(__xludf.DUMMYFUNCTION("""COMPUTED_VALUE"""),39.02)</f>
        <v>39.020000000000003</v>
      </c>
    </row>
    <row r="2723" spans="1:20" x14ac:dyDescent="0.3">
      <c r="A2723" s="112">
        <f ca="1">IFERROR(__xludf.DUMMYFUNCTION("""COMPUTED_VALUE"""),44284.7055555555)</f>
        <v>44284.705555555498</v>
      </c>
      <c r="B2723" s="111">
        <f ca="1">IFERROR(__xludf.DUMMYFUNCTION("""COMPUTED_VALUE"""),32.79)</f>
        <v>32.79</v>
      </c>
      <c r="C2723" s="112">
        <f ca="1">IFERROR(__xludf.DUMMYFUNCTION("""COMPUTED_VALUE"""),44294.7055555555)</f>
        <v>44294.705555555498</v>
      </c>
      <c r="D2723" s="111">
        <f ca="1">IFERROR(__xludf.DUMMYFUNCTION("""COMPUTED_VALUE"""),26.68)</f>
        <v>26.68</v>
      </c>
      <c r="E2723" s="112">
        <f ca="1">IFERROR(__xludf.DUMMYFUNCTION("""COMPUTED_VALUE"""),44295.7055555555)</f>
        <v>44295.705555555498</v>
      </c>
      <c r="F2723" s="111">
        <f ca="1">IFERROR(__xludf.DUMMYFUNCTION("""COMPUTED_VALUE"""),9.56)</f>
        <v>9.56</v>
      </c>
      <c r="G2723" s="112">
        <f ca="1">IFERROR(__xludf.DUMMYFUNCTION("""COMPUTED_VALUE"""),44293.7055555555)</f>
        <v>44293.705555555498</v>
      </c>
      <c r="H2723" s="111">
        <f ca="1">IFERROR(__xludf.DUMMYFUNCTION("""COMPUTED_VALUE"""),24)</f>
        <v>24</v>
      </c>
      <c r="K2723" s="112">
        <f ca="1">IFERROR(__xludf.DUMMYFUNCTION("""COMPUTED_VALUE"""),44739.7055555555)</f>
        <v>44739.705555555498</v>
      </c>
      <c r="L2723" s="111">
        <f ca="1">IFERROR(__xludf.DUMMYFUNCTION("""COMPUTED_VALUE"""),2.43)</f>
        <v>2.4300000000000002</v>
      </c>
      <c r="M2723" s="112">
        <f ca="1">IFERROR(__xludf.DUMMYFUNCTION("""COMPUTED_VALUE"""),44200.7055555555)</f>
        <v>44200.705555555498</v>
      </c>
      <c r="N2723" s="111">
        <f ca="1">IFERROR(__xludf.DUMMYFUNCTION("""COMPUTED_VALUE"""),24.03)</f>
        <v>24.03</v>
      </c>
      <c r="O2723" s="112">
        <f ca="1">IFERROR(__xludf.DUMMYFUNCTION("""COMPUTED_VALUE"""),44277.7055555555)</f>
        <v>44277.705555555498</v>
      </c>
      <c r="P2723" s="111">
        <f ca="1">IFERROR(__xludf.DUMMYFUNCTION("""COMPUTED_VALUE"""),93.21)</f>
        <v>93.21</v>
      </c>
      <c r="Q2723" s="112">
        <f ca="1">IFERROR(__xludf.DUMMYFUNCTION("""COMPUTED_VALUE"""),44274.7055555555)</f>
        <v>44274.705555555498</v>
      </c>
      <c r="R2723" s="111">
        <f ca="1">IFERROR(__xludf.DUMMYFUNCTION("""COMPUTED_VALUE"""),30.7)</f>
        <v>30.7</v>
      </c>
      <c r="S2723" s="112">
        <f ca="1">IFERROR(__xludf.DUMMYFUNCTION("""COMPUTED_VALUE"""),44291.7055555555)</f>
        <v>44291.705555555498</v>
      </c>
      <c r="T2723" s="111">
        <f ca="1">IFERROR(__xludf.DUMMYFUNCTION("""COMPUTED_VALUE"""),39.42)</f>
        <v>39.42</v>
      </c>
    </row>
    <row r="2724" spans="1:20" x14ac:dyDescent="0.3">
      <c r="A2724" s="112">
        <f ca="1">IFERROR(__xludf.DUMMYFUNCTION("""COMPUTED_VALUE"""),44285.7055555555)</f>
        <v>44285.705555555498</v>
      </c>
      <c r="B2724" s="111">
        <f ca="1">IFERROR(__xludf.DUMMYFUNCTION("""COMPUTED_VALUE"""),32.8)</f>
        <v>32.799999999999997</v>
      </c>
      <c r="C2724" s="112">
        <f ca="1">IFERROR(__xludf.DUMMYFUNCTION("""COMPUTED_VALUE"""),44295.7055555555)</f>
        <v>44295.705555555498</v>
      </c>
      <c r="D2724" s="111">
        <f ca="1">IFERROR(__xludf.DUMMYFUNCTION("""COMPUTED_VALUE"""),26.64)</f>
        <v>26.64</v>
      </c>
      <c r="E2724" s="112">
        <f ca="1">IFERROR(__xludf.DUMMYFUNCTION("""COMPUTED_VALUE"""),44298.8125)</f>
        <v>44298.8125</v>
      </c>
      <c r="F2724" s="111">
        <f ca="1">IFERROR(__xludf.DUMMYFUNCTION("""COMPUTED_VALUE"""),9.72)</f>
        <v>9.7200000000000006</v>
      </c>
      <c r="G2724" s="112">
        <f ca="1">IFERROR(__xludf.DUMMYFUNCTION("""COMPUTED_VALUE"""),44294.7055555555)</f>
        <v>44294.705555555498</v>
      </c>
      <c r="H2724" s="111">
        <f ca="1">IFERROR(__xludf.DUMMYFUNCTION("""COMPUTED_VALUE"""),23.7)</f>
        <v>23.7</v>
      </c>
      <c r="K2724" s="112">
        <f ca="1">IFERROR(__xludf.DUMMYFUNCTION("""COMPUTED_VALUE"""),44740.7055555555)</f>
        <v>44740.705555555498</v>
      </c>
      <c r="L2724" s="111">
        <f ca="1">IFERROR(__xludf.DUMMYFUNCTION("""COMPUTED_VALUE"""),2.38)</f>
        <v>2.38</v>
      </c>
      <c r="M2724" s="112">
        <f ca="1">IFERROR(__xludf.DUMMYFUNCTION("""COMPUTED_VALUE"""),44201.7055555555)</f>
        <v>44201.705555555498</v>
      </c>
      <c r="N2724" s="111">
        <f ca="1">IFERROR(__xludf.DUMMYFUNCTION("""COMPUTED_VALUE"""),23.86)</f>
        <v>23.86</v>
      </c>
      <c r="O2724" s="112">
        <f ca="1">IFERROR(__xludf.DUMMYFUNCTION("""COMPUTED_VALUE"""),44278.7055555555)</f>
        <v>44278.705555555498</v>
      </c>
      <c r="P2724" s="111">
        <f ca="1">IFERROR(__xludf.DUMMYFUNCTION("""COMPUTED_VALUE"""),91.06)</f>
        <v>91.06</v>
      </c>
      <c r="Q2724" s="112">
        <f ca="1">IFERROR(__xludf.DUMMYFUNCTION("""COMPUTED_VALUE"""),44277.7055555555)</f>
        <v>44277.705555555498</v>
      </c>
      <c r="R2724" s="111">
        <f ca="1">IFERROR(__xludf.DUMMYFUNCTION("""COMPUTED_VALUE"""),30.79)</f>
        <v>30.79</v>
      </c>
      <c r="S2724" s="112">
        <f ca="1">IFERROR(__xludf.DUMMYFUNCTION("""COMPUTED_VALUE"""),44292.7055555555)</f>
        <v>44292.705555555498</v>
      </c>
      <c r="T2724" s="111">
        <f ca="1">IFERROR(__xludf.DUMMYFUNCTION("""COMPUTED_VALUE"""),39.85)</f>
        <v>39.85</v>
      </c>
    </row>
    <row r="2725" spans="1:20" x14ac:dyDescent="0.3">
      <c r="A2725" s="112">
        <f ca="1">IFERROR(__xludf.DUMMYFUNCTION("""COMPUTED_VALUE"""),44286.7055555555)</f>
        <v>44286.705555555498</v>
      </c>
      <c r="B2725" s="111">
        <f ca="1">IFERROR(__xludf.DUMMYFUNCTION("""COMPUTED_VALUE"""),33.9)</f>
        <v>33.9</v>
      </c>
      <c r="C2725" s="112">
        <f ca="1">IFERROR(__xludf.DUMMYFUNCTION("""COMPUTED_VALUE"""),44298.8125)</f>
        <v>44298.8125</v>
      </c>
      <c r="D2725" s="111">
        <f ca="1">IFERROR(__xludf.DUMMYFUNCTION("""COMPUTED_VALUE"""),27.3)</f>
        <v>27.3</v>
      </c>
      <c r="E2725" s="112">
        <f ca="1">IFERROR(__xludf.DUMMYFUNCTION("""COMPUTED_VALUE"""),44299.7055555555)</f>
        <v>44299.705555555498</v>
      </c>
      <c r="F2725" s="111">
        <f ca="1">IFERROR(__xludf.DUMMYFUNCTION("""COMPUTED_VALUE"""),9.7)</f>
        <v>9.6999999999999993</v>
      </c>
      <c r="G2725" s="112">
        <f ca="1">IFERROR(__xludf.DUMMYFUNCTION("""COMPUTED_VALUE"""),44295.7055555555)</f>
        <v>44295.705555555498</v>
      </c>
      <c r="H2725" s="111">
        <f ca="1">IFERROR(__xludf.DUMMYFUNCTION("""COMPUTED_VALUE"""),23.65)</f>
        <v>23.65</v>
      </c>
      <c r="K2725" s="112">
        <f ca="1">IFERROR(__xludf.DUMMYFUNCTION("""COMPUTED_VALUE"""),44741.7055555555)</f>
        <v>44741.705555555498</v>
      </c>
      <c r="L2725" s="111">
        <f ca="1">IFERROR(__xludf.DUMMYFUNCTION("""COMPUTED_VALUE"""),2.41)</f>
        <v>2.41</v>
      </c>
      <c r="M2725" s="112">
        <f ca="1">IFERROR(__xludf.DUMMYFUNCTION("""COMPUTED_VALUE"""),44202.7055555555)</f>
        <v>44202.705555555498</v>
      </c>
      <c r="N2725" s="111">
        <f ca="1">IFERROR(__xludf.DUMMYFUNCTION("""COMPUTED_VALUE"""),24.65)</f>
        <v>24.65</v>
      </c>
      <c r="O2725" s="112">
        <f ca="1">IFERROR(__xludf.DUMMYFUNCTION("""COMPUTED_VALUE"""),44279.7055555555)</f>
        <v>44279.705555555498</v>
      </c>
      <c r="P2725" s="111">
        <f ca="1">IFERROR(__xludf.DUMMYFUNCTION("""COMPUTED_VALUE"""),93.15)</f>
        <v>93.15</v>
      </c>
      <c r="Q2725" s="112">
        <f ca="1">IFERROR(__xludf.DUMMYFUNCTION("""COMPUTED_VALUE"""),44278.7055555555)</f>
        <v>44278.705555555498</v>
      </c>
      <c r="R2725" s="111">
        <f ca="1">IFERROR(__xludf.DUMMYFUNCTION("""COMPUTED_VALUE"""),29.68)</f>
        <v>29.68</v>
      </c>
      <c r="S2725" s="112">
        <f ca="1">IFERROR(__xludf.DUMMYFUNCTION("""COMPUTED_VALUE"""),44293.7055555555)</f>
        <v>44293.705555555498</v>
      </c>
      <c r="T2725" s="111">
        <f ca="1">IFERROR(__xludf.DUMMYFUNCTION("""COMPUTED_VALUE"""),39.21)</f>
        <v>39.21</v>
      </c>
    </row>
    <row r="2726" spans="1:20" x14ac:dyDescent="0.3">
      <c r="A2726" s="112">
        <f ca="1">IFERROR(__xludf.DUMMYFUNCTION("""COMPUTED_VALUE"""),44287.7055555555)</f>
        <v>44287.705555555498</v>
      </c>
      <c r="B2726" s="111">
        <f ca="1">IFERROR(__xludf.DUMMYFUNCTION("""COMPUTED_VALUE"""),33.25)</f>
        <v>33.25</v>
      </c>
      <c r="C2726" s="112">
        <f ca="1">IFERROR(__xludf.DUMMYFUNCTION("""COMPUTED_VALUE"""),44299.7055555555)</f>
        <v>44299.705555555498</v>
      </c>
      <c r="D2726" s="111">
        <f ca="1">IFERROR(__xludf.DUMMYFUNCTION("""COMPUTED_VALUE"""),27.29)</f>
        <v>27.29</v>
      </c>
      <c r="E2726" s="112">
        <f ca="1">IFERROR(__xludf.DUMMYFUNCTION("""COMPUTED_VALUE"""),44300.7055555555)</f>
        <v>44300.705555555498</v>
      </c>
      <c r="F2726" s="111">
        <f ca="1">IFERROR(__xludf.DUMMYFUNCTION("""COMPUTED_VALUE"""),9.77)</f>
        <v>9.77</v>
      </c>
      <c r="G2726" s="112">
        <f ca="1">IFERROR(__xludf.DUMMYFUNCTION("""COMPUTED_VALUE"""),44298.8125)</f>
        <v>44298.8125</v>
      </c>
      <c r="H2726" s="111">
        <f ca="1">IFERROR(__xludf.DUMMYFUNCTION("""COMPUTED_VALUE"""),23.89)</f>
        <v>23.89</v>
      </c>
      <c r="K2726" s="112">
        <f ca="1">IFERROR(__xludf.DUMMYFUNCTION("""COMPUTED_VALUE"""),44742.7055555555)</f>
        <v>44742.705555555498</v>
      </c>
      <c r="L2726" s="111">
        <f ca="1">IFERROR(__xludf.DUMMYFUNCTION("""COMPUTED_VALUE"""),2.34)</f>
        <v>2.34</v>
      </c>
      <c r="M2726" s="112">
        <f ca="1">IFERROR(__xludf.DUMMYFUNCTION("""COMPUTED_VALUE"""),44203.7055555555)</f>
        <v>44203.705555555498</v>
      </c>
      <c r="N2726" s="111">
        <f ca="1">IFERROR(__xludf.DUMMYFUNCTION("""COMPUTED_VALUE"""),25.31)</f>
        <v>25.31</v>
      </c>
      <c r="O2726" s="112">
        <f ca="1">IFERROR(__xludf.DUMMYFUNCTION("""COMPUTED_VALUE"""),44280.7055555555)</f>
        <v>44280.705555555498</v>
      </c>
      <c r="P2726" s="111">
        <f ca="1">IFERROR(__xludf.DUMMYFUNCTION("""COMPUTED_VALUE"""),92.44)</f>
        <v>92.44</v>
      </c>
      <c r="Q2726" s="112">
        <f ca="1">IFERROR(__xludf.DUMMYFUNCTION("""COMPUTED_VALUE"""),44279.7055555555)</f>
        <v>44279.705555555498</v>
      </c>
      <c r="R2726" s="111">
        <f ca="1">IFERROR(__xludf.DUMMYFUNCTION("""COMPUTED_VALUE"""),29.14)</f>
        <v>29.14</v>
      </c>
      <c r="S2726" s="112">
        <f ca="1">IFERROR(__xludf.DUMMYFUNCTION("""COMPUTED_VALUE"""),44294.7055555555)</f>
        <v>44294.705555555498</v>
      </c>
      <c r="T2726" s="111">
        <f ca="1">IFERROR(__xludf.DUMMYFUNCTION("""COMPUTED_VALUE"""),38.57)</f>
        <v>38.57</v>
      </c>
    </row>
    <row r="2727" spans="1:20" x14ac:dyDescent="0.3">
      <c r="A2727" s="112">
        <f ca="1">IFERROR(__xludf.DUMMYFUNCTION("""COMPUTED_VALUE"""),44291.7055555555)</f>
        <v>44291.705555555498</v>
      </c>
      <c r="B2727" s="111">
        <f ca="1">IFERROR(__xludf.DUMMYFUNCTION("""COMPUTED_VALUE"""),34.28)</f>
        <v>34.28</v>
      </c>
      <c r="C2727" s="112">
        <f ca="1">IFERROR(__xludf.DUMMYFUNCTION("""COMPUTED_VALUE"""),44300.7055555555)</f>
        <v>44300.705555555498</v>
      </c>
      <c r="D2727" s="111">
        <f ca="1">IFERROR(__xludf.DUMMYFUNCTION("""COMPUTED_VALUE"""),27.64)</f>
        <v>27.64</v>
      </c>
      <c r="E2727" s="112">
        <f ca="1">IFERROR(__xludf.DUMMYFUNCTION("""COMPUTED_VALUE"""),44301.7055555555)</f>
        <v>44301.705555555498</v>
      </c>
      <c r="F2727" s="111">
        <f ca="1">IFERROR(__xludf.DUMMYFUNCTION("""COMPUTED_VALUE"""),9.77)</f>
        <v>9.77</v>
      </c>
      <c r="G2727" s="112">
        <f ca="1">IFERROR(__xludf.DUMMYFUNCTION("""COMPUTED_VALUE"""),44299.7055555555)</f>
        <v>44299.705555555498</v>
      </c>
      <c r="H2727" s="111">
        <f ca="1">IFERROR(__xludf.DUMMYFUNCTION("""COMPUTED_VALUE"""),23.97)</f>
        <v>23.97</v>
      </c>
      <c r="K2727" s="112">
        <f ca="1">IFERROR(__xludf.DUMMYFUNCTION("""COMPUTED_VALUE"""),44743.7055555555)</f>
        <v>44743.705555555498</v>
      </c>
      <c r="L2727" s="111">
        <f ca="1">IFERROR(__xludf.DUMMYFUNCTION("""COMPUTED_VALUE"""),2.2)</f>
        <v>2.2000000000000002</v>
      </c>
      <c r="M2727" s="112">
        <f ca="1">IFERROR(__xludf.DUMMYFUNCTION("""COMPUTED_VALUE"""),44204.7055555555)</f>
        <v>44204.705555555498</v>
      </c>
      <c r="N2727" s="111">
        <f ca="1">IFERROR(__xludf.DUMMYFUNCTION("""COMPUTED_VALUE"""),25.09)</f>
        <v>25.09</v>
      </c>
      <c r="O2727" s="112">
        <f ca="1">IFERROR(__xludf.DUMMYFUNCTION("""COMPUTED_VALUE"""),44281.7055555555)</f>
        <v>44281.705555555498</v>
      </c>
      <c r="P2727" s="111">
        <f ca="1">IFERROR(__xludf.DUMMYFUNCTION("""COMPUTED_VALUE"""),95.53)</f>
        <v>95.53</v>
      </c>
      <c r="Q2727" s="112">
        <f ca="1">IFERROR(__xludf.DUMMYFUNCTION("""COMPUTED_VALUE"""),44280.7055555555)</f>
        <v>44280.705555555498</v>
      </c>
      <c r="R2727" s="111">
        <f ca="1">IFERROR(__xludf.DUMMYFUNCTION("""COMPUTED_VALUE"""),29.56)</f>
        <v>29.56</v>
      </c>
      <c r="S2727" s="112">
        <f ca="1">IFERROR(__xludf.DUMMYFUNCTION("""COMPUTED_VALUE"""),44295.7055555555)</f>
        <v>44295.705555555498</v>
      </c>
      <c r="T2727" s="111">
        <f ca="1">IFERROR(__xludf.DUMMYFUNCTION("""COMPUTED_VALUE"""),37.73)</f>
        <v>37.729999999999997</v>
      </c>
    </row>
    <row r="2728" spans="1:20" x14ac:dyDescent="0.3">
      <c r="A2728" s="112">
        <f ca="1">IFERROR(__xludf.DUMMYFUNCTION("""COMPUTED_VALUE"""),44292.7055555555)</f>
        <v>44292.705555555498</v>
      </c>
      <c r="B2728" s="111">
        <f ca="1">IFERROR(__xludf.DUMMYFUNCTION("""COMPUTED_VALUE"""),34.63)</f>
        <v>34.630000000000003</v>
      </c>
      <c r="C2728" s="112">
        <f ca="1">IFERROR(__xludf.DUMMYFUNCTION("""COMPUTED_VALUE"""),44301.7055555555)</f>
        <v>44301.705555555498</v>
      </c>
      <c r="D2728" s="111">
        <f ca="1">IFERROR(__xludf.DUMMYFUNCTION("""COMPUTED_VALUE"""),27.64)</f>
        <v>27.64</v>
      </c>
      <c r="E2728" s="112">
        <f ca="1">IFERROR(__xludf.DUMMYFUNCTION("""COMPUTED_VALUE"""),44302.7055555555)</f>
        <v>44302.705555555498</v>
      </c>
      <c r="F2728" s="111">
        <f ca="1">IFERROR(__xludf.DUMMYFUNCTION("""COMPUTED_VALUE"""),9.81)</f>
        <v>9.81</v>
      </c>
      <c r="G2728" s="112">
        <f ca="1">IFERROR(__xludf.DUMMYFUNCTION("""COMPUTED_VALUE"""),44300.7055555555)</f>
        <v>44300.705555555498</v>
      </c>
      <c r="H2728" s="111">
        <f ca="1">IFERROR(__xludf.DUMMYFUNCTION("""COMPUTED_VALUE"""),24.35)</f>
        <v>24.35</v>
      </c>
      <c r="K2728" s="112">
        <f ca="1">IFERROR(__xludf.DUMMYFUNCTION("""COMPUTED_VALUE"""),44746.7055555555)</f>
        <v>44746.705555555498</v>
      </c>
      <c r="L2728" s="111">
        <f ca="1">IFERROR(__xludf.DUMMYFUNCTION("""COMPUTED_VALUE"""),2.13)</f>
        <v>2.13</v>
      </c>
      <c r="M2728" s="112">
        <f ca="1">IFERROR(__xludf.DUMMYFUNCTION("""COMPUTED_VALUE"""),44207.7055555555)</f>
        <v>44207.705555555498</v>
      </c>
      <c r="N2728" s="111">
        <f ca="1">IFERROR(__xludf.DUMMYFUNCTION("""COMPUTED_VALUE"""),24.65)</f>
        <v>24.65</v>
      </c>
      <c r="O2728" s="112">
        <f ca="1">IFERROR(__xludf.DUMMYFUNCTION("""COMPUTED_VALUE"""),44284.7055555555)</f>
        <v>44284.705555555498</v>
      </c>
      <c r="P2728" s="111">
        <f ca="1">IFERROR(__xludf.DUMMYFUNCTION("""COMPUTED_VALUE"""),97.98)</f>
        <v>97.98</v>
      </c>
      <c r="Q2728" s="112">
        <f ca="1">IFERROR(__xludf.DUMMYFUNCTION("""COMPUTED_VALUE"""),44281.7055555555)</f>
        <v>44281.705555555498</v>
      </c>
      <c r="R2728" s="111">
        <f ca="1">IFERROR(__xludf.DUMMYFUNCTION("""COMPUTED_VALUE"""),29.66)</f>
        <v>29.66</v>
      </c>
      <c r="S2728" s="112">
        <f ca="1">IFERROR(__xludf.DUMMYFUNCTION("""COMPUTED_VALUE"""),44298.8125)</f>
        <v>44298.8125</v>
      </c>
      <c r="T2728" s="111">
        <f ca="1">IFERROR(__xludf.DUMMYFUNCTION("""COMPUTED_VALUE"""),37.34)</f>
        <v>37.340000000000003</v>
      </c>
    </row>
    <row r="2729" spans="1:20" x14ac:dyDescent="0.3">
      <c r="A2729" s="112">
        <f ca="1">IFERROR(__xludf.DUMMYFUNCTION("""COMPUTED_VALUE"""),44293.7055555555)</f>
        <v>44293.705555555498</v>
      </c>
      <c r="B2729" s="111">
        <f ca="1">IFERROR(__xludf.DUMMYFUNCTION("""COMPUTED_VALUE"""),35.3)</f>
        <v>35.299999999999997</v>
      </c>
      <c r="C2729" s="112">
        <f ca="1">IFERROR(__xludf.DUMMYFUNCTION("""COMPUTED_VALUE"""),44302.7055555555)</f>
        <v>44302.705555555498</v>
      </c>
      <c r="D2729" s="111">
        <f ca="1">IFERROR(__xludf.DUMMYFUNCTION("""COMPUTED_VALUE"""),27.95)</f>
        <v>27.95</v>
      </c>
      <c r="E2729" s="112">
        <f ca="1">IFERROR(__xludf.DUMMYFUNCTION("""COMPUTED_VALUE"""),44305.7055555555)</f>
        <v>44305.705555555498</v>
      </c>
      <c r="F2729" s="111">
        <f ca="1">IFERROR(__xludf.DUMMYFUNCTION("""COMPUTED_VALUE"""),9.71)</f>
        <v>9.7100000000000009</v>
      </c>
      <c r="G2729" s="112">
        <f ca="1">IFERROR(__xludf.DUMMYFUNCTION("""COMPUTED_VALUE"""),44301.7055555555)</f>
        <v>44301.705555555498</v>
      </c>
      <c r="H2729" s="111">
        <f ca="1">IFERROR(__xludf.DUMMYFUNCTION("""COMPUTED_VALUE"""),23.09)</f>
        <v>23.09</v>
      </c>
      <c r="K2729" s="112">
        <f ca="1">IFERROR(__xludf.DUMMYFUNCTION("""COMPUTED_VALUE"""),44747.7055555555)</f>
        <v>44747.705555555498</v>
      </c>
      <c r="L2729" s="111">
        <f ca="1">IFERROR(__xludf.DUMMYFUNCTION("""COMPUTED_VALUE"""),2.38)</f>
        <v>2.38</v>
      </c>
      <c r="M2729" s="112">
        <f ca="1">IFERROR(__xludf.DUMMYFUNCTION("""COMPUTED_VALUE"""),44208.8125)</f>
        <v>44208.8125</v>
      </c>
      <c r="N2729" s="111">
        <f ca="1">IFERROR(__xludf.DUMMYFUNCTION("""COMPUTED_VALUE"""),24.63)</f>
        <v>24.63</v>
      </c>
      <c r="O2729" s="112">
        <f ca="1">IFERROR(__xludf.DUMMYFUNCTION("""COMPUTED_VALUE"""),44285.7055555555)</f>
        <v>44285.705555555498</v>
      </c>
      <c r="P2729" s="111">
        <f ca="1">IFERROR(__xludf.DUMMYFUNCTION("""COMPUTED_VALUE"""),97.07)</f>
        <v>97.07</v>
      </c>
      <c r="Q2729" s="112">
        <f ca="1">IFERROR(__xludf.DUMMYFUNCTION("""COMPUTED_VALUE"""),44284.7055555555)</f>
        <v>44284.705555555498</v>
      </c>
      <c r="R2729" s="111">
        <f ca="1">IFERROR(__xludf.DUMMYFUNCTION("""COMPUTED_VALUE"""),29.8)</f>
        <v>29.8</v>
      </c>
      <c r="S2729" s="112">
        <f ca="1">IFERROR(__xludf.DUMMYFUNCTION("""COMPUTED_VALUE"""),44299.7055555555)</f>
        <v>44299.705555555498</v>
      </c>
      <c r="T2729" s="111">
        <f ca="1">IFERROR(__xludf.DUMMYFUNCTION("""COMPUTED_VALUE"""),37.74)</f>
        <v>37.74</v>
      </c>
    </row>
    <row r="2730" spans="1:20" x14ac:dyDescent="0.3">
      <c r="A2730" s="112">
        <f ca="1">IFERROR(__xludf.DUMMYFUNCTION("""COMPUTED_VALUE"""),44294.7055555555)</f>
        <v>44294.705555555498</v>
      </c>
      <c r="B2730" s="111">
        <f ca="1">IFERROR(__xludf.DUMMYFUNCTION("""COMPUTED_VALUE"""),35.61)</f>
        <v>35.61</v>
      </c>
      <c r="C2730" s="112">
        <f ca="1">IFERROR(__xludf.DUMMYFUNCTION("""COMPUTED_VALUE"""),44305.7055555555)</f>
        <v>44305.705555555498</v>
      </c>
      <c r="D2730" s="111">
        <f ca="1">IFERROR(__xludf.DUMMYFUNCTION("""COMPUTED_VALUE"""),27.53)</f>
        <v>27.53</v>
      </c>
      <c r="E2730" s="112">
        <f ca="1">IFERROR(__xludf.DUMMYFUNCTION("""COMPUTED_VALUE"""),44306.7055555555)</f>
        <v>44306.705555555498</v>
      </c>
      <c r="F2730" s="111">
        <f ca="1">IFERROR(__xludf.DUMMYFUNCTION("""COMPUTED_VALUE"""),9.73)</f>
        <v>9.73</v>
      </c>
      <c r="G2730" s="112">
        <f ca="1">IFERROR(__xludf.DUMMYFUNCTION("""COMPUTED_VALUE"""),44302.7055555555)</f>
        <v>44302.705555555498</v>
      </c>
      <c r="H2730" s="111">
        <f ca="1">IFERROR(__xludf.DUMMYFUNCTION("""COMPUTED_VALUE"""),22.95)</f>
        <v>22.95</v>
      </c>
      <c r="K2730" s="112">
        <f ca="1">IFERROR(__xludf.DUMMYFUNCTION("""COMPUTED_VALUE"""),44748.7055555555)</f>
        <v>44748.705555555498</v>
      </c>
      <c r="L2730" s="111">
        <f ca="1">IFERROR(__xludf.DUMMYFUNCTION("""COMPUTED_VALUE"""),2.5)</f>
        <v>2.5</v>
      </c>
      <c r="M2730" s="112">
        <f ca="1">IFERROR(__xludf.DUMMYFUNCTION("""COMPUTED_VALUE"""),44209.7055555555)</f>
        <v>44209.705555555498</v>
      </c>
      <c r="N2730" s="111">
        <f ca="1">IFERROR(__xludf.DUMMYFUNCTION("""COMPUTED_VALUE"""),24.25)</f>
        <v>24.25</v>
      </c>
      <c r="O2730" s="112">
        <f ca="1">IFERROR(__xludf.DUMMYFUNCTION("""COMPUTED_VALUE"""),44286.7055555555)</f>
        <v>44286.705555555498</v>
      </c>
      <c r="P2730" s="111">
        <f ca="1">IFERROR(__xludf.DUMMYFUNCTION("""COMPUTED_VALUE"""),97.97)</f>
        <v>97.97</v>
      </c>
      <c r="Q2730" s="112">
        <f ca="1">IFERROR(__xludf.DUMMYFUNCTION("""COMPUTED_VALUE"""),44285.7055555555)</f>
        <v>44285.705555555498</v>
      </c>
      <c r="R2730" s="111">
        <f ca="1">IFERROR(__xludf.DUMMYFUNCTION("""COMPUTED_VALUE"""),30.72)</f>
        <v>30.72</v>
      </c>
      <c r="S2730" s="112">
        <f ca="1">IFERROR(__xludf.DUMMYFUNCTION("""COMPUTED_VALUE"""),44300.7055555555)</f>
        <v>44300.705555555498</v>
      </c>
      <c r="T2730" s="111">
        <f ca="1">IFERROR(__xludf.DUMMYFUNCTION("""COMPUTED_VALUE"""),37.72)</f>
        <v>37.72</v>
      </c>
    </row>
    <row r="2731" spans="1:20" x14ac:dyDescent="0.3">
      <c r="A2731" s="112">
        <f ca="1">IFERROR(__xludf.DUMMYFUNCTION("""COMPUTED_VALUE"""),44295.7055555555)</f>
        <v>44295.705555555498</v>
      </c>
      <c r="B2731" s="111">
        <f ca="1">IFERROR(__xludf.DUMMYFUNCTION("""COMPUTED_VALUE"""),35.07)</f>
        <v>35.07</v>
      </c>
      <c r="C2731" s="112">
        <f ca="1">IFERROR(__xludf.DUMMYFUNCTION("""COMPUTED_VALUE"""),44306.7055555555)</f>
        <v>44306.705555555498</v>
      </c>
      <c r="D2731" s="111">
        <f ca="1">IFERROR(__xludf.DUMMYFUNCTION("""COMPUTED_VALUE"""),27.39)</f>
        <v>27.39</v>
      </c>
      <c r="E2731" s="112">
        <f ca="1">IFERROR(__xludf.DUMMYFUNCTION("""COMPUTED_VALUE"""),44308.7055555555)</f>
        <v>44308.705555555498</v>
      </c>
      <c r="F2731" s="111">
        <f ca="1">IFERROR(__xludf.DUMMYFUNCTION("""COMPUTED_VALUE"""),9.73)</f>
        <v>9.73</v>
      </c>
      <c r="G2731" s="112">
        <f ca="1">IFERROR(__xludf.DUMMYFUNCTION("""COMPUTED_VALUE"""),44305.7055555555)</f>
        <v>44305.705555555498</v>
      </c>
      <c r="H2731" s="111">
        <f ca="1">IFERROR(__xludf.DUMMYFUNCTION("""COMPUTED_VALUE"""),24.28)</f>
        <v>24.28</v>
      </c>
      <c r="K2731" s="112">
        <f ca="1">IFERROR(__xludf.DUMMYFUNCTION("""COMPUTED_VALUE"""),44749.7055555555)</f>
        <v>44749.705555555498</v>
      </c>
      <c r="L2731" s="111">
        <f ca="1">IFERROR(__xludf.DUMMYFUNCTION("""COMPUTED_VALUE"""),2.56)</f>
        <v>2.56</v>
      </c>
      <c r="M2731" s="112">
        <f ca="1">IFERROR(__xludf.DUMMYFUNCTION("""COMPUTED_VALUE"""),44210.7055555555)</f>
        <v>44210.705555555498</v>
      </c>
      <c r="N2731" s="111">
        <f ca="1">IFERROR(__xludf.DUMMYFUNCTION("""COMPUTED_VALUE"""),25)</f>
        <v>25</v>
      </c>
      <c r="O2731" s="112">
        <f ca="1">IFERROR(__xludf.DUMMYFUNCTION("""COMPUTED_VALUE"""),44287.7055555555)</f>
        <v>44287.705555555498</v>
      </c>
      <c r="P2731" s="111">
        <f ca="1">IFERROR(__xludf.DUMMYFUNCTION("""COMPUTED_VALUE"""),97.39)</f>
        <v>97.39</v>
      </c>
      <c r="Q2731" s="112">
        <f ca="1">IFERROR(__xludf.DUMMYFUNCTION("""COMPUTED_VALUE"""),44286.7055555555)</f>
        <v>44286.705555555498</v>
      </c>
      <c r="R2731" s="111">
        <f ca="1">IFERROR(__xludf.DUMMYFUNCTION("""COMPUTED_VALUE"""),30.45)</f>
        <v>30.45</v>
      </c>
      <c r="S2731" s="112">
        <f ca="1">IFERROR(__xludf.DUMMYFUNCTION("""COMPUTED_VALUE"""),44301.7055555555)</f>
        <v>44301.705555555498</v>
      </c>
      <c r="T2731" s="111">
        <f ca="1">IFERROR(__xludf.DUMMYFUNCTION("""COMPUTED_VALUE"""),38.1)</f>
        <v>38.1</v>
      </c>
    </row>
    <row r="2732" spans="1:20" x14ac:dyDescent="0.3">
      <c r="A2732" s="112">
        <f ca="1">IFERROR(__xludf.DUMMYFUNCTION("""COMPUTED_VALUE"""),44298.8125)</f>
        <v>44298.8125</v>
      </c>
      <c r="B2732" s="111">
        <f ca="1">IFERROR(__xludf.DUMMYFUNCTION("""COMPUTED_VALUE"""),34.37)</f>
        <v>34.369999999999997</v>
      </c>
      <c r="C2732" s="112">
        <f ca="1">IFERROR(__xludf.DUMMYFUNCTION("""COMPUTED_VALUE"""),44308.7055555555)</f>
        <v>44308.705555555498</v>
      </c>
      <c r="D2732" s="111">
        <f ca="1">IFERROR(__xludf.DUMMYFUNCTION("""COMPUTED_VALUE"""),27.4)</f>
        <v>27.4</v>
      </c>
      <c r="E2732" s="112">
        <f ca="1">IFERROR(__xludf.DUMMYFUNCTION("""COMPUTED_VALUE"""),44309.7055555555)</f>
        <v>44309.705555555498</v>
      </c>
      <c r="F2732" s="111">
        <f ca="1">IFERROR(__xludf.DUMMYFUNCTION("""COMPUTED_VALUE"""),9.83)</f>
        <v>9.83</v>
      </c>
      <c r="G2732" s="112">
        <f ca="1">IFERROR(__xludf.DUMMYFUNCTION("""COMPUTED_VALUE"""),44306.7055555555)</f>
        <v>44306.705555555498</v>
      </c>
      <c r="H2732" s="111">
        <f ca="1">IFERROR(__xludf.DUMMYFUNCTION("""COMPUTED_VALUE"""),23.82)</f>
        <v>23.82</v>
      </c>
      <c r="K2732" s="112">
        <f ca="1">IFERROR(__xludf.DUMMYFUNCTION("""COMPUTED_VALUE"""),44750.7055555555)</f>
        <v>44750.705555555498</v>
      </c>
      <c r="L2732" s="111">
        <f ca="1">IFERROR(__xludf.DUMMYFUNCTION("""COMPUTED_VALUE"""),2.62)</f>
        <v>2.62</v>
      </c>
      <c r="M2732" s="112">
        <f ca="1">IFERROR(__xludf.DUMMYFUNCTION("""COMPUTED_VALUE"""),44211.7055555555)</f>
        <v>44211.705555555498</v>
      </c>
      <c r="N2732" s="111">
        <f ca="1">IFERROR(__xludf.DUMMYFUNCTION("""COMPUTED_VALUE"""),24.31)</f>
        <v>24.31</v>
      </c>
      <c r="O2732" s="112">
        <f ca="1">IFERROR(__xludf.DUMMYFUNCTION("""COMPUTED_VALUE"""),44291.7055555555)</f>
        <v>44291.705555555498</v>
      </c>
      <c r="P2732" s="111">
        <f ca="1">IFERROR(__xludf.DUMMYFUNCTION("""COMPUTED_VALUE"""),103.39)</f>
        <v>103.39</v>
      </c>
      <c r="Q2732" s="112">
        <f ca="1">IFERROR(__xludf.DUMMYFUNCTION("""COMPUTED_VALUE"""),44287.7055555555)</f>
        <v>44287.705555555498</v>
      </c>
      <c r="R2732" s="111">
        <f ca="1">IFERROR(__xludf.DUMMYFUNCTION("""COMPUTED_VALUE"""),29.95)</f>
        <v>29.95</v>
      </c>
      <c r="S2732" s="112">
        <f ca="1">IFERROR(__xludf.DUMMYFUNCTION("""COMPUTED_VALUE"""),44302.7055555555)</f>
        <v>44302.705555555498</v>
      </c>
      <c r="T2732" s="111">
        <f ca="1">IFERROR(__xludf.DUMMYFUNCTION("""COMPUTED_VALUE"""),42.64)</f>
        <v>42.64</v>
      </c>
    </row>
    <row r="2733" spans="1:20" x14ac:dyDescent="0.3">
      <c r="A2733" s="112">
        <f ca="1">IFERROR(__xludf.DUMMYFUNCTION("""COMPUTED_VALUE"""),44299.7055555555)</f>
        <v>44299.705555555498</v>
      </c>
      <c r="B2733" s="111">
        <f ca="1">IFERROR(__xludf.DUMMYFUNCTION("""COMPUTED_VALUE"""),34.39)</f>
        <v>34.39</v>
      </c>
      <c r="C2733" s="112">
        <f ca="1">IFERROR(__xludf.DUMMYFUNCTION("""COMPUTED_VALUE"""),44309.7055555555)</f>
        <v>44309.705555555498</v>
      </c>
      <c r="D2733" s="111">
        <f ca="1">IFERROR(__xludf.DUMMYFUNCTION("""COMPUTED_VALUE"""),27.53)</f>
        <v>27.53</v>
      </c>
      <c r="E2733" s="112">
        <f ca="1">IFERROR(__xludf.DUMMYFUNCTION("""COMPUTED_VALUE"""),44312.7055555555)</f>
        <v>44312.705555555498</v>
      </c>
      <c r="F2733" s="111">
        <f ca="1">IFERROR(__xludf.DUMMYFUNCTION("""COMPUTED_VALUE"""),9.78)</f>
        <v>9.7799999999999994</v>
      </c>
      <c r="G2733" s="112">
        <f ca="1">IFERROR(__xludf.DUMMYFUNCTION("""COMPUTED_VALUE"""),44308.7055555555)</f>
        <v>44308.705555555498</v>
      </c>
      <c r="H2733" s="111">
        <f ca="1">IFERROR(__xludf.DUMMYFUNCTION("""COMPUTED_VALUE"""),23.71)</f>
        <v>23.71</v>
      </c>
      <c r="K2733" s="112">
        <f ca="1">IFERROR(__xludf.DUMMYFUNCTION("""COMPUTED_VALUE"""),44753.7055555555)</f>
        <v>44753.705555555498</v>
      </c>
      <c r="L2733" s="111">
        <f ca="1">IFERROR(__xludf.DUMMYFUNCTION("""COMPUTED_VALUE"""),2.63)</f>
        <v>2.63</v>
      </c>
      <c r="M2733" s="112">
        <f ca="1">IFERROR(__xludf.DUMMYFUNCTION("""COMPUTED_VALUE"""),44214.7055555555)</f>
        <v>44214.705555555498</v>
      </c>
      <c r="N2733" s="111">
        <f ca="1">IFERROR(__xludf.DUMMYFUNCTION("""COMPUTED_VALUE"""),24.39)</f>
        <v>24.39</v>
      </c>
      <c r="O2733" s="112">
        <f ca="1">IFERROR(__xludf.DUMMYFUNCTION("""COMPUTED_VALUE"""),44292.7055555555)</f>
        <v>44292.705555555498</v>
      </c>
      <c r="P2733" s="111">
        <f ca="1">IFERROR(__xludf.DUMMYFUNCTION("""COMPUTED_VALUE"""),102.05)</f>
        <v>102.05</v>
      </c>
      <c r="Q2733" s="112">
        <f ca="1">IFERROR(__xludf.DUMMYFUNCTION("""COMPUTED_VALUE"""),44291.7055555555)</f>
        <v>44291.705555555498</v>
      </c>
      <c r="R2733" s="111">
        <f ca="1">IFERROR(__xludf.DUMMYFUNCTION("""COMPUTED_VALUE"""),29.91)</f>
        <v>29.91</v>
      </c>
      <c r="S2733" s="112">
        <f ca="1">IFERROR(__xludf.DUMMYFUNCTION("""COMPUTED_VALUE"""),44305.7055555555)</f>
        <v>44305.705555555498</v>
      </c>
      <c r="T2733" s="111">
        <f ca="1">IFERROR(__xludf.DUMMYFUNCTION("""COMPUTED_VALUE"""),41.12)</f>
        <v>41.12</v>
      </c>
    </row>
    <row r="2734" spans="1:20" x14ac:dyDescent="0.3">
      <c r="A2734" s="112">
        <f ca="1">IFERROR(__xludf.DUMMYFUNCTION("""COMPUTED_VALUE"""),44300.7055555555)</f>
        <v>44300.705555555498</v>
      </c>
      <c r="B2734" s="111">
        <f ca="1">IFERROR(__xludf.DUMMYFUNCTION("""COMPUTED_VALUE"""),34.01)</f>
        <v>34.01</v>
      </c>
      <c r="C2734" s="112">
        <f ca="1">IFERROR(__xludf.DUMMYFUNCTION("""COMPUTED_VALUE"""),44312.7055555555)</f>
        <v>44312.705555555498</v>
      </c>
      <c r="D2734" s="111">
        <f ca="1">IFERROR(__xludf.DUMMYFUNCTION("""COMPUTED_VALUE"""),27.51)</f>
        <v>27.51</v>
      </c>
      <c r="E2734" s="112">
        <f ca="1">IFERROR(__xludf.DUMMYFUNCTION("""COMPUTED_VALUE"""),44313.7055555555)</f>
        <v>44313.705555555498</v>
      </c>
      <c r="F2734" s="111">
        <f ca="1">IFERROR(__xludf.DUMMYFUNCTION("""COMPUTED_VALUE"""),9.57)</f>
        <v>9.57</v>
      </c>
      <c r="G2734" s="112">
        <f ca="1">IFERROR(__xludf.DUMMYFUNCTION("""COMPUTED_VALUE"""),44309.7055555555)</f>
        <v>44309.705555555498</v>
      </c>
      <c r="H2734" s="111">
        <f ca="1">IFERROR(__xludf.DUMMYFUNCTION("""COMPUTED_VALUE"""),23.69)</f>
        <v>23.69</v>
      </c>
      <c r="K2734" s="112">
        <f ca="1">IFERROR(__xludf.DUMMYFUNCTION("""COMPUTED_VALUE"""),44754.7055555555)</f>
        <v>44754.705555555498</v>
      </c>
      <c r="L2734" s="111">
        <f ca="1">IFERROR(__xludf.DUMMYFUNCTION("""COMPUTED_VALUE"""),2.93)</f>
        <v>2.93</v>
      </c>
      <c r="M2734" s="112">
        <f ca="1">IFERROR(__xludf.DUMMYFUNCTION("""COMPUTED_VALUE"""),44215.7055555555)</f>
        <v>44215.705555555498</v>
      </c>
      <c r="N2734" s="111">
        <f ca="1">IFERROR(__xludf.DUMMYFUNCTION("""COMPUTED_VALUE"""),24)</f>
        <v>24</v>
      </c>
      <c r="O2734" s="112">
        <f ca="1">IFERROR(__xludf.DUMMYFUNCTION("""COMPUTED_VALUE"""),44293.7055555555)</f>
        <v>44293.705555555498</v>
      </c>
      <c r="P2734" s="111">
        <f ca="1">IFERROR(__xludf.DUMMYFUNCTION("""COMPUTED_VALUE"""),104.56)</f>
        <v>104.56</v>
      </c>
      <c r="Q2734" s="112">
        <f ca="1">IFERROR(__xludf.DUMMYFUNCTION("""COMPUTED_VALUE"""),44292.7055555555)</f>
        <v>44292.705555555498</v>
      </c>
      <c r="R2734" s="111">
        <f ca="1">IFERROR(__xludf.DUMMYFUNCTION("""COMPUTED_VALUE"""),29.55)</f>
        <v>29.55</v>
      </c>
      <c r="S2734" s="112">
        <f ca="1">IFERROR(__xludf.DUMMYFUNCTION("""COMPUTED_VALUE"""),44306.7055555555)</f>
        <v>44306.705555555498</v>
      </c>
      <c r="T2734" s="111">
        <f ca="1">IFERROR(__xludf.DUMMYFUNCTION("""COMPUTED_VALUE"""),39.45)</f>
        <v>39.450000000000003</v>
      </c>
    </row>
    <row r="2735" spans="1:20" x14ac:dyDescent="0.3">
      <c r="A2735" s="112">
        <f ca="1">IFERROR(__xludf.DUMMYFUNCTION("""COMPUTED_VALUE"""),44301.7055555555)</f>
        <v>44301.705555555498</v>
      </c>
      <c r="B2735" s="111">
        <f ca="1">IFERROR(__xludf.DUMMYFUNCTION("""COMPUTED_VALUE"""),33.83)</f>
        <v>33.83</v>
      </c>
      <c r="C2735" s="112">
        <f ca="1">IFERROR(__xludf.DUMMYFUNCTION("""COMPUTED_VALUE"""),44313.7055555555)</f>
        <v>44313.705555555498</v>
      </c>
      <c r="D2735" s="111">
        <f ca="1">IFERROR(__xludf.DUMMYFUNCTION("""COMPUTED_VALUE"""),27.09)</f>
        <v>27.09</v>
      </c>
      <c r="E2735" s="112">
        <f ca="1">IFERROR(__xludf.DUMMYFUNCTION("""COMPUTED_VALUE"""),44314.7055555555)</f>
        <v>44314.705555555498</v>
      </c>
      <c r="F2735" s="111">
        <f ca="1">IFERROR(__xludf.DUMMYFUNCTION("""COMPUTED_VALUE"""),9.9)</f>
        <v>9.9</v>
      </c>
      <c r="G2735" s="112">
        <f ca="1">IFERROR(__xludf.DUMMYFUNCTION("""COMPUTED_VALUE"""),44312.7055555555)</f>
        <v>44312.705555555498</v>
      </c>
      <c r="H2735" s="111">
        <f ca="1">IFERROR(__xludf.DUMMYFUNCTION("""COMPUTED_VALUE"""),23.78)</f>
        <v>23.78</v>
      </c>
      <c r="K2735" s="112">
        <f ca="1">IFERROR(__xludf.DUMMYFUNCTION("""COMPUTED_VALUE"""),44755.7055555555)</f>
        <v>44755.705555555498</v>
      </c>
      <c r="L2735" s="111">
        <f ca="1">IFERROR(__xludf.DUMMYFUNCTION("""COMPUTED_VALUE"""),2.83)</f>
        <v>2.83</v>
      </c>
      <c r="M2735" s="112">
        <f ca="1">IFERROR(__xludf.DUMMYFUNCTION("""COMPUTED_VALUE"""),44216.7055555555)</f>
        <v>44216.705555555498</v>
      </c>
      <c r="N2735" s="111">
        <f ca="1">IFERROR(__xludf.DUMMYFUNCTION("""COMPUTED_VALUE"""),23.5)</f>
        <v>23.5</v>
      </c>
      <c r="O2735" s="112">
        <f ca="1">IFERROR(__xludf.DUMMYFUNCTION("""COMPUTED_VALUE"""),44294.7055555555)</f>
        <v>44294.705555555498</v>
      </c>
      <c r="P2735" s="111">
        <f ca="1">IFERROR(__xludf.DUMMYFUNCTION("""COMPUTED_VALUE"""),104.5)</f>
        <v>104.5</v>
      </c>
      <c r="Q2735" s="112">
        <f ca="1">IFERROR(__xludf.DUMMYFUNCTION("""COMPUTED_VALUE"""),44293.7055555555)</f>
        <v>44293.705555555498</v>
      </c>
      <c r="R2735" s="111">
        <f ca="1">IFERROR(__xludf.DUMMYFUNCTION("""COMPUTED_VALUE"""),29.36)</f>
        <v>29.36</v>
      </c>
      <c r="S2735" s="112">
        <f ca="1">IFERROR(__xludf.DUMMYFUNCTION("""COMPUTED_VALUE"""),44308.7055555555)</f>
        <v>44308.705555555498</v>
      </c>
      <c r="T2735" s="111">
        <f ca="1">IFERROR(__xludf.DUMMYFUNCTION("""COMPUTED_VALUE"""),37.09)</f>
        <v>37.090000000000003</v>
      </c>
    </row>
    <row r="2736" spans="1:20" x14ac:dyDescent="0.3">
      <c r="A2736" s="112">
        <f ca="1">IFERROR(__xludf.DUMMYFUNCTION("""COMPUTED_VALUE"""),44302.7055555555)</f>
        <v>44302.705555555498</v>
      </c>
      <c r="B2736" s="111">
        <f ca="1">IFERROR(__xludf.DUMMYFUNCTION("""COMPUTED_VALUE"""),35.17)</f>
        <v>35.17</v>
      </c>
      <c r="C2736" s="112">
        <f ca="1">IFERROR(__xludf.DUMMYFUNCTION("""COMPUTED_VALUE"""),44314.7055555555)</f>
        <v>44314.705555555498</v>
      </c>
      <c r="D2736" s="111">
        <f ca="1">IFERROR(__xludf.DUMMYFUNCTION("""COMPUTED_VALUE"""),28.21)</f>
        <v>28.21</v>
      </c>
      <c r="E2736" s="112">
        <f ca="1">IFERROR(__xludf.DUMMYFUNCTION("""COMPUTED_VALUE"""),44315.7055555555)</f>
        <v>44315.705555555498</v>
      </c>
      <c r="F2736" s="111">
        <f ca="1">IFERROR(__xludf.DUMMYFUNCTION("""COMPUTED_VALUE"""),9.68)</f>
        <v>9.68</v>
      </c>
      <c r="G2736" s="112">
        <f ca="1">IFERROR(__xludf.DUMMYFUNCTION("""COMPUTED_VALUE"""),44313.7055555555)</f>
        <v>44313.705555555498</v>
      </c>
      <c r="H2736" s="111">
        <f ca="1">IFERROR(__xludf.DUMMYFUNCTION("""COMPUTED_VALUE"""),23.1)</f>
        <v>23.1</v>
      </c>
      <c r="K2736" s="112">
        <f ca="1">IFERROR(__xludf.DUMMYFUNCTION("""COMPUTED_VALUE"""),44756.7055555555)</f>
        <v>44756.705555555498</v>
      </c>
      <c r="L2736" s="111">
        <f ca="1">IFERROR(__xludf.DUMMYFUNCTION("""COMPUTED_VALUE"""),2.91)</f>
        <v>2.91</v>
      </c>
      <c r="M2736" s="112">
        <f ca="1">IFERROR(__xludf.DUMMYFUNCTION("""COMPUTED_VALUE"""),44217.7055555555)</f>
        <v>44217.705555555498</v>
      </c>
      <c r="N2736" s="111">
        <f ca="1">IFERROR(__xludf.DUMMYFUNCTION("""COMPUTED_VALUE"""),23.16)</f>
        <v>23.16</v>
      </c>
      <c r="O2736" s="112">
        <f ca="1">IFERROR(__xludf.DUMMYFUNCTION("""COMPUTED_VALUE"""),44295.7055555555)</f>
        <v>44295.705555555498</v>
      </c>
      <c r="P2736" s="111">
        <f ca="1">IFERROR(__xludf.DUMMYFUNCTION("""COMPUTED_VALUE"""),103)</f>
        <v>103</v>
      </c>
      <c r="Q2736" s="112">
        <f ca="1">IFERROR(__xludf.DUMMYFUNCTION("""COMPUTED_VALUE"""),44294.7055555555)</f>
        <v>44294.705555555498</v>
      </c>
      <c r="R2736" s="111">
        <f ca="1">IFERROR(__xludf.DUMMYFUNCTION("""COMPUTED_VALUE"""),29.11)</f>
        <v>29.11</v>
      </c>
      <c r="S2736" s="112">
        <f ca="1">IFERROR(__xludf.DUMMYFUNCTION("""COMPUTED_VALUE"""),44309.7055555555)</f>
        <v>44309.705555555498</v>
      </c>
      <c r="T2736" s="111">
        <f ca="1">IFERROR(__xludf.DUMMYFUNCTION("""COMPUTED_VALUE"""),37.11)</f>
        <v>37.11</v>
      </c>
    </row>
    <row r="2737" spans="1:20" x14ac:dyDescent="0.3">
      <c r="A2737" s="112">
        <f ca="1">IFERROR(__xludf.DUMMYFUNCTION("""COMPUTED_VALUE"""),44305.7055555555)</f>
        <v>44305.705555555498</v>
      </c>
      <c r="B2737" s="111">
        <f ca="1">IFERROR(__xludf.DUMMYFUNCTION("""COMPUTED_VALUE"""),34.67)</f>
        <v>34.67</v>
      </c>
      <c r="C2737" s="112">
        <f ca="1">IFERROR(__xludf.DUMMYFUNCTION("""COMPUTED_VALUE"""),44315.7055555555)</f>
        <v>44315.705555555498</v>
      </c>
      <c r="D2737" s="111">
        <f ca="1">IFERROR(__xludf.DUMMYFUNCTION("""COMPUTED_VALUE"""),27.32)</f>
        <v>27.32</v>
      </c>
      <c r="E2737" s="112">
        <f ca="1">IFERROR(__xludf.DUMMYFUNCTION("""COMPUTED_VALUE"""),44316.7055555555)</f>
        <v>44316.705555555498</v>
      </c>
      <c r="F2737" s="111">
        <f ca="1">IFERROR(__xludf.DUMMYFUNCTION("""COMPUTED_VALUE"""),9.58)</f>
        <v>9.58</v>
      </c>
      <c r="G2737" s="112">
        <f ca="1">IFERROR(__xludf.DUMMYFUNCTION("""COMPUTED_VALUE"""),44314.7055555555)</f>
        <v>44314.705555555498</v>
      </c>
      <c r="H2737" s="111">
        <f ca="1">IFERROR(__xludf.DUMMYFUNCTION("""COMPUTED_VALUE"""),23.94)</f>
        <v>23.94</v>
      </c>
      <c r="K2737" s="112">
        <f ca="1">IFERROR(__xludf.DUMMYFUNCTION("""COMPUTED_VALUE"""),44757.7055555555)</f>
        <v>44757.705555555498</v>
      </c>
      <c r="L2737" s="111">
        <f ca="1">IFERROR(__xludf.DUMMYFUNCTION("""COMPUTED_VALUE"""),2.78)</f>
        <v>2.78</v>
      </c>
      <c r="M2737" s="112">
        <f ca="1">IFERROR(__xludf.DUMMYFUNCTION("""COMPUTED_VALUE"""),44218.7055555555)</f>
        <v>44218.705555555498</v>
      </c>
      <c r="N2737" s="111">
        <f ca="1">IFERROR(__xludf.DUMMYFUNCTION("""COMPUTED_VALUE"""),22.74)</f>
        <v>22.74</v>
      </c>
      <c r="O2737" s="112">
        <f ca="1">IFERROR(__xludf.DUMMYFUNCTION("""COMPUTED_VALUE"""),44298.8125)</f>
        <v>44298.8125</v>
      </c>
      <c r="P2737" s="111">
        <f ca="1">IFERROR(__xludf.DUMMYFUNCTION("""COMPUTED_VALUE"""),103.4)</f>
        <v>103.4</v>
      </c>
      <c r="Q2737" s="112">
        <f ca="1">IFERROR(__xludf.DUMMYFUNCTION("""COMPUTED_VALUE"""),44295.7055555555)</f>
        <v>44295.705555555498</v>
      </c>
      <c r="R2737" s="111">
        <f ca="1">IFERROR(__xludf.DUMMYFUNCTION("""COMPUTED_VALUE"""),29.19)</f>
        <v>29.19</v>
      </c>
      <c r="S2737" s="112">
        <f ca="1">IFERROR(__xludf.DUMMYFUNCTION("""COMPUTED_VALUE"""),44312.7055555555)</f>
        <v>44312.705555555498</v>
      </c>
      <c r="T2737" s="111">
        <f ca="1">IFERROR(__xludf.DUMMYFUNCTION("""COMPUTED_VALUE"""),37.69)</f>
        <v>37.69</v>
      </c>
    </row>
    <row r="2738" spans="1:20" x14ac:dyDescent="0.3">
      <c r="A2738" s="112">
        <f ca="1">IFERROR(__xludf.DUMMYFUNCTION("""COMPUTED_VALUE"""),44306.7055555555)</f>
        <v>44306.705555555498</v>
      </c>
      <c r="B2738" s="111">
        <f ca="1">IFERROR(__xludf.DUMMYFUNCTION("""COMPUTED_VALUE"""),34.86)</f>
        <v>34.86</v>
      </c>
      <c r="C2738" s="112">
        <f ca="1">IFERROR(__xludf.DUMMYFUNCTION("""COMPUTED_VALUE"""),44316.7055555555)</f>
        <v>44316.705555555498</v>
      </c>
      <c r="D2738" s="111">
        <f ca="1">IFERROR(__xludf.DUMMYFUNCTION("""COMPUTED_VALUE"""),27.53)</f>
        <v>27.53</v>
      </c>
      <c r="E2738" s="112">
        <f ca="1">IFERROR(__xludf.DUMMYFUNCTION("""COMPUTED_VALUE"""),44319.7055555555)</f>
        <v>44319.705555555498</v>
      </c>
      <c r="F2738" s="111">
        <f ca="1">IFERROR(__xludf.DUMMYFUNCTION("""COMPUTED_VALUE"""),9.7)</f>
        <v>9.6999999999999993</v>
      </c>
      <c r="G2738" s="112">
        <f ca="1">IFERROR(__xludf.DUMMYFUNCTION("""COMPUTED_VALUE"""),44315.7055555555)</f>
        <v>44315.705555555498</v>
      </c>
      <c r="H2738" s="111">
        <f ca="1">IFERROR(__xludf.DUMMYFUNCTION("""COMPUTED_VALUE"""),23.62)</f>
        <v>23.62</v>
      </c>
      <c r="K2738" s="112">
        <f ca="1">IFERROR(__xludf.DUMMYFUNCTION("""COMPUTED_VALUE"""),44760.7055555555)</f>
        <v>44760.705555555498</v>
      </c>
      <c r="L2738" s="111">
        <f ca="1">IFERROR(__xludf.DUMMYFUNCTION("""COMPUTED_VALUE"""),2.77)</f>
        <v>2.77</v>
      </c>
      <c r="M2738" s="112">
        <f ca="1">IFERROR(__xludf.DUMMYFUNCTION("""COMPUTED_VALUE"""),44222.7055555555)</f>
        <v>44222.705555555498</v>
      </c>
      <c r="N2738" s="111">
        <f ca="1">IFERROR(__xludf.DUMMYFUNCTION("""COMPUTED_VALUE"""),22.19)</f>
        <v>22.19</v>
      </c>
      <c r="O2738" s="112">
        <f ca="1">IFERROR(__xludf.DUMMYFUNCTION("""COMPUTED_VALUE"""),44299.7055555555)</f>
        <v>44299.705555555498</v>
      </c>
      <c r="P2738" s="111">
        <f ca="1">IFERROR(__xludf.DUMMYFUNCTION("""COMPUTED_VALUE"""),103.58)</f>
        <v>103.58</v>
      </c>
      <c r="Q2738" s="112">
        <f ca="1">IFERROR(__xludf.DUMMYFUNCTION("""COMPUTED_VALUE"""),44298.8125)</f>
        <v>44298.8125</v>
      </c>
      <c r="R2738" s="111">
        <f ca="1">IFERROR(__xludf.DUMMYFUNCTION("""COMPUTED_VALUE"""),29.55)</f>
        <v>29.55</v>
      </c>
      <c r="S2738" s="112">
        <f ca="1">IFERROR(__xludf.DUMMYFUNCTION("""COMPUTED_VALUE"""),44313.7055555555)</f>
        <v>44313.705555555498</v>
      </c>
      <c r="T2738" s="111">
        <f ca="1">IFERROR(__xludf.DUMMYFUNCTION("""COMPUTED_VALUE"""),36.73)</f>
        <v>36.729999999999997</v>
      </c>
    </row>
    <row r="2739" spans="1:20" x14ac:dyDescent="0.3">
      <c r="A2739" s="112">
        <f ca="1">IFERROR(__xludf.DUMMYFUNCTION("""COMPUTED_VALUE"""),44308.7055555555)</f>
        <v>44308.705555555498</v>
      </c>
      <c r="B2739" s="111">
        <f ca="1">IFERROR(__xludf.DUMMYFUNCTION("""COMPUTED_VALUE"""),35.34)</f>
        <v>35.340000000000003</v>
      </c>
      <c r="C2739" s="112">
        <f ca="1">IFERROR(__xludf.DUMMYFUNCTION("""COMPUTED_VALUE"""),44319.7055555555)</f>
        <v>44319.705555555498</v>
      </c>
      <c r="D2739" s="111">
        <f ca="1">IFERROR(__xludf.DUMMYFUNCTION("""COMPUTED_VALUE"""),27.9)</f>
        <v>27.9</v>
      </c>
      <c r="E2739" s="112">
        <f ca="1">IFERROR(__xludf.DUMMYFUNCTION("""COMPUTED_VALUE"""),44320.7055555555)</f>
        <v>44320.705555555498</v>
      </c>
      <c r="F2739" s="111">
        <f ca="1">IFERROR(__xludf.DUMMYFUNCTION("""COMPUTED_VALUE"""),9.45)</f>
        <v>9.4499999999999993</v>
      </c>
      <c r="G2739" s="112">
        <f ca="1">IFERROR(__xludf.DUMMYFUNCTION("""COMPUTED_VALUE"""),44316.7055555555)</f>
        <v>44316.705555555498</v>
      </c>
      <c r="H2739" s="111">
        <f ca="1">IFERROR(__xludf.DUMMYFUNCTION("""COMPUTED_VALUE"""),23.62)</f>
        <v>23.62</v>
      </c>
      <c r="K2739" s="112">
        <f ca="1">IFERROR(__xludf.DUMMYFUNCTION("""COMPUTED_VALUE"""),44761.7055555555)</f>
        <v>44761.705555555498</v>
      </c>
      <c r="L2739" s="111">
        <f ca="1">IFERROR(__xludf.DUMMYFUNCTION("""COMPUTED_VALUE"""),2.79)</f>
        <v>2.79</v>
      </c>
      <c r="M2739" s="112">
        <f ca="1">IFERROR(__xludf.DUMMYFUNCTION("""COMPUTED_VALUE"""),44223.7055555555)</f>
        <v>44223.705555555498</v>
      </c>
      <c r="N2739" s="111">
        <f ca="1">IFERROR(__xludf.DUMMYFUNCTION("""COMPUTED_VALUE"""),22.51)</f>
        <v>22.51</v>
      </c>
      <c r="O2739" s="112">
        <f ca="1">IFERROR(__xludf.DUMMYFUNCTION("""COMPUTED_VALUE"""),44300.7055555555)</f>
        <v>44300.705555555498</v>
      </c>
      <c r="P2739" s="111">
        <f ca="1">IFERROR(__xludf.DUMMYFUNCTION("""COMPUTED_VALUE"""),107)</f>
        <v>107</v>
      </c>
      <c r="Q2739" s="112">
        <f ca="1">IFERROR(__xludf.DUMMYFUNCTION("""COMPUTED_VALUE"""),44299.7055555555)</f>
        <v>44299.705555555498</v>
      </c>
      <c r="R2739" s="111">
        <f ca="1">IFERROR(__xludf.DUMMYFUNCTION("""COMPUTED_VALUE"""),29.55)</f>
        <v>29.55</v>
      </c>
      <c r="S2739" s="112">
        <f ca="1">IFERROR(__xludf.DUMMYFUNCTION("""COMPUTED_VALUE"""),44314.7055555555)</f>
        <v>44314.705555555498</v>
      </c>
      <c r="T2739" s="111">
        <f ca="1">IFERROR(__xludf.DUMMYFUNCTION("""COMPUTED_VALUE"""),36.36)</f>
        <v>36.36</v>
      </c>
    </row>
    <row r="2740" spans="1:20" x14ac:dyDescent="0.3">
      <c r="A2740" s="112">
        <f ca="1">IFERROR(__xludf.DUMMYFUNCTION("""COMPUTED_VALUE"""),44309.7055555555)</f>
        <v>44309.705555555498</v>
      </c>
      <c r="B2740" s="111">
        <f ca="1">IFERROR(__xludf.DUMMYFUNCTION("""COMPUTED_VALUE"""),36.33)</f>
        <v>36.33</v>
      </c>
      <c r="C2740" s="112">
        <f ca="1">IFERROR(__xludf.DUMMYFUNCTION("""COMPUTED_VALUE"""),44320.7055555555)</f>
        <v>44320.705555555498</v>
      </c>
      <c r="D2740" s="111">
        <f ca="1">IFERROR(__xludf.DUMMYFUNCTION("""COMPUTED_VALUE"""),26.71)</f>
        <v>26.71</v>
      </c>
      <c r="E2740" s="112">
        <f ca="1">IFERROR(__xludf.DUMMYFUNCTION("""COMPUTED_VALUE"""),44321.7055555555)</f>
        <v>44321.705555555498</v>
      </c>
      <c r="F2740" s="111">
        <f ca="1">IFERROR(__xludf.DUMMYFUNCTION("""COMPUTED_VALUE"""),9.72)</f>
        <v>9.7200000000000006</v>
      </c>
      <c r="G2740" s="112">
        <f ca="1">IFERROR(__xludf.DUMMYFUNCTION("""COMPUTED_VALUE"""),44319.7055555555)</f>
        <v>44319.705555555498</v>
      </c>
      <c r="H2740" s="111">
        <f ca="1">IFERROR(__xludf.DUMMYFUNCTION("""COMPUTED_VALUE"""),23.43)</f>
        <v>23.43</v>
      </c>
      <c r="K2740" s="112">
        <f ca="1">IFERROR(__xludf.DUMMYFUNCTION("""COMPUTED_VALUE"""),44762.7055555555)</f>
        <v>44762.705555555498</v>
      </c>
      <c r="L2740" s="111">
        <f ca="1">IFERROR(__xludf.DUMMYFUNCTION("""COMPUTED_VALUE"""),3.07)</f>
        <v>3.07</v>
      </c>
      <c r="M2740" s="112">
        <f ca="1">IFERROR(__xludf.DUMMYFUNCTION("""COMPUTED_VALUE"""),44224.7055555555)</f>
        <v>44224.705555555498</v>
      </c>
      <c r="N2740" s="111">
        <f ca="1">IFERROR(__xludf.DUMMYFUNCTION("""COMPUTED_VALUE"""),23.21)</f>
        <v>23.21</v>
      </c>
      <c r="O2740" s="112">
        <f ca="1">IFERROR(__xludf.DUMMYFUNCTION("""COMPUTED_VALUE"""),44301.7055555555)</f>
        <v>44301.705555555498</v>
      </c>
      <c r="P2740" s="111">
        <f ca="1">IFERROR(__xludf.DUMMYFUNCTION("""COMPUTED_VALUE"""),108.21)</f>
        <v>108.21</v>
      </c>
      <c r="Q2740" s="112">
        <f ca="1">IFERROR(__xludf.DUMMYFUNCTION("""COMPUTED_VALUE"""),44300.7055555555)</f>
        <v>44300.705555555498</v>
      </c>
      <c r="R2740" s="111">
        <f ca="1">IFERROR(__xludf.DUMMYFUNCTION("""COMPUTED_VALUE"""),29.6)</f>
        <v>29.6</v>
      </c>
      <c r="S2740" s="112">
        <f ca="1">IFERROR(__xludf.DUMMYFUNCTION("""COMPUTED_VALUE"""),44315.7055555555)</f>
        <v>44315.705555555498</v>
      </c>
      <c r="T2740" s="111">
        <f ca="1">IFERROR(__xludf.DUMMYFUNCTION("""COMPUTED_VALUE"""),36.34)</f>
        <v>36.340000000000003</v>
      </c>
    </row>
    <row r="2741" spans="1:20" x14ac:dyDescent="0.3">
      <c r="A2741" s="112">
        <f ca="1">IFERROR(__xludf.DUMMYFUNCTION("""COMPUTED_VALUE"""),44312.7055555555)</f>
        <v>44312.705555555498</v>
      </c>
      <c r="B2741" s="111">
        <f ca="1">IFERROR(__xludf.DUMMYFUNCTION("""COMPUTED_VALUE"""),36.83)</f>
        <v>36.83</v>
      </c>
      <c r="C2741" s="112">
        <f ca="1">IFERROR(__xludf.DUMMYFUNCTION("""COMPUTED_VALUE"""),44321.7055555555)</f>
        <v>44321.705555555498</v>
      </c>
      <c r="D2741" s="111">
        <f ca="1">IFERROR(__xludf.DUMMYFUNCTION("""COMPUTED_VALUE"""),27.47)</f>
        <v>27.47</v>
      </c>
      <c r="E2741" s="112">
        <f ca="1">IFERROR(__xludf.DUMMYFUNCTION("""COMPUTED_VALUE"""),44322.7055555555)</f>
        <v>44322.705555555498</v>
      </c>
      <c r="F2741" s="111">
        <f ca="1">IFERROR(__xludf.DUMMYFUNCTION("""COMPUTED_VALUE"""),9.71)</f>
        <v>9.7100000000000009</v>
      </c>
      <c r="G2741" s="112">
        <f ca="1">IFERROR(__xludf.DUMMYFUNCTION("""COMPUTED_VALUE"""),44320.7055555555)</f>
        <v>44320.705555555498</v>
      </c>
      <c r="H2741" s="111">
        <f ca="1">IFERROR(__xludf.DUMMYFUNCTION("""COMPUTED_VALUE"""),22.89)</f>
        <v>22.89</v>
      </c>
      <c r="K2741" s="112">
        <f ca="1">IFERROR(__xludf.DUMMYFUNCTION("""COMPUTED_VALUE"""),44763.7055555555)</f>
        <v>44763.705555555498</v>
      </c>
      <c r="L2741" s="111">
        <f ca="1">IFERROR(__xludf.DUMMYFUNCTION("""COMPUTED_VALUE"""),3.01)</f>
        <v>3.01</v>
      </c>
      <c r="M2741" s="112">
        <f ca="1">IFERROR(__xludf.DUMMYFUNCTION("""COMPUTED_VALUE"""),44225.7055555555)</f>
        <v>44225.705555555498</v>
      </c>
      <c r="N2741" s="111">
        <f ca="1">IFERROR(__xludf.DUMMYFUNCTION("""COMPUTED_VALUE"""),22.49)</f>
        <v>22.49</v>
      </c>
      <c r="O2741" s="112">
        <f ca="1">IFERROR(__xludf.DUMMYFUNCTION("""COMPUTED_VALUE"""),44302.7055555555)</f>
        <v>44302.705555555498</v>
      </c>
      <c r="P2741" s="111">
        <f ca="1">IFERROR(__xludf.DUMMYFUNCTION("""COMPUTED_VALUE"""),108.67)</f>
        <v>108.67</v>
      </c>
      <c r="Q2741" s="112">
        <f ca="1">IFERROR(__xludf.DUMMYFUNCTION("""COMPUTED_VALUE"""),44301.7055555555)</f>
        <v>44301.705555555498</v>
      </c>
      <c r="R2741" s="111">
        <f ca="1">IFERROR(__xludf.DUMMYFUNCTION("""COMPUTED_VALUE"""),29.64)</f>
        <v>29.64</v>
      </c>
      <c r="S2741" s="112">
        <f ca="1">IFERROR(__xludf.DUMMYFUNCTION("""COMPUTED_VALUE"""),44316.7055555555)</f>
        <v>44316.705555555498</v>
      </c>
      <c r="T2741" s="111">
        <f ca="1">IFERROR(__xludf.DUMMYFUNCTION("""COMPUTED_VALUE"""),36.73)</f>
        <v>36.729999999999997</v>
      </c>
    </row>
    <row r="2742" spans="1:20" x14ac:dyDescent="0.3">
      <c r="A2742" s="112">
        <f ca="1">IFERROR(__xludf.DUMMYFUNCTION("""COMPUTED_VALUE"""),44313.7055555555)</f>
        <v>44313.705555555498</v>
      </c>
      <c r="B2742" s="111">
        <f ca="1">IFERROR(__xludf.DUMMYFUNCTION("""COMPUTED_VALUE"""),35.78)</f>
        <v>35.78</v>
      </c>
      <c r="C2742" s="112">
        <f ca="1">IFERROR(__xludf.DUMMYFUNCTION("""COMPUTED_VALUE"""),44322.7055555555)</f>
        <v>44322.705555555498</v>
      </c>
      <c r="D2742" s="111">
        <f ca="1">IFERROR(__xludf.DUMMYFUNCTION("""COMPUTED_VALUE"""),27.3)</f>
        <v>27.3</v>
      </c>
      <c r="E2742" s="112">
        <f ca="1">IFERROR(__xludf.DUMMYFUNCTION("""COMPUTED_VALUE"""),44323.7055555555)</f>
        <v>44323.705555555498</v>
      </c>
      <c r="F2742" s="111">
        <f ca="1">IFERROR(__xludf.DUMMYFUNCTION("""COMPUTED_VALUE"""),9.85)</f>
        <v>9.85</v>
      </c>
      <c r="G2742" s="112">
        <f ca="1">IFERROR(__xludf.DUMMYFUNCTION("""COMPUTED_VALUE"""),44321.7055555555)</f>
        <v>44321.705555555498</v>
      </c>
      <c r="H2742" s="111">
        <f ca="1">IFERROR(__xludf.DUMMYFUNCTION("""COMPUTED_VALUE"""),23.83)</f>
        <v>23.83</v>
      </c>
      <c r="K2742" s="112">
        <f ca="1">IFERROR(__xludf.DUMMYFUNCTION("""COMPUTED_VALUE"""),44764.7055555555)</f>
        <v>44764.705555555498</v>
      </c>
      <c r="L2742" s="111">
        <f ca="1">IFERROR(__xludf.DUMMYFUNCTION("""COMPUTED_VALUE"""),2.86)</f>
        <v>2.86</v>
      </c>
      <c r="M2742" s="112">
        <f ca="1">IFERROR(__xludf.DUMMYFUNCTION("""COMPUTED_VALUE"""),44228.7055555555)</f>
        <v>44228.705555555498</v>
      </c>
      <c r="N2742" s="111">
        <f ca="1">IFERROR(__xludf.DUMMYFUNCTION("""COMPUTED_VALUE"""),22.95)</f>
        <v>22.95</v>
      </c>
      <c r="O2742" s="112">
        <f ca="1">IFERROR(__xludf.DUMMYFUNCTION("""COMPUTED_VALUE"""),44305.7055555555)</f>
        <v>44305.705555555498</v>
      </c>
      <c r="P2742" s="111">
        <f ca="1">IFERROR(__xludf.DUMMYFUNCTION("""COMPUTED_VALUE"""),107.73)</f>
        <v>107.73</v>
      </c>
      <c r="Q2742" s="112">
        <f ca="1">IFERROR(__xludf.DUMMYFUNCTION("""COMPUTED_VALUE"""),44302.7055555555)</f>
        <v>44302.705555555498</v>
      </c>
      <c r="R2742" s="111">
        <f ca="1">IFERROR(__xludf.DUMMYFUNCTION("""COMPUTED_VALUE"""),29.77)</f>
        <v>29.77</v>
      </c>
      <c r="S2742" s="112">
        <f ca="1">IFERROR(__xludf.DUMMYFUNCTION("""COMPUTED_VALUE"""),44319.7055555555)</f>
        <v>44319.705555555498</v>
      </c>
      <c r="T2742" s="111">
        <f ca="1">IFERROR(__xludf.DUMMYFUNCTION("""COMPUTED_VALUE"""),37.27)</f>
        <v>37.270000000000003</v>
      </c>
    </row>
    <row r="2743" spans="1:20" x14ac:dyDescent="0.3">
      <c r="A2743" s="112">
        <f ca="1">IFERROR(__xludf.DUMMYFUNCTION("""COMPUTED_VALUE"""),44314.7055555555)</f>
        <v>44314.705555555498</v>
      </c>
      <c r="B2743" s="111">
        <f ca="1">IFERROR(__xludf.DUMMYFUNCTION("""COMPUTED_VALUE"""),36.37)</f>
        <v>36.369999999999997</v>
      </c>
      <c r="C2743" s="112">
        <f ca="1">IFERROR(__xludf.DUMMYFUNCTION("""COMPUTED_VALUE"""),44323.7055555555)</f>
        <v>44323.705555555498</v>
      </c>
      <c r="D2743" s="111">
        <f ca="1">IFERROR(__xludf.DUMMYFUNCTION("""COMPUTED_VALUE"""),27.63)</f>
        <v>27.63</v>
      </c>
      <c r="E2743" s="112">
        <f ca="1">IFERROR(__xludf.DUMMYFUNCTION("""COMPUTED_VALUE"""),44326.7055555555)</f>
        <v>44326.705555555498</v>
      </c>
      <c r="F2743" s="111">
        <f ca="1">IFERROR(__xludf.DUMMYFUNCTION("""COMPUTED_VALUE"""),9.95)</f>
        <v>9.9499999999999993</v>
      </c>
      <c r="G2743" s="112">
        <f ca="1">IFERROR(__xludf.DUMMYFUNCTION("""COMPUTED_VALUE"""),44322.7055555555)</f>
        <v>44322.705555555498</v>
      </c>
      <c r="H2743" s="111">
        <f ca="1">IFERROR(__xludf.DUMMYFUNCTION("""COMPUTED_VALUE"""),23.5)</f>
        <v>23.5</v>
      </c>
      <c r="K2743" s="112">
        <f ca="1">IFERROR(__xludf.DUMMYFUNCTION("""COMPUTED_VALUE"""),44767.7055555555)</f>
        <v>44767.705555555498</v>
      </c>
      <c r="L2743" s="111">
        <f ca="1">IFERROR(__xludf.DUMMYFUNCTION("""COMPUTED_VALUE"""),2.79)</f>
        <v>2.79</v>
      </c>
      <c r="M2743" s="112">
        <f ca="1">IFERROR(__xludf.DUMMYFUNCTION("""COMPUTED_VALUE"""),44229.7055555555)</f>
        <v>44229.705555555498</v>
      </c>
      <c r="N2743" s="111">
        <f ca="1">IFERROR(__xludf.DUMMYFUNCTION("""COMPUTED_VALUE"""),22.85)</f>
        <v>22.85</v>
      </c>
      <c r="O2743" s="112">
        <f ca="1">IFERROR(__xludf.DUMMYFUNCTION("""COMPUTED_VALUE"""),44306.7055555555)</f>
        <v>44306.705555555498</v>
      </c>
      <c r="P2743" s="111">
        <f ca="1">IFERROR(__xludf.DUMMYFUNCTION("""COMPUTED_VALUE"""),106.16)</f>
        <v>106.16</v>
      </c>
      <c r="Q2743" s="112">
        <f ca="1">IFERROR(__xludf.DUMMYFUNCTION("""COMPUTED_VALUE"""),44305.7055555555)</f>
        <v>44305.705555555498</v>
      </c>
      <c r="R2743" s="111">
        <f ca="1">IFERROR(__xludf.DUMMYFUNCTION("""COMPUTED_VALUE"""),29.62)</f>
        <v>29.62</v>
      </c>
      <c r="S2743" s="112">
        <f ca="1">IFERROR(__xludf.DUMMYFUNCTION("""COMPUTED_VALUE"""),44320.7055555555)</f>
        <v>44320.705555555498</v>
      </c>
      <c r="T2743" s="111">
        <f ca="1">IFERROR(__xludf.DUMMYFUNCTION("""COMPUTED_VALUE"""),37.35)</f>
        <v>37.35</v>
      </c>
    </row>
    <row r="2744" spans="1:20" x14ac:dyDescent="0.3">
      <c r="A2744" s="112">
        <f ca="1">IFERROR(__xludf.DUMMYFUNCTION("""COMPUTED_VALUE"""),44315.7055555555)</f>
        <v>44315.705555555498</v>
      </c>
      <c r="B2744" s="111">
        <f ca="1">IFERROR(__xludf.DUMMYFUNCTION("""COMPUTED_VALUE"""),35.84)</f>
        <v>35.840000000000003</v>
      </c>
      <c r="C2744" s="112">
        <f ca="1">IFERROR(__xludf.DUMMYFUNCTION("""COMPUTED_VALUE"""),44326.7055555555)</f>
        <v>44326.705555555498</v>
      </c>
      <c r="D2744" s="111">
        <f ca="1">IFERROR(__xludf.DUMMYFUNCTION("""COMPUTED_VALUE"""),28.04)</f>
        <v>28.04</v>
      </c>
      <c r="E2744" s="112">
        <f ca="1">IFERROR(__xludf.DUMMYFUNCTION("""COMPUTED_VALUE"""),44327.7055555555)</f>
        <v>44327.705555555498</v>
      </c>
      <c r="F2744" s="111">
        <f ca="1">IFERROR(__xludf.DUMMYFUNCTION("""COMPUTED_VALUE"""),9.95)</f>
        <v>9.9499999999999993</v>
      </c>
      <c r="G2744" s="112">
        <f ca="1">IFERROR(__xludf.DUMMYFUNCTION("""COMPUTED_VALUE"""),44323.7055555555)</f>
        <v>44323.705555555498</v>
      </c>
      <c r="H2744" s="111">
        <f ca="1">IFERROR(__xludf.DUMMYFUNCTION("""COMPUTED_VALUE"""),24.38)</f>
        <v>24.38</v>
      </c>
      <c r="K2744" s="112">
        <f ca="1">IFERROR(__xludf.DUMMYFUNCTION("""COMPUTED_VALUE"""),44768.7055555555)</f>
        <v>44768.705555555498</v>
      </c>
      <c r="L2744" s="111">
        <f ca="1">IFERROR(__xludf.DUMMYFUNCTION("""COMPUTED_VALUE"""),2.61)</f>
        <v>2.61</v>
      </c>
      <c r="M2744" s="112">
        <f ca="1">IFERROR(__xludf.DUMMYFUNCTION("""COMPUTED_VALUE"""),44230.7055555555)</f>
        <v>44230.705555555498</v>
      </c>
      <c r="N2744" s="111">
        <f ca="1">IFERROR(__xludf.DUMMYFUNCTION("""COMPUTED_VALUE"""),22.95)</f>
        <v>22.95</v>
      </c>
      <c r="O2744" s="112">
        <f ca="1">IFERROR(__xludf.DUMMYFUNCTION("""COMPUTED_VALUE"""),44308.7055555555)</f>
        <v>44308.705555555498</v>
      </c>
      <c r="P2744" s="111">
        <f ca="1">IFERROR(__xludf.DUMMYFUNCTION("""COMPUTED_VALUE"""),106.23)</f>
        <v>106.23</v>
      </c>
      <c r="Q2744" s="112">
        <f ca="1">IFERROR(__xludf.DUMMYFUNCTION("""COMPUTED_VALUE"""),44306.7055555555)</f>
        <v>44306.705555555498</v>
      </c>
      <c r="R2744" s="111">
        <f ca="1">IFERROR(__xludf.DUMMYFUNCTION("""COMPUTED_VALUE"""),30.1)</f>
        <v>30.1</v>
      </c>
      <c r="S2744" s="112">
        <f ca="1">IFERROR(__xludf.DUMMYFUNCTION("""COMPUTED_VALUE"""),44321.7055555555)</f>
        <v>44321.705555555498</v>
      </c>
      <c r="T2744" s="111">
        <f ca="1">IFERROR(__xludf.DUMMYFUNCTION("""COMPUTED_VALUE"""),37.63)</f>
        <v>37.630000000000003</v>
      </c>
    </row>
    <row r="2745" spans="1:20" x14ac:dyDescent="0.3">
      <c r="A2745" s="112">
        <f ca="1">IFERROR(__xludf.DUMMYFUNCTION("""COMPUTED_VALUE"""),44316.7055555555)</f>
        <v>44316.705555555498</v>
      </c>
      <c r="B2745" s="111">
        <f ca="1">IFERROR(__xludf.DUMMYFUNCTION("""COMPUTED_VALUE"""),36.4)</f>
        <v>36.4</v>
      </c>
      <c r="C2745" s="112">
        <f ca="1">IFERROR(__xludf.DUMMYFUNCTION("""COMPUTED_VALUE"""),44327.7055555555)</f>
        <v>44327.705555555498</v>
      </c>
      <c r="D2745" s="111">
        <f ca="1">IFERROR(__xludf.DUMMYFUNCTION("""COMPUTED_VALUE"""),27.98)</f>
        <v>27.98</v>
      </c>
      <c r="E2745" s="112">
        <f ca="1">IFERROR(__xludf.DUMMYFUNCTION("""COMPUTED_VALUE"""),44328.7055555555)</f>
        <v>44328.705555555498</v>
      </c>
      <c r="F2745" s="111">
        <f ca="1">IFERROR(__xludf.DUMMYFUNCTION("""COMPUTED_VALUE"""),9.76)</f>
        <v>9.76</v>
      </c>
      <c r="G2745" s="112">
        <f ca="1">IFERROR(__xludf.DUMMYFUNCTION("""COMPUTED_VALUE"""),44326.7055555555)</f>
        <v>44326.705555555498</v>
      </c>
      <c r="H2745" s="111">
        <f ca="1">IFERROR(__xludf.DUMMYFUNCTION("""COMPUTED_VALUE"""),24.7)</f>
        <v>24.7</v>
      </c>
      <c r="K2745" s="112">
        <f ca="1">IFERROR(__xludf.DUMMYFUNCTION("""COMPUTED_VALUE"""),44769.7055555555)</f>
        <v>44769.705555555498</v>
      </c>
      <c r="L2745" s="111">
        <f ca="1">IFERROR(__xludf.DUMMYFUNCTION("""COMPUTED_VALUE"""),2.7)</f>
        <v>2.7</v>
      </c>
      <c r="M2745" s="112">
        <f ca="1">IFERROR(__xludf.DUMMYFUNCTION("""COMPUTED_VALUE"""),44231.7055555555)</f>
        <v>44231.705555555498</v>
      </c>
      <c r="N2745" s="111">
        <f ca="1">IFERROR(__xludf.DUMMYFUNCTION("""COMPUTED_VALUE"""),23.65)</f>
        <v>23.65</v>
      </c>
      <c r="O2745" s="112">
        <f ca="1">IFERROR(__xludf.DUMMYFUNCTION("""COMPUTED_VALUE"""),44309.7055555555)</f>
        <v>44309.705555555498</v>
      </c>
      <c r="P2745" s="111">
        <f ca="1">IFERROR(__xludf.DUMMYFUNCTION("""COMPUTED_VALUE"""),107.99)</f>
        <v>107.99</v>
      </c>
      <c r="Q2745" s="112">
        <f ca="1">IFERROR(__xludf.DUMMYFUNCTION("""COMPUTED_VALUE"""),44308.7055555555)</f>
        <v>44308.705555555498</v>
      </c>
      <c r="R2745" s="111">
        <f ca="1">IFERROR(__xludf.DUMMYFUNCTION("""COMPUTED_VALUE"""),29.83)</f>
        <v>29.83</v>
      </c>
      <c r="S2745" s="112">
        <f ca="1">IFERROR(__xludf.DUMMYFUNCTION("""COMPUTED_VALUE"""),44322.7055555555)</f>
        <v>44322.705555555498</v>
      </c>
      <c r="T2745" s="111">
        <f ca="1">IFERROR(__xludf.DUMMYFUNCTION("""COMPUTED_VALUE"""),38.02)</f>
        <v>38.020000000000003</v>
      </c>
    </row>
    <row r="2746" spans="1:20" x14ac:dyDescent="0.3">
      <c r="A2746" s="112">
        <f ca="1">IFERROR(__xludf.DUMMYFUNCTION("""COMPUTED_VALUE"""),44319.7055555555)</f>
        <v>44319.705555555498</v>
      </c>
      <c r="B2746" s="111">
        <f ca="1">IFERROR(__xludf.DUMMYFUNCTION("""COMPUTED_VALUE"""),36.41)</f>
        <v>36.409999999999997</v>
      </c>
      <c r="C2746" s="112">
        <f ca="1">IFERROR(__xludf.DUMMYFUNCTION("""COMPUTED_VALUE"""),44328.7055555555)</f>
        <v>44328.705555555498</v>
      </c>
      <c r="D2746" s="111">
        <f ca="1">IFERROR(__xludf.DUMMYFUNCTION("""COMPUTED_VALUE"""),27.57)</f>
        <v>27.57</v>
      </c>
      <c r="E2746" s="112">
        <f ca="1">IFERROR(__xludf.DUMMYFUNCTION("""COMPUTED_VALUE"""),44329.7055555555)</f>
        <v>44329.705555555498</v>
      </c>
      <c r="F2746" s="111">
        <f ca="1">IFERROR(__xludf.DUMMYFUNCTION("""COMPUTED_VALUE"""),9.93)</f>
        <v>9.93</v>
      </c>
      <c r="G2746" s="112">
        <f ca="1">IFERROR(__xludf.DUMMYFUNCTION("""COMPUTED_VALUE"""),44327.7055555555)</f>
        <v>44327.705555555498</v>
      </c>
      <c r="H2746" s="111">
        <f ca="1">IFERROR(__xludf.DUMMYFUNCTION("""COMPUTED_VALUE"""),25.15)</f>
        <v>25.15</v>
      </c>
      <c r="K2746" s="112">
        <f ca="1">IFERROR(__xludf.DUMMYFUNCTION("""COMPUTED_VALUE"""),44770.7055555555)</f>
        <v>44770.705555555498</v>
      </c>
      <c r="L2746" s="111">
        <f ca="1">IFERROR(__xludf.DUMMYFUNCTION("""COMPUTED_VALUE"""),2.72)</f>
        <v>2.72</v>
      </c>
      <c r="M2746" s="112">
        <f ca="1">IFERROR(__xludf.DUMMYFUNCTION("""COMPUTED_VALUE"""),44232.7055555555)</f>
        <v>44232.705555555498</v>
      </c>
      <c r="N2746" s="111">
        <f ca="1">IFERROR(__xludf.DUMMYFUNCTION("""COMPUTED_VALUE"""),23.52)</f>
        <v>23.52</v>
      </c>
      <c r="O2746" s="112">
        <f ca="1">IFERROR(__xludf.DUMMYFUNCTION("""COMPUTED_VALUE"""),44312.7055555555)</f>
        <v>44312.705555555498</v>
      </c>
      <c r="P2746" s="111">
        <f ca="1">IFERROR(__xludf.DUMMYFUNCTION("""COMPUTED_VALUE"""),108.57)</f>
        <v>108.57</v>
      </c>
      <c r="Q2746" s="112">
        <f ca="1">IFERROR(__xludf.DUMMYFUNCTION("""COMPUTED_VALUE"""),44309.7055555555)</f>
        <v>44309.705555555498</v>
      </c>
      <c r="R2746" s="111">
        <f ca="1">IFERROR(__xludf.DUMMYFUNCTION("""COMPUTED_VALUE"""),30.07)</f>
        <v>30.07</v>
      </c>
      <c r="S2746" s="112">
        <f ca="1">IFERROR(__xludf.DUMMYFUNCTION("""COMPUTED_VALUE"""),44323.7055555555)</f>
        <v>44323.705555555498</v>
      </c>
      <c r="T2746" s="111">
        <f ca="1">IFERROR(__xludf.DUMMYFUNCTION("""COMPUTED_VALUE"""),39.6)</f>
        <v>39.6</v>
      </c>
    </row>
    <row r="2747" spans="1:20" x14ac:dyDescent="0.3">
      <c r="A2747" s="112">
        <f ca="1">IFERROR(__xludf.DUMMYFUNCTION("""COMPUTED_VALUE"""),44320.7055555555)</f>
        <v>44320.705555555498</v>
      </c>
      <c r="B2747" s="111">
        <f ca="1">IFERROR(__xludf.DUMMYFUNCTION("""COMPUTED_VALUE"""),34.86)</f>
        <v>34.86</v>
      </c>
      <c r="C2747" s="112">
        <f ca="1">IFERROR(__xludf.DUMMYFUNCTION("""COMPUTED_VALUE"""),44329.7055555555)</f>
        <v>44329.705555555498</v>
      </c>
      <c r="D2747" s="111">
        <f ca="1">IFERROR(__xludf.DUMMYFUNCTION("""COMPUTED_VALUE"""),28.37)</f>
        <v>28.37</v>
      </c>
      <c r="E2747" s="112">
        <f ca="1">IFERROR(__xludf.DUMMYFUNCTION("""COMPUTED_VALUE"""),44330.7055555555)</f>
        <v>44330.705555555498</v>
      </c>
      <c r="F2747" s="111">
        <f ca="1">IFERROR(__xludf.DUMMYFUNCTION("""COMPUTED_VALUE"""),10.13)</f>
        <v>10.130000000000001</v>
      </c>
      <c r="G2747" s="112">
        <f ca="1">IFERROR(__xludf.DUMMYFUNCTION("""COMPUTED_VALUE"""),44328.7055555555)</f>
        <v>44328.705555555498</v>
      </c>
      <c r="H2747" s="111">
        <f ca="1">IFERROR(__xludf.DUMMYFUNCTION("""COMPUTED_VALUE"""),24.78)</f>
        <v>24.78</v>
      </c>
      <c r="K2747" s="112">
        <f ca="1">IFERROR(__xludf.DUMMYFUNCTION("""COMPUTED_VALUE"""),44771.7055555555)</f>
        <v>44771.705555555498</v>
      </c>
      <c r="L2747" s="111">
        <f ca="1">IFERROR(__xludf.DUMMYFUNCTION("""COMPUTED_VALUE"""),2.58)</f>
        <v>2.58</v>
      </c>
      <c r="M2747" s="112">
        <f ca="1">IFERROR(__xludf.DUMMYFUNCTION("""COMPUTED_VALUE"""),44235.7055555555)</f>
        <v>44235.705555555498</v>
      </c>
      <c r="N2747" s="111">
        <f ca="1">IFERROR(__xludf.DUMMYFUNCTION("""COMPUTED_VALUE"""),23.02)</f>
        <v>23.02</v>
      </c>
      <c r="O2747" s="112">
        <f ca="1">IFERROR(__xludf.DUMMYFUNCTION("""COMPUTED_VALUE"""),44313.7055555555)</f>
        <v>44313.705555555498</v>
      </c>
      <c r="P2747" s="111">
        <f ca="1">IFERROR(__xludf.DUMMYFUNCTION("""COMPUTED_VALUE"""),110.12)</f>
        <v>110.12</v>
      </c>
      <c r="Q2747" s="112">
        <f ca="1">IFERROR(__xludf.DUMMYFUNCTION("""COMPUTED_VALUE"""),44312.7055555555)</f>
        <v>44312.705555555498</v>
      </c>
      <c r="R2747" s="111">
        <f ca="1">IFERROR(__xludf.DUMMYFUNCTION("""COMPUTED_VALUE"""),30.1)</f>
        <v>30.1</v>
      </c>
      <c r="S2747" s="112">
        <f ca="1">IFERROR(__xludf.DUMMYFUNCTION("""COMPUTED_VALUE"""),44326.7055555555)</f>
        <v>44326.705555555498</v>
      </c>
      <c r="T2747" s="111">
        <f ca="1">IFERROR(__xludf.DUMMYFUNCTION("""COMPUTED_VALUE"""),39.9)</f>
        <v>39.9</v>
      </c>
    </row>
    <row r="2748" spans="1:20" x14ac:dyDescent="0.3">
      <c r="A2748" s="112">
        <f ca="1">IFERROR(__xludf.DUMMYFUNCTION("""COMPUTED_VALUE"""),44321.7055555555)</f>
        <v>44321.705555555498</v>
      </c>
      <c r="B2748" s="111">
        <f ca="1">IFERROR(__xludf.DUMMYFUNCTION("""COMPUTED_VALUE"""),34.97)</f>
        <v>34.97</v>
      </c>
      <c r="C2748" s="112">
        <f ca="1">IFERROR(__xludf.DUMMYFUNCTION("""COMPUTED_VALUE"""),44330.7055555555)</f>
        <v>44330.705555555498</v>
      </c>
      <c r="D2748" s="111">
        <f ca="1">IFERROR(__xludf.DUMMYFUNCTION("""COMPUTED_VALUE"""),29)</f>
        <v>29</v>
      </c>
      <c r="E2748" s="112">
        <f ca="1">IFERROR(__xludf.DUMMYFUNCTION("""COMPUTED_VALUE"""),44333.7055555555)</f>
        <v>44333.705555555498</v>
      </c>
      <c r="F2748" s="111">
        <f ca="1">IFERROR(__xludf.DUMMYFUNCTION("""COMPUTED_VALUE"""),10.14)</f>
        <v>10.14</v>
      </c>
      <c r="G2748" s="112">
        <f ca="1">IFERROR(__xludf.DUMMYFUNCTION("""COMPUTED_VALUE"""),44329.7055555555)</f>
        <v>44329.705555555498</v>
      </c>
      <c r="H2748" s="111">
        <f ca="1">IFERROR(__xludf.DUMMYFUNCTION("""COMPUTED_VALUE"""),24.99)</f>
        <v>24.99</v>
      </c>
      <c r="K2748" s="112">
        <f ca="1">IFERROR(__xludf.DUMMYFUNCTION("""COMPUTED_VALUE"""),44774.7055555555)</f>
        <v>44774.705555555498</v>
      </c>
      <c r="L2748" s="111">
        <f ca="1">IFERROR(__xludf.DUMMYFUNCTION("""COMPUTED_VALUE"""),2.72)</f>
        <v>2.72</v>
      </c>
      <c r="M2748" s="112">
        <f ca="1">IFERROR(__xludf.DUMMYFUNCTION("""COMPUTED_VALUE"""),44236.7055555555)</f>
        <v>44236.705555555498</v>
      </c>
      <c r="N2748" s="111">
        <f ca="1">IFERROR(__xludf.DUMMYFUNCTION("""COMPUTED_VALUE"""),23.14)</f>
        <v>23.14</v>
      </c>
      <c r="O2748" s="112">
        <f ca="1">IFERROR(__xludf.DUMMYFUNCTION("""COMPUTED_VALUE"""),44314.7055555555)</f>
        <v>44314.705555555498</v>
      </c>
      <c r="P2748" s="111">
        <f ca="1">IFERROR(__xludf.DUMMYFUNCTION("""COMPUTED_VALUE"""),111.92)</f>
        <v>111.92</v>
      </c>
      <c r="Q2748" s="112">
        <f ca="1">IFERROR(__xludf.DUMMYFUNCTION("""COMPUTED_VALUE"""),44313.7055555555)</f>
        <v>44313.705555555498</v>
      </c>
      <c r="R2748" s="111">
        <f ca="1">IFERROR(__xludf.DUMMYFUNCTION("""COMPUTED_VALUE"""),29.77)</f>
        <v>29.77</v>
      </c>
      <c r="S2748" s="112">
        <f ca="1">IFERROR(__xludf.DUMMYFUNCTION("""COMPUTED_VALUE"""),44327.7055555555)</f>
        <v>44327.705555555498</v>
      </c>
      <c r="T2748" s="111">
        <f ca="1">IFERROR(__xludf.DUMMYFUNCTION("""COMPUTED_VALUE"""),40.46)</f>
        <v>40.46</v>
      </c>
    </row>
    <row r="2749" spans="1:20" x14ac:dyDescent="0.3">
      <c r="A2749" s="112">
        <f ca="1">IFERROR(__xludf.DUMMYFUNCTION("""COMPUTED_VALUE"""),44322.7055555555)</f>
        <v>44322.705555555498</v>
      </c>
      <c r="B2749" s="111">
        <f ca="1">IFERROR(__xludf.DUMMYFUNCTION("""COMPUTED_VALUE"""),36.33)</f>
        <v>36.33</v>
      </c>
      <c r="C2749" s="112">
        <f ca="1">IFERROR(__xludf.DUMMYFUNCTION("""COMPUTED_VALUE"""),44333.7055555555)</f>
        <v>44333.705555555498</v>
      </c>
      <c r="D2749" s="111">
        <f ca="1">IFERROR(__xludf.DUMMYFUNCTION("""COMPUTED_VALUE"""),28.98)</f>
        <v>28.98</v>
      </c>
      <c r="E2749" s="112">
        <f ca="1">IFERROR(__xludf.DUMMYFUNCTION("""COMPUTED_VALUE"""),44334.7055555555)</f>
        <v>44334.705555555498</v>
      </c>
      <c r="F2749" s="111">
        <f ca="1">IFERROR(__xludf.DUMMYFUNCTION("""COMPUTED_VALUE"""),10.11)</f>
        <v>10.11</v>
      </c>
      <c r="G2749" s="112">
        <f ca="1">IFERROR(__xludf.DUMMYFUNCTION("""COMPUTED_VALUE"""),44330.7055555555)</f>
        <v>44330.705555555498</v>
      </c>
      <c r="H2749" s="111">
        <f ca="1">IFERROR(__xludf.DUMMYFUNCTION("""COMPUTED_VALUE"""),26.3)</f>
        <v>26.3</v>
      </c>
      <c r="K2749" s="112">
        <f ca="1">IFERROR(__xludf.DUMMYFUNCTION("""COMPUTED_VALUE"""),44775.7055555555)</f>
        <v>44775.705555555498</v>
      </c>
      <c r="L2749" s="111">
        <f ca="1">IFERROR(__xludf.DUMMYFUNCTION("""COMPUTED_VALUE"""),2.71)</f>
        <v>2.71</v>
      </c>
      <c r="M2749" s="112">
        <f ca="1">IFERROR(__xludf.DUMMYFUNCTION("""COMPUTED_VALUE"""),44237.7055555555)</f>
        <v>44237.705555555498</v>
      </c>
      <c r="N2749" s="111">
        <f ca="1">IFERROR(__xludf.DUMMYFUNCTION("""COMPUTED_VALUE"""),22.88)</f>
        <v>22.88</v>
      </c>
      <c r="O2749" s="112">
        <f ca="1">IFERROR(__xludf.DUMMYFUNCTION("""COMPUTED_VALUE"""),44315.7055555555)</f>
        <v>44315.705555555498</v>
      </c>
      <c r="P2749" s="111">
        <f ca="1">IFERROR(__xludf.DUMMYFUNCTION("""COMPUTED_VALUE"""),111.95)</f>
        <v>111.95</v>
      </c>
      <c r="Q2749" s="112">
        <f ca="1">IFERROR(__xludf.DUMMYFUNCTION("""COMPUTED_VALUE"""),44314.7055555555)</f>
        <v>44314.705555555498</v>
      </c>
      <c r="R2749" s="111">
        <f ca="1">IFERROR(__xludf.DUMMYFUNCTION("""COMPUTED_VALUE"""),30.3)</f>
        <v>30.3</v>
      </c>
      <c r="S2749" s="112">
        <f ca="1">IFERROR(__xludf.DUMMYFUNCTION("""COMPUTED_VALUE"""),44328.7055555555)</f>
        <v>44328.705555555498</v>
      </c>
      <c r="T2749" s="111">
        <f ca="1">IFERROR(__xludf.DUMMYFUNCTION("""COMPUTED_VALUE"""),39.26)</f>
        <v>39.26</v>
      </c>
    </row>
    <row r="2750" spans="1:20" x14ac:dyDescent="0.3">
      <c r="A2750" s="112">
        <f ca="1">IFERROR(__xludf.DUMMYFUNCTION("""COMPUTED_VALUE"""),44323.7055555555)</f>
        <v>44323.705555555498</v>
      </c>
      <c r="B2750" s="111">
        <f ca="1">IFERROR(__xludf.DUMMYFUNCTION("""COMPUTED_VALUE"""),37.4)</f>
        <v>37.4</v>
      </c>
      <c r="C2750" s="112">
        <f ca="1">IFERROR(__xludf.DUMMYFUNCTION("""COMPUTED_VALUE"""),44334.7055555555)</f>
        <v>44334.705555555498</v>
      </c>
      <c r="D2750" s="111">
        <f ca="1">IFERROR(__xludf.DUMMYFUNCTION("""COMPUTED_VALUE"""),28.92)</f>
        <v>28.92</v>
      </c>
      <c r="E2750" s="112">
        <f ca="1">IFERROR(__xludf.DUMMYFUNCTION("""COMPUTED_VALUE"""),44335.7055555555)</f>
        <v>44335.705555555498</v>
      </c>
      <c r="F2750" s="111">
        <f ca="1">IFERROR(__xludf.DUMMYFUNCTION("""COMPUTED_VALUE"""),10.23)</f>
        <v>10.23</v>
      </c>
      <c r="G2750" s="112">
        <f ca="1">IFERROR(__xludf.DUMMYFUNCTION("""COMPUTED_VALUE"""),44333.7055555555)</f>
        <v>44333.705555555498</v>
      </c>
      <c r="H2750" s="111">
        <f ca="1">IFERROR(__xludf.DUMMYFUNCTION("""COMPUTED_VALUE"""),26.66)</f>
        <v>26.66</v>
      </c>
      <c r="K2750" s="112">
        <f ca="1">IFERROR(__xludf.DUMMYFUNCTION("""COMPUTED_VALUE"""),44776.7055555555)</f>
        <v>44776.705555555498</v>
      </c>
      <c r="L2750" s="111">
        <f ca="1">IFERROR(__xludf.DUMMYFUNCTION("""COMPUTED_VALUE"""),2.93)</f>
        <v>2.93</v>
      </c>
      <c r="M2750" s="112">
        <f ca="1">IFERROR(__xludf.DUMMYFUNCTION("""COMPUTED_VALUE"""),44238.7055555555)</f>
        <v>44238.705555555498</v>
      </c>
      <c r="N2750" s="111">
        <f ca="1">IFERROR(__xludf.DUMMYFUNCTION("""COMPUTED_VALUE"""),22.91)</f>
        <v>22.91</v>
      </c>
      <c r="O2750" s="112">
        <f ca="1">IFERROR(__xludf.DUMMYFUNCTION("""COMPUTED_VALUE"""),44316.7055555555)</f>
        <v>44316.705555555498</v>
      </c>
      <c r="P2750" s="111">
        <f ca="1">IFERROR(__xludf.DUMMYFUNCTION("""COMPUTED_VALUE"""),109.02)</f>
        <v>109.02</v>
      </c>
      <c r="Q2750" s="112">
        <f ca="1">IFERROR(__xludf.DUMMYFUNCTION("""COMPUTED_VALUE"""),44315.7055555555)</f>
        <v>44315.705555555498</v>
      </c>
      <c r="R2750" s="111">
        <f ca="1">IFERROR(__xludf.DUMMYFUNCTION("""COMPUTED_VALUE"""),29.64)</f>
        <v>29.64</v>
      </c>
      <c r="S2750" s="112">
        <f ca="1">IFERROR(__xludf.DUMMYFUNCTION("""COMPUTED_VALUE"""),44329.7055555555)</f>
        <v>44329.705555555498</v>
      </c>
      <c r="T2750" s="111">
        <f ca="1">IFERROR(__xludf.DUMMYFUNCTION("""COMPUTED_VALUE"""),40.11)</f>
        <v>40.11</v>
      </c>
    </row>
    <row r="2751" spans="1:20" x14ac:dyDescent="0.3">
      <c r="A2751" s="112">
        <f ca="1">IFERROR(__xludf.DUMMYFUNCTION("""COMPUTED_VALUE"""),44326.7055555555)</f>
        <v>44326.705555555498</v>
      </c>
      <c r="B2751" s="111">
        <f ca="1">IFERROR(__xludf.DUMMYFUNCTION("""COMPUTED_VALUE"""),36.74)</f>
        <v>36.74</v>
      </c>
      <c r="C2751" s="112">
        <f ca="1">IFERROR(__xludf.DUMMYFUNCTION("""COMPUTED_VALUE"""),44335.7055555555)</f>
        <v>44335.705555555498</v>
      </c>
      <c r="D2751" s="111">
        <f ca="1">IFERROR(__xludf.DUMMYFUNCTION("""COMPUTED_VALUE"""),29.13)</f>
        <v>29.13</v>
      </c>
      <c r="E2751" s="112">
        <f ca="1">IFERROR(__xludf.DUMMYFUNCTION("""COMPUTED_VALUE"""),44336.7055555555)</f>
        <v>44336.705555555498</v>
      </c>
      <c r="F2751" s="111">
        <f ca="1">IFERROR(__xludf.DUMMYFUNCTION("""COMPUTED_VALUE"""),10.27)</f>
        <v>10.27</v>
      </c>
      <c r="G2751" s="112">
        <f ca="1">IFERROR(__xludf.DUMMYFUNCTION("""COMPUTED_VALUE"""),44334.7055555555)</f>
        <v>44334.705555555498</v>
      </c>
      <c r="H2751" s="111">
        <f ca="1">IFERROR(__xludf.DUMMYFUNCTION("""COMPUTED_VALUE"""),26.35)</f>
        <v>26.35</v>
      </c>
      <c r="K2751" s="112">
        <f ca="1">IFERROR(__xludf.DUMMYFUNCTION("""COMPUTED_VALUE"""),44777.7055555555)</f>
        <v>44777.705555555498</v>
      </c>
      <c r="L2751" s="111">
        <f ca="1">IFERROR(__xludf.DUMMYFUNCTION("""COMPUTED_VALUE"""),3.34)</f>
        <v>3.34</v>
      </c>
      <c r="M2751" s="112">
        <f ca="1">IFERROR(__xludf.DUMMYFUNCTION("""COMPUTED_VALUE"""),44239.7055555555)</f>
        <v>44239.705555555498</v>
      </c>
      <c r="N2751" s="111">
        <f ca="1">IFERROR(__xludf.DUMMYFUNCTION("""COMPUTED_VALUE"""),22.91)</f>
        <v>22.91</v>
      </c>
      <c r="O2751" s="112">
        <f ca="1">IFERROR(__xludf.DUMMYFUNCTION("""COMPUTED_VALUE"""),44319.7055555555)</f>
        <v>44319.705555555498</v>
      </c>
      <c r="P2751" s="111">
        <f ca="1">IFERROR(__xludf.DUMMYFUNCTION("""COMPUTED_VALUE"""),108.46)</f>
        <v>108.46</v>
      </c>
      <c r="Q2751" s="112">
        <f ca="1">IFERROR(__xludf.DUMMYFUNCTION("""COMPUTED_VALUE"""),44316.7055555555)</f>
        <v>44316.705555555498</v>
      </c>
      <c r="R2751" s="111">
        <f ca="1">IFERROR(__xludf.DUMMYFUNCTION("""COMPUTED_VALUE"""),29.64)</f>
        <v>29.64</v>
      </c>
      <c r="S2751" s="112">
        <f ca="1">IFERROR(__xludf.DUMMYFUNCTION("""COMPUTED_VALUE"""),44330.7055555555)</f>
        <v>44330.705555555498</v>
      </c>
      <c r="T2751" s="111">
        <f ca="1">IFERROR(__xludf.DUMMYFUNCTION("""COMPUTED_VALUE"""),39.77)</f>
        <v>39.770000000000003</v>
      </c>
    </row>
    <row r="2752" spans="1:20" x14ac:dyDescent="0.3">
      <c r="A2752" s="112">
        <f ca="1">IFERROR(__xludf.DUMMYFUNCTION("""COMPUTED_VALUE"""),44327.7055555555)</f>
        <v>44327.705555555498</v>
      </c>
      <c r="B2752" s="111">
        <f ca="1">IFERROR(__xludf.DUMMYFUNCTION("""COMPUTED_VALUE"""),39.15)</f>
        <v>39.15</v>
      </c>
      <c r="C2752" s="112">
        <f ca="1">IFERROR(__xludf.DUMMYFUNCTION("""COMPUTED_VALUE"""),44336.7055555555)</f>
        <v>44336.705555555498</v>
      </c>
      <c r="D2752" s="111">
        <f ca="1">IFERROR(__xludf.DUMMYFUNCTION("""COMPUTED_VALUE"""),29.29)</f>
        <v>29.29</v>
      </c>
      <c r="E2752" s="112">
        <f ca="1">IFERROR(__xludf.DUMMYFUNCTION("""COMPUTED_VALUE"""),44337.7055555555)</f>
        <v>44337.705555555498</v>
      </c>
      <c r="F2752" s="111">
        <f ca="1">IFERROR(__xludf.DUMMYFUNCTION("""COMPUTED_VALUE"""),10.32)</f>
        <v>10.32</v>
      </c>
      <c r="G2752" s="112">
        <f ca="1">IFERROR(__xludf.DUMMYFUNCTION("""COMPUTED_VALUE"""),44335.7055555555)</f>
        <v>44335.705555555498</v>
      </c>
      <c r="H2752" s="111">
        <f ca="1">IFERROR(__xludf.DUMMYFUNCTION("""COMPUTED_VALUE"""),26.15)</f>
        <v>26.15</v>
      </c>
      <c r="K2752" s="112">
        <f ca="1">IFERROR(__xludf.DUMMYFUNCTION("""COMPUTED_VALUE"""),44778.7055555555)</f>
        <v>44778.705555555498</v>
      </c>
      <c r="L2752" s="111">
        <f ca="1">IFERROR(__xludf.DUMMYFUNCTION("""COMPUTED_VALUE"""),3.16)</f>
        <v>3.16</v>
      </c>
      <c r="M2752" s="112">
        <f ca="1">IFERROR(__xludf.DUMMYFUNCTION("""COMPUTED_VALUE"""),44244.7055555555)</f>
        <v>44244.705555555498</v>
      </c>
      <c r="N2752" s="111">
        <f ca="1">IFERROR(__xludf.DUMMYFUNCTION("""COMPUTED_VALUE"""),22.89)</f>
        <v>22.89</v>
      </c>
      <c r="O2752" s="112">
        <f ca="1">IFERROR(__xludf.DUMMYFUNCTION("""COMPUTED_VALUE"""),44320.7055555555)</f>
        <v>44320.705555555498</v>
      </c>
      <c r="P2752" s="111">
        <f ca="1">IFERROR(__xludf.DUMMYFUNCTION("""COMPUTED_VALUE"""),110.1)</f>
        <v>110.1</v>
      </c>
      <c r="Q2752" s="112">
        <f ca="1">IFERROR(__xludf.DUMMYFUNCTION("""COMPUTED_VALUE"""),44319.7055555555)</f>
        <v>44319.705555555498</v>
      </c>
      <c r="R2752" s="111">
        <f ca="1">IFERROR(__xludf.DUMMYFUNCTION("""COMPUTED_VALUE"""),29.75)</f>
        <v>29.75</v>
      </c>
      <c r="S2752" s="112">
        <f ca="1">IFERROR(__xludf.DUMMYFUNCTION("""COMPUTED_VALUE"""),44333.7055555555)</f>
        <v>44333.705555555498</v>
      </c>
      <c r="T2752" s="111">
        <f ca="1">IFERROR(__xludf.DUMMYFUNCTION("""COMPUTED_VALUE"""),41)</f>
        <v>41</v>
      </c>
    </row>
    <row r="2753" spans="1:20" x14ac:dyDescent="0.3">
      <c r="A2753" s="112">
        <f ca="1">IFERROR(__xludf.DUMMYFUNCTION("""COMPUTED_VALUE"""),44328.7055555555)</f>
        <v>44328.705555555498</v>
      </c>
      <c r="B2753" s="111">
        <f ca="1">IFERROR(__xludf.DUMMYFUNCTION("""COMPUTED_VALUE"""),37.12)</f>
        <v>37.119999999999997</v>
      </c>
      <c r="C2753" s="112">
        <f ca="1">IFERROR(__xludf.DUMMYFUNCTION("""COMPUTED_VALUE"""),44337.7055555555)</f>
        <v>44337.705555555498</v>
      </c>
      <c r="D2753" s="111">
        <f ca="1">IFERROR(__xludf.DUMMYFUNCTION("""COMPUTED_VALUE"""),29.43)</f>
        <v>29.43</v>
      </c>
      <c r="E2753" s="112">
        <f ca="1">IFERROR(__xludf.DUMMYFUNCTION("""COMPUTED_VALUE"""),44340.7055555555)</f>
        <v>44340.705555555498</v>
      </c>
      <c r="F2753" s="111">
        <f ca="1">IFERROR(__xludf.DUMMYFUNCTION("""COMPUTED_VALUE"""),10.34)</f>
        <v>10.34</v>
      </c>
      <c r="G2753" s="112">
        <f ca="1">IFERROR(__xludf.DUMMYFUNCTION("""COMPUTED_VALUE"""),44336.7055555555)</f>
        <v>44336.705555555498</v>
      </c>
      <c r="H2753" s="111">
        <f ca="1">IFERROR(__xludf.DUMMYFUNCTION("""COMPUTED_VALUE"""),25.93)</f>
        <v>25.93</v>
      </c>
      <c r="K2753" s="112">
        <f ca="1">IFERROR(__xludf.DUMMYFUNCTION("""COMPUTED_VALUE"""),44781.7055555555)</f>
        <v>44781.705555555498</v>
      </c>
      <c r="L2753" s="111">
        <f ca="1">IFERROR(__xludf.DUMMYFUNCTION("""COMPUTED_VALUE"""),3.27)</f>
        <v>3.27</v>
      </c>
      <c r="M2753" s="112">
        <f ca="1">IFERROR(__xludf.DUMMYFUNCTION("""COMPUTED_VALUE"""),44245.7055555555)</f>
        <v>44245.705555555498</v>
      </c>
      <c r="N2753" s="111">
        <f ca="1">IFERROR(__xludf.DUMMYFUNCTION("""COMPUTED_VALUE"""),22.65)</f>
        <v>22.65</v>
      </c>
      <c r="O2753" s="112">
        <f ca="1">IFERROR(__xludf.DUMMYFUNCTION("""COMPUTED_VALUE"""),44321.7055555555)</f>
        <v>44321.705555555498</v>
      </c>
      <c r="P2753" s="111">
        <f ca="1">IFERROR(__xludf.DUMMYFUNCTION("""COMPUTED_VALUE"""),110.71)</f>
        <v>110.71</v>
      </c>
      <c r="Q2753" s="112">
        <f ca="1">IFERROR(__xludf.DUMMYFUNCTION("""COMPUTED_VALUE"""),44320.7055555555)</f>
        <v>44320.705555555498</v>
      </c>
      <c r="R2753" s="111">
        <f ca="1">IFERROR(__xludf.DUMMYFUNCTION("""COMPUTED_VALUE"""),29.37)</f>
        <v>29.37</v>
      </c>
      <c r="S2753" s="112">
        <f ca="1">IFERROR(__xludf.DUMMYFUNCTION("""COMPUTED_VALUE"""),44334.7055555555)</f>
        <v>44334.705555555498</v>
      </c>
      <c r="T2753" s="111">
        <f ca="1">IFERROR(__xludf.DUMMYFUNCTION("""COMPUTED_VALUE"""),40.64)</f>
        <v>40.64</v>
      </c>
    </row>
    <row r="2754" spans="1:20" x14ac:dyDescent="0.3">
      <c r="A2754" s="112">
        <f ca="1">IFERROR(__xludf.DUMMYFUNCTION("""COMPUTED_VALUE"""),44329.7055555555)</f>
        <v>44329.705555555498</v>
      </c>
      <c r="B2754" s="111">
        <f ca="1">IFERROR(__xludf.DUMMYFUNCTION("""COMPUTED_VALUE"""),39.68)</f>
        <v>39.68</v>
      </c>
      <c r="C2754" s="112">
        <f ca="1">IFERROR(__xludf.DUMMYFUNCTION("""COMPUTED_VALUE"""),44340.7055555555)</f>
        <v>44340.705555555498</v>
      </c>
      <c r="D2754" s="111">
        <f ca="1">IFERROR(__xludf.DUMMYFUNCTION("""COMPUTED_VALUE"""),29.35)</f>
        <v>29.35</v>
      </c>
      <c r="E2754" s="112">
        <f ca="1">IFERROR(__xludf.DUMMYFUNCTION("""COMPUTED_VALUE"""),44341.7055555555)</f>
        <v>44341.705555555498</v>
      </c>
      <c r="F2754" s="111">
        <f ca="1">IFERROR(__xludf.DUMMYFUNCTION("""COMPUTED_VALUE"""),10.27)</f>
        <v>10.27</v>
      </c>
      <c r="G2754" s="112">
        <f ca="1">IFERROR(__xludf.DUMMYFUNCTION("""COMPUTED_VALUE"""),44337.7055555555)</f>
        <v>44337.705555555498</v>
      </c>
      <c r="H2754" s="111">
        <f ca="1">IFERROR(__xludf.DUMMYFUNCTION("""COMPUTED_VALUE"""),25.95)</f>
        <v>25.95</v>
      </c>
      <c r="K2754" s="112">
        <f ca="1">IFERROR(__xludf.DUMMYFUNCTION("""COMPUTED_VALUE"""),44782.7055555555)</f>
        <v>44782.705555555498</v>
      </c>
      <c r="L2754" s="111">
        <f ca="1">IFERROR(__xludf.DUMMYFUNCTION("""COMPUTED_VALUE"""),3.08)</f>
        <v>3.08</v>
      </c>
      <c r="M2754" s="112">
        <f ca="1">IFERROR(__xludf.DUMMYFUNCTION("""COMPUTED_VALUE"""),44246.7055555555)</f>
        <v>44246.705555555498</v>
      </c>
      <c r="N2754" s="111">
        <f ca="1">IFERROR(__xludf.DUMMYFUNCTION("""COMPUTED_VALUE"""),22.45)</f>
        <v>22.45</v>
      </c>
      <c r="O2754" s="112">
        <f ca="1">IFERROR(__xludf.DUMMYFUNCTION("""COMPUTED_VALUE"""),44322.7055555555)</f>
        <v>44322.705555555498</v>
      </c>
      <c r="P2754" s="111">
        <f ca="1">IFERROR(__xludf.DUMMYFUNCTION("""COMPUTED_VALUE"""),115.05)</f>
        <v>115.05</v>
      </c>
      <c r="Q2754" s="112">
        <f ca="1">IFERROR(__xludf.DUMMYFUNCTION("""COMPUTED_VALUE"""),44321.7055555555)</f>
        <v>44321.705555555498</v>
      </c>
      <c r="R2754" s="111">
        <f ca="1">IFERROR(__xludf.DUMMYFUNCTION("""COMPUTED_VALUE"""),29.26)</f>
        <v>29.26</v>
      </c>
      <c r="S2754" s="112">
        <f ca="1">IFERROR(__xludf.DUMMYFUNCTION("""COMPUTED_VALUE"""),44335.7055555555)</f>
        <v>44335.705555555498</v>
      </c>
      <c r="T2754" s="111">
        <f ca="1">IFERROR(__xludf.DUMMYFUNCTION("""COMPUTED_VALUE"""),40.34)</f>
        <v>40.340000000000003</v>
      </c>
    </row>
    <row r="2755" spans="1:20" x14ac:dyDescent="0.3">
      <c r="A2755" s="112">
        <f ca="1">IFERROR(__xludf.DUMMYFUNCTION("""COMPUTED_VALUE"""),44330.7055555555)</f>
        <v>44330.705555555498</v>
      </c>
      <c r="B2755" s="111">
        <f ca="1">IFERROR(__xludf.DUMMYFUNCTION("""COMPUTED_VALUE"""),39.41)</f>
        <v>39.409999999999997</v>
      </c>
      <c r="C2755" s="112">
        <f ca="1">IFERROR(__xludf.DUMMYFUNCTION("""COMPUTED_VALUE"""),44341.7055555555)</f>
        <v>44341.705555555498</v>
      </c>
      <c r="D2755" s="111">
        <f ca="1">IFERROR(__xludf.DUMMYFUNCTION("""COMPUTED_VALUE"""),29)</f>
        <v>29</v>
      </c>
      <c r="E2755" s="112">
        <f ca="1">IFERROR(__xludf.DUMMYFUNCTION("""COMPUTED_VALUE"""),44342.7055555555)</f>
        <v>44342.705555555498</v>
      </c>
      <c r="F2755" s="111">
        <f ca="1">IFERROR(__xludf.DUMMYFUNCTION("""COMPUTED_VALUE"""),10.36)</f>
        <v>10.36</v>
      </c>
      <c r="G2755" s="112">
        <f ca="1">IFERROR(__xludf.DUMMYFUNCTION("""COMPUTED_VALUE"""),44340.7055555555)</f>
        <v>44340.705555555498</v>
      </c>
      <c r="H2755" s="111">
        <f ca="1">IFERROR(__xludf.DUMMYFUNCTION("""COMPUTED_VALUE"""),26.39)</f>
        <v>26.39</v>
      </c>
      <c r="K2755" s="112">
        <f ca="1">IFERROR(__xludf.DUMMYFUNCTION("""COMPUTED_VALUE"""),44783.7055555555)</f>
        <v>44783.705555555498</v>
      </c>
      <c r="L2755" s="111">
        <f ca="1">IFERROR(__xludf.DUMMYFUNCTION("""COMPUTED_VALUE"""),3.29)</f>
        <v>3.29</v>
      </c>
      <c r="M2755" s="112">
        <f ca="1">IFERROR(__xludf.DUMMYFUNCTION("""COMPUTED_VALUE"""),44249.7055555555)</f>
        <v>44249.705555555498</v>
      </c>
      <c r="N2755" s="111">
        <f ca="1">IFERROR(__xludf.DUMMYFUNCTION("""COMPUTED_VALUE"""),20.98)</f>
        <v>20.98</v>
      </c>
      <c r="O2755" s="112">
        <f ca="1">IFERROR(__xludf.DUMMYFUNCTION("""COMPUTED_VALUE"""),44323.7055555555)</f>
        <v>44323.705555555498</v>
      </c>
      <c r="P2755" s="111">
        <f ca="1">IFERROR(__xludf.DUMMYFUNCTION("""COMPUTED_VALUE"""),115.45)</f>
        <v>115.45</v>
      </c>
      <c r="Q2755" s="112">
        <f ca="1">IFERROR(__xludf.DUMMYFUNCTION("""COMPUTED_VALUE"""),44322.7055555555)</f>
        <v>44322.705555555498</v>
      </c>
      <c r="R2755" s="111">
        <f ca="1">IFERROR(__xludf.DUMMYFUNCTION("""COMPUTED_VALUE"""),29.21)</f>
        <v>29.21</v>
      </c>
      <c r="S2755" s="112">
        <f ca="1">IFERROR(__xludf.DUMMYFUNCTION("""COMPUTED_VALUE"""),44336.7055555555)</f>
        <v>44336.705555555498</v>
      </c>
      <c r="T2755" s="111">
        <f ca="1">IFERROR(__xludf.DUMMYFUNCTION("""COMPUTED_VALUE"""),40.03)</f>
        <v>40.03</v>
      </c>
    </row>
    <row r="2756" spans="1:20" x14ac:dyDescent="0.3">
      <c r="A2756" s="112">
        <f ca="1">IFERROR(__xludf.DUMMYFUNCTION("""COMPUTED_VALUE"""),44333.7055555555)</f>
        <v>44333.705555555498</v>
      </c>
      <c r="B2756" s="111">
        <f ca="1">IFERROR(__xludf.DUMMYFUNCTION("""COMPUTED_VALUE"""),39.18)</f>
        <v>39.18</v>
      </c>
      <c r="C2756" s="112">
        <f ca="1">IFERROR(__xludf.DUMMYFUNCTION("""COMPUTED_VALUE"""),44342.7055555555)</f>
        <v>44342.705555555498</v>
      </c>
      <c r="D2756" s="111">
        <f ca="1">IFERROR(__xludf.DUMMYFUNCTION("""COMPUTED_VALUE"""),29.4)</f>
        <v>29.4</v>
      </c>
      <c r="E2756" s="112">
        <f ca="1">IFERROR(__xludf.DUMMYFUNCTION("""COMPUTED_VALUE"""),44343.7055555555)</f>
        <v>44343.705555555498</v>
      </c>
      <c r="F2756" s="111">
        <f ca="1">IFERROR(__xludf.DUMMYFUNCTION("""COMPUTED_VALUE"""),10.23)</f>
        <v>10.23</v>
      </c>
      <c r="G2756" s="112">
        <f ca="1">IFERROR(__xludf.DUMMYFUNCTION("""COMPUTED_VALUE"""),44341.7055555555)</f>
        <v>44341.705555555498</v>
      </c>
      <c r="H2756" s="111">
        <f ca="1">IFERROR(__xludf.DUMMYFUNCTION("""COMPUTED_VALUE"""),25.84)</f>
        <v>25.84</v>
      </c>
      <c r="K2756" s="112">
        <f ca="1">IFERROR(__xludf.DUMMYFUNCTION("""COMPUTED_VALUE"""),44784.7055555555)</f>
        <v>44784.705555555498</v>
      </c>
      <c r="L2756" s="111">
        <f ca="1">IFERROR(__xludf.DUMMYFUNCTION("""COMPUTED_VALUE"""),3.04)</f>
        <v>3.04</v>
      </c>
      <c r="M2756" s="112">
        <f ca="1">IFERROR(__xludf.DUMMYFUNCTION("""COMPUTED_VALUE"""),44250.7055555555)</f>
        <v>44250.705555555498</v>
      </c>
      <c r="N2756" s="111">
        <f ca="1">IFERROR(__xludf.DUMMYFUNCTION("""COMPUTED_VALUE"""),21.98)</f>
        <v>21.98</v>
      </c>
      <c r="O2756" s="112">
        <f ca="1">IFERROR(__xludf.DUMMYFUNCTION("""COMPUTED_VALUE"""),44326.7055555555)</f>
        <v>44326.705555555498</v>
      </c>
      <c r="P2756" s="111">
        <f ca="1">IFERROR(__xludf.DUMMYFUNCTION("""COMPUTED_VALUE"""),114.69)</f>
        <v>114.69</v>
      </c>
      <c r="Q2756" s="112">
        <f ca="1">IFERROR(__xludf.DUMMYFUNCTION("""COMPUTED_VALUE"""),44323.7055555555)</f>
        <v>44323.705555555498</v>
      </c>
      <c r="R2756" s="111">
        <f ca="1">IFERROR(__xludf.DUMMYFUNCTION("""COMPUTED_VALUE"""),29.94)</f>
        <v>29.94</v>
      </c>
      <c r="S2756" s="112">
        <f ca="1">IFERROR(__xludf.DUMMYFUNCTION("""COMPUTED_VALUE"""),44337.7055555555)</f>
        <v>44337.705555555498</v>
      </c>
      <c r="T2756" s="111">
        <f ca="1">IFERROR(__xludf.DUMMYFUNCTION("""COMPUTED_VALUE"""),40.15)</f>
        <v>40.15</v>
      </c>
    </row>
    <row r="2757" spans="1:20" x14ac:dyDescent="0.3">
      <c r="A2757" s="112">
        <f ca="1">IFERROR(__xludf.DUMMYFUNCTION("""COMPUTED_VALUE"""),44334.7055555555)</f>
        <v>44334.705555555498</v>
      </c>
      <c r="B2757" s="111">
        <f ca="1">IFERROR(__xludf.DUMMYFUNCTION("""COMPUTED_VALUE"""),40.36)</f>
        <v>40.36</v>
      </c>
      <c r="C2757" s="112">
        <f ca="1">IFERROR(__xludf.DUMMYFUNCTION("""COMPUTED_VALUE"""),44343.7055555555)</f>
        <v>44343.705555555498</v>
      </c>
      <c r="D2757" s="111">
        <f ca="1">IFERROR(__xludf.DUMMYFUNCTION("""COMPUTED_VALUE"""),29.15)</f>
        <v>29.15</v>
      </c>
      <c r="E2757" s="112">
        <f ca="1">IFERROR(__xludf.DUMMYFUNCTION("""COMPUTED_VALUE"""),44344.7055555555)</f>
        <v>44344.705555555498</v>
      </c>
      <c r="F2757" s="111">
        <f ca="1">IFERROR(__xludf.DUMMYFUNCTION("""COMPUTED_VALUE"""),10.38)</f>
        <v>10.38</v>
      </c>
      <c r="G2757" s="112">
        <f ca="1">IFERROR(__xludf.DUMMYFUNCTION("""COMPUTED_VALUE"""),44342.7055555555)</f>
        <v>44342.705555555498</v>
      </c>
      <c r="H2757" s="111">
        <f ca="1">IFERROR(__xludf.DUMMYFUNCTION("""COMPUTED_VALUE"""),26.09)</f>
        <v>26.09</v>
      </c>
      <c r="K2757" s="112">
        <f ca="1">IFERROR(__xludf.DUMMYFUNCTION("""COMPUTED_VALUE"""),44785.7055555555)</f>
        <v>44785.705555555498</v>
      </c>
      <c r="L2757" s="111">
        <f ca="1">IFERROR(__xludf.DUMMYFUNCTION("""COMPUTED_VALUE"""),3.58)</f>
        <v>3.58</v>
      </c>
      <c r="M2757" s="112">
        <f ca="1">IFERROR(__xludf.DUMMYFUNCTION("""COMPUTED_VALUE"""),44251.7055555555)</f>
        <v>44251.705555555498</v>
      </c>
      <c r="N2757" s="111">
        <f ca="1">IFERROR(__xludf.DUMMYFUNCTION("""COMPUTED_VALUE"""),21.83)</f>
        <v>21.83</v>
      </c>
      <c r="O2757" s="112">
        <f ca="1">IFERROR(__xludf.DUMMYFUNCTION("""COMPUTED_VALUE"""),44327.7055555555)</f>
        <v>44327.705555555498</v>
      </c>
      <c r="P2757" s="111">
        <f ca="1">IFERROR(__xludf.DUMMYFUNCTION("""COMPUTED_VALUE"""),118.72)</f>
        <v>118.72</v>
      </c>
      <c r="Q2757" s="112">
        <f ca="1">IFERROR(__xludf.DUMMYFUNCTION("""COMPUTED_VALUE"""),44326.7055555555)</f>
        <v>44326.705555555498</v>
      </c>
      <c r="R2757" s="111">
        <f ca="1">IFERROR(__xludf.DUMMYFUNCTION("""COMPUTED_VALUE"""),30.33)</f>
        <v>30.33</v>
      </c>
      <c r="S2757" s="112">
        <f ca="1">IFERROR(__xludf.DUMMYFUNCTION("""COMPUTED_VALUE"""),44340.7055555555)</f>
        <v>44340.705555555498</v>
      </c>
      <c r="T2757" s="111">
        <f ca="1">IFERROR(__xludf.DUMMYFUNCTION("""COMPUTED_VALUE"""),40.02)</f>
        <v>40.020000000000003</v>
      </c>
    </row>
    <row r="2758" spans="1:20" x14ac:dyDescent="0.3">
      <c r="A2758" s="112">
        <f ca="1">IFERROR(__xludf.DUMMYFUNCTION("""COMPUTED_VALUE"""),44335.7055555555)</f>
        <v>44335.705555555498</v>
      </c>
      <c r="B2758" s="111">
        <f ca="1">IFERROR(__xludf.DUMMYFUNCTION("""COMPUTED_VALUE"""),41.95)</f>
        <v>41.95</v>
      </c>
      <c r="C2758" s="112">
        <f ca="1">IFERROR(__xludf.DUMMYFUNCTION("""COMPUTED_VALUE"""),44344.7055555555)</f>
        <v>44344.705555555498</v>
      </c>
      <c r="D2758" s="111">
        <f ca="1">IFERROR(__xludf.DUMMYFUNCTION("""COMPUTED_VALUE"""),29.63)</f>
        <v>29.63</v>
      </c>
      <c r="E2758" s="112">
        <f ca="1">IFERROR(__xludf.DUMMYFUNCTION("""COMPUTED_VALUE"""),44347.7055555555)</f>
        <v>44347.705555555498</v>
      </c>
      <c r="F2758" s="111">
        <f ca="1">IFERROR(__xludf.DUMMYFUNCTION("""COMPUTED_VALUE"""),10.34)</f>
        <v>10.34</v>
      </c>
      <c r="G2758" s="112">
        <f ca="1">IFERROR(__xludf.DUMMYFUNCTION("""COMPUTED_VALUE"""),44343.7055555555)</f>
        <v>44343.705555555498</v>
      </c>
      <c r="H2758" s="111">
        <f ca="1">IFERROR(__xludf.DUMMYFUNCTION("""COMPUTED_VALUE"""),25.91)</f>
        <v>25.91</v>
      </c>
      <c r="K2758" s="112">
        <f ca="1">IFERROR(__xludf.DUMMYFUNCTION("""COMPUTED_VALUE"""),44788.7055555555)</f>
        <v>44788.705555555498</v>
      </c>
      <c r="L2758" s="111">
        <f ca="1">IFERROR(__xludf.DUMMYFUNCTION("""COMPUTED_VALUE"""),4.04)</f>
        <v>4.04</v>
      </c>
      <c r="M2758" s="112">
        <f ca="1">IFERROR(__xludf.DUMMYFUNCTION("""COMPUTED_VALUE"""),44252.7055555555)</f>
        <v>44252.705555555498</v>
      </c>
      <c r="N2758" s="111">
        <f ca="1">IFERROR(__xludf.DUMMYFUNCTION("""COMPUTED_VALUE"""),21.35)</f>
        <v>21.35</v>
      </c>
      <c r="O2758" s="112">
        <f ca="1">IFERROR(__xludf.DUMMYFUNCTION("""COMPUTED_VALUE"""),44328.7055555555)</f>
        <v>44328.705555555498</v>
      </c>
      <c r="P2758" s="111">
        <f ca="1">IFERROR(__xludf.DUMMYFUNCTION("""COMPUTED_VALUE"""),114.33)</f>
        <v>114.33</v>
      </c>
      <c r="Q2758" s="112">
        <f ca="1">IFERROR(__xludf.DUMMYFUNCTION("""COMPUTED_VALUE"""),44327.7055555555)</f>
        <v>44327.705555555498</v>
      </c>
      <c r="R2758" s="111">
        <f ca="1">IFERROR(__xludf.DUMMYFUNCTION("""COMPUTED_VALUE"""),30.55)</f>
        <v>30.55</v>
      </c>
      <c r="S2758" s="112">
        <f ca="1">IFERROR(__xludf.DUMMYFUNCTION("""COMPUTED_VALUE"""),44341.7055555555)</f>
        <v>44341.705555555498</v>
      </c>
      <c r="T2758" s="111">
        <f ca="1">IFERROR(__xludf.DUMMYFUNCTION("""COMPUTED_VALUE"""),40.95)</f>
        <v>40.950000000000003</v>
      </c>
    </row>
    <row r="2759" spans="1:20" x14ac:dyDescent="0.3">
      <c r="A2759" s="112">
        <f ca="1">IFERROR(__xludf.DUMMYFUNCTION("""COMPUTED_VALUE"""),44336.7055555555)</f>
        <v>44336.705555555498</v>
      </c>
      <c r="B2759" s="111">
        <f ca="1">IFERROR(__xludf.DUMMYFUNCTION("""COMPUTED_VALUE"""),41.25)</f>
        <v>41.25</v>
      </c>
      <c r="C2759" s="112">
        <f ca="1">IFERROR(__xludf.DUMMYFUNCTION("""COMPUTED_VALUE"""),44347.7055555555)</f>
        <v>44347.705555555498</v>
      </c>
      <c r="D2759" s="111">
        <f ca="1">IFERROR(__xludf.DUMMYFUNCTION("""COMPUTED_VALUE"""),29.54)</f>
        <v>29.54</v>
      </c>
      <c r="E2759" s="112">
        <f ca="1">IFERROR(__xludf.DUMMYFUNCTION("""COMPUTED_VALUE"""),44348.7055555555)</f>
        <v>44348.705555555498</v>
      </c>
      <c r="F2759" s="111">
        <f ca="1">IFERROR(__xludf.DUMMYFUNCTION("""COMPUTED_VALUE"""),10.73)</f>
        <v>10.73</v>
      </c>
      <c r="G2759" s="112">
        <f ca="1">IFERROR(__xludf.DUMMYFUNCTION("""COMPUTED_VALUE"""),44344.7055555555)</f>
        <v>44344.705555555498</v>
      </c>
      <c r="H2759" s="111">
        <f ca="1">IFERROR(__xludf.DUMMYFUNCTION("""COMPUTED_VALUE"""),26.99)</f>
        <v>26.99</v>
      </c>
      <c r="K2759" s="112">
        <f ca="1">IFERROR(__xludf.DUMMYFUNCTION("""COMPUTED_VALUE"""),44789.7055555555)</f>
        <v>44789.705555555498</v>
      </c>
      <c r="L2759" s="111">
        <f ca="1">IFERROR(__xludf.DUMMYFUNCTION("""COMPUTED_VALUE"""),4.15)</f>
        <v>4.1500000000000004</v>
      </c>
      <c r="M2759" s="112">
        <f ca="1">IFERROR(__xludf.DUMMYFUNCTION("""COMPUTED_VALUE"""),44253.7055555555)</f>
        <v>44253.705555555498</v>
      </c>
      <c r="N2759" s="111">
        <f ca="1">IFERROR(__xludf.DUMMYFUNCTION("""COMPUTED_VALUE"""),20.91)</f>
        <v>20.91</v>
      </c>
      <c r="O2759" s="112">
        <f ca="1">IFERROR(__xludf.DUMMYFUNCTION("""COMPUTED_VALUE"""),44329.7055555555)</f>
        <v>44329.705555555498</v>
      </c>
      <c r="P2759" s="111">
        <f ca="1">IFERROR(__xludf.DUMMYFUNCTION("""COMPUTED_VALUE"""),112.49)</f>
        <v>112.49</v>
      </c>
      <c r="Q2759" s="112">
        <f ca="1">IFERROR(__xludf.DUMMYFUNCTION("""COMPUTED_VALUE"""),44328.7055555555)</f>
        <v>44328.705555555498</v>
      </c>
      <c r="R2759" s="111">
        <f ca="1">IFERROR(__xludf.DUMMYFUNCTION("""COMPUTED_VALUE"""),30.35)</f>
        <v>30.35</v>
      </c>
      <c r="S2759" s="112">
        <f ca="1">IFERROR(__xludf.DUMMYFUNCTION("""COMPUTED_VALUE"""),44342.7055555555)</f>
        <v>44342.705555555498</v>
      </c>
      <c r="T2759" s="111">
        <f ca="1">IFERROR(__xludf.DUMMYFUNCTION("""COMPUTED_VALUE"""),41.82)</f>
        <v>41.82</v>
      </c>
    </row>
    <row r="2760" spans="1:20" x14ac:dyDescent="0.3">
      <c r="A2760" s="112">
        <f ca="1">IFERROR(__xludf.DUMMYFUNCTION("""COMPUTED_VALUE"""),44337.7055555555)</f>
        <v>44337.705555555498</v>
      </c>
      <c r="B2760" s="111">
        <f ca="1">IFERROR(__xludf.DUMMYFUNCTION("""COMPUTED_VALUE"""),41.3)</f>
        <v>41.3</v>
      </c>
      <c r="C2760" s="112">
        <f ca="1">IFERROR(__xludf.DUMMYFUNCTION("""COMPUTED_VALUE"""),44348.7055555555)</f>
        <v>44348.705555555498</v>
      </c>
      <c r="D2760" s="111">
        <f ca="1">IFERROR(__xludf.DUMMYFUNCTION("""COMPUTED_VALUE"""),30.6)</f>
        <v>30.6</v>
      </c>
      <c r="E2760" s="112">
        <f ca="1">IFERROR(__xludf.DUMMYFUNCTION("""COMPUTED_VALUE"""),44349.7055555555)</f>
        <v>44349.705555555498</v>
      </c>
      <c r="F2760" s="111">
        <f ca="1">IFERROR(__xludf.DUMMYFUNCTION("""COMPUTED_VALUE"""),11.09)</f>
        <v>11.09</v>
      </c>
      <c r="G2760" s="112">
        <f ca="1">IFERROR(__xludf.DUMMYFUNCTION("""COMPUTED_VALUE"""),44347.7055555555)</f>
        <v>44347.705555555498</v>
      </c>
      <c r="H2760" s="111">
        <f ca="1">IFERROR(__xludf.DUMMYFUNCTION("""COMPUTED_VALUE"""),26.87)</f>
        <v>26.87</v>
      </c>
      <c r="K2760" s="112">
        <f ca="1">IFERROR(__xludf.DUMMYFUNCTION("""COMPUTED_VALUE"""),44790.7055555555)</f>
        <v>44790.705555555498</v>
      </c>
      <c r="L2760" s="111">
        <f ca="1">IFERROR(__xludf.DUMMYFUNCTION("""COMPUTED_VALUE"""),4.02)</f>
        <v>4.0199999999999996</v>
      </c>
      <c r="M2760" s="112">
        <f ca="1">IFERROR(__xludf.DUMMYFUNCTION("""COMPUTED_VALUE"""),44256.7055555555)</f>
        <v>44256.705555555498</v>
      </c>
      <c r="N2760" s="111">
        <f ca="1">IFERROR(__xludf.DUMMYFUNCTION("""COMPUTED_VALUE"""),20.22)</f>
        <v>20.22</v>
      </c>
      <c r="O2760" s="112">
        <f ca="1">IFERROR(__xludf.DUMMYFUNCTION("""COMPUTED_VALUE"""),44330.7055555555)</f>
        <v>44330.705555555498</v>
      </c>
      <c r="P2760" s="111">
        <f ca="1">IFERROR(__xludf.DUMMYFUNCTION("""COMPUTED_VALUE"""),110.56)</f>
        <v>110.56</v>
      </c>
      <c r="Q2760" s="112">
        <f ca="1">IFERROR(__xludf.DUMMYFUNCTION("""COMPUTED_VALUE"""),44329.7055555555)</f>
        <v>44329.705555555498</v>
      </c>
      <c r="R2760" s="111">
        <f ca="1">IFERROR(__xludf.DUMMYFUNCTION("""COMPUTED_VALUE"""),31.16)</f>
        <v>31.16</v>
      </c>
      <c r="S2760" s="112">
        <f ca="1">IFERROR(__xludf.DUMMYFUNCTION("""COMPUTED_VALUE"""),44343.7055555555)</f>
        <v>44343.705555555498</v>
      </c>
      <c r="T2760" s="111">
        <f ca="1">IFERROR(__xludf.DUMMYFUNCTION("""COMPUTED_VALUE"""),42.73)</f>
        <v>42.73</v>
      </c>
    </row>
    <row r="2761" spans="1:20" x14ac:dyDescent="0.3">
      <c r="A2761" s="112">
        <f ca="1">IFERROR(__xludf.DUMMYFUNCTION("""COMPUTED_VALUE"""),44340.7055555555)</f>
        <v>44340.705555555498</v>
      </c>
      <c r="B2761" s="111">
        <f ca="1">IFERROR(__xludf.DUMMYFUNCTION("""COMPUTED_VALUE"""),41.82)</f>
        <v>41.82</v>
      </c>
      <c r="C2761" s="112">
        <f ca="1">IFERROR(__xludf.DUMMYFUNCTION("""COMPUTED_VALUE"""),44349.7055555555)</f>
        <v>44349.705555555498</v>
      </c>
      <c r="D2761" s="111">
        <f ca="1">IFERROR(__xludf.DUMMYFUNCTION("""COMPUTED_VALUE"""),31.62)</f>
        <v>31.62</v>
      </c>
      <c r="E2761" s="112">
        <f ca="1">IFERROR(__xludf.DUMMYFUNCTION("""COMPUTED_VALUE"""),44351.7055555555)</f>
        <v>44351.705555555498</v>
      </c>
      <c r="F2761" s="111">
        <f ca="1">IFERROR(__xludf.DUMMYFUNCTION("""COMPUTED_VALUE"""),11.33)</f>
        <v>11.33</v>
      </c>
      <c r="G2761" s="112">
        <f ca="1">IFERROR(__xludf.DUMMYFUNCTION("""COMPUTED_VALUE"""),44348.7055555555)</f>
        <v>44348.705555555498</v>
      </c>
      <c r="H2761" s="111">
        <f ca="1">IFERROR(__xludf.DUMMYFUNCTION("""COMPUTED_VALUE"""),27.29)</f>
        <v>27.29</v>
      </c>
      <c r="K2761" s="112">
        <f ca="1">IFERROR(__xludf.DUMMYFUNCTION("""COMPUTED_VALUE"""),44791.7055555555)</f>
        <v>44791.705555555498</v>
      </c>
      <c r="L2761" s="111">
        <f ca="1">IFERROR(__xludf.DUMMYFUNCTION("""COMPUTED_VALUE"""),4.03)</f>
        <v>4.03</v>
      </c>
      <c r="M2761" s="112">
        <f ca="1">IFERROR(__xludf.DUMMYFUNCTION("""COMPUTED_VALUE"""),44257.7055555555)</f>
        <v>44257.705555555498</v>
      </c>
      <c r="N2761" s="111">
        <f ca="1">IFERROR(__xludf.DUMMYFUNCTION("""COMPUTED_VALUE"""),20.75)</f>
        <v>20.75</v>
      </c>
      <c r="O2761" s="112">
        <f ca="1">IFERROR(__xludf.DUMMYFUNCTION("""COMPUTED_VALUE"""),44333.7055555555)</f>
        <v>44333.705555555498</v>
      </c>
      <c r="P2761" s="111">
        <f ca="1">IFERROR(__xludf.DUMMYFUNCTION("""COMPUTED_VALUE"""),113.46)</f>
        <v>113.46</v>
      </c>
      <c r="Q2761" s="112">
        <f ca="1">IFERROR(__xludf.DUMMYFUNCTION("""COMPUTED_VALUE"""),44330.7055555555)</f>
        <v>44330.705555555498</v>
      </c>
      <c r="R2761" s="111">
        <f ca="1">IFERROR(__xludf.DUMMYFUNCTION("""COMPUTED_VALUE"""),31.16)</f>
        <v>31.16</v>
      </c>
      <c r="S2761" s="112">
        <f ca="1">IFERROR(__xludf.DUMMYFUNCTION("""COMPUTED_VALUE"""),44344.7055555555)</f>
        <v>44344.705555555498</v>
      </c>
      <c r="T2761" s="111">
        <f ca="1">IFERROR(__xludf.DUMMYFUNCTION("""COMPUTED_VALUE"""),43.12)</f>
        <v>43.12</v>
      </c>
    </row>
    <row r="2762" spans="1:20" x14ac:dyDescent="0.3">
      <c r="A2762" s="112">
        <f ca="1">IFERROR(__xludf.DUMMYFUNCTION("""COMPUTED_VALUE"""),44341.7055555555)</f>
        <v>44341.705555555498</v>
      </c>
      <c r="B2762" s="111">
        <f ca="1">IFERROR(__xludf.DUMMYFUNCTION("""COMPUTED_VALUE"""),42.69)</f>
        <v>42.69</v>
      </c>
      <c r="C2762" s="112">
        <f ca="1">IFERROR(__xludf.DUMMYFUNCTION("""COMPUTED_VALUE"""),44351.7055555555)</f>
        <v>44351.705555555498</v>
      </c>
      <c r="D2762" s="111">
        <f ca="1">IFERROR(__xludf.DUMMYFUNCTION("""COMPUTED_VALUE"""),32.28)</f>
        <v>32.28</v>
      </c>
      <c r="E2762" s="112">
        <f ca="1">IFERROR(__xludf.DUMMYFUNCTION("""COMPUTED_VALUE"""),44354.7055555555)</f>
        <v>44354.705555555498</v>
      </c>
      <c r="F2762" s="111">
        <f ca="1">IFERROR(__xludf.DUMMYFUNCTION("""COMPUTED_VALUE"""),11.48)</f>
        <v>11.48</v>
      </c>
      <c r="G2762" s="112">
        <f ca="1">IFERROR(__xludf.DUMMYFUNCTION("""COMPUTED_VALUE"""),44349.7055555555)</f>
        <v>44349.705555555498</v>
      </c>
      <c r="H2762" s="111">
        <f ca="1">IFERROR(__xludf.DUMMYFUNCTION("""COMPUTED_VALUE"""),27.87)</f>
        <v>27.87</v>
      </c>
      <c r="K2762" s="112">
        <f ca="1">IFERROR(__xludf.DUMMYFUNCTION("""COMPUTED_VALUE"""),44792.7055555555)</f>
        <v>44792.705555555498</v>
      </c>
      <c r="L2762" s="111">
        <f ca="1">IFERROR(__xludf.DUMMYFUNCTION("""COMPUTED_VALUE"""),3.78)</f>
        <v>3.78</v>
      </c>
      <c r="M2762" s="112">
        <f ca="1">IFERROR(__xludf.DUMMYFUNCTION("""COMPUTED_VALUE"""),44258.7055555555)</f>
        <v>44258.705555555498</v>
      </c>
      <c r="N2762" s="111">
        <f ca="1">IFERROR(__xludf.DUMMYFUNCTION("""COMPUTED_VALUE"""),20.93)</f>
        <v>20.93</v>
      </c>
      <c r="O2762" s="112">
        <f ca="1">IFERROR(__xludf.DUMMYFUNCTION("""COMPUTED_VALUE"""),44334.7055555555)</f>
        <v>44334.705555555498</v>
      </c>
      <c r="P2762" s="111">
        <f ca="1">IFERROR(__xludf.DUMMYFUNCTION("""COMPUTED_VALUE"""),114.6)</f>
        <v>114.6</v>
      </c>
      <c r="Q2762" s="112">
        <f ca="1">IFERROR(__xludf.DUMMYFUNCTION("""COMPUTED_VALUE"""),44333.7055555555)</f>
        <v>44333.705555555498</v>
      </c>
      <c r="R2762" s="111">
        <f ca="1">IFERROR(__xludf.DUMMYFUNCTION("""COMPUTED_VALUE"""),31.71)</f>
        <v>31.71</v>
      </c>
      <c r="S2762" s="112">
        <f ca="1">IFERROR(__xludf.DUMMYFUNCTION("""COMPUTED_VALUE"""),44347.7055555555)</f>
        <v>44347.705555555498</v>
      </c>
      <c r="T2762" s="111">
        <f ca="1">IFERROR(__xludf.DUMMYFUNCTION("""COMPUTED_VALUE"""),42.55)</f>
        <v>42.55</v>
      </c>
    </row>
    <row r="2763" spans="1:20" x14ac:dyDescent="0.3">
      <c r="A2763" s="112">
        <f ca="1">IFERROR(__xludf.DUMMYFUNCTION("""COMPUTED_VALUE"""),44342.7055555555)</f>
        <v>44342.705555555498</v>
      </c>
      <c r="B2763" s="111">
        <f ca="1">IFERROR(__xludf.DUMMYFUNCTION("""COMPUTED_VALUE"""),42.75)</f>
        <v>42.75</v>
      </c>
      <c r="C2763" s="112">
        <f ca="1">IFERROR(__xludf.DUMMYFUNCTION("""COMPUTED_VALUE"""),44354.7055555555)</f>
        <v>44354.705555555498</v>
      </c>
      <c r="D2763" s="111">
        <f ca="1">IFERROR(__xludf.DUMMYFUNCTION("""COMPUTED_VALUE"""),33.04)</f>
        <v>33.04</v>
      </c>
      <c r="E2763" s="112">
        <f ca="1">IFERROR(__xludf.DUMMYFUNCTION("""COMPUTED_VALUE"""),44355.7055555555)</f>
        <v>44355.705555555498</v>
      </c>
      <c r="F2763" s="111">
        <f ca="1">IFERROR(__xludf.DUMMYFUNCTION("""COMPUTED_VALUE"""),11.37)</f>
        <v>11.37</v>
      </c>
      <c r="G2763" s="112">
        <f ca="1">IFERROR(__xludf.DUMMYFUNCTION("""COMPUTED_VALUE"""),44351.7055555555)</f>
        <v>44351.705555555498</v>
      </c>
      <c r="H2763" s="111">
        <f ca="1">IFERROR(__xludf.DUMMYFUNCTION("""COMPUTED_VALUE"""),28.5)</f>
        <v>28.5</v>
      </c>
      <c r="K2763" s="112">
        <f ca="1">IFERROR(__xludf.DUMMYFUNCTION("""COMPUTED_VALUE"""),44795.7055555555)</f>
        <v>44795.705555555498</v>
      </c>
      <c r="L2763" s="111">
        <f ca="1">IFERROR(__xludf.DUMMYFUNCTION("""COMPUTED_VALUE"""),3.82)</f>
        <v>3.82</v>
      </c>
      <c r="M2763" s="112">
        <f ca="1">IFERROR(__xludf.DUMMYFUNCTION("""COMPUTED_VALUE"""),44259.7055555555)</f>
        <v>44259.705555555498</v>
      </c>
      <c r="N2763" s="111">
        <f ca="1">IFERROR(__xludf.DUMMYFUNCTION("""COMPUTED_VALUE"""),21.74)</f>
        <v>21.74</v>
      </c>
      <c r="O2763" s="112">
        <f ca="1">IFERROR(__xludf.DUMMYFUNCTION("""COMPUTED_VALUE"""),44335.7055555555)</f>
        <v>44335.705555555498</v>
      </c>
      <c r="P2763" s="111">
        <f ca="1">IFERROR(__xludf.DUMMYFUNCTION("""COMPUTED_VALUE"""),112.25)</f>
        <v>112.25</v>
      </c>
      <c r="Q2763" s="112">
        <f ca="1">IFERROR(__xludf.DUMMYFUNCTION("""COMPUTED_VALUE"""),44334.7055555555)</f>
        <v>44334.705555555498</v>
      </c>
      <c r="R2763" s="111">
        <f ca="1">IFERROR(__xludf.DUMMYFUNCTION("""COMPUTED_VALUE"""),32.15)</f>
        <v>32.15</v>
      </c>
      <c r="S2763" s="112">
        <f ca="1">IFERROR(__xludf.DUMMYFUNCTION("""COMPUTED_VALUE"""),44348.7055555555)</f>
        <v>44348.705555555498</v>
      </c>
      <c r="T2763" s="111">
        <f ca="1">IFERROR(__xludf.DUMMYFUNCTION("""COMPUTED_VALUE"""),43.52)</f>
        <v>43.52</v>
      </c>
    </row>
    <row r="2764" spans="1:20" x14ac:dyDescent="0.3">
      <c r="A2764" s="112">
        <f ca="1">IFERROR(__xludf.DUMMYFUNCTION("""COMPUTED_VALUE"""),44343.7055555555)</f>
        <v>44343.705555555498</v>
      </c>
      <c r="B2764" s="111">
        <f ca="1">IFERROR(__xludf.DUMMYFUNCTION("""COMPUTED_VALUE"""),42.55)</f>
        <v>42.55</v>
      </c>
      <c r="C2764" s="112">
        <f ca="1">IFERROR(__xludf.DUMMYFUNCTION("""COMPUTED_VALUE"""),44355.7055555555)</f>
        <v>44355.705555555498</v>
      </c>
      <c r="D2764" s="111">
        <f ca="1">IFERROR(__xludf.DUMMYFUNCTION("""COMPUTED_VALUE"""),32.81)</f>
        <v>32.81</v>
      </c>
      <c r="E2764" s="112">
        <f ca="1">IFERROR(__xludf.DUMMYFUNCTION("""COMPUTED_VALUE"""),44356.7055555555)</f>
        <v>44356.705555555498</v>
      </c>
      <c r="F2764" s="111">
        <f ca="1">IFERROR(__xludf.DUMMYFUNCTION("""COMPUTED_VALUE"""),11.41)</f>
        <v>11.41</v>
      </c>
      <c r="G2764" s="112">
        <f ca="1">IFERROR(__xludf.DUMMYFUNCTION("""COMPUTED_VALUE"""),44354.7055555555)</f>
        <v>44354.705555555498</v>
      </c>
      <c r="H2764" s="111">
        <f ca="1">IFERROR(__xludf.DUMMYFUNCTION("""COMPUTED_VALUE"""),28.29)</f>
        <v>28.29</v>
      </c>
      <c r="K2764" s="112">
        <f ca="1">IFERROR(__xludf.DUMMYFUNCTION("""COMPUTED_VALUE"""),44796.7055555555)</f>
        <v>44796.705555555498</v>
      </c>
      <c r="L2764" s="111">
        <f ca="1">IFERROR(__xludf.DUMMYFUNCTION("""COMPUTED_VALUE"""),4.15)</f>
        <v>4.1500000000000004</v>
      </c>
      <c r="M2764" s="112">
        <f ca="1">IFERROR(__xludf.DUMMYFUNCTION("""COMPUTED_VALUE"""),44260.7055555555)</f>
        <v>44260.705555555498</v>
      </c>
      <c r="N2764" s="111">
        <f ca="1">IFERROR(__xludf.DUMMYFUNCTION("""COMPUTED_VALUE"""),22.76)</f>
        <v>22.76</v>
      </c>
      <c r="O2764" s="112">
        <f ca="1">IFERROR(__xludf.DUMMYFUNCTION("""COMPUTED_VALUE"""),44336.7055555555)</f>
        <v>44336.705555555498</v>
      </c>
      <c r="P2764" s="111">
        <f ca="1">IFERROR(__xludf.DUMMYFUNCTION("""COMPUTED_VALUE"""),111.11)</f>
        <v>111.11</v>
      </c>
      <c r="Q2764" s="112">
        <f ca="1">IFERROR(__xludf.DUMMYFUNCTION("""COMPUTED_VALUE"""),44335.7055555555)</f>
        <v>44335.705555555498</v>
      </c>
      <c r="R2764" s="111">
        <f ca="1">IFERROR(__xludf.DUMMYFUNCTION("""COMPUTED_VALUE"""),32.7)</f>
        <v>32.700000000000003</v>
      </c>
      <c r="S2764" s="112">
        <f ca="1">IFERROR(__xludf.DUMMYFUNCTION("""COMPUTED_VALUE"""),44349.7055555555)</f>
        <v>44349.705555555498</v>
      </c>
      <c r="T2764" s="111">
        <f ca="1">IFERROR(__xludf.DUMMYFUNCTION("""COMPUTED_VALUE"""),43.48)</f>
        <v>43.48</v>
      </c>
    </row>
    <row r="2765" spans="1:20" x14ac:dyDescent="0.3">
      <c r="A2765" s="112">
        <f ca="1">IFERROR(__xludf.DUMMYFUNCTION("""COMPUTED_VALUE"""),44344.7055555555)</f>
        <v>44344.705555555498</v>
      </c>
      <c r="B2765" s="111">
        <f ca="1">IFERROR(__xludf.DUMMYFUNCTION("""COMPUTED_VALUE"""),42.67)</f>
        <v>42.67</v>
      </c>
      <c r="C2765" s="112">
        <f ca="1">IFERROR(__xludf.DUMMYFUNCTION("""COMPUTED_VALUE"""),44356.7055555555)</f>
        <v>44356.705555555498</v>
      </c>
      <c r="D2765" s="111">
        <f ca="1">IFERROR(__xludf.DUMMYFUNCTION("""COMPUTED_VALUE"""),33.26)</f>
        <v>33.26</v>
      </c>
      <c r="E2765" s="112">
        <f ca="1">IFERROR(__xludf.DUMMYFUNCTION("""COMPUTED_VALUE"""),44357.7055555555)</f>
        <v>44357.705555555498</v>
      </c>
      <c r="F2765" s="111">
        <f ca="1">IFERROR(__xludf.DUMMYFUNCTION("""COMPUTED_VALUE"""),11.35)</f>
        <v>11.35</v>
      </c>
      <c r="G2765" s="112">
        <f ca="1">IFERROR(__xludf.DUMMYFUNCTION("""COMPUTED_VALUE"""),44355.7055555555)</f>
        <v>44355.705555555498</v>
      </c>
      <c r="H2765" s="111">
        <f ca="1">IFERROR(__xludf.DUMMYFUNCTION("""COMPUTED_VALUE"""),28.66)</f>
        <v>28.66</v>
      </c>
      <c r="K2765" s="112">
        <f ca="1">IFERROR(__xludf.DUMMYFUNCTION("""COMPUTED_VALUE"""),44797.7055555555)</f>
        <v>44797.705555555498</v>
      </c>
      <c r="L2765" s="111">
        <f ca="1">IFERROR(__xludf.DUMMYFUNCTION("""COMPUTED_VALUE"""),4.5)</f>
        <v>4.5</v>
      </c>
      <c r="M2765" s="112">
        <f ca="1">IFERROR(__xludf.DUMMYFUNCTION("""COMPUTED_VALUE"""),44263.7055555555)</f>
        <v>44263.705555555498</v>
      </c>
      <c r="N2765" s="111">
        <f ca="1">IFERROR(__xludf.DUMMYFUNCTION("""COMPUTED_VALUE"""),21.95)</f>
        <v>21.95</v>
      </c>
      <c r="O2765" s="112">
        <f ca="1">IFERROR(__xludf.DUMMYFUNCTION("""COMPUTED_VALUE"""),44337.7055555555)</f>
        <v>44337.705555555498</v>
      </c>
      <c r="P2765" s="111">
        <f ca="1">IFERROR(__xludf.DUMMYFUNCTION("""COMPUTED_VALUE"""),109.4)</f>
        <v>109.4</v>
      </c>
      <c r="Q2765" s="112">
        <f ca="1">IFERROR(__xludf.DUMMYFUNCTION("""COMPUTED_VALUE"""),44336.7055555555)</f>
        <v>44336.705555555498</v>
      </c>
      <c r="R2765" s="111">
        <f ca="1">IFERROR(__xludf.DUMMYFUNCTION("""COMPUTED_VALUE"""),32.8)</f>
        <v>32.799999999999997</v>
      </c>
      <c r="S2765" s="112">
        <f ca="1">IFERROR(__xludf.DUMMYFUNCTION("""COMPUTED_VALUE"""),44351.7055555555)</f>
        <v>44351.705555555498</v>
      </c>
      <c r="T2765" s="111">
        <f ca="1">IFERROR(__xludf.DUMMYFUNCTION("""COMPUTED_VALUE"""),43.73)</f>
        <v>43.73</v>
      </c>
    </row>
    <row r="2766" spans="1:20" x14ac:dyDescent="0.3">
      <c r="A2766" s="112">
        <f ca="1">IFERROR(__xludf.DUMMYFUNCTION("""COMPUTED_VALUE"""),44347.7055555555)</f>
        <v>44347.705555555498</v>
      </c>
      <c r="B2766" s="111">
        <f ca="1">IFERROR(__xludf.DUMMYFUNCTION("""COMPUTED_VALUE"""),43.37)</f>
        <v>43.37</v>
      </c>
      <c r="C2766" s="112">
        <f ca="1">IFERROR(__xludf.DUMMYFUNCTION("""COMPUTED_VALUE"""),44357.7055555555)</f>
        <v>44357.705555555498</v>
      </c>
      <c r="D2766" s="111">
        <f ca="1">IFERROR(__xludf.DUMMYFUNCTION("""COMPUTED_VALUE"""),33.14)</f>
        <v>33.14</v>
      </c>
      <c r="E2766" s="112">
        <f ca="1">IFERROR(__xludf.DUMMYFUNCTION("""COMPUTED_VALUE"""),44358.7055555555)</f>
        <v>44358.705555555498</v>
      </c>
      <c r="F2766" s="111">
        <f ca="1">IFERROR(__xludf.DUMMYFUNCTION("""COMPUTED_VALUE"""),11.17)</f>
        <v>11.17</v>
      </c>
      <c r="G2766" s="112">
        <f ca="1">IFERROR(__xludf.DUMMYFUNCTION("""COMPUTED_VALUE"""),44356.7055555555)</f>
        <v>44356.705555555498</v>
      </c>
      <c r="H2766" s="111">
        <f ca="1">IFERROR(__xludf.DUMMYFUNCTION("""COMPUTED_VALUE"""),28.66)</f>
        <v>28.66</v>
      </c>
      <c r="K2766" s="112">
        <f ca="1">IFERROR(__xludf.DUMMYFUNCTION("""COMPUTED_VALUE"""),44798.7055555555)</f>
        <v>44798.705555555498</v>
      </c>
      <c r="L2766" s="111">
        <f ca="1">IFERROR(__xludf.DUMMYFUNCTION("""COMPUTED_VALUE"""),4.68)</f>
        <v>4.68</v>
      </c>
      <c r="M2766" s="112">
        <f ca="1">IFERROR(__xludf.DUMMYFUNCTION("""COMPUTED_VALUE"""),44264.7055555555)</f>
        <v>44264.705555555498</v>
      </c>
      <c r="N2766" s="111">
        <f ca="1">IFERROR(__xludf.DUMMYFUNCTION("""COMPUTED_VALUE"""),22.14)</f>
        <v>22.14</v>
      </c>
      <c r="O2766" s="112">
        <f ca="1">IFERROR(__xludf.DUMMYFUNCTION("""COMPUTED_VALUE"""),44340.7055555555)</f>
        <v>44340.705555555498</v>
      </c>
      <c r="P2766" s="111">
        <f ca="1">IFERROR(__xludf.DUMMYFUNCTION("""COMPUTED_VALUE"""),109.78)</f>
        <v>109.78</v>
      </c>
      <c r="Q2766" s="112">
        <f ca="1">IFERROR(__xludf.DUMMYFUNCTION("""COMPUTED_VALUE"""),44337.7055555555)</f>
        <v>44337.705555555498</v>
      </c>
      <c r="R2766" s="111">
        <f ca="1">IFERROR(__xludf.DUMMYFUNCTION("""COMPUTED_VALUE"""),33.08)</f>
        <v>33.08</v>
      </c>
      <c r="S2766" s="112">
        <f ca="1">IFERROR(__xludf.DUMMYFUNCTION("""COMPUTED_VALUE"""),44354.7055555555)</f>
        <v>44354.705555555498</v>
      </c>
      <c r="T2766" s="111">
        <f ca="1">IFERROR(__xludf.DUMMYFUNCTION("""COMPUTED_VALUE"""),44)</f>
        <v>44</v>
      </c>
    </row>
    <row r="2767" spans="1:20" x14ac:dyDescent="0.3">
      <c r="A2767" s="112">
        <f ca="1">IFERROR(__xludf.DUMMYFUNCTION("""COMPUTED_VALUE"""),44348.7055555555)</f>
        <v>44348.705555555498</v>
      </c>
      <c r="B2767" s="111">
        <f ca="1">IFERROR(__xludf.DUMMYFUNCTION("""COMPUTED_VALUE"""),44.35)</f>
        <v>44.35</v>
      </c>
      <c r="C2767" s="112">
        <f ca="1">IFERROR(__xludf.DUMMYFUNCTION("""COMPUTED_VALUE"""),44358.7055555555)</f>
        <v>44358.705555555498</v>
      </c>
      <c r="D2767" s="111">
        <f ca="1">IFERROR(__xludf.DUMMYFUNCTION("""COMPUTED_VALUE"""),32.75)</f>
        <v>32.75</v>
      </c>
      <c r="E2767" s="112">
        <f ca="1">IFERROR(__xludf.DUMMYFUNCTION("""COMPUTED_VALUE"""),44361.7055555555)</f>
        <v>44361.705555555498</v>
      </c>
      <c r="F2767" s="111">
        <f ca="1">IFERROR(__xludf.DUMMYFUNCTION("""COMPUTED_VALUE"""),11.23)</f>
        <v>11.23</v>
      </c>
      <c r="G2767" s="112">
        <f ca="1">IFERROR(__xludf.DUMMYFUNCTION("""COMPUTED_VALUE"""),44357.7055555555)</f>
        <v>44357.705555555498</v>
      </c>
      <c r="H2767" s="111">
        <f ca="1">IFERROR(__xludf.DUMMYFUNCTION("""COMPUTED_VALUE"""),28.68)</f>
        <v>28.68</v>
      </c>
      <c r="K2767" s="112">
        <f ca="1">IFERROR(__xludf.DUMMYFUNCTION("""COMPUTED_VALUE"""),44799.7055555555)</f>
        <v>44799.705555555498</v>
      </c>
      <c r="L2767" s="111">
        <f ca="1">IFERROR(__xludf.DUMMYFUNCTION("""COMPUTED_VALUE"""),4.58)</f>
        <v>4.58</v>
      </c>
      <c r="M2767" s="112">
        <f ca="1">IFERROR(__xludf.DUMMYFUNCTION("""COMPUTED_VALUE"""),44265.7055555555)</f>
        <v>44265.705555555498</v>
      </c>
      <c r="N2767" s="111">
        <f ca="1">IFERROR(__xludf.DUMMYFUNCTION("""COMPUTED_VALUE"""),22.51)</f>
        <v>22.51</v>
      </c>
      <c r="O2767" s="112">
        <f ca="1">IFERROR(__xludf.DUMMYFUNCTION("""COMPUTED_VALUE"""),44341.7055555555)</f>
        <v>44341.705555555498</v>
      </c>
      <c r="P2767" s="111">
        <f ca="1">IFERROR(__xludf.DUMMYFUNCTION("""COMPUTED_VALUE"""),107.05)</f>
        <v>107.05</v>
      </c>
      <c r="Q2767" s="112">
        <f ca="1">IFERROR(__xludf.DUMMYFUNCTION("""COMPUTED_VALUE"""),44340.7055555555)</f>
        <v>44340.705555555498</v>
      </c>
      <c r="R2767" s="111">
        <f ca="1">IFERROR(__xludf.DUMMYFUNCTION("""COMPUTED_VALUE"""),32.88)</f>
        <v>32.880000000000003</v>
      </c>
      <c r="S2767" s="112">
        <f ca="1">IFERROR(__xludf.DUMMYFUNCTION("""COMPUTED_VALUE"""),44355.7055555555)</f>
        <v>44355.705555555498</v>
      </c>
      <c r="T2767" s="111">
        <f ca="1">IFERROR(__xludf.DUMMYFUNCTION("""COMPUTED_VALUE"""),44.35)</f>
        <v>44.35</v>
      </c>
    </row>
    <row r="2768" spans="1:20" x14ac:dyDescent="0.3">
      <c r="A2768" s="112">
        <f ca="1">IFERROR(__xludf.DUMMYFUNCTION("""COMPUTED_VALUE"""),44349.7055555555)</f>
        <v>44349.705555555498</v>
      </c>
      <c r="B2768" s="111">
        <f ca="1">IFERROR(__xludf.DUMMYFUNCTION("""COMPUTED_VALUE"""),44.52)</f>
        <v>44.52</v>
      </c>
      <c r="C2768" s="112">
        <f ca="1">IFERROR(__xludf.DUMMYFUNCTION("""COMPUTED_VALUE"""),44361.7055555555)</f>
        <v>44361.705555555498</v>
      </c>
      <c r="D2768" s="111">
        <f ca="1">IFERROR(__xludf.DUMMYFUNCTION("""COMPUTED_VALUE"""),32.64)</f>
        <v>32.64</v>
      </c>
      <c r="E2768" s="112">
        <f ca="1">IFERROR(__xludf.DUMMYFUNCTION("""COMPUTED_VALUE"""),44362.7055555555)</f>
        <v>44362.705555555498</v>
      </c>
      <c r="F2768" s="111">
        <f ca="1">IFERROR(__xludf.DUMMYFUNCTION("""COMPUTED_VALUE"""),11.26)</f>
        <v>11.26</v>
      </c>
      <c r="G2768" s="112">
        <f ca="1">IFERROR(__xludf.DUMMYFUNCTION("""COMPUTED_VALUE"""),44358.7055555555)</f>
        <v>44358.705555555498</v>
      </c>
      <c r="H2768" s="111">
        <f ca="1">IFERROR(__xludf.DUMMYFUNCTION("""COMPUTED_VALUE"""),28.57)</f>
        <v>28.57</v>
      </c>
      <c r="K2768" s="112">
        <f ca="1">IFERROR(__xludf.DUMMYFUNCTION("""COMPUTED_VALUE"""),44802.7055555555)</f>
        <v>44802.705555555498</v>
      </c>
      <c r="L2768" s="111">
        <f ca="1">IFERROR(__xludf.DUMMYFUNCTION("""COMPUTED_VALUE"""),4.52)</f>
        <v>4.5199999999999996</v>
      </c>
      <c r="M2768" s="112">
        <f ca="1">IFERROR(__xludf.DUMMYFUNCTION("""COMPUTED_VALUE"""),44266.7055555555)</f>
        <v>44266.705555555498</v>
      </c>
      <c r="N2768" s="111">
        <f ca="1">IFERROR(__xludf.DUMMYFUNCTION("""COMPUTED_VALUE"""),22.9)</f>
        <v>22.9</v>
      </c>
      <c r="O2768" s="112">
        <f ca="1">IFERROR(__xludf.DUMMYFUNCTION("""COMPUTED_VALUE"""),44342.7055555555)</f>
        <v>44342.705555555498</v>
      </c>
      <c r="P2768" s="111">
        <f ca="1">IFERROR(__xludf.DUMMYFUNCTION("""COMPUTED_VALUE"""),110.2)</f>
        <v>110.2</v>
      </c>
      <c r="Q2768" s="112">
        <f ca="1">IFERROR(__xludf.DUMMYFUNCTION("""COMPUTED_VALUE"""),44341.7055555555)</f>
        <v>44341.705555555498</v>
      </c>
      <c r="R2768" s="111">
        <f ca="1">IFERROR(__xludf.DUMMYFUNCTION("""COMPUTED_VALUE"""),32.44)</f>
        <v>32.44</v>
      </c>
      <c r="S2768" s="112">
        <f ca="1">IFERROR(__xludf.DUMMYFUNCTION("""COMPUTED_VALUE"""),44356.7055555555)</f>
        <v>44356.705555555498</v>
      </c>
      <c r="T2768" s="111">
        <f ca="1">IFERROR(__xludf.DUMMYFUNCTION("""COMPUTED_VALUE"""),43.55)</f>
        <v>43.55</v>
      </c>
    </row>
    <row r="2769" spans="1:20" x14ac:dyDescent="0.3">
      <c r="A2769" s="112">
        <f ca="1">IFERROR(__xludf.DUMMYFUNCTION("""COMPUTED_VALUE"""),44351.7055555555)</f>
        <v>44351.705555555498</v>
      </c>
      <c r="B2769" s="111">
        <f ca="1">IFERROR(__xludf.DUMMYFUNCTION("""COMPUTED_VALUE"""),45.12)</f>
        <v>45.12</v>
      </c>
      <c r="C2769" s="112">
        <f ca="1">IFERROR(__xludf.DUMMYFUNCTION("""COMPUTED_VALUE"""),44362.7055555555)</f>
        <v>44362.705555555498</v>
      </c>
      <c r="D2769" s="111">
        <f ca="1">IFERROR(__xludf.DUMMYFUNCTION("""COMPUTED_VALUE"""),32.64)</f>
        <v>32.64</v>
      </c>
      <c r="E2769" s="112">
        <f ca="1">IFERROR(__xludf.DUMMYFUNCTION("""COMPUTED_VALUE"""),44363.7055555555)</f>
        <v>44363.705555555498</v>
      </c>
      <c r="F2769" s="111">
        <f ca="1">IFERROR(__xludf.DUMMYFUNCTION("""COMPUTED_VALUE"""),11.36)</f>
        <v>11.36</v>
      </c>
      <c r="G2769" s="112">
        <f ca="1">IFERROR(__xludf.DUMMYFUNCTION("""COMPUTED_VALUE"""),44361.7055555555)</f>
        <v>44361.705555555498</v>
      </c>
      <c r="H2769" s="111">
        <f ca="1">IFERROR(__xludf.DUMMYFUNCTION("""COMPUTED_VALUE"""),28.75)</f>
        <v>28.75</v>
      </c>
      <c r="K2769" s="112">
        <f ca="1">IFERROR(__xludf.DUMMYFUNCTION("""COMPUTED_VALUE"""),44803.7055555555)</f>
        <v>44803.705555555498</v>
      </c>
      <c r="L2769" s="111">
        <f ca="1">IFERROR(__xludf.DUMMYFUNCTION("""COMPUTED_VALUE"""),4.51)</f>
        <v>4.51</v>
      </c>
      <c r="M2769" s="112">
        <f ca="1">IFERROR(__xludf.DUMMYFUNCTION("""COMPUTED_VALUE"""),44267.8125)</f>
        <v>44267.8125</v>
      </c>
      <c r="N2769" s="111">
        <f ca="1">IFERROR(__xludf.DUMMYFUNCTION("""COMPUTED_VALUE"""),22.75)</f>
        <v>22.75</v>
      </c>
      <c r="O2769" s="112">
        <f ca="1">IFERROR(__xludf.DUMMYFUNCTION("""COMPUTED_VALUE"""),44343.7055555555)</f>
        <v>44343.705555555498</v>
      </c>
      <c r="P2769" s="111">
        <f ca="1">IFERROR(__xludf.DUMMYFUNCTION("""COMPUTED_VALUE"""),110.99)</f>
        <v>110.99</v>
      </c>
      <c r="Q2769" s="112">
        <f ca="1">IFERROR(__xludf.DUMMYFUNCTION("""COMPUTED_VALUE"""),44342.7055555555)</f>
        <v>44342.705555555498</v>
      </c>
      <c r="R2769" s="111">
        <f ca="1">IFERROR(__xludf.DUMMYFUNCTION("""COMPUTED_VALUE"""),32.98)</f>
        <v>32.979999999999997</v>
      </c>
      <c r="S2769" s="112">
        <f ca="1">IFERROR(__xludf.DUMMYFUNCTION("""COMPUTED_VALUE"""),44357.7055555555)</f>
        <v>44357.705555555498</v>
      </c>
      <c r="T2769" s="111">
        <f ca="1">IFERROR(__xludf.DUMMYFUNCTION("""COMPUTED_VALUE"""),43.29)</f>
        <v>43.29</v>
      </c>
    </row>
    <row r="2770" spans="1:20" x14ac:dyDescent="0.3">
      <c r="A2770" s="112">
        <f ca="1">IFERROR(__xludf.DUMMYFUNCTION("""COMPUTED_VALUE"""),44354.7055555555)</f>
        <v>44354.705555555498</v>
      </c>
      <c r="B2770" s="111">
        <f ca="1">IFERROR(__xludf.DUMMYFUNCTION("""COMPUTED_VALUE"""),45.88)</f>
        <v>45.88</v>
      </c>
      <c r="C2770" s="112">
        <f ca="1">IFERROR(__xludf.DUMMYFUNCTION("""COMPUTED_VALUE"""),44363.7055555555)</f>
        <v>44363.705555555498</v>
      </c>
      <c r="D2770" s="111">
        <f ca="1">IFERROR(__xludf.DUMMYFUNCTION("""COMPUTED_VALUE"""),33.29)</f>
        <v>33.29</v>
      </c>
      <c r="E2770" s="112">
        <f ca="1">IFERROR(__xludf.DUMMYFUNCTION("""COMPUTED_VALUE"""),44364.7055555555)</f>
        <v>44364.705555555498</v>
      </c>
      <c r="F2770" s="111">
        <f ca="1">IFERROR(__xludf.DUMMYFUNCTION("""COMPUTED_VALUE"""),11.26)</f>
        <v>11.26</v>
      </c>
      <c r="G2770" s="112">
        <f ca="1">IFERROR(__xludf.DUMMYFUNCTION("""COMPUTED_VALUE"""),44362.7055555555)</f>
        <v>44362.705555555498</v>
      </c>
      <c r="H2770" s="111">
        <f ca="1">IFERROR(__xludf.DUMMYFUNCTION("""COMPUTED_VALUE"""),29.03)</f>
        <v>29.03</v>
      </c>
      <c r="K2770" s="112">
        <f ca="1">IFERROR(__xludf.DUMMYFUNCTION("""COMPUTED_VALUE"""),44804.7055555555)</f>
        <v>44804.705555555498</v>
      </c>
      <c r="L2770" s="111">
        <f ca="1">IFERROR(__xludf.DUMMYFUNCTION("""COMPUTED_VALUE"""),4.27)</f>
        <v>4.2699999999999996</v>
      </c>
      <c r="M2770" s="112">
        <f ca="1">IFERROR(__xludf.DUMMYFUNCTION("""COMPUTED_VALUE"""),44270.7055555555)</f>
        <v>44270.705555555498</v>
      </c>
      <c r="N2770" s="111">
        <f ca="1">IFERROR(__xludf.DUMMYFUNCTION("""COMPUTED_VALUE"""),23.06)</f>
        <v>23.06</v>
      </c>
      <c r="O2770" s="112">
        <f ca="1">IFERROR(__xludf.DUMMYFUNCTION("""COMPUTED_VALUE"""),44344.7055555555)</f>
        <v>44344.705555555498</v>
      </c>
      <c r="P2770" s="111">
        <f ca="1">IFERROR(__xludf.DUMMYFUNCTION("""COMPUTED_VALUE"""),111.59)</f>
        <v>111.59</v>
      </c>
      <c r="Q2770" s="112">
        <f ca="1">IFERROR(__xludf.DUMMYFUNCTION("""COMPUTED_VALUE"""),44343.7055555555)</f>
        <v>44343.705555555498</v>
      </c>
      <c r="R2770" s="111">
        <f ca="1">IFERROR(__xludf.DUMMYFUNCTION("""COMPUTED_VALUE"""),33.43)</f>
        <v>33.43</v>
      </c>
      <c r="S2770" s="112">
        <f ca="1">IFERROR(__xludf.DUMMYFUNCTION("""COMPUTED_VALUE"""),44358.7055555555)</f>
        <v>44358.705555555498</v>
      </c>
      <c r="T2770" s="111">
        <f ca="1">IFERROR(__xludf.DUMMYFUNCTION("""COMPUTED_VALUE"""),42.22)</f>
        <v>42.22</v>
      </c>
    </row>
    <row r="2771" spans="1:20" x14ac:dyDescent="0.3">
      <c r="A2771" s="112">
        <f ca="1">IFERROR(__xludf.DUMMYFUNCTION("""COMPUTED_VALUE"""),44355.7055555555)</f>
        <v>44355.705555555498</v>
      </c>
      <c r="B2771" s="111">
        <f ca="1">IFERROR(__xludf.DUMMYFUNCTION("""COMPUTED_VALUE"""),44.75)</f>
        <v>44.75</v>
      </c>
      <c r="C2771" s="112">
        <f ca="1">IFERROR(__xludf.DUMMYFUNCTION("""COMPUTED_VALUE"""),44364.7055555555)</f>
        <v>44364.705555555498</v>
      </c>
      <c r="D2771" s="111">
        <f ca="1">IFERROR(__xludf.DUMMYFUNCTION("""COMPUTED_VALUE"""),32.9)</f>
        <v>32.9</v>
      </c>
      <c r="E2771" s="112">
        <f ca="1">IFERROR(__xludf.DUMMYFUNCTION("""COMPUTED_VALUE"""),44365.7055555555)</f>
        <v>44365.705555555498</v>
      </c>
      <c r="F2771" s="111">
        <f ca="1">IFERROR(__xludf.DUMMYFUNCTION("""COMPUTED_VALUE"""),11.15)</f>
        <v>11.15</v>
      </c>
      <c r="G2771" s="112">
        <f ca="1">IFERROR(__xludf.DUMMYFUNCTION("""COMPUTED_VALUE"""),44363.7055555555)</f>
        <v>44363.705555555498</v>
      </c>
      <c r="H2771" s="111">
        <f ca="1">IFERROR(__xludf.DUMMYFUNCTION("""COMPUTED_VALUE"""),29.14)</f>
        <v>29.14</v>
      </c>
      <c r="K2771" s="112">
        <f ca="1">IFERROR(__xludf.DUMMYFUNCTION("""COMPUTED_VALUE"""),44805.7055555555)</f>
        <v>44805.705555555498</v>
      </c>
      <c r="L2771" s="111">
        <f ca="1">IFERROR(__xludf.DUMMYFUNCTION("""COMPUTED_VALUE"""),4.37)</f>
        <v>4.37</v>
      </c>
      <c r="M2771" s="112">
        <f ca="1">IFERROR(__xludf.DUMMYFUNCTION("""COMPUTED_VALUE"""),44271.7055555555)</f>
        <v>44271.705555555498</v>
      </c>
      <c r="N2771" s="111">
        <f ca="1">IFERROR(__xludf.DUMMYFUNCTION("""COMPUTED_VALUE"""),22.68)</f>
        <v>22.68</v>
      </c>
      <c r="O2771" s="112">
        <f ca="1">IFERROR(__xludf.DUMMYFUNCTION("""COMPUTED_VALUE"""),44347.7055555555)</f>
        <v>44347.705555555498</v>
      </c>
      <c r="P2771" s="111">
        <f ca="1">IFERROR(__xludf.DUMMYFUNCTION("""COMPUTED_VALUE"""),114.78)</f>
        <v>114.78</v>
      </c>
      <c r="Q2771" s="112">
        <f ca="1">IFERROR(__xludf.DUMMYFUNCTION("""COMPUTED_VALUE"""),44344.7055555555)</f>
        <v>44344.705555555498</v>
      </c>
      <c r="R2771" s="111">
        <f ca="1">IFERROR(__xludf.DUMMYFUNCTION("""COMPUTED_VALUE"""),33.54)</f>
        <v>33.54</v>
      </c>
      <c r="S2771" s="112">
        <f ca="1">IFERROR(__xludf.DUMMYFUNCTION("""COMPUTED_VALUE"""),44361.7055555555)</f>
        <v>44361.705555555498</v>
      </c>
      <c r="T2771" s="111">
        <f ca="1">IFERROR(__xludf.DUMMYFUNCTION("""COMPUTED_VALUE"""),43.57)</f>
        <v>43.57</v>
      </c>
    </row>
    <row r="2772" spans="1:20" x14ac:dyDescent="0.3">
      <c r="A2772" s="112">
        <f ca="1">IFERROR(__xludf.DUMMYFUNCTION("""COMPUTED_VALUE"""),44356.7055555555)</f>
        <v>44356.705555555498</v>
      </c>
      <c r="B2772" s="111">
        <f ca="1">IFERROR(__xludf.DUMMYFUNCTION("""COMPUTED_VALUE"""),44.74)</f>
        <v>44.74</v>
      </c>
      <c r="C2772" s="112">
        <f ca="1">IFERROR(__xludf.DUMMYFUNCTION("""COMPUTED_VALUE"""),44365.7055555555)</f>
        <v>44365.705555555498</v>
      </c>
      <c r="D2772" s="111">
        <f ca="1">IFERROR(__xludf.DUMMYFUNCTION("""COMPUTED_VALUE"""),32.3)</f>
        <v>32.299999999999997</v>
      </c>
      <c r="E2772" s="112">
        <f ca="1">IFERROR(__xludf.DUMMYFUNCTION("""COMPUTED_VALUE"""),44368.7055555555)</f>
        <v>44368.705555555498</v>
      </c>
      <c r="F2772" s="111">
        <f ca="1">IFERROR(__xludf.DUMMYFUNCTION("""COMPUTED_VALUE"""),11.18)</f>
        <v>11.18</v>
      </c>
      <c r="G2772" s="112">
        <f ca="1">IFERROR(__xludf.DUMMYFUNCTION("""COMPUTED_VALUE"""),44364.7055555555)</f>
        <v>44364.705555555498</v>
      </c>
      <c r="H2772" s="111">
        <f ca="1">IFERROR(__xludf.DUMMYFUNCTION("""COMPUTED_VALUE"""),28.13)</f>
        <v>28.13</v>
      </c>
      <c r="K2772" s="112">
        <f ca="1">IFERROR(__xludf.DUMMYFUNCTION("""COMPUTED_VALUE"""),44806.7055555555)</f>
        <v>44806.705555555498</v>
      </c>
      <c r="L2772" s="111">
        <f ca="1">IFERROR(__xludf.DUMMYFUNCTION("""COMPUTED_VALUE"""),4.26)</f>
        <v>4.26</v>
      </c>
      <c r="M2772" s="112">
        <f ca="1">IFERROR(__xludf.DUMMYFUNCTION("""COMPUTED_VALUE"""),44272.7055555555)</f>
        <v>44272.705555555498</v>
      </c>
      <c r="N2772" s="111">
        <f ca="1">IFERROR(__xludf.DUMMYFUNCTION("""COMPUTED_VALUE"""),23.63)</f>
        <v>23.63</v>
      </c>
      <c r="O2772" s="112">
        <f ca="1">IFERROR(__xludf.DUMMYFUNCTION("""COMPUTED_VALUE"""),44348.7055555555)</f>
        <v>44348.705555555498</v>
      </c>
      <c r="P2772" s="111">
        <f ca="1">IFERROR(__xludf.DUMMYFUNCTION("""COMPUTED_VALUE"""),113.2)</f>
        <v>113.2</v>
      </c>
      <c r="Q2772" s="112">
        <f ca="1">IFERROR(__xludf.DUMMYFUNCTION("""COMPUTED_VALUE"""),44347.7055555555)</f>
        <v>44347.705555555498</v>
      </c>
      <c r="R2772" s="111">
        <f ca="1">IFERROR(__xludf.DUMMYFUNCTION("""COMPUTED_VALUE"""),33.49)</f>
        <v>33.49</v>
      </c>
      <c r="S2772" s="112">
        <f ca="1">IFERROR(__xludf.DUMMYFUNCTION("""COMPUTED_VALUE"""),44362.7055555555)</f>
        <v>44362.705555555498</v>
      </c>
      <c r="T2772" s="111">
        <f ca="1">IFERROR(__xludf.DUMMYFUNCTION("""COMPUTED_VALUE"""),43.23)</f>
        <v>43.23</v>
      </c>
    </row>
    <row r="2773" spans="1:20" x14ac:dyDescent="0.3">
      <c r="A2773" s="112">
        <f ca="1">IFERROR(__xludf.DUMMYFUNCTION("""COMPUTED_VALUE"""),44357.7055555555)</f>
        <v>44357.705555555498</v>
      </c>
      <c r="B2773" s="111">
        <f ca="1">IFERROR(__xludf.DUMMYFUNCTION("""COMPUTED_VALUE"""),44.84)</f>
        <v>44.84</v>
      </c>
      <c r="C2773" s="112">
        <f ca="1">IFERROR(__xludf.DUMMYFUNCTION("""COMPUTED_VALUE"""),44368.7055555555)</f>
        <v>44368.705555555498</v>
      </c>
      <c r="D2773" s="111">
        <f ca="1">IFERROR(__xludf.DUMMYFUNCTION("""COMPUTED_VALUE"""),32.45)</f>
        <v>32.450000000000003</v>
      </c>
      <c r="E2773" s="112">
        <f ca="1">IFERROR(__xludf.DUMMYFUNCTION("""COMPUTED_VALUE"""),44369.7055555555)</f>
        <v>44369.705555555498</v>
      </c>
      <c r="F2773" s="111">
        <f ca="1">IFERROR(__xludf.DUMMYFUNCTION("""COMPUTED_VALUE"""),11.27)</f>
        <v>11.27</v>
      </c>
      <c r="G2773" s="112">
        <f ca="1">IFERROR(__xludf.DUMMYFUNCTION("""COMPUTED_VALUE"""),44365.7055555555)</f>
        <v>44365.705555555498</v>
      </c>
      <c r="H2773" s="111">
        <f ca="1">IFERROR(__xludf.DUMMYFUNCTION("""COMPUTED_VALUE"""),28.32)</f>
        <v>28.32</v>
      </c>
      <c r="K2773" s="112">
        <f ca="1">IFERROR(__xludf.DUMMYFUNCTION("""COMPUTED_VALUE"""),44809.7055555555)</f>
        <v>44809.705555555498</v>
      </c>
      <c r="L2773" s="111">
        <f ca="1">IFERROR(__xludf.DUMMYFUNCTION("""COMPUTED_VALUE"""),4.32)</f>
        <v>4.32</v>
      </c>
      <c r="M2773" s="112">
        <f ca="1">IFERROR(__xludf.DUMMYFUNCTION("""COMPUTED_VALUE"""),44273.7055555555)</f>
        <v>44273.705555555498</v>
      </c>
      <c r="N2773" s="111">
        <f ca="1">IFERROR(__xludf.DUMMYFUNCTION("""COMPUTED_VALUE"""),24.06)</f>
        <v>24.06</v>
      </c>
      <c r="O2773" s="112">
        <f ca="1">IFERROR(__xludf.DUMMYFUNCTION("""COMPUTED_VALUE"""),44349.7055555555)</f>
        <v>44349.705555555498</v>
      </c>
      <c r="P2773" s="111">
        <f ca="1">IFERROR(__xludf.DUMMYFUNCTION("""COMPUTED_VALUE"""),114.8)</f>
        <v>114.8</v>
      </c>
      <c r="Q2773" s="112">
        <f ca="1">IFERROR(__xludf.DUMMYFUNCTION("""COMPUTED_VALUE"""),44348.7055555555)</f>
        <v>44348.705555555498</v>
      </c>
      <c r="R2773" s="111">
        <f ca="1">IFERROR(__xludf.DUMMYFUNCTION("""COMPUTED_VALUE"""),33.98)</f>
        <v>33.979999999999997</v>
      </c>
      <c r="S2773" s="112">
        <f ca="1">IFERROR(__xludf.DUMMYFUNCTION("""COMPUTED_VALUE"""),44363.7055555555)</f>
        <v>44363.705555555498</v>
      </c>
      <c r="T2773" s="111">
        <f ca="1">IFERROR(__xludf.DUMMYFUNCTION("""COMPUTED_VALUE"""),42.38)</f>
        <v>42.38</v>
      </c>
    </row>
    <row r="2774" spans="1:20" x14ac:dyDescent="0.3">
      <c r="A2774" s="112">
        <f ca="1">IFERROR(__xludf.DUMMYFUNCTION("""COMPUTED_VALUE"""),44358.7055555555)</f>
        <v>44358.705555555498</v>
      </c>
      <c r="B2774" s="111">
        <f ca="1">IFERROR(__xludf.DUMMYFUNCTION("""COMPUTED_VALUE"""),44.91)</f>
        <v>44.91</v>
      </c>
      <c r="C2774" s="112">
        <f ca="1">IFERROR(__xludf.DUMMYFUNCTION("""COMPUTED_VALUE"""),44369.7055555555)</f>
        <v>44369.705555555498</v>
      </c>
      <c r="D2774" s="111">
        <f ca="1">IFERROR(__xludf.DUMMYFUNCTION("""COMPUTED_VALUE"""),32.03)</f>
        <v>32.03</v>
      </c>
      <c r="E2774" s="112">
        <f ca="1">IFERROR(__xludf.DUMMYFUNCTION("""COMPUTED_VALUE"""),44370.7055555555)</f>
        <v>44370.705555555498</v>
      </c>
      <c r="F2774" s="111">
        <f ca="1">IFERROR(__xludf.DUMMYFUNCTION("""COMPUTED_VALUE"""),11.16)</f>
        <v>11.16</v>
      </c>
      <c r="G2774" s="112">
        <f ca="1">IFERROR(__xludf.DUMMYFUNCTION("""COMPUTED_VALUE"""),44368.7055555555)</f>
        <v>44368.705555555498</v>
      </c>
      <c r="H2774" s="111">
        <f ca="1">IFERROR(__xludf.DUMMYFUNCTION("""COMPUTED_VALUE"""),28.95)</f>
        <v>28.95</v>
      </c>
      <c r="K2774" s="112">
        <f ca="1">IFERROR(__xludf.DUMMYFUNCTION("""COMPUTED_VALUE"""),44810.7055555555)</f>
        <v>44810.705555555498</v>
      </c>
      <c r="L2774" s="111">
        <f ca="1">IFERROR(__xludf.DUMMYFUNCTION("""COMPUTED_VALUE"""),4)</f>
        <v>4</v>
      </c>
      <c r="M2774" s="112">
        <f ca="1">IFERROR(__xludf.DUMMYFUNCTION("""COMPUTED_VALUE"""),44274.7055555555)</f>
        <v>44274.705555555498</v>
      </c>
      <c r="N2774" s="111">
        <f ca="1">IFERROR(__xludf.DUMMYFUNCTION("""COMPUTED_VALUE"""),24.31)</f>
        <v>24.31</v>
      </c>
      <c r="O2774" s="112">
        <f ca="1">IFERROR(__xludf.DUMMYFUNCTION("""COMPUTED_VALUE"""),44351.7055555555)</f>
        <v>44351.705555555498</v>
      </c>
      <c r="P2774" s="111">
        <f ca="1">IFERROR(__xludf.DUMMYFUNCTION("""COMPUTED_VALUE"""),112.9)</f>
        <v>112.9</v>
      </c>
      <c r="Q2774" s="112">
        <f ca="1">IFERROR(__xludf.DUMMYFUNCTION("""COMPUTED_VALUE"""),44349.7055555555)</f>
        <v>44349.705555555498</v>
      </c>
      <c r="R2774" s="111">
        <f ca="1">IFERROR(__xludf.DUMMYFUNCTION("""COMPUTED_VALUE"""),35.2)</f>
        <v>35.200000000000003</v>
      </c>
      <c r="S2774" s="112">
        <f ca="1">IFERROR(__xludf.DUMMYFUNCTION("""COMPUTED_VALUE"""),44364.7055555555)</f>
        <v>44364.705555555498</v>
      </c>
      <c r="T2774" s="111">
        <f ca="1">IFERROR(__xludf.DUMMYFUNCTION("""COMPUTED_VALUE"""),42.09)</f>
        <v>42.09</v>
      </c>
    </row>
    <row r="2775" spans="1:20" x14ac:dyDescent="0.3">
      <c r="A2775" s="112">
        <f ca="1">IFERROR(__xludf.DUMMYFUNCTION("""COMPUTED_VALUE"""),44361.7055555555)</f>
        <v>44361.705555555498</v>
      </c>
      <c r="B2775" s="111">
        <f ca="1">IFERROR(__xludf.DUMMYFUNCTION("""COMPUTED_VALUE"""),44.84)</f>
        <v>44.84</v>
      </c>
      <c r="C2775" s="112">
        <f ca="1">IFERROR(__xludf.DUMMYFUNCTION("""COMPUTED_VALUE"""),44370.7055555555)</f>
        <v>44370.705555555498</v>
      </c>
      <c r="D2775" s="111">
        <f ca="1">IFERROR(__xludf.DUMMYFUNCTION("""COMPUTED_VALUE"""),31.8)</f>
        <v>31.8</v>
      </c>
      <c r="E2775" s="112">
        <f ca="1">IFERROR(__xludf.DUMMYFUNCTION("""COMPUTED_VALUE"""),44371.7055555555)</f>
        <v>44371.705555555498</v>
      </c>
      <c r="F2775" s="111">
        <f ca="1">IFERROR(__xludf.DUMMYFUNCTION("""COMPUTED_VALUE"""),11.2)</f>
        <v>11.2</v>
      </c>
      <c r="G2775" s="112">
        <f ca="1">IFERROR(__xludf.DUMMYFUNCTION("""COMPUTED_VALUE"""),44369.7055555555)</f>
        <v>44369.705555555498</v>
      </c>
      <c r="H2775" s="111">
        <f ca="1">IFERROR(__xludf.DUMMYFUNCTION("""COMPUTED_VALUE"""),29.1)</f>
        <v>29.1</v>
      </c>
      <c r="K2775" s="112">
        <f ca="1">IFERROR(__xludf.DUMMYFUNCTION("""COMPUTED_VALUE"""),44812.7055555555)</f>
        <v>44812.705555555498</v>
      </c>
      <c r="L2775" s="111">
        <f ca="1">IFERROR(__xludf.DUMMYFUNCTION("""COMPUTED_VALUE"""),4.29)</f>
        <v>4.29</v>
      </c>
      <c r="M2775" s="112">
        <f ca="1">IFERROR(__xludf.DUMMYFUNCTION("""COMPUTED_VALUE"""),44277.7055555555)</f>
        <v>44277.705555555498</v>
      </c>
      <c r="N2775" s="111">
        <f ca="1">IFERROR(__xludf.DUMMYFUNCTION("""COMPUTED_VALUE"""),24.18)</f>
        <v>24.18</v>
      </c>
      <c r="O2775" s="112">
        <f ca="1">IFERROR(__xludf.DUMMYFUNCTION("""COMPUTED_VALUE"""),44354.7055555555)</f>
        <v>44354.705555555498</v>
      </c>
      <c r="P2775" s="111">
        <f ca="1">IFERROR(__xludf.DUMMYFUNCTION("""COMPUTED_VALUE"""),111.8)</f>
        <v>111.8</v>
      </c>
      <c r="Q2775" s="112">
        <f ca="1">IFERROR(__xludf.DUMMYFUNCTION("""COMPUTED_VALUE"""),44351.7055555555)</f>
        <v>44351.705555555498</v>
      </c>
      <c r="R2775" s="111">
        <f ca="1">IFERROR(__xludf.DUMMYFUNCTION("""COMPUTED_VALUE"""),35.75)</f>
        <v>35.75</v>
      </c>
      <c r="S2775" s="112">
        <f ca="1">IFERROR(__xludf.DUMMYFUNCTION("""COMPUTED_VALUE"""),44365.7055555555)</f>
        <v>44365.705555555498</v>
      </c>
      <c r="T2775" s="111">
        <f ca="1">IFERROR(__xludf.DUMMYFUNCTION("""COMPUTED_VALUE"""),42.27)</f>
        <v>42.27</v>
      </c>
    </row>
    <row r="2776" spans="1:20" x14ac:dyDescent="0.3">
      <c r="A2776" s="112">
        <f ca="1">IFERROR(__xludf.DUMMYFUNCTION("""COMPUTED_VALUE"""),44362.7055555555)</f>
        <v>44362.705555555498</v>
      </c>
      <c r="B2776" s="111">
        <f ca="1">IFERROR(__xludf.DUMMYFUNCTION("""COMPUTED_VALUE"""),44.15)</f>
        <v>44.15</v>
      </c>
      <c r="C2776" s="112">
        <f ca="1">IFERROR(__xludf.DUMMYFUNCTION("""COMPUTED_VALUE"""),44371.7055555555)</f>
        <v>44371.705555555498</v>
      </c>
      <c r="D2776" s="111">
        <f ca="1">IFERROR(__xludf.DUMMYFUNCTION("""COMPUTED_VALUE"""),31.81)</f>
        <v>31.81</v>
      </c>
      <c r="E2776" s="112">
        <f ca="1">IFERROR(__xludf.DUMMYFUNCTION("""COMPUTED_VALUE"""),44372.7055555555)</f>
        <v>44372.705555555498</v>
      </c>
      <c r="F2776" s="111">
        <f ca="1">IFERROR(__xludf.DUMMYFUNCTION("""COMPUTED_VALUE"""),10.93)</f>
        <v>10.93</v>
      </c>
      <c r="G2776" s="112">
        <f ca="1">IFERROR(__xludf.DUMMYFUNCTION("""COMPUTED_VALUE"""),44370.7055555555)</f>
        <v>44370.705555555498</v>
      </c>
      <c r="H2776" s="111">
        <f ca="1">IFERROR(__xludf.DUMMYFUNCTION("""COMPUTED_VALUE"""),29.3)</f>
        <v>29.3</v>
      </c>
      <c r="K2776" s="112">
        <f ca="1">IFERROR(__xludf.DUMMYFUNCTION("""COMPUTED_VALUE"""),44813.7055555555)</f>
        <v>44813.705555555498</v>
      </c>
      <c r="L2776" s="111">
        <f ca="1">IFERROR(__xludf.DUMMYFUNCTION("""COMPUTED_VALUE"""),4.38)</f>
        <v>4.38</v>
      </c>
      <c r="M2776" s="112">
        <f ca="1">IFERROR(__xludf.DUMMYFUNCTION("""COMPUTED_VALUE"""),44278.7055555555)</f>
        <v>44278.705555555498</v>
      </c>
      <c r="N2776" s="111">
        <f ca="1">IFERROR(__xludf.DUMMYFUNCTION("""COMPUTED_VALUE"""),23.92)</f>
        <v>23.92</v>
      </c>
      <c r="O2776" s="112">
        <f ca="1">IFERROR(__xludf.DUMMYFUNCTION("""COMPUTED_VALUE"""),44355.7055555555)</f>
        <v>44355.705555555498</v>
      </c>
      <c r="P2776" s="111">
        <f ca="1">IFERROR(__xludf.DUMMYFUNCTION("""COMPUTED_VALUE"""),109.92)</f>
        <v>109.92</v>
      </c>
      <c r="Q2776" s="112">
        <f ca="1">IFERROR(__xludf.DUMMYFUNCTION("""COMPUTED_VALUE"""),44354.7055555555)</f>
        <v>44354.705555555498</v>
      </c>
      <c r="R2776" s="111">
        <f ca="1">IFERROR(__xludf.DUMMYFUNCTION("""COMPUTED_VALUE"""),36.52)</f>
        <v>36.520000000000003</v>
      </c>
      <c r="S2776" s="112">
        <f ca="1">IFERROR(__xludf.DUMMYFUNCTION("""COMPUTED_VALUE"""),44368.7055555555)</f>
        <v>44368.705555555498</v>
      </c>
      <c r="T2776" s="111">
        <f ca="1">IFERROR(__xludf.DUMMYFUNCTION("""COMPUTED_VALUE"""),42.07)</f>
        <v>42.07</v>
      </c>
    </row>
    <row r="2777" spans="1:20" x14ac:dyDescent="0.3">
      <c r="A2777" s="112">
        <f ca="1">IFERROR(__xludf.DUMMYFUNCTION("""COMPUTED_VALUE"""),44363.7055555555)</f>
        <v>44363.705555555498</v>
      </c>
      <c r="B2777" s="111">
        <f ca="1">IFERROR(__xludf.DUMMYFUNCTION("""COMPUTED_VALUE"""),44.5)</f>
        <v>44.5</v>
      </c>
      <c r="C2777" s="112">
        <f ca="1">IFERROR(__xludf.DUMMYFUNCTION("""COMPUTED_VALUE"""),44372.7055555555)</f>
        <v>44372.705555555498</v>
      </c>
      <c r="D2777" s="111">
        <f ca="1">IFERROR(__xludf.DUMMYFUNCTION("""COMPUTED_VALUE"""),30.8)</f>
        <v>30.8</v>
      </c>
      <c r="E2777" s="112">
        <f ca="1">IFERROR(__xludf.DUMMYFUNCTION("""COMPUTED_VALUE"""),44375.7055555555)</f>
        <v>44375.705555555498</v>
      </c>
      <c r="F2777" s="111">
        <f ca="1">IFERROR(__xludf.DUMMYFUNCTION("""COMPUTED_VALUE"""),10.82)</f>
        <v>10.82</v>
      </c>
      <c r="G2777" s="112">
        <f ca="1">IFERROR(__xludf.DUMMYFUNCTION("""COMPUTED_VALUE"""),44371.7055555555)</f>
        <v>44371.705555555498</v>
      </c>
      <c r="H2777" s="111">
        <f ca="1">IFERROR(__xludf.DUMMYFUNCTION("""COMPUTED_VALUE"""),29.65)</f>
        <v>29.65</v>
      </c>
      <c r="K2777" s="112">
        <f ca="1">IFERROR(__xludf.DUMMYFUNCTION("""COMPUTED_VALUE"""),44816.7055555555)</f>
        <v>44816.705555555498</v>
      </c>
      <c r="L2777" s="111">
        <f ca="1">IFERROR(__xludf.DUMMYFUNCTION("""COMPUTED_VALUE"""),4.79)</f>
        <v>4.79</v>
      </c>
      <c r="M2777" s="112">
        <f ca="1">IFERROR(__xludf.DUMMYFUNCTION("""COMPUTED_VALUE"""),44279.7055555555)</f>
        <v>44279.705555555498</v>
      </c>
      <c r="N2777" s="111">
        <f ca="1">IFERROR(__xludf.DUMMYFUNCTION("""COMPUTED_VALUE"""),23.67)</f>
        <v>23.67</v>
      </c>
      <c r="O2777" s="112">
        <f ca="1">IFERROR(__xludf.DUMMYFUNCTION("""COMPUTED_VALUE"""),44356.7055555555)</f>
        <v>44356.705555555498</v>
      </c>
      <c r="P2777" s="111">
        <f ca="1">IFERROR(__xludf.DUMMYFUNCTION("""COMPUTED_VALUE"""),112.2)</f>
        <v>112.2</v>
      </c>
      <c r="Q2777" s="112">
        <f ca="1">IFERROR(__xludf.DUMMYFUNCTION("""COMPUTED_VALUE"""),44355.7055555555)</f>
        <v>44355.705555555498</v>
      </c>
      <c r="R2777" s="111">
        <f ca="1">IFERROR(__xludf.DUMMYFUNCTION("""COMPUTED_VALUE"""),36.3)</f>
        <v>36.299999999999997</v>
      </c>
      <c r="S2777" s="112">
        <f ca="1">IFERROR(__xludf.DUMMYFUNCTION("""COMPUTED_VALUE"""),44369.7055555555)</f>
        <v>44369.705555555498</v>
      </c>
      <c r="T2777" s="111">
        <f ca="1">IFERROR(__xludf.DUMMYFUNCTION("""COMPUTED_VALUE"""),41.63)</f>
        <v>41.63</v>
      </c>
    </row>
    <row r="2778" spans="1:20" x14ac:dyDescent="0.3">
      <c r="A2778" s="112">
        <f ca="1">IFERROR(__xludf.DUMMYFUNCTION("""COMPUTED_VALUE"""),44364.7055555555)</f>
        <v>44364.705555555498</v>
      </c>
      <c r="B2778" s="111">
        <f ca="1">IFERROR(__xludf.DUMMYFUNCTION("""COMPUTED_VALUE"""),43.14)</f>
        <v>43.14</v>
      </c>
      <c r="C2778" s="112">
        <f ca="1">IFERROR(__xludf.DUMMYFUNCTION("""COMPUTED_VALUE"""),44375.7055555555)</f>
        <v>44375.705555555498</v>
      </c>
      <c r="D2778" s="111">
        <f ca="1">IFERROR(__xludf.DUMMYFUNCTION("""COMPUTED_VALUE"""),30.45)</f>
        <v>30.45</v>
      </c>
      <c r="E2778" s="112">
        <f ca="1">IFERROR(__xludf.DUMMYFUNCTION("""COMPUTED_VALUE"""),44376.7055555555)</f>
        <v>44376.705555555498</v>
      </c>
      <c r="F2778" s="111">
        <f ca="1">IFERROR(__xludf.DUMMYFUNCTION("""COMPUTED_VALUE"""),10.76)</f>
        <v>10.76</v>
      </c>
      <c r="G2778" s="112">
        <f ca="1">IFERROR(__xludf.DUMMYFUNCTION("""COMPUTED_VALUE"""),44372.7055555555)</f>
        <v>44372.705555555498</v>
      </c>
      <c r="H2778" s="111">
        <f ca="1">IFERROR(__xludf.DUMMYFUNCTION("""COMPUTED_VALUE"""),29.1)</f>
        <v>29.1</v>
      </c>
      <c r="K2778" s="112">
        <f ca="1">IFERROR(__xludf.DUMMYFUNCTION("""COMPUTED_VALUE"""),44817.7055555555)</f>
        <v>44817.705555555498</v>
      </c>
      <c r="L2778" s="111">
        <f ca="1">IFERROR(__xludf.DUMMYFUNCTION("""COMPUTED_VALUE"""),4.7)</f>
        <v>4.7</v>
      </c>
      <c r="M2778" s="112">
        <f ca="1">IFERROR(__xludf.DUMMYFUNCTION("""COMPUTED_VALUE"""),44280.7055555555)</f>
        <v>44280.705555555498</v>
      </c>
      <c r="N2778" s="111">
        <f ca="1">IFERROR(__xludf.DUMMYFUNCTION("""COMPUTED_VALUE"""),24.2)</f>
        <v>24.2</v>
      </c>
      <c r="O2778" s="112">
        <f ca="1">IFERROR(__xludf.DUMMYFUNCTION("""COMPUTED_VALUE"""),44357.7055555555)</f>
        <v>44357.705555555498</v>
      </c>
      <c r="P2778" s="111">
        <f ca="1">IFERROR(__xludf.DUMMYFUNCTION("""COMPUTED_VALUE"""),111.83)</f>
        <v>111.83</v>
      </c>
      <c r="Q2778" s="112">
        <f ca="1">IFERROR(__xludf.DUMMYFUNCTION("""COMPUTED_VALUE"""),44356.7055555555)</f>
        <v>44356.705555555498</v>
      </c>
      <c r="R2778" s="111">
        <f ca="1">IFERROR(__xludf.DUMMYFUNCTION("""COMPUTED_VALUE"""),35.6)</f>
        <v>35.6</v>
      </c>
      <c r="S2778" s="112">
        <f ca="1">IFERROR(__xludf.DUMMYFUNCTION("""COMPUTED_VALUE"""),44370.7055555555)</f>
        <v>44370.705555555498</v>
      </c>
      <c r="T2778" s="111">
        <f ca="1">IFERROR(__xludf.DUMMYFUNCTION("""COMPUTED_VALUE"""),40.85)</f>
        <v>40.85</v>
      </c>
    </row>
    <row r="2779" spans="1:20" x14ac:dyDescent="0.3">
      <c r="A2779" s="112">
        <f ca="1">IFERROR(__xludf.DUMMYFUNCTION("""COMPUTED_VALUE"""),44365.7055555555)</f>
        <v>44365.705555555498</v>
      </c>
      <c r="B2779" s="111">
        <f ca="1">IFERROR(__xludf.DUMMYFUNCTION("""COMPUTED_VALUE"""),45.73)</f>
        <v>45.73</v>
      </c>
      <c r="C2779" s="112">
        <f ca="1">IFERROR(__xludf.DUMMYFUNCTION("""COMPUTED_VALUE"""),44376.7055555555)</f>
        <v>44376.705555555498</v>
      </c>
      <c r="D2779" s="111">
        <f ca="1">IFERROR(__xludf.DUMMYFUNCTION("""COMPUTED_VALUE"""),30.15)</f>
        <v>30.15</v>
      </c>
      <c r="E2779" s="112">
        <f ca="1">IFERROR(__xludf.DUMMYFUNCTION("""COMPUTED_VALUE"""),44377.7055555555)</f>
        <v>44377.705555555498</v>
      </c>
      <c r="F2779" s="111">
        <f ca="1">IFERROR(__xludf.DUMMYFUNCTION("""COMPUTED_VALUE"""),10.62)</f>
        <v>10.62</v>
      </c>
      <c r="G2779" s="112">
        <f ca="1">IFERROR(__xludf.DUMMYFUNCTION("""COMPUTED_VALUE"""),44375.7055555555)</f>
        <v>44375.705555555498</v>
      </c>
      <c r="H2779" s="111">
        <f ca="1">IFERROR(__xludf.DUMMYFUNCTION("""COMPUTED_VALUE"""),29.05)</f>
        <v>29.05</v>
      </c>
      <c r="K2779" s="112">
        <f ca="1">IFERROR(__xludf.DUMMYFUNCTION("""COMPUTED_VALUE"""),44818.7055555555)</f>
        <v>44818.705555555498</v>
      </c>
      <c r="L2779" s="111">
        <f ca="1">IFERROR(__xludf.DUMMYFUNCTION("""COMPUTED_VALUE"""),4.47)</f>
        <v>4.47</v>
      </c>
      <c r="M2779" s="112">
        <f ca="1">IFERROR(__xludf.DUMMYFUNCTION("""COMPUTED_VALUE"""),44281.7055555555)</f>
        <v>44281.705555555498</v>
      </c>
      <c r="N2779" s="111">
        <f ca="1">IFERROR(__xludf.DUMMYFUNCTION("""COMPUTED_VALUE"""),24.36)</f>
        <v>24.36</v>
      </c>
      <c r="O2779" s="112">
        <f ca="1">IFERROR(__xludf.DUMMYFUNCTION("""COMPUTED_VALUE"""),44358.7055555555)</f>
        <v>44358.705555555498</v>
      </c>
      <c r="P2779" s="111">
        <f ca="1">IFERROR(__xludf.DUMMYFUNCTION("""COMPUTED_VALUE"""),114.34)</f>
        <v>114.34</v>
      </c>
      <c r="Q2779" s="112">
        <f ca="1">IFERROR(__xludf.DUMMYFUNCTION("""COMPUTED_VALUE"""),44357.7055555555)</f>
        <v>44357.705555555498</v>
      </c>
      <c r="R2779" s="111">
        <f ca="1">IFERROR(__xludf.DUMMYFUNCTION("""COMPUTED_VALUE"""),35.5)</f>
        <v>35.5</v>
      </c>
      <c r="S2779" s="112">
        <f ca="1">IFERROR(__xludf.DUMMYFUNCTION("""COMPUTED_VALUE"""),44371.7055555555)</f>
        <v>44371.705555555498</v>
      </c>
      <c r="T2779" s="111">
        <f ca="1">IFERROR(__xludf.DUMMYFUNCTION("""COMPUTED_VALUE"""),41.52)</f>
        <v>41.52</v>
      </c>
    </row>
    <row r="2780" spans="1:20" x14ac:dyDescent="0.3">
      <c r="A2780" s="112">
        <f ca="1">IFERROR(__xludf.DUMMYFUNCTION("""COMPUTED_VALUE"""),44368.7055555555)</f>
        <v>44368.705555555498</v>
      </c>
      <c r="B2780" s="111">
        <f ca="1">IFERROR(__xludf.DUMMYFUNCTION("""COMPUTED_VALUE"""),47.06)</f>
        <v>47.06</v>
      </c>
      <c r="C2780" s="112">
        <f ca="1">IFERROR(__xludf.DUMMYFUNCTION("""COMPUTED_VALUE"""),44377.7055555555)</f>
        <v>44377.705555555498</v>
      </c>
      <c r="D2780" s="111">
        <f ca="1">IFERROR(__xludf.DUMMYFUNCTION("""COMPUTED_VALUE"""),29.8)</f>
        <v>29.8</v>
      </c>
      <c r="E2780" s="112">
        <f ca="1">IFERROR(__xludf.DUMMYFUNCTION("""COMPUTED_VALUE"""),44378.7055555555)</f>
        <v>44378.705555555498</v>
      </c>
      <c r="F2780" s="111">
        <f ca="1">IFERROR(__xludf.DUMMYFUNCTION("""COMPUTED_VALUE"""),10.64)</f>
        <v>10.64</v>
      </c>
      <c r="G2780" s="112">
        <f ca="1">IFERROR(__xludf.DUMMYFUNCTION("""COMPUTED_VALUE"""),44376.7055555555)</f>
        <v>44376.705555555498</v>
      </c>
      <c r="H2780" s="111">
        <f ca="1">IFERROR(__xludf.DUMMYFUNCTION("""COMPUTED_VALUE"""),29.18)</f>
        <v>29.18</v>
      </c>
      <c r="K2780" s="112">
        <f ca="1">IFERROR(__xludf.DUMMYFUNCTION("""COMPUTED_VALUE"""),44819.7055555555)</f>
        <v>44819.705555555498</v>
      </c>
      <c r="L2780" s="111">
        <f ca="1">IFERROR(__xludf.DUMMYFUNCTION("""COMPUTED_VALUE"""),4.34)</f>
        <v>4.34</v>
      </c>
      <c r="M2780" s="112">
        <f ca="1">IFERROR(__xludf.DUMMYFUNCTION("""COMPUTED_VALUE"""),44284.7055555555)</f>
        <v>44284.705555555498</v>
      </c>
      <c r="N2780" s="111">
        <f ca="1">IFERROR(__xludf.DUMMYFUNCTION("""COMPUTED_VALUE"""),24.46)</f>
        <v>24.46</v>
      </c>
      <c r="O2780" s="112">
        <f ca="1">IFERROR(__xludf.DUMMYFUNCTION("""COMPUTED_VALUE"""),44361.7055555555)</f>
        <v>44361.705555555498</v>
      </c>
      <c r="P2780" s="111">
        <f ca="1">IFERROR(__xludf.DUMMYFUNCTION("""COMPUTED_VALUE"""),113.72)</f>
        <v>113.72</v>
      </c>
      <c r="Q2780" s="112">
        <f ca="1">IFERROR(__xludf.DUMMYFUNCTION("""COMPUTED_VALUE"""),44358.7055555555)</f>
        <v>44358.705555555498</v>
      </c>
      <c r="R2780" s="111">
        <f ca="1">IFERROR(__xludf.DUMMYFUNCTION("""COMPUTED_VALUE"""),35.4)</f>
        <v>35.4</v>
      </c>
      <c r="S2780" s="112">
        <f ca="1">IFERROR(__xludf.DUMMYFUNCTION("""COMPUTED_VALUE"""),44372.7055555555)</f>
        <v>44372.705555555498</v>
      </c>
      <c r="T2780" s="111">
        <f ca="1">IFERROR(__xludf.DUMMYFUNCTION("""COMPUTED_VALUE"""),41)</f>
        <v>41</v>
      </c>
    </row>
    <row r="2781" spans="1:20" x14ac:dyDescent="0.3">
      <c r="A2781" s="112">
        <f ca="1">IFERROR(__xludf.DUMMYFUNCTION("""COMPUTED_VALUE"""),44369.7055555555)</f>
        <v>44369.705555555498</v>
      </c>
      <c r="B2781" s="111">
        <f ca="1">IFERROR(__xludf.DUMMYFUNCTION("""COMPUTED_VALUE"""),46.58)</f>
        <v>46.58</v>
      </c>
      <c r="C2781" s="112">
        <f ca="1">IFERROR(__xludf.DUMMYFUNCTION("""COMPUTED_VALUE"""),44378.7055555555)</f>
        <v>44378.705555555498</v>
      </c>
      <c r="D2781" s="111">
        <f ca="1">IFERROR(__xludf.DUMMYFUNCTION("""COMPUTED_VALUE"""),29.69)</f>
        <v>29.69</v>
      </c>
      <c r="E2781" s="112">
        <f ca="1">IFERROR(__xludf.DUMMYFUNCTION("""COMPUTED_VALUE"""),44379.7055555555)</f>
        <v>44379.705555555498</v>
      </c>
      <c r="F2781" s="111">
        <f ca="1">IFERROR(__xludf.DUMMYFUNCTION("""COMPUTED_VALUE"""),10.7)</f>
        <v>10.7</v>
      </c>
      <c r="G2781" s="112">
        <f ca="1">IFERROR(__xludf.DUMMYFUNCTION("""COMPUTED_VALUE"""),44377.7055555555)</f>
        <v>44377.705555555498</v>
      </c>
      <c r="H2781" s="111">
        <f ca="1">IFERROR(__xludf.DUMMYFUNCTION("""COMPUTED_VALUE"""),29.43)</f>
        <v>29.43</v>
      </c>
      <c r="K2781" s="112">
        <f ca="1">IFERROR(__xludf.DUMMYFUNCTION("""COMPUTED_VALUE"""),44820.7055555555)</f>
        <v>44820.705555555498</v>
      </c>
      <c r="L2781" s="111">
        <f ca="1">IFERROR(__xludf.DUMMYFUNCTION("""COMPUTED_VALUE"""),4.46)</f>
        <v>4.46</v>
      </c>
      <c r="M2781" s="112">
        <f ca="1">IFERROR(__xludf.DUMMYFUNCTION("""COMPUTED_VALUE"""),44285.7055555555)</f>
        <v>44285.705555555498</v>
      </c>
      <c r="N2781" s="111">
        <f ca="1">IFERROR(__xludf.DUMMYFUNCTION("""COMPUTED_VALUE"""),24.87)</f>
        <v>24.87</v>
      </c>
      <c r="O2781" s="112">
        <f ca="1">IFERROR(__xludf.DUMMYFUNCTION("""COMPUTED_VALUE"""),44362.7055555555)</f>
        <v>44362.705555555498</v>
      </c>
      <c r="P2781" s="111">
        <f ca="1">IFERROR(__xludf.DUMMYFUNCTION("""COMPUTED_VALUE"""),111.5)</f>
        <v>111.5</v>
      </c>
      <c r="Q2781" s="112">
        <f ca="1">IFERROR(__xludf.DUMMYFUNCTION("""COMPUTED_VALUE"""),44361.7055555555)</f>
        <v>44361.705555555498</v>
      </c>
      <c r="R2781" s="111">
        <f ca="1">IFERROR(__xludf.DUMMYFUNCTION("""COMPUTED_VALUE"""),35.62)</f>
        <v>35.619999999999997</v>
      </c>
      <c r="S2781" s="112">
        <f ca="1">IFERROR(__xludf.DUMMYFUNCTION("""COMPUTED_VALUE"""),44375.7055555555)</f>
        <v>44375.705555555498</v>
      </c>
      <c r="T2781" s="111">
        <f ca="1">IFERROR(__xludf.DUMMYFUNCTION("""COMPUTED_VALUE"""),41.18)</f>
        <v>41.18</v>
      </c>
    </row>
    <row r="2782" spans="1:20" x14ac:dyDescent="0.3">
      <c r="A2782" s="112">
        <f ca="1">IFERROR(__xludf.DUMMYFUNCTION("""COMPUTED_VALUE"""),44370.7055555555)</f>
        <v>44370.705555555498</v>
      </c>
      <c r="B2782" s="111">
        <f ca="1">IFERROR(__xludf.DUMMYFUNCTION("""COMPUTED_VALUE"""),46)</f>
        <v>46</v>
      </c>
      <c r="C2782" s="112">
        <f ca="1">IFERROR(__xludf.DUMMYFUNCTION("""COMPUTED_VALUE"""),44379.7055555555)</f>
        <v>44379.705555555498</v>
      </c>
      <c r="D2782" s="111">
        <f ca="1">IFERROR(__xludf.DUMMYFUNCTION("""COMPUTED_VALUE"""),30.01)</f>
        <v>30.01</v>
      </c>
      <c r="E2782" s="112">
        <f ca="1">IFERROR(__xludf.DUMMYFUNCTION("""COMPUTED_VALUE"""),44382.7055555555)</f>
        <v>44382.705555555498</v>
      </c>
      <c r="F2782" s="111">
        <f ca="1">IFERROR(__xludf.DUMMYFUNCTION("""COMPUTED_VALUE"""),10.55)</f>
        <v>10.55</v>
      </c>
      <c r="G2782" s="112">
        <f ca="1">IFERROR(__xludf.DUMMYFUNCTION("""COMPUTED_VALUE"""),44378.7055555555)</f>
        <v>44378.705555555498</v>
      </c>
      <c r="H2782" s="111">
        <f ca="1">IFERROR(__xludf.DUMMYFUNCTION("""COMPUTED_VALUE"""),29.06)</f>
        <v>29.06</v>
      </c>
      <c r="K2782" s="112">
        <f ca="1">IFERROR(__xludf.DUMMYFUNCTION("""COMPUTED_VALUE"""),44823.7055555555)</f>
        <v>44823.705555555498</v>
      </c>
      <c r="L2782" s="111">
        <f ca="1">IFERROR(__xludf.DUMMYFUNCTION("""COMPUTED_VALUE"""),4.56)</f>
        <v>4.5599999999999996</v>
      </c>
      <c r="M2782" s="112">
        <f ca="1">IFERROR(__xludf.DUMMYFUNCTION("""COMPUTED_VALUE"""),44286.7055555555)</f>
        <v>44286.705555555498</v>
      </c>
      <c r="N2782" s="111">
        <f ca="1">IFERROR(__xludf.DUMMYFUNCTION("""COMPUTED_VALUE"""),24.34)</f>
        <v>24.34</v>
      </c>
      <c r="O2782" s="112">
        <f ca="1">IFERROR(__xludf.DUMMYFUNCTION("""COMPUTED_VALUE"""),44363.7055555555)</f>
        <v>44363.705555555498</v>
      </c>
      <c r="P2782" s="111">
        <f ca="1">IFERROR(__xludf.DUMMYFUNCTION("""COMPUTED_VALUE"""),108.15)</f>
        <v>108.15</v>
      </c>
      <c r="Q2782" s="112">
        <f ca="1">IFERROR(__xludf.DUMMYFUNCTION("""COMPUTED_VALUE"""),44362.7055555555)</f>
        <v>44362.705555555498</v>
      </c>
      <c r="R2782" s="111">
        <f ca="1">IFERROR(__xludf.DUMMYFUNCTION("""COMPUTED_VALUE"""),35.5)</f>
        <v>35.5</v>
      </c>
      <c r="S2782" s="112">
        <f ca="1">IFERROR(__xludf.DUMMYFUNCTION("""COMPUTED_VALUE"""),44376.7055555555)</f>
        <v>44376.705555555498</v>
      </c>
      <c r="T2782" s="111">
        <f ca="1">IFERROR(__xludf.DUMMYFUNCTION("""COMPUTED_VALUE"""),40.18)</f>
        <v>40.18</v>
      </c>
    </row>
    <row r="2783" spans="1:20" x14ac:dyDescent="0.3">
      <c r="A2783" s="112">
        <f ca="1">IFERROR(__xludf.DUMMYFUNCTION("""COMPUTED_VALUE"""),44371.7055555555)</f>
        <v>44371.705555555498</v>
      </c>
      <c r="B2783" s="111">
        <f ca="1">IFERROR(__xludf.DUMMYFUNCTION("""COMPUTED_VALUE"""),45.4)</f>
        <v>45.4</v>
      </c>
      <c r="C2783" s="112">
        <f ca="1">IFERROR(__xludf.DUMMYFUNCTION("""COMPUTED_VALUE"""),44382.7055555555)</f>
        <v>44382.705555555498</v>
      </c>
      <c r="D2783" s="111">
        <f ca="1">IFERROR(__xludf.DUMMYFUNCTION("""COMPUTED_VALUE"""),29.6)</f>
        <v>29.6</v>
      </c>
      <c r="E2783" s="112">
        <f ca="1">IFERROR(__xludf.DUMMYFUNCTION("""COMPUTED_VALUE"""),44383.7055555555)</f>
        <v>44383.705555555498</v>
      </c>
      <c r="F2783" s="111">
        <f ca="1">IFERROR(__xludf.DUMMYFUNCTION("""COMPUTED_VALUE"""),10.51)</f>
        <v>10.51</v>
      </c>
      <c r="G2783" s="112">
        <f ca="1">IFERROR(__xludf.DUMMYFUNCTION("""COMPUTED_VALUE"""),44379.7055555555)</f>
        <v>44379.705555555498</v>
      </c>
      <c r="H2783" s="111">
        <f ca="1">IFERROR(__xludf.DUMMYFUNCTION("""COMPUTED_VALUE"""),29.18)</f>
        <v>29.18</v>
      </c>
      <c r="M2783" s="112">
        <f ca="1">IFERROR(__xludf.DUMMYFUNCTION("""COMPUTED_VALUE"""),44287.7055555555)</f>
        <v>44287.705555555498</v>
      </c>
      <c r="N2783" s="111">
        <f ca="1">IFERROR(__xludf.DUMMYFUNCTION("""COMPUTED_VALUE"""),23.45)</f>
        <v>23.45</v>
      </c>
      <c r="O2783" s="112">
        <f ca="1">IFERROR(__xludf.DUMMYFUNCTION("""COMPUTED_VALUE"""),44364.7055555555)</f>
        <v>44364.705555555498</v>
      </c>
      <c r="P2783" s="111">
        <f ca="1">IFERROR(__xludf.DUMMYFUNCTION("""COMPUTED_VALUE"""),105.9)</f>
        <v>105.9</v>
      </c>
      <c r="Q2783" s="112">
        <f ca="1">IFERROR(__xludf.DUMMYFUNCTION("""COMPUTED_VALUE"""),44363.7055555555)</f>
        <v>44363.705555555498</v>
      </c>
      <c r="R2783" s="111">
        <f ca="1">IFERROR(__xludf.DUMMYFUNCTION("""COMPUTED_VALUE"""),35.75)</f>
        <v>35.75</v>
      </c>
      <c r="S2783" s="112">
        <f ca="1">IFERROR(__xludf.DUMMYFUNCTION("""COMPUTED_VALUE"""),44377.7055555555)</f>
        <v>44377.705555555498</v>
      </c>
      <c r="T2783" s="111">
        <f ca="1">IFERROR(__xludf.DUMMYFUNCTION("""COMPUTED_VALUE"""),40.21)</f>
        <v>40.21</v>
      </c>
    </row>
    <row r="2784" spans="1:20" x14ac:dyDescent="0.3">
      <c r="A2784" s="112">
        <f ca="1">IFERROR(__xludf.DUMMYFUNCTION("""COMPUTED_VALUE"""),44372.7055555555)</f>
        <v>44372.705555555498</v>
      </c>
      <c r="B2784" s="111">
        <f ca="1">IFERROR(__xludf.DUMMYFUNCTION("""COMPUTED_VALUE"""),43.85)</f>
        <v>43.85</v>
      </c>
      <c r="C2784" s="112">
        <f ca="1">IFERROR(__xludf.DUMMYFUNCTION("""COMPUTED_VALUE"""),44383.7055555555)</f>
        <v>44383.705555555498</v>
      </c>
      <c r="D2784" s="111">
        <f ca="1">IFERROR(__xludf.DUMMYFUNCTION("""COMPUTED_VALUE"""),29.55)</f>
        <v>29.55</v>
      </c>
      <c r="E2784" s="112">
        <f ca="1">IFERROR(__xludf.DUMMYFUNCTION("""COMPUTED_VALUE"""),44384.7055555555)</f>
        <v>44384.705555555498</v>
      </c>
      <c r="F2784" s="111">
        <f ca="1">IFERROR(__xludf.DUMMYFUNCTION("""COMPUTED_VALUE"""),10.7)</f>
        <v>10.7</v>
      </c>
      <c r="G2784" s="112">
        <f ca="1">IFERROR(__xludf.DUMMYFUNCTION("""COMPUTED_VALUE"""),44382.7055555555)</f>
        <v>44382.705555555498</v>
      </c>
      <c r="H2784" s="111">
        <f ca="1">IFERROR(__xludf.DUMMYFUNCTION("""COMPUTED_VALUE"""),28.85)</f>
        <v>28.85</v>
      </c>
      <c r="M2784" s="112">
        <f ca="1">IFERROR(__xludf.DUMMYFUNCTION("""COMPUTED_VALUE"""),44291.7055555555)</f>
        <v>44291.705555555498</v>
      </c>
      <c r="N2784" s="111">
        <f ca="1">IFERROR(__xludf.DUMMYFUNCTION("""COMPUTED_VALUE"""),23.65)</f>
        <v>23.65</v>
      </c>
      <c r="O2784" s="112">
        <f ca="1">IFERROR(__xludf.DUMMYFUNCTION("""COMPUTED_VALUE"""),44365.7055555555)</f>
        <v>44365.705555555498</v>
      </c>
      <c r="P2784" s="111">
        <f ca="1">IFERROR(__xludf.DUMMYFUNCTION("""COMPUTED_VALUE"""),109.09)</f>
        <v>109.09</v>
      </c>
      <c r="Q2784" s="112">
        <f ca="1">IFERROR(__xludf.DUMMYFUNCTION("""COMPUTED_VALUE"""),44364.7055555555)</f>
        <v>44364.705555555498</v>
      </c>
      <c r="R2784" s="111">
        <f ca="1">IFERROR(__xludf.DUMMYFUNCTION("""COMPUTED_VALUE"""),34.9)</f>
        <v>34.9</v>
      </c>
      <c r="S2784" s="112">
        <f ca="1">IFERROR(__xludf.DUMMYFUNCTION("""COMPUTED_VALUE"""),44378.7055555555)</f>
        <v>44378.705555555498</v>
      </c>
      <c r="T2784" s="111">
        <f ca="1">IFERROR(__xludf.DUMMYFUNCTION("""COMPUTED_VALUE"""),38.94)</f>
        <v>38.94</v>
      </c>
    </row>
    <row r="2785" spans="1:20" x14ac:dyDescent="0.3">
      <c r="A2785" s="112">
        <f ca="1">IFERROR(__xludf.DUMMYFUNCTION("""COMPUTED_VALUE"""),44375.7055555555)</f>
        <v>44375.705555555498</v>
      </c>
      <c r="B2785" s="111">
        <f ca="1">IFERROR(__xludf.DUMMYFUNCTION("""COMPUTED_VALUE"""),44.04)</f>
        <v>44.04</v>
      </c>
      <c r="C2785" s="112">
        <f ca="1">IFERROR(__xludf.DUMMYFUNCTION("""COMPUTED_VALUE"""),44384.7055555555)</f>
        <v>44384.705555555498</v>
      </c>
      <c r="D2785" s="111">
        <f ca="1">IFERROR(__xludf.DUMMYFUNCTION("""COMPUTED_VALUE"""),29.68)</f>
        <v>29.68</v>
      </c>
      <c r="E2785" s="112">
        <f ca="1">IFERROR(__xludf.DUMMYFUNCTION("""COMPUTED_VALUE"""),44385.7055555555)</f>
        <v>44385.705555555498</v>
      </c>
      <c r="F2785" s="111">
        <f ca="1">IFERROR(__xludf.DUMMYFUNCTION("""COMPUTED_VALUE"""),10.64)</f>
        <v>10.64</v>
      </c>
      <c r="G2785" s="112">
        <f ca="1">IFERROR(__xludf.DUMMYFUNCTION("""COMPUTED_VALUE"""),44383.7055555555)</f>
        <v>44383.705555555498</v>
      </c>
      <c r="H2785" s="111">
        <f ca="1">IFERROR(__xludf.DUMMYFUNCTION("""COMPUTED_VALUE"""),27.67)</f>
        <v>27.67</v>
      </c>
      <c r="M2785" s="112">
        <f ca="1">IFERROR(__xludf.DUMMYFUNCTION("""COMPUTED_VALUE"""),44292.7055555555)</f>
        <v>44292.705555555498</v>
      </c>
      <c r="N2785" s="111">
        <f ca="1">IFERROR(__xludf.DUMMYFUNCTION("""COMPUTED_VALUE"""),23.27)</f>
        <v>23.27</v>
      </c>
      <c r="O2785" s="112">
        <f ca="1">IFERROR(__xludf.DUMMYFUNCTION("""COMPUTED_VALUE"""),44368.7055555555)</f>
        <v>44368.705555555498</v>
      </c>
      <c r="P2785" s="111">
        <f ca="1">IFERROR(__xludf.DUMMYFUNCTION("""COMPUTED_VALUE"""),110.11)</f>
        <v>110.11</v>
      </c>
      <c r="Q2785" s="112">
        <f ca="1">IFERROR(__xludf.DUMMYFUNCTION("""COMPUTED_VALUE"""),44365.7055555555)</f>
        <v>44365.705555555498</v>
      </c>
      <c r="R2785" s="111">
        <f ca="1">IFERROR(__xludf.DUMMYFUNCTION("""COMPUTED_VALUE"""),34.85)</f>
        <v>34.85</v>
      </c>
      <c r="S2785" s="112">
        <f ca="1">IFERROR(__xludf.DUMMYFUNCTION("""COMPUTED_VALUE"""),44379.7055555555)</f>
        <v>44379.705555555498</v>
      </c>
      <c r="T2785" s="111">
        <f ca="1">IFERROR(__xludf.DUMMYFUNCTION("""COMPUTED_VALUE"""),39.45)</f>
        <v>39.450000000000003</v>
      </c>
    </row>
    <row r="2786" spans="1:20" x14ac:dyDescent="0.3">
      <c r="A2786" s="112">
        <f ca="1">IFERROR(__xludf.DUMMYFUNCTION("""COMPUTED_VALUE"""),44376.7055555555)</f>
        <v>44376.705555555498</v>
      </c>
      <c r="B2786" s="111">
        <f ca="1">IFERROR(__xludf.DUMMYFUNCTION("""COMPUTED_VALUE"""),43.35)</f>
        <v>43.35</v>
      </c>
      <c r="C2786" s="112">
        <f ca="1">IFERROR(__xludf.DUMMYFUNCTION("""COMPUTED_VALUE"""),44385.7055555555)</f>
        <v>44385.705555555498</v>
      </c>
      <c r="D2786" s="111">
        <f ca="1">IFERROR(__xludf.DUMMYFUNCTION("""COMPUTED_VALUE"""),29.29)</f>
        <v>29.29</v>
      </c>
      <c r="E2786" s="112">
        <f ca="1">IFERROR(__xludf.DUMMYFUNCTION("""COMPUTED_VALUE"""),44389.8125)</f>
        <v>44389.8125</v>
      </c>
      <c r="F2786" s="111">
        <f ca="1">IFERROR(__xludf.DUMMYFUNCTION("""COMPUTED_VALUE"""),10.84)</f>
        <v>10.84</v>
      </c>
      <c r="G2786" s="112">
        <f ca="1">IFERROR(__xludf.DUMMYFUNCTION("""COMPUTED_VALUE"""),44384.7055555555)</f>
        <v>44384.705555555498</v>
      </c>
      <c r="H2786" s="111">
        <f ca="1">IFERROR(__xludf.DUMMYFUNCTION("""COMPUTED_VALUE"""),28.05)</f>
        <v>28.05</v>
      </c>
      <c r="M2786" s="112">
        <f ca="1">IFERROR(__xludf.DUMMYFUNCTION("""COMPUTED_VALUE"""),44293.7055555555)</f>
        <v>44293.705555555498</v>
      </c>
      <c r="N2786" s="111">
        <f ca="1">IFERROR(__xludf.DUMMYFUNCTION("""COMPUTED_VALUE"""),23.02)</f>
        <v>23.02</v>
      </c>
      <c r="O2786" s="112">
        <f ca="1">IFERROR(__xludf.DUMMYFUNCTION("""COMPUTED_VALUE"""),44369.7055555555)</f>
        <v>44369.705555555498</v>
      </c>
      <c r="P2786" s="111">
        <f ca="1">IFERROR(__xludf.DUMMYFUNCTION("""COMPUTED_VALUE"""),111.4)</f>
        <v>111.4</v>
      </c>
      <c r="Q2786" s="112">
        <f ca="1">IFERROR(__xludf.DUMMYFUNCTION("""COMPUTED_VALUE"""),44368.7055555555)</f>
        <v>44368.705555555498</v>
      </c>
      <c r="R2786" s="111">
        <f ca="1">IFERROR(__xludf.DUMMYFUNCTION("""COMPUTED_VALUE"""),34.58)</f>
        <v>34.58</v>
      </c>
      <c r="S2786" s="112">
        <f ca="1">IFERROR(__xludf.DUMMYFUNCTION("""COMPUTED_VALUE"""),44382.7055555555)</f>
        <v>44382.705555555498</v>
      </c>
      <c r="T2786" s="111">
        <f ca="1">IFERROR(__xludf.DUMMYFUNCTION("""COMPUTED_VALUE"""),39.55)</f>
        <v>39.549999999999997</v>
      </c>
    </row>
    <row r="2787" spans="1:20" x14ac:dyDescent="0.3">
      <c r="A2787" s="112">
        <f ca="1">IFERROR(__xludf.DUMMYFUNCTION("""COMPUTED_VALUE"""),44377.7055555555)</f>
        <v>44377.705555555498</v>
      </c>
      <c r="B2787" s="111">
        <f ca="1">IFERROR(__xludf.DUMMYFUNCTION("""COMPUTED_VALUE"""),42.71)</f>
        <v>42.71</v>
      </c>
      <c r="C2787" s="112">
        <f ca="1">IFERROR(__xludf.DUMMYFUNCTION("""COMPUTED_VALUE"""),44389.8125)</f>
        <v>44389.8125</v>
      </c>
      <c r="D2787" s="111">
        <f ca="1">IFERROR(__xludf.DUMMYFUNCTION("""COMPUTED_VALUE"""),29.69)</f>
        <v>29.69</v>
      </c>
      <c r="E2787" s="112">
        <f ca="1">IFERROR(__xludf.DUMMYFUNCTION("""COMPUTED_VALUE"""),44390.7055555555)</f>
        <v>44390.705555555498</v>
      </c>
      <c r="F2787" s="111">
        <f ca="1">IFERROR(__xludf.DUMMYFUNCTION("""COMPUTED_VALUE"""),10.8)</f>
        <v>10.8</v>
      </c>
      <c r="G2787" s="112">
        <f ca="1">IFERROR(__xludf.DUMMYFUNCTION("""COMPUTED_VALUE"""),44385.7055555555)</f>
        <v>44385.705555555498</v>
      </c>
      <c r="H2787" s="111">
        <f ca="1">IFERROR(__xludf.DUMMYFUNCTION("""COMPUTED_VALUE"""),27.49)</f>
        <v>27.49</v>
      </c>
      <c r="M2787" s="112">
        <f ca="1">IFERROR(__xludf.DUMMYFUNCTION("""COMPUTED_VALUE"""),44294.7055555555)</f>
        <v>44294.705555555498</v>
      </c>
      <c r="N2787" s="111">
        <f ca="1">IFERROR(__xludf.DUMMYFUNCTION("""COMPUTED_VALUE"""),22.95)</f>
        <v>22.95</v>
      </c>
      <c r="O2787" s="112">
        <f ca="1">IFERROR(__xludf.DUMMYFUNCTION("""COMPUTED_VALUE"""),44370.7055555555)</f>
        <v>44370.705555555498</v>
      </c>
      <c r="P2787" s="111">
        <f ca="1">IFERROR(__xludf.DUMMYFUNCTION("""COMPUTED_VALUE"""),113.07)</f>
        <v>113.07</v>
      </c>
      <c r="Q2787" s="112">
        <f ca="1">IFERROR(__xludf.DUMMYFUNCTION("""COMPUTED_VALUE"""),44369.7055555555)</f>
        <v>44369.705555555498</v>
      </c>
      <c r="R2787" s="111">
        <f ca="1">IFERROR(__xludf.DUMMYFUNCTION("""COMPUTED_VALUE"""),33.85)</f>
        <v>33.85</v>
      </c>
      <c r="S2787" s="112">
        <f ca="1">IFERROR(__xludf.DUMMYFUNCTION("""COMPUTED_VALUE"""),44383.7055555555)</f>
        <v>44383.705555555498</v>
      </c>
      <c r="T2787" s="111">
        <f ca="1">IFERROR(__xludf.DUMMYFUNCTION("""COMPUTED_VALUE"""),39.36)</f>
        <v>39.36</v>
      </c>
    </row>
    <row r="2788" spans="1:20" x14ac:dyDescent="0.3">
      <c r="A2788" s="112">
        <f ca="1">IFERROR(__xludf.DUMMYFUNCTION("""COMPUTED_VALUE"""),44378.7055555555)</f>
        <v>44378.705555555498</v>
      </c>
      <c r="B2788" s="111">
        <f ca="1">IFERROR(__xludf.DUMMYFUNCTION("""COMPUTED_VALUE"""),42.96)</f>
        <v>42.96</v>
      </c>
      <c r="C2788" s="112">
        <f ca="1">IFERROR(__xludf.DUMMYFUNCTION("""COMPUTED_VALUE"""),44390.7055555555)</f>
        <v>44390.705555555498</v>
      </c>
      <c r="D2788" s="111">
        <f ca="1">IFERROR(__xludf.DUMMYFUNCTION("""COMPUTED_VALUE"""),29.87)</f>
        <v>29.87</v>
      </c>
      <c r="E2788" s="112">
        <f ca="1">IFERROR(__xludf.DUMMYFUNCTION("""COMPUTED_VALUE"""),44391.7055555555)</f>
        <v>44391.705555555498</v>
      </c>
      <c r="F2788" s="111">
        <f ca="1">IFERROR(__xludf.DUMMYFUNCTION("""COMPUTED_VALUE"""),10.82)</f>
        <v>10.82</v>
      </c>
      <c r="G2788" s="112">
        <f ca="1">IFERROR(__xludf.DUMMYFUNCTION("""COMPUTED_VALUE"""),44389.8125)</f>
        <v>44389.8125</v>
      </c>
      <c r="H2788" s="111">
        <f ca="1">IFERROR(__xludf.DUMMYFUNCTION("""COMPUTED_VALUE"""),27.73)</f>
        <v>27.73</v>
      </c>
      <c r="M2788" s="112">
        <f ca="1">IFERROR(__xludf.DUMMYFUNCTION("""COMPUTED_VALUE"""),44295.7055555555)</f>
        <v>44295.705555555498</v>
      </c>
      <c r="N2788" s="111">
        <f ca="1">IFERROR(__xludf.DUMMYFUNCTION("""COMPUTED_VALUE"""),22.91)</f>
        <v>22.91</v>
      </c>
      <c r="O2788" s="112">
        <f ca="1">IFERROR(__xludf.DUMMYFUNCTION("""COMPUTED_VALUE"""),44371.7055555555)</f>
        <v>44371.705555555498</v>
      </c>
      <c r="P2788" s="111">
        <f ca="1">IFERROR(__xludf.DUMMYFUNCTION("""COMPUTED_VALUE"""),111.03)</f>
        <v>111.03</v>
      </c>
      <c r="Q2788" s="112">
        <f ca="1">IFERROR(__xludf.DUMMYFUNCTION("""COMPUTED_VALUE"""),44370.7055555555)</f>
        <v>44370.705555555498</v>
      </c>
      <c r="R2788" s="111">
        <f ca="1">IFERROR(__xludf.DUMMYFUNCTION("""COMPUTED_VALUE"""),33.85)</f>
        <v>33.85</v>
      </c>
      <c r="S2788" s="112">
        <f ca="1">IFERROR(__xludf.DUMMYFUNCTION("""COMPUTED_VALUE"""),44384.7055555555)</f>
        <v>44384.705555555498</v>
      </c>
      <c r="T2788" s="111">
        <f ca="1">IFERROR(__xludf.DUMMYFUNCTION("""COMPUTED_VALUE"""),40.38)</f>
        <v>40.380000000000003</v>
      </c>
    </row>
    <row r="2789" spans="1:20" x14ac:dyDescent="0.3">
      <c r="A2789" s="112">
        <f ca="1">IFERROR(__xludf.DUMMYFUNCTION("""COMPUTED_VALUE"""),44379.7055555555)</f>
        <v>44379.705555555498</v>
      </c>
      <c r="B2789" s="111">
        <f ca="1">IFERROR(__xludf.DUMMYFUNCTION("""COMPUTED_VALUE"""),43.09)</f>
        <v>43.09</v>
      </c>
      <c r="C2789" s="112">
        <f ca="1">IFERROR(__xludf.DUMMYFUNCTION("""COMPUTED_VALUE"""),44391.7055555555)</f>
        <v>44391.705555555498</v>
      </c>
      <c r="D2789" s="111">
        <f ca="1">IFERROR(__xludf.DUMMYFUNCTION("""COMPUTED_VALUE"""),29.91)</f>
        <v>29.91</v>
      </c>
      <c r="E2789" s="112">
        <f ca="1">IFERROR(__xludf.DUMMYFUNCTION("""COMPUTED_VALUE"""),44392.7055555555)</f>
        <v>44392.705555555498</v>
      </c>
      <c r="F2789" s="111">
        <f ca="1">IFERROR(__xludf.DUMMYFUNCTION("""COMPUTED_VALUE"""),10.73)</f>
        <v>10.73</v>
      </c>
      <c r="G2789" s="112">
        <f ca="1">IFERROR(__xludf.DUMMYFUNCTION("""COMPUTED_VALUE"""),44390.7055555555)</f>
        <v>44390.705555555498</v>
      </c>
      <c r="H2789" s="111">
        <f ca="1">IFERROR(__xludf.DUMMYFUNCTION("""COMPUTED_VALUE"""),27.9)</f>
        <v>27.9</v>
      </c>
      <c r="M2789" s="112">
        <f ca="1">IFERROR(__xludf.DUMMYFUNCTION("""COMPUTED_VALUE"""),44298.8125)</f>
        <v>44298.8125</v>
      </c>
      <c r="N2789" s="111">
        <f ca="1">IFERROR(__xludf.DUMMYFUNCTION("""COMPUTED_VALUE"""),23.34)</f>
        <v>23.34</v>
      </c>
      <c r="O2789" s="112">
        <f ca="1">IFERROR(__xludf.DUMMYFUNCTION("""COMPUTED_VALUE"""),44372.7055555555)</f>
        <v>44372.705555555498</v>
      </c>
      <c r="P2789" s="111">
        <f ca="1">IFERROR(__xludf.DUMMYFUNCTION("""COMPUTED_VALUE"""),112.4)</f>
        <v>112.4</v>
      </c>
      <c r="Q2789" s="112">
        <f ca="1">IFERROR(__xludf.DUMMYFUNCTION("""COMPUTED_VALUE"""),44371.7055555555)</f>
        <v>44371.705555555498</v>
      </c>
      <c r="R2789" s="111">
        <f ca="1">IFERROR(__xludf.DUMMYFUNCTION("""COMPUTED_VALUE"""),33.92)</f>
        <v>33.92</v>
      </c>
      <c r="S2789" s="112">
        <f ca="1">IFERROR(__xludf.DUMMYFUNCTION("""COMPUTED_VALUE"""),44385.7055555555)</f>
        <v>44385.705555555498</v>
      </c>
      <c r="T2789" s="111">
        <f ca="1">IFERROR(__xludf.DUMMYFUNCTION("""COMPUTED_VALUE"""),40.52)</f>
        <v>40.520000000000003</v>
      </c>
    </row>
    <row r="2790" spans="1:20" x14ac:dyDescent="0.3">
      <c r="A2790" s="112">
        <f ca="1">IFERROR(__xludf.DUMMYFUNCTION("""COMPUTED_VALUE"""),44382.7055555555)</f>
        <v>44382.705555555498</v>
      </c>
      <c r="B2790" s="111">
        <f ca="1">IFERROR(__xludf.DUMMYFUNCTION("""COMPUTED_VALUE"""),42.47)</f>
        <v>42.47</v>
      </c>
      <c r="C2790" s="112">
        <f ca="1">IFERROR(__xludf.DUMMYFUNCTION("""COMPUTED_VALUE"""),44392.7055555555)</f>
        <v>44392.705555555498</v>
      </c>
      <c r="D2790" s="111">
        <f ca="1">IFERROR(__xludf.DUMMYFUNCTION("""COMPUTED_VALUE"""),29.55)</f>
        <v>29.55</v>
      </c>
      <c r="E2790" s="112">
        <f ca="1">IFERROR(__xludf.DUMMYFUNCTION("""COMPUTED_VALUE"""),44393.7055555555)</f>
        <v>44393.705555555498</v>
      </c>
      <c r="F2790" s="111">
        <f ca="1">IFERROR(__xludf.DUMMYFUNCTION("""COMPUTED_VALUE"""),10.58)</f>
        <v>10.58</v>
      </c>
      <c r="G2790" s="112">
        <f ca="1">IFERROR(__xludf.DUMMYFUNCTION("""COMPUTED_VALUE"""),44391.7055555555)</f>
        <v>44391.705555555498</v>
      </c>
      <c r="H2790" s="111">
        <f ca="1">IFERROR(__xludf.DUMMYFUNCTION("""COMPUTED_VALUE"""),27.67)</f>
        <v>27.67</v>
      </c>
      <c r="M2790" s="112">
        <f ca="1">IFERROR(__xludf.DUMMYFUNCTION("""COMPUTED_VALUE"""),44299.7055555555)</f>
        <v>44299.705555555498</v>
      </c>
      <c r="N2790" s="111">
        <f ca="1">IFERROR(__xludf.DUMMYFUNCTION("""COMPUTED_VALUE"""),23.18)</f>
        <v>23.18</v>
      </c>
      <c r="O2790" s="112">
        <f ca="1">IFERROR(__xludf.DUMMYFUNCTION("""COMPUTED_VALUE"""),44375.7055555555)</f>
        <v>44375.705555555498</v>
      </c>
      <c r="P2790" s="111">
        <f ca="1">IFERROR(__xludf.DUMMYFUNCTION("""COMPUTED_VALUE"""),110.6)</f>
        <v>110.6</v>
      </c>
      <c r="Q2790" s="112">
        <f ca="1">IFERROR(__xludf.DUMMYFUNCTION("""COMPUTED_VALUE"""),44372.7055555555)</f>
        <v>44372.705555555498</v>
      </c>
      <c r="R2790" s="111">
        <f ca="1">IFERROR(__xludf.DUMMYFUNCTION("""COMPUTED_VALUE"""),32.9)</f>
        <v>32.9</v>
      </c>
      <c r="S2790" s="112">
        <f ca="1">IFERROR(__xludf.DUMMYFUNCTION("""COMPUTED_VALUE"""),44389.8125)</f>
        <v>44389.8125</v>
      </c>
      <c r="T2790" s="111">
        <f ca="1">IFERROR(__xludf.DUMMYFUNCTION("""COMPUTED_VALUE"""),40.81)</f>
        <v>40.81</v>
      </c>
    </row>
    <row r="2791" spans="1:20" x14ac:dyDescent="0.3">
      <c r="A2791" s="112">
        <f ca="1">IFERROR(__xludf.DUMMYFUNCTION("""COMPUTED_VALUE"""),44383.7055555555)</f>
        <v>44383.705555555498</v>
      </c>
      <c r="B2791" s="111">
        <f ca="1">IFERROR(__xludf.DUMMYFUNCTION("""COMPUTED_VALUE"""),42.18)</f>
        <v>42.18</v>
      </c>
      <c r="C2791" s="112">
        <f ca="1">IFERROR(__xludf.DUMMYFUNCTION("""COMPUTED_VALUE"""),44393.7055555555)</f>
        <v>44393.705555555498</v>
      </c>
      <c r="D2791" s="111">
        <f ca="1">IFERROR(__xludf.DUMMYFUNCTION("""COMPUTED_VALUE"""),29.07)</f>
        <v>29.07</v>
      </c>
      <c r="E2791" s="112">
        <f ca="1">IFERROR(__xludf.DUMMYFUNCTION("""COMPUTED_VALUE"""),44396.7055555555)</f>
        <v>44396.705555555498</v>
      </c>
      <c r="F2791" s="111">
        <f ca="1">IFERROR(__xludf.DUMMYFUNCTION("""COMPUTED_VALUE"""),10.5)</f>
        <v>10.5</v>
      </c>
      <c r="G2791" s="112">
        <f ca="1">IFERROR(__xludf.DUMMYFUNCTION("""COMPUTED_VALUE"""),44392.7055555555)</f>
        <v>44392.705555555498</v>
      </c>
      <c r="H2791" s="111">
        <f ca="1">IFERROR(__xludf.DUMMYFUNCTION("""COMPUTED_VALUE"""),27.08)</f>
        <v>27.08</v>
      </c>
      <c r="M2791" s="112">
        <f ca="1">IFERROR(__xludf.DUMMYFUNCTION("""COMPUTED_VALUE"""),44300.7055555555)</f>
        <v>44300.705555555498</v>
      </c>
      <c r="N2791" s="111">
        <f ca="1">IFERROR(__xludf.DUMMYFUNCTION("""COMPUTED_VALUE"""),23.45)</f>
        <v>23.45</v>
      </c>
      <c r="O2791" s="112">
        <f ca="1">IFERROR(__xludf.DUMMYFUNCTION("""COMPUTED_VALUE"""),44376.7055555555)</f>
        <v>44376.705555555498</v>
      </c>
      <c r="P2791" s="111">
        <f ca="1">IFERROR(__xludf.DUMMYFUNCTION("""COMPUTED_VALUE"""),112.51)</f>
        <v>112.51</v>
      </c>
      <c r="Q2791" s="112">
        <f ca="1">IFERROR(__xludf.DUMMYFUNCTION("""COMPUTED_VALUE"""),44375.7055555555)</f>
        <v>44375.705555555498</v>
      </c>
      <c r="R2791" s="111">
        <f ca="1">IFERROR(__xludf.DUMMYFUNCTION("""COMPUTED_VALUE"""),32.65)</f>
        <v>32.65</v>
      </c>
      <c r="S2791" s="112">
        <f ca="1">IFERROR(__xludf.DUMMYFUNCTION("""COMPUTED_VALUE"""),44390.7055555555)</f>
        <v>44390.705555555498</v>
      </c>
      <c r="T2791" s="111">
        <f ca="1">IFERROR(__xludf.DUMMYFUNCTION("""COMPUTED_VALUE"""),41.25)</f>
        <v>41.25</v>
      </c>
    </row>
    <row r="2792" spans="1:20" x14ac:dyDescent="0.3">
      <c r="A2792" s="112">
        <f ca="1">IFERROR(__xludf.DUMMYFUNCTION("""COMPUTED_VALUE"""),44384.7055555555)</f>
        <v>44384.705555555498</v>
      </c>
      <c r="B2792" s="111">
        <f ca="1">IFERROR(__xludf.DUMMYFUNCTION("""COMPUTED_VALUE"""),42.55)</f>
        <v>42.55</v>
      </c>
      <c r="C2792" s="112">
        <f ca="1">IFERROR(__xludf.DUMMYFUNCTION("""COMPUTED_VALUE"""),44396.7055555555)</f>
        <v>44396.705555555498</v>
      </c>
      <c r="D2792" s="111">
        <f ca="1">IFERROR(__xludf.DUMMYFUNCTION("""COMPUTED_VALUE"""),28.9)</f>
        <v>28.9</v>
      </c>
      <c r="E2792" s="112">
        <f ca="1">IFERROR(__xludf.DUMMYFUNCTION("""COMPUTED_VALUE"""),44397.7055555555)</f>
        <v>44397.705555555498</v>
      </c>
      <c r="F2792" s="111">
        <f ca="1">IFERROR(__xludf.DUMMYFUNCTION("""COMPUTED_VALUE"""),10.62)</f>
        <v>10.62</v>
      </c>
      <c r="G2792" s="112">
        <f ca="1">IFERROR(__xludf.DUMMYFUNCTION("""COMPUTED_VALUE"""),44393.7055555555)</f>
        <v>44393.705555555498</v>
      </c>
      <c r="H2792" s="111">
        <f ca="1">IFERROR(__xludf.DUMMYFUNCTION("""COMPUTED_VALUE"""),26.68)</f>
        <v>26.68</v>
      </c>
      <c r="M2792" s="112">
        <f ca="1">IFERROR(__xludf.DUMMYFUNCTION("""COMPUTED_VALUE"""),44301.7055555555)</f>
        <v>44301.705555555498</v>
      </c>
      <c r="N2792" s="111">
        <f ca="1">IFERROR(__xludf.DUMMYFUNCTION("""COMPUTED_VALUE"""),23.45)</f>
        <v>23.45</v>
      </c>
      <c r="O2792" s="112">
        <f ca="1">IFERROR(__xludf.DUMMYFUNCTION("""COMPUTED_VALUE"""),44377.7055555555)</f>
        <v>44377.705555555498</v>
      </c>
      <c r="P2792" s="111">
        <f ca="1">IFERROR(__xludf.DUMMYFUNCTION("""COMPUTED_VALUE"""),113.25)</f>
        <v>113.25</v>
      </c>
      <c r="Q2792" s="112">
        <f ca="1">IFERROR(__xludf.DUMMYFUNCTION("""COMPUTED_VALUE"""),44376.7055555555)</f>
        <v>44376.705555555498</v>
      </c>
      <c r="R2792" s="111">
        <f ca="1">IFERROR(__xludf.DUMMYFUNCTION("""COMPUTED_VALUE"""),32.43)</f>
        <v>32.43</v>
      </c>
      <c r="S2792" s="112">
        <f ca="1">IFERROR(__xludf.DUMMYFUNCTION("""COMPUTED_VALUE"""),44391.7055555555)</f>
        <v>44391.705555555498</v>
      </c>
      <c r="T2792" s="111">
        <f ca="1">IFERROR(__xludf.DUMMYFUNCTION("""COMPUTED_VALUE"""),41.13)</f>
        <v>41.13</v>
      </c>
    </row>
    <row r="2793" spans="1:20" x14ac:dyDescent="0.3">
      <c r="A2793" s="112">
        <f ca="1">IFERROR(__xludf.DUMMYFUNCTION("""COMPUTED_VALUE"""),44385.7055555555)</f>
        <v>44385.705555555498</v>
      </c>
      <c r="B2793" s="111">
        <f ca="1">IFERROR(__xludf.DUMMYFUNCTION("""COMPUTED_VALUE"""),42.24)</f>
        <v>42.24</v>
      </c>
      <c r="C2793" s="112">
        <f ca="1">IFERROR(__xludf.DUMMYFUNCTION("""COMPUTED_VALUE"""),44397.7055555555)</f>
        <v>44397.705555555498</v>
      </c>
      <c r="D2793" s="111">
        <f ca="1">IFERROR(__xludf.DUMMYFUNCTION("""COMPUTED_VALUE"""),29.28)</f>
        <v>29.28</v>
      </c>
      <c r="E2793" s="112">
        <f ca="1">IFERROR(__xludf.DUMMYFUNCTION("""COMPUTED_VALUE"""),44398.7055555555)</f>
        <v>44398.705555555498</v>
      </c>
      <c r="F2793" s="111">
        <f ca="1">IFERROR(__xludf.DUMMYFUNCTION("""COMPUTED_VALUE"""),10.69)</f>
        <v>10.69</v>
      </c>
      <c r="G2793" s="112">
        <f ca="1">IFERROR(__xludf.DUMMYFUNCTION("""COMPUTED_VALUE"""),44396.7055555555)</f>
        <v>44396.705555555498</v>
      </c>
      <c r="H2793" s="111">
        <f ca="1">IFERROR(__xludf.DUMMYFUNCTION("""COMPUTED_VALUE"""),26.24)</f>
        <v>26.24</v>
      </c>
      <c r="M2793" s="112">
        <f ca="1">IFERROR(__xludf.DUMMYFUNCTION("""COMPUTED_VALUE"""),44302.7055555555)</f>
        <v>44302.705555555498</v>
      </c>
      <c r="N2793" s="111">
        <f ca="1">IFERROR(__xludf.DUMMYFUNCTION("""COMPUTED_VALUE"""),23.73)</f>
        <v>23.73</v>
      </c>
      <c r="O2793" s="112">
        <f ca="1">IFERROR(__xludf.DUMMYFUNCTION("""COMPUTED_VALUE"""),44378.7055555555)</f>
        <v>44378.705555555498</v>
      </c>
      <c r="P2793" s="111">
        <f ca="1">IFERROR(__xludf.DUMMYFUNCTION("""COMPUTED_VALUE"""),111.28)</f>
        <v>111.28</v>
      </c>
      <c r="Q2793" s="112">
        <f ca="1">IFERROR(__xludf.DUMMYFUNCTION("""COMPUTED_VALUE"""),44377.7055555555)</f>
        <v>44377.705555555498</v>
      </c>
      <c r="R2793" s="111">
        <f ca="1">IFERROR(__xludf.DUMMYFUNCTION("""COMPUTED_VALUE"""),32.13)</f>
        <v>32.130000000000003</v>
      </c>
      <c r="S2793" s="112">
        <f ca="1">IFERROR(__xludf.DUMMYFUNCTION("""COMPUTED_VALUE"""),44392.7055555555)</f>
        <v>44392.705555555498</v>
      </c>
      <c r="T2793" s="111">
        <f ca="1">IFERROR(__xludf.DUMMYFUNCTION("""COMPUTED_VALUE"""),40.88)</f>
        <v>40.880000000000003</v>
      </c>
    </row>
    <row r="2794" spans="1:20" x14ac:dyDescent="0.3">
      <c r="A2794" s="112">
        <f ca="1">IFERROR(__xludf.DUMMYFUNCTION("""COMPUTED_VALUE"""),44389.8125)</f>
        <v>44389.8125</v>
      </c>
      <c r="B2794" s="111">
        <f ca="1">IFERROR(__xludf.DUMMYFUNCTION("""COMPUTED_VALUE"""),43.15)</f>
        <v>43.15</v>
      </c>
      <c r="C2794" s="112">
        <f ca="1">IFERROR(__xludf.DUMMYFUNCTION("""COMPUTED_VALUE"""),44398.7055555555)</f>
        <v>44398.705555555498</v>
      </c>
      <c r="D2794" s="111">
        <f ca="1">IFERROR(__xludf.DUMMYFUNCTION("""COMPUTED_VALUE"""),29.4)</f>
        <v>29.4</v>
      </c>
      <c r="E2794" s="112">
        <f ca="1">IFERROR(__xludf.DUMMYFUNCTION("""COMPUTED_VALUE"""),44399.7055555555)</f>
        <v>44399.705555555498</v>
      </c>
      <c r="F2794" s="111">
        <f ca="1">IFERROR(__xludf.DUMMYFUNCTION("""COMPUTED_VALUE"""),10.56)</f>
        <v>10.56</v>
      </c>
      <c r="G2794" s="112">
        <f ca="1">IFERROR(__xludf.DUMMYFUNCTION("""COMPUTED_VALUE"""),44397.7055555555)</f>
        <v>44397.705555555498</v>
      </c>
      <c r="H2794" s="111">
        <f ca="1">IFERROR(__xludf.DUMMYFUNCTION("""COMPUTED_VALUE"""),26.59)</f>
        <v>26.59</v>
      </c>
      <c r="M2794" s="112">
        <f ca="1">IFERROR(__xludf.DUMMYFUNCTION("""COMPUTED_VALUE"""),44305.7055555555)</f>
        <v>44305.705555555498</v>
      </c>
      <c r="N2794" s="111">
        <f ca="1">IFERROR(__xludf.DUMMYFUNCTION("""COMPUTED_VALUE"""),23.62)</f>
        <v>23.62</v>
      </c>
      <c r="O2794" s="112">
        <f ca="1">IFERROR(__xludf.DUMMYFUNCTION("""COMPUTED_VALUE"""),44379.7055555555)</f>
        <v>44379.705555555498</v>
      </c>
      <c r="P2794" s="111">
        <f ca="1">IFERROR(__xludf.DUMMYFUNCTION("""COMPUTED_VALUE"""),113.58)</f>
        <v>113.58</v>
      </c>
      <c r="Q2794" s="112">
        <f ca="1">IFERROR(__xludf.DUMMYFUNCTION("""COMPUTED_VALUE"""),44378.7055555555)</f>
        <v>44378.705555555498</v>
      </c>
      <c r="R2794" s="111">
        <f ca="1">IFERROR(__xludf.DUMMYFUNCTION("""COMPUTED_VALUE"""),31.79)</f>
        <v>31.79</v>
      </c>
      <c r="S2794" s="112">
        <f ca="1">IFERROR(__xludf.DUMMYFUNCTION("""COMPUTED_VALUE"""),44393.7055555555)</f>
        <v>44393.705555555498</v>
      </c>
      <c r="T2794" s="111">
        <f ca="1">IFERROR(__xludf.DUMMYFUNCTION("""COMPUTED_VALUE"""),40.94)</f>
        <v>40.94</v>
      </c>
    </row>
    <row r="2795" spans="1:20" x14ac:dyDescent="0.3">
      <c r="A2795" s="112">
        <f ca="1">IFERROR(__xludf.DUMMYFUNCTION("""COMPUTED_VALUE"""),44390.7055555555)</f>
        <v>44390.705555555498</v>
      </c>
      <c r="B2795" s="111">
        <f ca="1">IFERROR(__xludf.DUMMYFUNCTION("""COMPUTED_VALUE"""),42.89)</f>
        <v>42.89</v>
      </c>
      <c r="C2795" s="112">
        <f ca="1">IFERROR(__xludf.DUMMYFUNCTION("""COMPUTED_VALUE"""),44399.7055555555)</f>
        <v>44399.705555555498</v>
      </c>
      <c r="D2795" s="111">
        <f ca="1">IFERROR(__xludf.DUMMYFUNCTION("""COMPUTED_VALUE"""),29.1)</f>
        <v>29.1</v>
      </c>
      <c r="E2795" s="112">
        <f ca="1">IFERROR(__xludf.DUMMYFUNCTION("""COMPUTED_VALUE"""),44400.7055555555)</f>
        <v>44400.705555555498</v>
      </c>
      <c r="F2795" s="111">
        <f ca="1">IFERROR(__xludf.DUMMYFUNCTION("""COMPUTED_VALUE"""),10.55)</f>
        <v>10.55</v>
      </c>
      <c r="G2795" s="112">
        <f ca="1">IFERROR(__xludf.DUMMYFUNCTION("""COMPUTED_VALUE"""),44398.7055555555)</f>
        <v>44398.705555555498</v>
      </c>
      <c r="H2795" s="111">
        <f ca="1">IFERROR(__xludf.DUMMYFUNCTION("""COMPUTED_VALUE"""),26.96)</f>
        <v>26.96</v>
      </c>
      <c r="M2795" s="112">
        <f ca="1">IFERROR(__xludf.DUMMYFUNCTION("""COMPUTED_VALUE"""),44306.7055555555)</f>
        <v>44306.705555555498</v>
      </c>
      <c r="N2795" s="111">
        <f ca="1">IFERROR(__xludf.DUMMYFUNCTION("""COMPUTED_VALUE"""),23.26)</f>
        <v>23.26</v>
      </c>
      <c r="O2795" s="112">
        <f ca="1">IFERROR(__xludf.DUMMYFUNCTION("""COMPUTED_VALUE"""),44382.7055555555)</f>
        <v>44382.705555555498</v>
      </c>
      <c r="P2795" s="111">
        <f ca="1">IFERROR(__xludf.DUMMYFUNCTION("""COMPUTED_VALUE"""),113.17)</f>
        <v>113.17</v>
      </c>
      <c r="Q2795" s="112">
        <f ca="1">IFERROR(__xludf.DUMMYFUNCTION("""COMPUTED_VALUE"""),44379.7055555555)</f>
        <v>44379.705555555498</v>
      </c>
      <c r="R2795" s="111">
        <f ca="1">IFERROR(__xludf.DUMMYFUNCTION("""COMPUTED_VALUE"""),32.14)</f>
        <v>32.14</v>
      </c>
      <c r="S2795" s="112">
        <f ca="1">IFERROR(__xludf.DUMMYFUNCTION("""COMPUTED_VALUE"""),44396.7055555555)</f>
        <v>44396.705555555498</v>
      </c>
      <c r="T2795" s="111">
        <f ca="1">IFERROR(__xludf.DUMMYFUNCTION("""COMPUTED_VALUE"""),39.95)</f>
        <v>39.950000000000003</v>
      </c>
    </row>
    <row r="2796" spans="1:20" x14ac:dyDescent="0.3">
      <c r="A2796" s="112">
        <f ca="1">IFERROR(__xludf.DUMMYFUNCTION("""COMPUTED_VALUE"""),44391.7055555555)</f>
        <v>44391.705555555498</v>
      </c>
      <c r="B2796" s="111">
        <f ca="1">IFERROR(__xludf.DUMMYFUNCTION("""COMPUTED_VALUE"""),43.73)</f>
        <v>43.73</v>
      </c>
      <c r="C2796" s="112">
        <f ca="1">IFERROR(__xludf.DUMMYFUNCTION("""COMPUTED_VALUE"""),44400.7055555555)</f>
        <v>44400.705555555498</v>
      </c>
      <c r="D2796" s="111">
        <f ca="1">IFERROR(__xludf.DUMMYFUNCTION("""COMPUTED_VALUE"""),29.02)</f>
        <v>29.02</v>
      </c>
      <c r="E2796" s="112">
        <f ca="1">IFERROR(__xludf.DUMMYFUNCTION("""COMPUTED_VALUE"""),44403.7055555555)</f>
        <v>44403.705555555498</v>
      </c>
      <c r="F2796" s="111">
        <f ca="1">IFERROR(__xludf.DUMMYFUNCTION("""COMPUTED_VALUE"""),10.65)</f>
        <v>10.65</v>
      </c>
      <c r="G2796" s="112">
        <f ca="1">IFERROR(__xludf.DUMMYFUNCTION("""COMPUTED_VALUE"""),44399.7055555555)</f>
        <v>44399.705555555498</v>
      </c>
      <c r="H2796" s="111">
        <f ca="1">IFERROR(__xludf.DUMMYFUNCTION("""COMPUTED_VALUE"""),26.9)</f>
        <v>26.9</v>
      </c>
      <c r="M2796" s="112">
        <f ca="1">IFERROR(__xludf.DUMMYFUNCTION("""COMPUTED_VALUE"""),44308.7055555555)</f>
        <v>44308.705555555498</v>
      </c>
      <c r="N2796" s="111">
        <f ca="1">IFERROR(__xludf.DUMMYFUNCTION("""COMPUTED_VALUE"""),23.1)</f>
        <v>23.1</v>
      </c>
      <c r="O2796" s="112">
        <f ca="1">IFERROR(__xludf.DUMMYFUNCTION("""COMPUTED_VALUE"""),44383.7055555555)</f>
        <v>44383.705555555498</v>
      </c>
      <c r="P2796" s="111">
        <f ca="1">IFERROR(__xludf.DUMMYFUNCTION("""COMPUTED_VALUE"""),113.77)</f>
        <v>113.77</v>
      </c>
      <c r="Q2796" s="112">
        <f ca="1">IFERROR(__xludf.DUMMYFUNCTION("""COMPUTED_VALUE"""),44382.7055555555)</f>
        <v>44382.705555555498</v>
      </c>
      <c r="R2796" s="111">
        <f ca="1">IFERROR(__xludf.DUMMYFUNCTION("""COMPUTED_VALUE"""),31.94)</f>
        <v>31.94</v>
      </c>
      <c r="S2796" s="112">
        <f ca="1">IFERROR(__xludf.DUMMYFUNCTION("""COMPUTED_VALUE"""),44397.7055555555)</f>
        <v>44397.705555555498</v>
      </c>
      <c r="T2796" s="111">
        <f ca="1">IFERROR(__xludf.DUMMYFUNCTION("""COMPUTED_VALUE"""),39.55)</f>
        <v>39.549999999999997</v>
      </c>
    </row>
    <row r="2797" spans="1:20" x14ac:dyDescent="0.3">
      <c r="A2797" s="112">
        <f ca="1">IFERROR(__xludf.DUMMYFUNCTION("""COMPUTED_VALUE"""),44392.7055555555)</f>
        <v>44392.705555555498</v>
      </c>
      <c r="B2797" s="111">
        <f ca="1">IFERROR(__xludf.DUMMYFUNCTION("""COMPUTED_VALUE"""),43.5)</f>
        <v>43.5</v>
      </c>
      <c r="C2797" s="112">
        <f ca="1">IFERROR(__xludf.DUMMYFUNCTION("""COMPUTED_VALUE"""),44403.7055555555)</f>
        <v>44403.705555555498</v>
      </c>
      <c r="D2797" s="111">
        <f ca="1">IFERROR(__xludf.DUMMYFUNCTION("""COMPUTED_VALUE"""),29.53)</f>
        <v>29.53</v>
      </c>
      <c r="E2797" s="112">
        <f ca="1">IFERROR(__xludf.DUMMYFUNCTION("""COMPUTED_VALUE"""),44404.7055555555)</f>
        <v>44404.705555555498</v>
      </c>
      <c r="F2797" s="111">
        <f ca="1">IFERROR(__xludf.DUMMYFUNCTION("""COMPUTED_VALUE"""),10.71)</f>
        <v>10.71</v>
      </c>
      <c r="G2797" s="112">
        <f ca="1">IFERROR(__xludf.DUMMYFUNCTION("""COMPUTED_VALUE"""),44400.7055555555)</f>
        <v>44400.705555555498</v>
      </c>
      <c r="H2797" s="111">
        <f ca="1">IFERROR(__xludf.DUMMYFUNCTION("""COMPUTED_VALUE"""),26.74)</f>
        <v>26.74</v>
      </c>
      <c r="M2797" s="112">
        <f ca="1">IFERROR(__xludf.DUMMYFUNCTION("""COMPUTED_VALUE"""),44309.7055555555)</f>
        <v>44309.705555555498</v>
      </c>
      <c r="N2797" s="111">
        <f ca="1">IFERROR(__xludf.DUMMYFUNCTION("""COMPUTED_VALUE"""),23.53)</f>
        <v>23.53</v>
      </c>
      <c r="O2797" s="112">
        <f ca="1">IFERROR(__xludf.DUMMYFUNCTION("""COMPUTED_VALUE"""),44384.7055555555)</f>
        <v>44384.705555555498</v>
      </c>
      <c r="P2797" s="111">
        <f ca="1">IFERROR(__xludf.DUMMYFUNCTION("""COMPUTED_VALUE"""),114.1)</f>
        <v>114.1</v>
      </c>
      <c r="Q2797" s="112">
        <f ca="1">IFERROR(__xludf.DUMMYFUNCTION("""COMPUTED_VALUE"""),44383.7055555555)</f>
        <v>44383.705555555498</v>
      </c>
      <c r="R2797" s="111">
        <f ca="1">IFERROR(__xludf.DUMMYFUNCTION("""COMPUTED_VALUE"""),31.46)</f>
        <v>31.46</v>
      </c>
      <c r="S2797" s="112">
        <f ca="1">IFERROR(__xludf.DUMMYFUNCTION("""COMPUTED_VALUE"""),44398.7055555555)</f>
        <v>44398.705555555498</v>
      </c>
      <c r="T2797" s="111">
        <f ca="1">IFERROR(__xludf.DUMMYFUNCTION("""COMPUTED_VALUE"""),39.26)</f>
        <v>39.26</v>
      </c>
    </row>
    <row r="2798" spans="1:20" x14ac:dyDescent="0.3">
      <c r="A2798" s="112">
        <f ca="1">IFERROR(__xludf.DUMMYFUNCTION("""COMPUTED_VALUE"""),44393.7055555555)</f>
        <v>44393.705555555498</v>
      </c>
      <c r="B2798" s="111">
        <f ca="1">IFERROR(__xludf.DUMMYFUNCTION("""COMPUTED_VALUE"""),43.73)</f>
        <v>43.73</v>
      </c>
      <c r="C2798" s="112">
        <f ca="1">IFERROR(__xludf.DUMMYFUNCTION("""COMPUTED_VALUE"""),44404.7055555555)</f>
        <v>44404.705555555498</v>
      </c>
      <c r="D2798" s="111">
        <f ca="1">IFERROR(__xludf.DUMMYFUNCTION("""COMPUTED_VALUE"""),29.82)</f>
        <v>29.82</v>
      </c>
      <c r="E2798" s="112">
        <f ca="1">IFERROR(__xludf.DUMMYFUNCTION("""COMPUTED_VALUE"""),44405.7055555555)</f>
        <v>44405.705555555498</v>
      </c>
      <c r="F2798" s="111">
        <f ca="1">IFERROR(__xludf.DUMMYFUNCTION("""COMPUTED_VALUE"""),11)</f>
        <v>11</v>
      </c>
      <c r="G2798" s="112">
        <f ca="1">IFERROR(__xludf.DUMMYFUNCTION("""COMPUTED_VALUE"""),44403.7055555555)</f>
        <v>44403.705555555498</v>
      </c>
      <c r="H2798" s="111">
        <f ca="1">IFERROR(__xludf.DUMMYFUNCTION("""COMPUTED_VALUE"""),27.47)</f>
        <v>27.47</v>
      </c>
      <c r="M2798" s="112">
        <f ca="1">IFERROR(__xludf.DUMMYFUNCTION("""COMPUTED_VALUE"""),44312.7055555555)</f>
        <v>44312.705555555498</v>
      </c>
      <c r="N2798" s="111">
        <f ca="1">IFERROR(__xludf.DUMMYFUNCTION("""COMPUTED_VALUE"""),23.55)</f>
        <v>23.55</v>
      </c>
      <c r="O2798" s="112">
        <f ca="1">IFERROR(__xludf.DUMMYFUNCTION("""COMPUTED_VALUE"""),44385.7055555555)</f>
        <v>44385.705555555498</v>
      </c>
      <c r="P2798" s="111">
        <f ca="1">IFERROR(__xludf.DUMMYFUNCTION("""COMPUTED_VALUE"""),113.66)</f>
        <v>113.66</v>
      </c>
      <c r="Q2798" s="112">
        <f ca="1">IFERROR(__xludf.DUMMYFUNCTION("""COMPUTED_VALUE"""),44384.7055555555)</f>
        <v>44384.705555555498</v>
      </c>
      <c r="R2798" s="111">
        <f ca="1">IFERROR(__xludf.DUMMYFUNCTION("""COMPUTED_VALUE"""),31.88)</f>
        <v>31.88</v>
      </c>
      <c r="S2798" s="112">
        <f ca="1">IFERROR(__xludf.DUMMYFUNCTION("""COMPUTED_VALUE"""),44399.7055555555)</f>
        <v>44399.705555555498</v>
      </c>
      <c r="T2798" s="111">
        <f ca="1">IFERROR(__xludf.DUMMYFUNCTION("""COMPUTED_VALUE"""),39.86)</f>
        <v>39.86</v>
      </c>
    </row>
    <row r="2799" spans="1:20" x14ac:dyDescent="0.3">
      <c r="A2799" s="112">
        <f ca="1">IFERROR(__xludf.DUMMYFUNCTION("""COMPUTED_VALUE"""),44396.7055555555)</f>
        <v>44396.705555555498</v>
      </c>
      <c r="B2799" s="111">
        <f ca="1">IFERROR(__xludf.DUMMYFUNCTION("""COMPUTED_VALUE"""),43.03)</f>
        <v>43.03</v>
      </c>
      <c r="C2799" s="112">
        <f ca="1">IFERROR(__xludf.DUMMYFUNCTION("""COMPUTED_VALUE"""),44405.7055555555)</f>
        <v>44405.705555555498</v>
      </c>
      <c r="D2799" s="111">
        <f ca="1">IFERROR(__xludf.DUMMYFUNCTION("""COMPUTED_VALUE"""),30.79)</f>
        <v>30.79</v>
      </c>
      <c r="E2799" s="112">
        <f ca="1">IFERROR(__xludf.DUMMYFUNCTION("""COMPUTED_VALUE"""),44406.7055555555)</f>
        <v>44406.705555555498</v>
      </c>
      <c r="F2799" s="111">
        <f ca="1">IFERROR(__xludf.DUMMYFUNCTION("""COMPUTED_VALUE"""),10.9)</f>
        <v>10.9</v>
      </c>
      <c r="G2799" s="112">
        <f ca="1">IFERROR(__xludf.DUMMYFUNCTION("""COMPUTED_VALUE"""),44404.7055555555)</f>
        <v>44404.705555555498</v>
      </c>
      <c r="H2799" s="111">
        <f ca="1">IFERROR(__xludf.DUMMYFUNCTION("""COMPUTED_VALUE"""),27.15)</f>
        <v>27.15</v>
      </c>
      <c r="M2799" s="112">
        <f ca="1">IFERROR(__xludf.DUMMYFUNCTION("""COMPUTED_VALUE"""),44313.7055555555)</f>
        <v>44313.705555555498</v>
      </c>
      <c r="N2799" s="111">
        <f ca="1">IFERROR(__xludf.DUMMYFUNCTION("""COMPUTED_VALUE"""),23.34)</f>
        <v>23.34</v>
      </c>
      <c r="O2799" s="112">
        <f ca="1">IFERROR(__xludf.DUMMYFUNCTION("""COMPUTED_VALUE"""),44389.8125)</f>
        <v>44389.8125</v>
      </c>
      <c r="P2799" s="111">
        <f ca="1">IFERROR(__xludf.DUMMYFUNCTION("""COMPUTED_VALUE"""),115.07)</f>
        <v>115.07</v>
      </c>
      <c r="Q2799" s="112">
        <f ca="1">IFERROR(__xludf.DUMMYFUNCTION("""COMPUTED_VALUE"""),44385.7055555555)</f>
        <v>44385.705555555498</v>
      </c>
      <c r="R2799" s="111">
        <f ca="1">IFERROR(__xludf.DUMMYFUNCTION("""COMPUTED_VALUE"""),31.79)</f>
        <v>31.79</v>
      </c>
      <c r="S2799" s="112">
        <f ca="1">IFERROR(__xludf.DUMMYFUNCTION("""COMPUTED_VALUE"""),44400.7055555555)</f>
        <v>44400.705555555498</v>
      </c>
      <c r="T2799" s="111">
        <f ca="1">IFERROR(__xludf.DUMMYFUNCTION("""COMPUTED_VALUE"""),39.37)</f>
        <v>39.369999999999997</v>
      </c>
    </row>
    <row r="2800" spans="1:20" x14ac:dyDescent="0.3">
      <c r="A2800" s="112">
        <f ca="1">IFERROR(__xludf.DUMMYFUNCTION("""COMPUTED_VALUE"""),44397.7055555555)</f>
        <v>44397.705555555498</v>
      </c>
      <c r="B2800" s="111">
        <f ca="1">IFERROR(__xludf.DUMMYFUNCTION("""COMPUTED_VALUE"""),42.96)</f>
        <v>42.96</v>
      </c>
      <c r="C2800" s="112">
        <f ca="1">IFERROR(__xludf.DUMMYFUNCTION("""COMPUTED_VALUE"""),44406.7055555555)</f>
        <v>44406.705555555498</v>
      </c>
      <c r="D2800" s="111">
        <f ca="1">IFERROR(__xludf.DUMMYFUNCTION("""COMPUTED_VALUE"""),30.63)</f>
        <v>30.63</v>
      </c>
      <c r="E2800" s="112">
        <f ca="1">IFERROR(__xludf.DUMMYFUNCTION("""COMPUTED_VALUE"""),44407.7055555555)</f>
        <v>44407.705555555498</v>
      </c>
      <c r="F2800" s="111">
        <f ca="1">IFERROR(__xludf.DUMMYFUNCTION("""COMPUTED_VALUE"""),10.64)</f>
        <v>10.64</v>
      </c>
      <c r="G2800" s="112">
        <f ca="1">IFERROR(__xludf.DUMMYFUNCTION("""COMPUTED_VALUE"""),44405.7055555555)</f>
        <v>44405.705555555498</v>
      </c>
      <c r="H2800" s="111">
        <f ca="1">IFERROR(__xludf.DUMMYFUNCTION("""COMPUTED_VALUE"""),27.71)</f>
        <v>27.71</v>
      </c>
      <c r="M2800" s="112">
        <f ca="1">IFERROR(__xludf.DUMMYFUNCTION("""COMPUTED_VALUE"""),44314.7055555555)</f>
        <v>44314.705555555498</v>
      </c>
      <c r="N2800" s="111">
        <f ca="1">IFERROR(__xludf.DUMMYFUNCTION("""COMPUTED_VALUE"""),24.59)</f>
        <v>24.59</v>
      </c>
      <c r="O2800" s="112">
        <f ca="1">IFERROR(__xludf.DUMMYFUNCTION("""COMPUTED_VALUE"""),44390.7055555555)</f>
        <v>44390.705555555498</v>
      </c>
      <c r="P2800" s="111">
        <f ca="1">IFERROR(__xludf.DUMMYFUNCTION("""COMPUTED_VALUE"""),115.75)</f>
        <v>115.75</v>
      </c>
      <c r="Q2800" s="112">
        <f ca="1">IFERROR(__xludf.DUMMYFUNCTION("""COMPUTED_VALUE"""),44389.8125)</f>
        <v>44389.8125</v>
      </c>
      <c r="R2800" s="111">
        <f ca="1">IFERROR(__xludf.DUMMYFUNCTION("""COMPUTED_VALUE"""),32.6)</f>
        <v>32.6</v>
      </c>
      <c r="S2800" s="112">
        <f ca="1">IFERROR(__xludf.DUMMYFUNCTION("""COMPUTED_VALUE"""),44403.7055555555)</f>
        <v>44403.705555555498</v>
      </c>
      <c r="T2800" s="111">
        <f ca="1">IFERROR(__xludf.DUMMYFUNCTION("""COMPUTED_VALUE"""),38.67)</f>
        <v>38.67</v>
      </c>
    </row>
    <row r="2801" spans="1:20" x14ac:dyDescent="0.3">
      <c r="A2801" s="112">
        <f ca="1">IFERROR(__xludf.DUMMYFUNCTION("""COMPUTED_VALUE"""),44398.7055555555)</f>
        <v>44398.705555555498</v>
      </c>
      <c r="B2801" s="111">
        <f ca="1">IFERROR(__xludf.DUMMYFUNCTION("""COMPUTED_VALUE"""),42.72)</f>
        <v>42.72</v>
      </c>
      <c r="C2801" s="112">
        <f ca="1">IFERROR(__xludf.DUMMYFUNCTION("""COMPUTED_VALUE"""),44407.7055555555)</f>
        <v>44407.705555555498</v>
      </c>
      <c r="D2801" s="111">
        <f ca="1">IFERROR(__xludf.DUMMYFUNCTION("""COMPUTED_VALUE"""),30.3)</f>
        <v>30.3</v>
      </c>
      <c r="E2801" s="112">
        <f ca="1">IFERROR(__xludf.DUMMYFUNCTION("""COMPUTED_VALUE"""),44410.7055555555)</f>
        <v>44410.705555555498</v>
      </c>
      <c r="F2801" s="111">
        <f ca="1">IFERROR(__xludf.DUMMYFUNCTION("""COMPUTED_VALUE"""),10.85)</f>
        <v>10.85</v>
      </c>
      <c r="G2801" s="112">
        <f ca="1">IFERROR(__xludf.DUMMYFUNCTION("""COMPUTED_VALUE"""),44406.7055555555)</f>
        <v>44406.705555555498</v>
      </c>
      <c r="H2801" s="111">
        <f ca="1">IFERROR(__xludf.DUMMYFUNCTION("""COMPUTED_VALUE"""),27.81)</f>
        <v>27.81</v>
      </c>
      <c r="M2801" s="112">
        <f ca="1">IFERROR(__xludf.DUMMYFUNCTION("""COMPUTED_VALUE"""),44315.7055555555)</f>
        <v>44315.705555555498</v>
      </c>
      <c r="N2801" s="111">
        <f ca="1">IFERROR(__xludf.DUMMYFUNCTION("""COMPUTED_VALUE"""),23.77)</f>
        <v>23.77</v>
      </c>
      <c r="O2801" s="112">
        <f ca="1">IFERROR(__xludf.DUMMYFUNCTION("""COMPUTED_VALUE"""),44391.7055555555)</f>
        <v>44391.705555555498</v>
      </c>
      <c r="P2801" s="111">
        <f ca="1">IFERROR(__xludf.DUMMYFUNCTION("""COMPUTED_VALUE"""),115.12)</f>
        <v>115.12</v>
      </c>
      <c r="Q2801" s="112">
        <f ca="1">IFERROR(__xludf.DUMMYFUNCTION("""COMPUTED_VALUE"""),44390.7055555555)</f>
        <v>44390.705555555498</v>
      </c>
      <c r="R2801" s="111">
        <f ca="1">IFERROR(__xludf.DUMMYFUNCTION("""COMPUTED_VALUE"""),32.46)</f>
        <v>32.46</v>
      </c>
      <c r="S2801" s="112">
        <f ca="1">IFERROR(__xludf.DUMMYFUNCTION("""COMPUTED_VALUE"""),44404.7055555555)</f>
        <v>44404.705555555498</v>
      </c>
      <c r="T2801" s="111">
        <f ca="1">IFERROR(__xludf.DUMMYFUNCTION("""COMPUTED_VALUE"""),38.17)</f>
        <v>38.17</v>
      </c>
    </row>
    <row r="2802" spans="1:20" x14ac:dyDescent="0.3">
      <c r="A2802" s="112">
        <f ca="1">IFERROR(__xludf.DUMMYFUNCTION("""COMPUTED_VALUE"""),44399.7055555555)</f>
        <v>44399.705555555498</v>
      </c>
      <c r="B2802" s="111">
        <f ca="1">IFERROR(__xludf.DUMMYFUNCTION("""COMPUTED_VALUE"""),42.8)</f>
        <v>42.8</v>
      </c>
      <c r="C2802" s="112">
        <f ca="1">IFERROR(__xludf.DUMMYFUNCTION("""COMPUTED_VALUE"""),44410.7055555555)</f>
        <v>44410.705555555498</v>
      </c>
      <c r="D2802" s="111">
        <f ca="1">IFERROR(__xludf.DUMMYFUNCTION("""COMPUTED_VALUE"""),30.47)</f>
        <v>30.47</v>
      </c>
      <c r="E2802" s="112">
        <f ca="1">IFERROR(__xludf.DUMMYFUNCTION("""COMPUTED_VALUE"""),44411.7055555555)</f>
        <v>44411.705555555498</v>
      </c>
      <c r="F2802" s="111">
        <f ca="1">IFERROR(__xludf.DUMMYFUNCTION("""COMPUTED_VALUE"""),10.98)</f>
        <v>10.98</v>
      </c>
      <c r="G2802" s="112">
        <f ca="1">IFERROR(__xludf.DUMMYFUNCTION("""COMPUTED_VALUE"""),44407.7055555555)</f>
        <v>44407.705555555498</v>
      </c>
      <c r="H2802" s="111">
        <f ca="1">IFERROR(__xludf.DUMMYFUNCTION("""COMPUTED_VALUE"""),26.91)</f>
        <v>26.91</v>
      </c>
      <c r="M2802" s="112">
        <f ca="1">IFERROR(__xludf.DUMMYFUNCTION("""COMPUTED_VALUE"""),44316.7055555555)</f>
        <v>44316.705555555498</v>
      </c>
      <c r="N2802" s="111">
        <f ca="1">IFERROR(__xludf.DUMMYFUNCTION("""COMPUTED_VALUE"""),23.85)</f>
        <v>23.85</v>
      </c>
      <c r="O2802" s="112">
        <f ca="1">IFERROR(__xludf.DUMMYFUNCTION("""COMPUTED_VALUE"""),44392.7055555555)</f>
        <v>44392.705555555498</v>
      </c>
      <c r="P2802" s="111">
        <f ca="1">IFERROR(__xludf.DUMMYFUNCTION("""COMPUTED_VALUE"""),115.48)</f>
        <v>115.48</v>
      </c>
      <c r="Q2802" s="112">
        <f ca="1">IFERROR(__xludf.DUMMYFUNCTION("""COMPUTED_VALUE"""),44391.7055555555)</f>
        <v>44391.705555555498</v>
      </c>
      <c r="R2802" s="111">
        <f ca="1">IFERROR(__xludf.DUMMYFUNCTION("""COMPUTED_VALUE"""),32.68)</f>
        <v>32.68</v>
      </c>
      <c r="S2802" s="112">
        <f ca="1">IFERROR(__xludf.DUMMYFUNCTION("""COMPUTED_VALUE"""),44405.7055555555)</f>
        <v>44405.705555555498</v>
      </c>
      <c r="T2802" s="111">
        <f ca="1">IFERROR(__xludf.DUMMYFUNCTION("""COMPUTED_VALUE"""),38.24)</f>
        <v>38.24</v>
      </c>
    </row>
    <row r="2803" spans="1:20" x14ac:dyDescent="0.3">
      <c r="A2803" s="112">
        <f ca="1">IFERROR(__xludf.DUMMYFUNCTION("""COMPUTED_VALUE"""),44400.7055555555)</f>
        <v>44400.705555555498</v>
      </c>
      <c r="B2803" s="111">
        <f ca="1">IFERROR(__xludf.DUMMYFUNCTION("""COMPUTED_VALUE"""),41.87)</f>
        <v>41.87</v>
      </c>
      <c r="C2803" s="112">
        <f ca="1">IFERROR(__xludf.DUMMYFUNCTION("""COMPUTED_VALUE"""),44411.7055555555)</f>
        <v>44411.705555555498</v>
      </c>
      <c r="D2803" s="111">
        <f ca="1">IFERROR(__xludf.DUMMYFUNCTION("""COMPUTED_VALUE"""),30.77)</f>
        <v>30.77</v>
      </c>
      <c r="E2803" s="112">
        <f ca="1">IFERROR(__xludf.DUMMYFUNCTION("""COMPUTED_VALUE"""),44412.7055555555)</f>
        <v>44412.705555555498</v>
      </c>
      <c r="F2803" s="111">
        <f ca="1">IFERROR(__xludf.DUMMYFUNCTION("""COMPUTED_VALUE"""),10.73)</f>
        <v>10.73</v>
      </c>
      <c r="G2803" s="112">
        <f ca="1">IFERROR(__xludf.DUMMYFUNCTION("""COMPUTED_VALUE"""),44410.7055555555)</f>
        <v>44410.705555555498</v>
      </c>
      <c r="H2803" s="111">
        <f ca="1">IFERROR(__xludf.DUMMYFUNCTION("""COMPUTED_VALUE"""),26.41)</f>
        <v>26.41</v>
      </c>
      <c r="M2803" s="112">
        <f ca="1">IFERROR(__xludf.DUMMYFUNCTION("""COMPUTED_VALUE"""),44319.7055555555)</f>
        <v>44319.705555555498</v>
      </c>
      <c r="N2803" s="111">
        <f ca="1">IFERROR(__xludf.DUMMYFUNCTION("""COMPUTED_VALUE"""),24.56)</f>
        <v>24.56</v>
      </c>
      <c r="O2803" s="112">
        <f ca="1">IFERROR(__xludf.DUMMYFUNCTION("""COMPUTED_VALUE"""),44393.7055555555)</f>
        <v>44393.705555555498</v>
      </c>
      <c r="P2803" s="111">
        <f ca="1">IFERROR(__xludf.DUMMYFUNCTION("""COMPUTED_VALUE"""),113.4)</f>
        <v>113.4</v>
      </c>
      <c r="Q2803" s="112">
        <f ca="1">IFERROR(__xludf.DUMMYFUNCTION("""COMPUTED_VALUE"""),44392.7055555555)</f>
        <v>44392.705555555498</v>
      </c>
      <c r="R2803" s="111">
        <f ca="1">IFERROR(__xludf.DUMMYFUNCTION("""COMPUTED_VALUE"""),32.18)</f>
        <v>32.18</v>
      </c>
      <c r="S2803" s="112">
        <f ca="1">IFERROR(__xludf.DUMMYFUNCTION("""COMPUTED_VALUE"""),44406.7055555555)</f>
        <v>44406.705555555498</v>
      </c>
      <c r="T2803" s="111">
        <f ca="1">IFERROR(__xludf.DUMMYFUNCTION("""COMPUTED_VALUE"""),38.3)</f>
        <v>38.299999999999997</v>
      </c>
    </row>
    <row r="2804" spans="1:20" x14ac:dyDescent="0.3">
      <c r="A2804" s="112">
        <f ca="1">IFERROR(__xludf.DUMMYFUNCTION("""COMPUTED_VALUE"""),44403.7055555555)</f>
        <v>44403.705555555498</v>
      </c>
      <c r="B2804" s="111">
        <f ca="1">IFERROR(__xludf.DUMMYFUNCTION("""COMPUTED_VALUE"""),41.85)</f>
        <v>41.85</v>
      </c>
      <c r="C2804" s="112">
        <f ca="1">IFERROR(__xludf.DUMMYFUNCTION("""COMPUTED_VALUE"""),44412.7055555555)</f>
        <v>44412.705555555498</v>
      </c>
      <c r="D2804" s="111">
        <f ca="1">IFERROR(__xludf.DUMMYFUNCTION("""COMPUTED_VALUE"""),29.91)</f>
        <v>29.91</v>
      </c>
      <c r="E2804" s="112">
        <f ca="1">IFERROR(__xludf.DUMMYFUNCTION("""COMPUTED_VALUE"""),44413.7055555555)</f>
        <v>44413.705555555498</v>
      </c>
      <c r="F2804" s="111">
        <f ca="1">IFERROR(__xludf.DUMMYFUNCTION("""COMPUTED_VALUE"""),10.76)</f>
        <v>10.76</v>
      </c>
      <c r="G2804" s="112">
        <f ca="1">IFERROR(__xludf.DUMMYFUNCTION("""COMPUTED_VALUE"""),44411.7055555555)</f>
        <v>44411.705555555498</v>
      </c>
      <c r="H2804" s="111">
        <f ca="1">IFERROR(__xludf.DUMMYFUNCTION("""COMPUTED_VALUE"""),26.85)</f>
        <v>26.85</v>
      </c>
      <c r="M2804" s="112">
        <f ca="1">IFERROR(__xludf.DUMMYFUNCTION("""COMPUTED_VALUE"""),44320.7055555555)</f>
        <v>44320.705555555498</v>
      </c>
      <c r="N2804" s="111">
        <f ca="1">IFERROR(__xludf.DUMMYFUNCTION("""COMPUTED_VALUE"""),23.8)</f>
        <v>23.8</v>
      </c>
      <c r="O2804" s="112">
        <f ca="1">IFERROR(__xludf.DUMMYFUNCTION("""COMPUTED_VALUE"""),44396.7055555555)</f>
        <v>44396.705555555498</v>
      </c>
      <c r="P2804" s="111">
        <f ca="1">IFERROR(__xludf.DUMMYFUNCTION("""COMPUTED_VALUE"""),112.16)</f>
        <v>112.16</v>
      </c>
      <c r="Q2804" s="112">
        <f ca="1">IFERROR(__xludf.DUMMYFUNCTION("""COMPUTED_VALUE"""),44393.7055555555)</f>
        <v>44393.705555555498</v>
      </c>
      <c r="R2804" s="111">
        <f ca="1">IFERROR(__xludf.DUMMYFUNCTION("""COMPUTED_VALUE"""),31.79)</f>
        <v>31.79</v>
      </c>
      <c r="S2804" s="112">
        <f ca="1">IFERROR(__xludf.DUMMYFUNCTION("""COMPUTED_VALUE"""),44407.7055555555)</f>
        <v>44407.705555555498</v>
      </c>
      <c r="T2804" s="111">
        <f ca="1">IFERROR(__xludf.DUMMYFUNCTION("""COMPUTED_VALUE"""),37.55)</f>
        <v>37.549999999999997</v>
      </c>
    </row>
    <row r="2805" spans="1:20" x14ac:dyDescent="0.3">
      <c r="A2805" s="112">
        <f ca="1">IFERROR(__xludf.DUMMYFUNCTION("""COMPUTED_VALUE"""),44404.7055555555)</f>
        <v>44404.705555555498</v>
      </c>
      <c r="B2805" s="111">
        <f ca="1">IFERROR(__xludf.DUMMYFUNCTION("""COMPUTED_VALUE"""),42.04)</f>
        <v>42.04</v>
      </c>
      <c r="C2805" s="112">
        <f ca="1">IFERROR(__xludf.DUMMYFUNCTION("""COMPUTED_VALUE"""),44413.7055555555)</f>
        <v>44413.705555555498</v>
      </c>
      <c r="D2805" s="111">
        <f ca="1">IFERROR(__xludf.DUMMYFUNCTION("""COMPUTED_VALUE"""),30)</f>
        <v>30</v>
      </c>
      <c r="E2805" s="112">
        <f ca="1">IFERROR(__xludf.DUMMYFUNCTION("""COMPUTED_VALUE"""),44414.7055555555)</f>
        <v>44414.705555555498</v>
      </c>
      <c r="F2805" s="111">
        <f ca="1">IFERROR(__xludf.DUMMYFUNCTION("""COMPUTED_VALUE"""),10.96)</f>
        <v>10.96</v>
      </c>
      <c r="G2805" s="112">
        <f ca="1">IFERROR(__xludf.DUMMYFUNCTION("""COMPUTED_VALUE"""),44412.7055555555)</f>
        <v>44412.705555555498</v>
      </c>
      <c r="H2805" s="111">
        <f ca="1">IFERROR(__xludf.DUMMYFUNCTION("""COMPUTED_VALUE"""),26.28)</f>
        <v>26.28</v>
      </c>
      <c r="M2805" s="112">
        <f ca="1">IFERROR(__xludf.DUMMYFUNCTION("""COMPUTED_VALUE"""),44321.7055555555)</f>
        <v>44321.705555555498</v>
      </c>
      <c r="N2805" s="111">
        <f ca="1">IFERROR(__xludf.DUMMYFUNCTION("""COMPUTED_VALUE"""),23.84)</f>
        <v>23.84</v>
      </c>
      <c r="O2805" s="112">
        <f ca="1">IFERROR(__xludf.DUMMYFUNCTION("""COMPUTED_VALUE"""),44397.7055555555)</f>
        <v>44397.705555555498</v>
      </c>
      <c r="P2805" s="111">
        <f ca="1">IFERROR(__xludf.DUMMYFUNCTION("""COMPUTED_VALUE"""),113.1)</f>
        <v>113.1</v>
      </c>
      <c r="Q2805" s="112">
        <f ca="1">IFERROR(__xludf.DUMMYFUNCTION("""COMPUTED_VALUE"""),44396.7055555555)</f>
        <v>44396.705555555498</v>
      </c>
      <c r="R2805" s="111">
        <f ca="1">IFERROR(__xludf.DUMMYFUNCTION("""COMPUTED_VALUE"""),31.55)</f>
        <v>31.55</v>
      </c>
      <c r="S2805" s="112">
        <f ca="1">IFERROR(__xludf.DUMMYFUNCTION("""COMPUTED_VALUE"""),44410.7055555555)</f>
        <v>44410.705555555498</v>
      </c>
      <c r="T2805" s="111">
        <f ca="1">IFERROR(__xludf.DUMMYFUNCTION("""COMPUTED_VALUE"""),37.89)</f>
        <v>37.89</v>
      </c>
    </row>
    <row r="2806" spans="1:20" x14ac:dyDescent="0.3">
      <c r="A2806" s="112">
        <f ca="1">IFERROR(__xludf.DUMMYFUNCTION("""COMPUTED_VALUE"""),44405.7055555555)</f>
        <v>44405.705555555498</v>
      </c>
      <c r="B2806" s="111">
        <f ca="1">IFERROR(__xludf.DUMMYFUNCTION("""COMPUTED_VALUE"""),42.24)</f>
        <v>42.24</v>
      </c>
      <c r="C2806" s="112">
        <f ca="1">IFERROR(__xludf.DUMMYFUNCTION("""COMPUTED_VALUE"""),44414.7055555555)</f>
        <v>44414.705555555498</v>
      </c>
      <c r="D2806" s="111">
        <f ca="1">IFERROR(__xludf.DUMMYFUNCTION("""COMPUTED_VALUE"""),30.84)</f>
        <v>30.84</v>
      </c>
      <c r="E2806" s="112">
        <f ca="1">IFERROR(__xludf.DUMMYFUNCTION("""COMPUTED_VALUE"""),44417.7055555555)</f>
        <v>44417.705555555498</v>
      </c>
      <c r="F2806" s="111">
        <f ca="1">IFERROR(__xludf.DUMMYFUNCTION("""COMPUTED_VALUE"""),11.01)</f>
        <v>11.01</v>
      </c>
      <c r="G2806" s="112">
        <f ca="1">IFERROR(__xludf.DUMMYFUNCTION("""COMPUTED_VALUE"""),44413.7055555555)</f>
        <v>44413.705555555498</v>
      </c>
      <c r="H2806" s="111">
        <f ca="1">IFERROR(__xludf.DUMMYFUNCTION("""COMPUTED_VALUE"""),28.35)</f>
        <v>28.35</v>
      </c>
      <c r="M2806" s="112">
        <f ca="1">IFERROR(__xludf.DUMMYFUNCTION("""COMPUTED_VALUE"""),44322.7055555555)</f>
        <v>44322.705555555498</v>
      </c>
      <c r="N2806" s="111">
        <f ca="1">IFERROR(__xludf.DUMMYFUNCTION("""COMPUTED_VALUE"""),23.96)</f>
        <v>23.96</v>
      </c>
      <c r="O2806" s="112">
        <f ca="1">IFERROR(__xludf.DUMMYFUNCTION("""COMPUTED_VALUE"""),44398.7055555555)</f>
        <v>44398.705555555498</v>
      </c>
      <c r="P2806" s="111">
        <f ca="1">IFERROR(__xludf.DUMMYFUNCTION("""COMPUTED_VALUE"""),114.4)</f>
        <v>114.4</v>
      </c>
      <c r="Q2806" s="112">
        <f ca="1">IFERROR(__xludf.DUMMYFUNCTION("""COMPUTED_VALUE"""),44397.7055555555)</f>
        <v>44397.705555555498</v>
      </c>
      <c r="R2806" s="111">
        <f ca="1">IFERROR(__xludf.DUMMYFUNCTION("""COMPUTED_VALUE"""),32.11)</f>
        <v>32.11</v>
      </c>
      <c r="S2806" s="112">
        <f ca="1">IFERROR(__xludf.DUMMYFUNCTION("""COMPUTED_VALUE"""),44411.7055555555)</f>
        <v>44411.705555555498</v>
      </c>
      <c r="T2806" s="111">
        <f ca="1">IFERROR(__xludf.DUMMYFUNCTION("""COMPUTED_VALUE"""),38.13)</f>
        <v>38.130000000000003</v>
      </c>
    </row>
    <row r="2807" spans="1:20" x14ac:dyDescent="0.3">
      <c r="A2807" s="112">
        <f ca="1">IFERROR(__xludf.DUMMYFUNCTION("""COMPUTED_VALUE"""),44406.7055555555)</f>
        <v>44406.705555555498</v>
      </c>
      <c r="B2807" s="111">
        <f ca="1">IFERROR(__xludf.DUMMYFUNCTION("""COMPUTED_VALUE"""),41.84)</f>
        <v>41.84</v>
      </c>
      <c r="C2807" s="112">
        <f ca="1">IFERROR(__xludf.DUMMYFUNCTION("""COMPUTED_VALUE"""),44417.7055555555)</f>
        <v>44417.705555555498</v>
      </c>
      <c r="D2807" s="111">
        <f ca="1">IFERROR(__xludf.DUMMYFUNCTION("""COMPUTED_VALUE"""),31.2)</f>
        <v>31.2</v>
      </c>
      <c r="E2807" s="112">
        <f ca="1">IFERROR(__xludf.DUMMYFUNCTION("""COMPUTED_VALUE"""),44418.7055555555)</f>
        <v>44418.705555555498</v>
      </c>
      <c r="F2807" s="111">
        <f ca="1">IFERROR(__xludf.DUMMYFUNCTION("""COMPUTED_VALUE"""),10.92)</f>
        <v>10.92</v>
      </c>
      <c r="G2807" s="112">
        <f ca="1">IFERROR(__xludf.DUMMYFUNCTION("""COMPUTED_VALUE"""),44414.7055555555)</f>
        <v>44414.705555555498</v>
      </c>
      <c r="H2807" s="111">
        <f ca="1">IFERROR(__xludf.DUMMYFUNCTION("""COMPUTED_VALUE"""),28.39)</f>
        <v>28.39</v>
      </c>
      <c r="M2807" s="112">
        <f ca="1">IFERROR(__xludf.DUMMYFUNCTION("""COMPUTED_VALUE"""),44323.7055555555)</f>
        <v>44323.705555555498</v>
      </c>
      <c r="N2807" s="111">
        <f ca="1">IFERROR(__xludf.DUMMYFUNCTION("""COMPUTED_VALUE"""),24.06)</f>
        <v>24.06</v>
      </c>
      <c r="O2807" s="112">
        <f ca="1">IFERROR(__xludf.DUMMYFUNCTION("""COMPUTED_VALUE"""),44399.7055555555)</f>
        <v>44399.705555555498</v>
      </c>
      <c r="P2807" s="111">
        <f ca="1">IFERROR(__xludf.DUMMYFUNCTION("""COMPUTED_VALUE"""),114.7)</f>
        <v>114.7</v>
      </c>
      <c r="Q2807" s="112">
        <f ca="1">IFERROR(__xludf.DUMMYFUNCTION("""COMPUTED_VALUE"""),44398.7055555555)</f>
        <v>44398.705555555498</v>
      </c>
      <c r="R2807" s="111">
        <f ca="1">IFERROR(__xludf.DUMMYFUNCTION("""COMPUTED_VALUE"""),32.43)</f>
        <v>32.43</v>
      </c>
      <c r="S2807" s="112">
        <f ca="1">IFERROR(__xludf.DUMMYFUNCTION("""COMPUTED_VALUE"""),44412.7055555555)</f>
        <v>44412.705555555498</v>
      </c>
      <c r="T2807" s="111">
        <f ca="1">IFERROR(__xludf.DUMMYFUNCTION("""COMPUTED_VALUE"""),37.71)</f>
        <v>37.71</v>
      </c>
    </row>
    <row r="2808" spans="1:20" x14ac:dyDescent="0.3">
      <c r="A2808" s="112">
        <f ca="1">IFERROR(__xludf.DUMMYFUNCTION("""COMPUTED_VALUE"""),44407.7055555555)</f>
        <v>44407.705555555498</v>
      </c>
      <c r="B2808" s="111">
        <f ca="1">IFERROR(__xludf.DUMMYFUNCTION("""COMPUTED_VALUE"""),39.82)</f>
        <v>39.82</v>
      </c>
      <c r="C2808" s="112">
        <f ca="1">IFERROR(__xludf.DUMMYFUNCTION("""COMPUTED_VALUE"""),44418.7055555555)</f>
        <v>44418.705555555498</v>
      </c>
      <c r="D2808" s="111">
        <f ca="1">IFERROR(__xludf.DUMMYFUNCTION("""COMPUTED_VALUE"""),30.61)</f>
        <v>30.61</v>
      </c>
      <c r="E2808" s="112">
        <f ca="1">IFERROR(__xludf.DUMMYFUNCTION("""COMPUTED_VALUE"""),44419.7055555555)</f>
        <v>44419.705555555498</v>
      </c>
      <c r="F2808" s="111">
        <f ca="1">IFERROR(__xludf.DUMMYFUNCTION("""COMPUTED_VALUE"""),11.09)</f>
        <v>11.09</v>
      </c>
      <c r="G2808" s="112">
        <f ca="1">IFERROR(__xludf.DUMMYFUNCTION("""COMPUTED_VALUE"""),44417.7055555555)</f>
        <v>44417.705555555498</v>
      </c>
      <c r="H2808" s="111">
        <f ca="1">IFERROR(__xludf.DUMMYFUNCTION("""COMPUTED_VALUE"""),28.19)</f>
        <v>28.19</v>
      </c>
      <c r="M2808" s="112">
        <f ca="1">IFERROR(__xludf.DUMMYFUNCTION("""COMPUTED_VALUE"""),44326.7055555555)</f>
        <v>44326.705555555498</v>
      </c>
      <c r="N2808" s="111">
        <f ca="1">IFERROR(__xludf.DUMMYFUNCTION("""COMPUTED_VALUE"""),24.64)</f>
        <v>24.64</v>
      </c>
      <c r="O2808" s="112">
        <f ca="1">IFERROR(__xludf.DUMMYFUNCTION("""COMPUTED_VALUE"""),44400.7055555555)</f>
        <v>44400.705555555498</v>
      </c>
      <c r="P2808" s="111">
        <f ca="1">IFERROR(__xludf.DUMMYFUNCTION("""COMPUTED_VALUE"""),114.12)</f>
        <v>114.12</v>
      </c>
      <c r="Q2808" s="112">
        <f ca="1">IFERROR(__xludf.DUMMYFUNCTION("""COMPUTED_VALUE"""),44399.7055555555)</f>
        <v>44399.705555555498</v>
      </c>
      <c r="R2808" s="111">
        <f ca="1">IFERROR(__xludf.DUMMYFUNCTION("""COMPUTED_VALUE"""),31.95)</f>
        <v>31.95</v>
      </c>
      <c r="S2808" s="112">
        <f ca="1">IFERROR(__xludf.DUMMYFUNCTION("""COMPUTED_VALUE"""),44413.7055555555)</f>
        <v>44413.705555555498</v>
      </c>
      <c r="T2808" s="111">
        <f ca="1">IFERROR(__xludf.DUMMYFUNCTION("""COMPUTED_VALUE"""),37.47)</f>
        <v>37.47</v>
      </c>
    </row>
    <row r="2809" spans="1:20" x14ac:dyDescent="0.3">
      <c r="A2809" s="112">
        <f ca="1">IFERROR(__xludf.DUMMYFUNCTION("""COMPUTED_VALUE"""),44410.7055555555)</f>
        <v>44410.705555555498</v>
      </c>
      <c r="B2809" s="111">
        <f ca="1">IFERROR(__xludf.DUMMYFUNCTION("""COMPUTED_VALUE"""),39.88)</f>
        <v>39.880000000000003</v>
      </c>
      <c r="C2809" s="112">
        <f ca="1">IFERROR(__xludf.DUMMYFUNCTION("""COMPUTED_VALUE"""),44419.7055555555)</f>
        <v>44419.705555555498</v>
      </c>
      <c r="D2809" s="111">
        <f ca="1">IFERROR(__xludf.DUMMYFUNCTION("""COMPUTED_VALUE"""),30.95)</f>
        <v>30.95</v>
      </c>
      <c r="E2809" s="112">
        <f ca="1">IFERROR(__xludf.DUMMYFUNCTION("""COMPUTED_VALUE"""),44420.8125)</f>
        <v>44420.8125</v>
      </c>
      <c r="F2809" s="111">
        <f ca="1">IFERROR(__xludf.DUMMYFUNCTION("""COMPUTED_VALUE"""),10.9)</f>
        <v>10.9</v>
      </c>
      <c r="G2809" s="112">
        <f ca="1">IFERROR(__xludf.DUMMYFUNCTION("""COMPUTED_VALUE"""),44418.7055555555)</f>
        <v>44418.705555555498</v>
      </c>
      <c r="H2809" s="111">
        <f ca="1">IFERROR(__xludf.DUMMYFUNCTION("""COMPUTED_VALUE"""),28.28)</f>
        <v>28.28</v>
      </c>
      <c r="M2809" s="112">
        <f ca="1">IFERROR(__xludf.DUMMYFUNCTION("""COMPUTED_VALUE"""),44327.7055555555)</f>
        <v>44327.705555555498</v>
      </c>
      <c r="N2809" s="111">
        <f ca="1">IFERROR(__xludf.DUMMYFUNCTION("""COMPUTED_VALUE"""),24.6)</f>
        <v>24.6</v>
      </c>
      <c r="O2809" s="112">
        <f ca="1">IFERROR(__xludf.DUMMYFUNCTION("""COMPUTED_VALUE"""),44403.7055555555)</f>
        <v>44403.705555555498</v>
      </c>
      <c r="P2809" s="111">
        <f ca="1">IFERROR(__xludf.DUMMYFUNCTION("""COMPUTED_VALUE"""),116.6)</f>
        <v>116.6</v>
      </c>
      <c r="Q2809" s="112">
        <f ca="1">IFERROR(__xludf.DUMMYFUNCTION("""COMPUTED_VALUE"""),44400.7055555555)</f>
        <v>44400.705555555498</v>
      </c>
      <c r="R2809" s="111">
        <f ca="1">IFERROR(__xludf.DUMMYFUNCTION("""COMPUTED_VALUE"""),31.78)</f>
        <v>31.78</v>
      </c>
      <c r="S2809" s="112">
        <f ca="1">IFERROR(__xludf.DUMMYFUNCTION("""COMPUTED_VALUE"""),44414.7055555555)</f>
        <v>44414.705555555498</v>
      </c>
      <c r="T2809" s="111">
        <f ca="1">IFERROR(__xludf.DUMMYFUNCTION("""COMPUTED_VALUE"""),37.45)</f>
        <v>37.450000000000003</v>
      </c>
    </row>
    <row r="2810" spans="1:20" x14ac:dyDescent="0.3">
      <c r="A2810" s="112">
        <f ca="1">IFERROR(__xludf.DUMMYFUNCTION("""COMPUTED_VALUE"""),44411.7055555555)</f>
        <v>44411.705555555498</v>
      </c>
      <c r="B2810" s="111">
        <f ca="1">IFERROR(__xludf.DUMMYFUNCTION("""COMPUTED_VALUE"""),40.1)</f>
        <v>40.1</v>
      </c>
      <c r="C2810" s="112">
        <f ca="1">IFERROR(__xludf.DUMMYFUNCTION("""COMPUTED_VALUE"""),44420.8125)</f>
        <v>44420.8125</v>
      </c>
      <c r="D2810" s="111">
        <f ca="1">IFERROR(__xludf.DUMMYFUNCTION("""COMPUTED_VALUE"""),30.37)</f>
        <v>30.37</v>
      </c>
      <c r="E2810" s="112">
        <f ca="1">IFERROR(__xludf.DUMMYFUNCTION("""COMPUTED_VALUE"""),44421.7055555555)</f>
        <v>44421.705555555498</v>
      </c>
      <c r="F2810" s="111">
        <f ca="1">IFERROR(__xludf.DUMMYFUNCTION("""COMPUTED_VALUE"""),10.96)</f>
        <v>10.96</v>
      </c>
      <c r="G2810" s="112">
        <f ca="1">IFERROR(__xludf.DUMMYFUNCTION("""COMPUTED_VALUE"""),44419.7055555555)</f>
        <v>44419.705555555498</v>
      </c>
      <c r="H2810" s="111">
        <f ca="1">IFERROR(__xludf.DUMMYFUNCTION("""COMPUTED_VALUE"""),28.67)</f>
        <v>28.67</v>
      </c>
      <c r="M2810" s="112">
        <f ca="1">IFERROR(__xludf.DUMMYFUNCTION("""COMPUTED_VALUE"""),44328.7055555555)</f>
        <v>44328.705555555498</v>
      </c>
      <c r="N2810" s="111">
        <f ca="1">IFERROR(__xludf.DUMMYFUNCTION("""COMPUTED_VALUE"""),24.1)</f>
        <v>24.1</v>
      </c>
      <c r="O2810" s="112">
        <f ca="1">IFERROR(__xludf.DUMMYFUNCTION("""COMPUTED_VALUE"""),44404.7055555555)</f>
        <v>44404.705555555498</v>
      </c>
      <c r="P2810" s="111">
        <f ca="1">IFERROR(__xludf.DUMMYFUNCTION("""COMPUTED_VALUE"""),114.18)</f>
        <v>114.18</v>
      </c>
      <c r="Q2810" s="112">
        <f ca="1">IFERROR(__xludf.DUMMYFUNCTION("""COMPUTED_VALUE"""),44403.7055555555)</f>
        <v>44403.705555555498</v>
      </c>
      <c r="R2810" s="111">
        <f ca="1">IFERROR(__xludf.DUMMYFUNCTION("""COMPUTED_VALUE"""),32.27)</f>
        <v>32.270000000000003</v>
      </c>
      <c r="S2810" s="112">
        <f ca="1">IFERROR(__xludf.DUMMYFUNCTION("""COMPUTED_VALUE"""),44417.7055555555)</f>
        <v>44417.705555555498</v>
      </c>
      <c r="T2810" s="111">
        <f ca="1">IFERROR(__xludf.DUMMYFUNCTION("""COMPUTED_VALUE"""),37.37)</f>
        <v>37.369999999999997</v>
      </c>
    </row>
    <row r="2811" spans="1:20" x14ac:dyDescent="0.3">
      <c r="A2811" s="112">
        <f ca="1">IFERROR(__xludf.DUMMYFUNCTION("""COMPUTED_VALUE"""),44412.7055555555)</f>
        <v>44412.705555555498</v>
      </c>
      <c r="B2811" s="111">
        <f ca="1">IFERROR(__xludf.DUMMYFUNCTION("""COMPUTED_VALUE"""),40.03)</f>
        <v>40.03</v>
      </c>
      <c r="C2811" s="112">
        <f ca="1">IFERROR(__xludf.DUMMYFUNCTION("""COMPUTED_VALUE"""),44421.7055555555)</f>
        <v>44421.705555555498</v>
      </c>
      <c r="D2811" s="111">
        <f ca="1">IFERROR(__xludf.DUMMYFUNCTION("""COMPUTED_VALUE"""),30.78)</f>
        <v>30.78</v>
      </c>
      <c r="E2811" s="112">
        <f ca="1">IFERROR(__xludf.DUMMYFUNCTION("""COMPUTED_VALUE"""),44424.7055555555)</f>
        <v>44424.705555555498</v>
      </c>
      <c r="F2811" s="111">
        <f ca="1">IFERROR(__xludf.DUMMYFUNCTION("""COMPUTED_VALUE"""),10.83)</f>
        <v>10.83</v>
      </c>
      <c r="G2811" s="112">
        <f ca="1">IFERROR(__xludf.DUMMYFUNCTION("""COMPUTED_VALUE"""),44420.8125)</f>
        <v>44420.8125</v>
      </c>
      <c r="H2811" s="111">
        <f ca="1">IFERROR(__xludf.DUMMYFUNCTION("""COMPUTED_VALUE"""),29.1)</f>
        <v>29.1</v>
      </c>
      <c r="M2811" s="112">
        <f ca="1">IFERROR(__xludf.DUMMYFUNCTION("""COMPUTED_VALUE"""),44329.7055555555)</f>
        <v>44329.705555555498</v>
      </c>
      <c r="N2811" s="111">
        <f ca="1">IFERROR(__xludf.DUMMYFUNCTION("""COMPUTED_VALUE"""),24.66)</f>
        <v>24.66</v>
      </c>
      <c r="O2811" s="112">
        <f ca="1">IFERROR(__xludf.DUMMYFUNCTION("""COMPUTED_VALUE"""),44405.7055555555)</f>
        <v>44405.705555555498</v>
      </c>
      <c r="P2811" s="111">
        <f ca="1">IFERROR(__xludf.DUMMYFUNCTION("""COMPUTED_VALUE"""),117.3)</f>
        <v>117.3</v>
      </c>
      <c r="Q2811" s="112">
        <f ca="1">IFERROR(__xludf.DUMMYFUNCTION("""COMPUTED_VALUE"""),44404.7055555555)</f>
        <v>44404.705555555498</v>
      </c>
      <c r="R2811" s="111">
        <f ca="1">IFERROR(__xludf.DUMMYFUNCTION("""COMPUTED_VALUE"""),32.42)</f>
        <v>32.42</v>
      </c>
      <c r="S2811" s="112">
        <f ca="1">IFERROR(__xludf.DUMMYFUNCTION("""COMPUTED_VALUE"""),44418.7055555555)</f>
        <v>44418.705555555498</v>
      </c>
      <c r="T2811" s="111">
        <f ca="1">IFERROR(__xludf.DUMMYFUNCTION("""COMPUTED_VALUE"""),36.86)</f>
        <v>36.86</v>
      </c>
    </row>
    <row r="2812" spans="1:20" x14ac:dyDescent="0.3">
      <c r="A2812" s="112">
        <f ca="1">IFERROR(__xludf.DUMMYFUNCTION("""COMPUTED_VALUE"""),44413.7055555555)</f>
        <v>44413.705555555498</v>
      </c>
      <c r="B2812" s="111">
        <f ca="1">IFERROR(__xludf.DUMMYFUNCTION("""COMPUTED_VALUE"""),39.21)</f>
        <v>39.21</v>
      </c>
      <c r="C2812" s="112">
        <f ca="1">IFERROR(__xludf.DUMMYFUNCTION("""COMPUTED_VALUE"""),44424.7055555555)</f>
        <v>44424.705555555498</v>
      </c>
      <c r="D2812" s="111">
        <f ca="1">IFERROR(__xludf.DUMMYFUNCTION("""COMPUTED_VALUE"""),30.34)</f>
        <v>30.34</v>
      </c>
      <c r="E2812" s="112">
        <f ca="1">IFERROR(__xludf.DUMMYFUNCTION("""COMPUTED_VALUE"""),44425.7055555555)</f>
        <v>44425.705555555498</v>
      </c>
      <c r="F2812" s="111">
        <f ca="1">IFERROR(__xludf.DUMMYFUNCTION("""COMPUTED_VALUE"""),10.69)</f>
        <v>10.69</v>
      </c>
      <c r="G2812" s="112">
        <f ca="1">IFERROR(__xludf.DUMMYFUNCTION("""COMPUTED_VALUE"""),44421.7055555555)</f>
        <v>44421.705555555498</v>
      </c>
      <c r="H2812" s="111">
        <f ca="1">IFERROR(__xludf.DUMMYFUNCTION("""COMPUTED_VALUE"""),29.35)</f>
        <v>29.35</v>
      </c>
      <c r="M2812" s="112">
        <f ca="1">IFERROR(__xludf.DUMMYFUNCTION("""COMPUTED_VALUE"""),44330.7055555555)</f>
        <v>44330.705555555498</v>
      </c>
      <c r="N2812" s="111">
        <f ca="1">IFERROR(__xludf.DUMMYFUNCTION("""COMPUTED_VALUE"""),24.89)</f>
        <v>24.89</v>
      </c>
      <c r="O2812" s="112">
        <f ca="1">IFERROR(__xludf.DUMMYFUNCTION("""COMPUTED_VALUE"""),44406.7055555555)</f>
        <v>44406.705555555498</v>
      </c>
      <c r="P2812" s="111">
        <f ca="1">IFERROR(__xludf.DUMMYFUNCTION("""COMPUTED_VALUE"""),115.57)</f>
        <v>115.57</v>
      </c>
      <c r="Q2812" s="112">
        <f ca="1">IFERROR(__xludf.DUMMYFUNCTION("""COMPUTED_VALUE"""),44405.7055555555)</f>
        <v>44405.705555555498</v>
      </c>
      <c r="R2812" s="111">
        <f ca="1">IFERROR(__xludf.DUMMYFUNCTION("""COMPUTED_VALUE"""),32.9)</f>
        <v>32.9</v>
      </c>
      <c r="S2812" s="112">
        <f ca="1">IFERROR(__xludf.DUMMYFUNCTION("""COMPUTED_VALUE"""),44419.7055555555)</f>
        <v>44419.705555555498</v>
      </c>
      <c r="T2812" s="111">
        <f ca="1">IFERROR(__xludf.DUMMYFUNCTION("""COMPUTED_VALUE"""),37.09)</f>
        <v>37.090000000000003</v>
      </c>
    </row>
    <row r="2813" spans="1:20" x14ac:dyDescent="0.3">
      <c r="A2813" s="112">
        <f ca="1">IFERROR(__xludf.DUMMYFUNCTION("""COMPUTED_VALUE"""),44414.7055555555)</f>
        <v>44414.705555555498</v>
      </c>
      <c r="B2813" s="111">
        <f ca="1">IFERROR(__xludf.DUMMYFUNCTION("""COMPUTED_VALUE"""),40.81)</f>
        <v>40.81</v>
      </c>
      <c r="C2813" s="112">
        <f ca="1">IFERROR(__xludf.DUMMYFUNCTION("""COMPUTED_VALUE"""),44425.7055555555)</f>
        <v>44425.705555555498</v>
      </c>
      <c r="D2813" s="111">
        <f ca="1">IFERROR(__xludf.DUMMYFUNCTION("""COMPUTED_VALUE"""),30.23)</f>
        <v>30.23</v>
      </c>
      <c r="E2813" s="112">
        <f ca="1">IFERROR(__xludf.DUMMYFUNCTION("""COMPUTED_VALUE"""),44426.7055555555)</f>
        <v>44426.705555555498</v>
      </c>
      <c r="F2813" s="111">
        <f ca="1">IFERROR(__xludf.DUMMYFUNCTION("""COMPUTED_VALUE"""),10.71)</f>
        <v>10.71</v>
      </c>
      <c r="G2813" s="112">
        <f ca="1">IFERROR(__xludf.DUMMYFUNCTION("""COMPUTED_VALUE"""),44424.7055555555)</f>
        <v>44424.705555555498</v>
      </c>
      <c r="H2813" s="111">
        <f ca="1">IFERROR(__xludf.DUMMYFUNCTION("""COMPUTED_VALUE"""),28.64)</f>
        <v>28.64</v>
      </c>
      <c r="M2813" s="112">
        <f ca="1">IFERROR(__xludf.DUMMYFUNCTION("""COMPUTED_VALUE"""),44333.7055555555)</f>
        <v>44333.705555555498</v>
      </c>
      <c r="N2813" s="111">
        <f ca="1">IFERROR(__xludf.DUMMYFUNCTION("""COMPUTED_VALUE"""),25)</f>
        <v>25</v>
      </c>
      <c r="O2813" s="112">
        <f ca="1">IFERROR(__xludf.DUMMYFUNCTION("""COMPUTED_VALUE"""),44407.7055555555)</f>
        <v>44407.705555555498</v>
      </c>
      <c r="P2813" s="111">
        <f ca="1">IFERROR(__xludf.DUMMYFUNCTION("""COMPUTED_VALUE"""),108.76)</f>
        <v>108.76</v>
      </c>
      <c r="Q2813" s="112">
        <f ca="1">IFERROR(__xludf.DUMMYFUNCTION("""COMPUTED_VALUE"""),44406.7055555555)</f>
        <v>44406.705555555498</v>
      </c>
      <c r="R2813" s="111">
        <f ca="1">IFERROR(__xludf.DUMMYFUNCTION("""COMPUTED_VALUE"""),32.38)</f>
        <v>32.380000000000003</v>
      </c>
      <c r="S2813" s="112">
        <f ca="1">IFERROR(__xludf.DUMMYFUNCTION("""COMPUTED_VALUE"""),44420.8125)</f>
        <v>44420.8125</v>
      </c>
      <c r="T2813" s="111">
        <f ca="1">IFERROR(__xludf.DUMMYFUNCTION("""COMPUTED_VALUE"""),36.66)</f>
        <v>36.659999999999997</v>
      </c>
    </row>
    <row r="2814" spans="1:20" x14ac:dyDescent="0.3">
      <c r="A2814" s="112">
        <f ca="1">IFERROR(__xludf.DUMMYFUNCTION("""COMPUTED_VALUE"""),44417.7055555555)</f>
        <v>44417.705555555498</v>
      </c>
      <c r="B2814" s="111">
        <f ca="1">IFERROR(__xludf.DUMMYFUNCTION("""COMPUTED_VALUE"""),40.04)</f>
        <v>40.04</v>
      </c>
      <c r="C2814" s="112">
        <f ca="1">IFERROR(__xludf.DUMMYFUNCTION("""COMPUTED_VALUE"""),44426.7055555555)</f>
        <v>44426.705555555498</v>
      </c>
      <c r="D2814" s="111">
        <f ca="1">IFERROR(__xludf.DUMMYFUNCTION("""COMPUTED_VALUE"""),30.29)</f>
        <v>30.29</v>
      </c>
      <c r="E2814" s="112">
        <f ca="1">IFERROR(__xludf.DUMMYFUNCTION("""COMPUTED_VALUE"""),44427.7055555555)</f>
        <v>44427.705555555498</v>
      </c>
      <c r="F2814" s="111">
        <f ca="1">IFERROR(__xludf.DUMMYFUNCTION("""COMPUTED_VALUE"""),10.63)</f>
        <v>10.63</v>
      </c>
      <c r="G2814" s="112">
        <f ca="1">IFERROR(__xludf.DUMMYFUNCTION("""COMPUTED_VALUE"""),44425.7055555555)</f>
        <v>44425.705555555498</v>
      </c>
      <c r="H2814" s="111">
        <f ca="1">IFERROR(__xludf.DUMMYFUNCTION("""COMPUTED_VALUE"""),27.03)</f>
        <v>27.03</v>
      </c>
      <c r="M2814" s="112">
        <f ca="1">IFERROR(__xludf.DUMMYFUNCTION("""COMPUTED_VALUE"""),44334.7055555555)</f>
        <v>44334.705555555498</v>
      </c>
      <c r="N2814" s="111">
        <f ca="1">IFERROR(__xludf.DUMMYFUNCTION("""COMPUTED_VALUE"""),25.4)</f>
        <v>25.4</v>
      </c>
      <c r="O2814" s="112">
        <f ca="1">IFERROR(__xludf.DUMMYFUNCTION("""COMPUTED_VALUE"""),44410.7055555555)</f>
        <v>44410.705555555498</v>
      </c>
      <c r="P2814" s="111">
        <f ca="1">IFERROR(__xludf.DUMMYFUNCTION("""COMPUTED_VALUE"""),108.93)</f>
        <v>108.93</v>
      </c>
      <c r="Q2814" s="112">
        <f ca="1">IFERROR(__xludf.DUMMYFUNCTION("""COMPUTED_VALUE"""),44407.7055555555)</f>
        <v>44407.705555555498</v>
      </c>
      <c r="R2814" s="111">
        <f ca="1">IFERROR(__xludf.DUMMYFUNCTION("""COMPUTED_VALUE"""),31.63)</f>
        <v>31.63</v>
      </c>
      <c r="S2814" s="112">
        <f ca="1">IFERROR(__xludf.DUMMYFUNCTION("""COMPUTED_VALUE"""),44421.7055555555)</f>
        <v>44421.705555555498</v>
      </c>
      <c r="T2814" s="111">
        <f ca="1">IFERROR(__xludf.DUMMYFUNCTION("""COMPUTED_VALUE"""),37.13)</f>
        <v>37.130000000000003</v>
      </c>
    </row>
    <row r="2815" spans="1:20" x14ac:dyDescent="0.3">
      <c r="A2815" s="112">
        <f ca="1">IFERROR(__xludf.DUMMYFUNCTION("""COMPUTED_VALUE"""),44418.7055555555)</f>
        <v>44418.705555555498</v>
      </c>
      <c r="B2815" s="111">
        <f ca="1">IFERROR(__xludf.DUMMYFUNCTION("""COMPUTED_VALUE"""),39.48)</f>
        <v>39.479999999999997</v>
      </c>
      <c r="C2815" s="112">
        <f ca="1">IFERROR(__xludf.DUMMYFUNCTION("""COMPUTED_VALUE"""),44427.7055555555)</f>
        <v>44427.705555555498</v>
      </c>
      <c r="D2815" s="111">
        <f ca="1">IFERROR(__xludf.DUMMYFUNCTION("""COMPUTED_VALUE"""),29.9)</f>
        <v>29.9</v>
      </c>
      <c r="E2815" s="112">
        <f ca="1">IFERROR(__xludf.DUMMYFUNCTION("""COMPUTED_VALUE"""),44428.7055555555)</f>
        <v>44428.705555555498</v>
      </c>
      <c r="F2815" s="111">
        <f ca="1">IFERROR(__xludf.DUMMYFUNCTION("""COMPUTED_VALUE"""),10.65)</f>
        <v>10.65</v>
      </c>
      <c r="G2815" s="112">
        <f ca="1">IFERROR(__xludf.DUMMYFUNCTION("""COMPUTED_VALUE"""),44426.7055555555)</f>
        <v>44426.705555555498</v>
      </c>
      <c r="H2815" s="111">
        <f ca="1">IFERROR(__xludf.DUMMYFUNCTION("""COMPUTED_VALUE"""),26.79)</f>
        <v>26.79</v>
      </c>
      <c r="M2815" s="112">
        <f ca="1">IFERROR(__xludf.DUMMYFUNCTION("""COMPUTED_VALUE"""),44335.7055555555)</f>
        <v>44335.705555555498</v>
      </c>
      <c r="N2815" s="111">
        <f ca="1">IFERROR(__xludf.DUMMYFUNCTION("""COMPUTED_VALUE"""),25.57)</f>
        <v>25.57</v>
      </c>
      <c r="O2815" s="112">
        <f ca="1">IFERROR(__xludf.DUMMYFUNCTION("""COMPUTED_VALUE"""),44411.7055555555)</f>
        <v>44411.705555555498</v>
      </c>
      <c r="P2815" s="111">
        <f ca="1">IFERROR(__xludf.DUMMYFUNCTION("""COMPUTED_VALUE"""),112.64)</f>
        <v>112.64</v>
      </c>
      <c r="Q2815" s="112">
        <f ca="1">IFERROR(__xludf.DUMMYFUNCTION("""COMPUTED_VALUE"""),44410.7055555555)</f>
        <v>44410.705555555498</v>
      </c>
      <c r="R2815" s="111">
        <f ca="1">IFERROR(__xludf.DUMMYFUNCTION("""COMPUTED_VALUE"""),32.06)</f>
        <v>32.06</v>
      </c>
      <c r="S2815" s="112">
        <f ca="1">IFERROR(__xludf.DUMMYFUNCTION("""COMPUTED_VALUE"""),44424.7055555555)</f>
        <v>44424.705555555498</v>
      </c>
      <c r="T2815" s="111">
        <f ca="1">IFERROR(__xludf.DUMMYFUNCTION("""COMPUTED_VALUE"""),36.15)</f>
        <v>36.15</v>
      </c>
    </row>
    <row r="2816" spans="1:20" x14ac:dyDescent="0.3">
      <c r="A2816" s="112">
        <f ca="1">IFERROR(__xludf.DUMMYFUNCTION("""COMPUTED_VALUE"""),44419.7055555555)</f>
        <v>44419.705555555498</v>
      </c>
      <c r="B2816" s="111">
        <f ca="1">IFERROR(__xludf.DUMMYFUNCTION("""COMPUTED_VALUE"""),39.41)</f>
        <v>39.409999999999997</v>
      </c>
      <c r="C2816" s="112">
        <f ca="1">IFERROR(__xludf.DUMMYFUNCTION("""COMPUTED_VALUE"""),44428.7055555555)</f>
        <v>44428.705555555498</v>
      </c>
      <c r="D2816" s="111">
        <f ca="1">IFERROR(__xludf.DUMMYFUNCTION("""COMPUTED_VALUE"""),29.79)</f>
        <v>29.79</v>
      </c>
      <c r="E2816" s="112">
        <f ca="1">IFERROR(__xludf.DUMMYFUNCTION("""COMPUTED_VALUE"""),44431.7055555555)</f>
        <v>44431.705555555498</v>
      </c>
      <c r="F2816" s="111">
        <f ca="1">IFERROR(__xludf.DUMMYFUNCTION("""COMPUTED_VALUE"""),10.7)</f>
        <v>10.7</v>
      </c>
      <c r="G2816" s="112">
        <f ca="1">IFERROR(__xludf.DUMMYFUNCTION("""COMPUTED_VALUE"""),44427.7055555555)</f>
        <v>44427.705555555498</v>
      </c>
      <c r="H2816" s="111">
        <f ca="1">IFERROR(__xludf.DUMMYFUNCTION("""COMPUTED_VALUE"""),26.64)</f>
        <v>26.64</v>
      </c>
      <c r="M2816" s="112">
        <f ca="1">IFERROR(__xludf.DUMMYFUNCTION("""COMPUTED_VALUE"""),44336.7055555555)</f>
        <v>44336.705555555498</v>
      </c>
      <c r="N2816" s="111">
        <f ca="1">IFERROR(__xludf.DUMMYFUNCTION("""COMPUTED_VALUE"""),25.81)</f>
        <v>25.81</v>
      </c>
      <c r="O2816" s="112">
        <f ca="1">IFERROR(__xludf.DUMMYFUNCTION("""COMPUTED_VALUE"""),44412.7055555555)</f>
        <v>44412.705555555498</v>
      </c>
      <c r="P2816" s="111">
        <f ca="1">IFERROR(__xludf.DUMMYFUNCTION("""COMPUTED_VALUE"""),112.52)</f>
        <v>112.52</v>
      </c>
      <c r="Q2816" s="112">
        <f ca="1">IFERROR(__xludf.DUMMYFUNCTION("""COMPUTED_VALUE"""),44411.7055555555)</f>
        <v>44411.705555555498</v>
      </c>
      <c r="R2816" s="111">
        <f ca="1">IFERROR(__xludf.DUMMYFUNCTION("""COMPUTED_VALUE"""),31.88)</f>
        <v>31.88</v>
      </c>
      <c r="S2816" s="112">
        <f ca="1">IFERROR(__xludf.DUMMYFUNCTION("""COMPUTED_VALUE"""),44425.7055555555)</f>
        <v>44425.705555555498</v>
      </c>
      <c r="T2816" s="111">
        <f ca="1">IFERROR(__xludf.DUMMYFUNCTION("""COMPUTED_VALUE"""),35.89)</f>
        <v>35.89</v>
      </c>
    </row>
    <row r="2817" spans="1:20" x14ac:dyDescent="0.3">
      <c r="A2817" s="112">
        <f ca="1">IFERROR(__xludf.DUMMYFUNCTION("""COMPUTED_VALUE"""),44420.8125)</f>
        <v>44420.8125</v>
      </c>
      <c r="B2817" s="111">
        <f ca="1">IFERROR(__xludf.DUMMYFUNCTION("""COMPUTED_VALUE"""),38.79)</f>
        <v>38.79</v>
      </c>
      <c r="C2817" s="112">
        <f ca="1">IFERROR(__xludf.DUMMYFUNCTION("""COMPUTED_VALUE"""),44431.7055555555)</f>
        <v>44431.705555555498</v>
      </c>
      <c r="D2817" s="111">
        <f ca="1">IFERROR(__xludf.DUMMYFUNCTION("""COMPUTED_VALUE"""),30.11)</f>
        <v>30.11</v>
      </c>
      <c r="E2817" s="112">
        <f ca="1">IFERROR(__xludf.DUMMYFUNCTION("""COMPUTED_VALUE"""),44432.7055555555)</f>
        <v>44432.705555555498</v>
      </c>
      <c r="F2817" s="111">
        <f ca="1">IFERROR(__xludf.DUMMYFUNCTION("""COMPUTED_VALUE"""),10.92)</f>
        <v>10.92</v>
      </c>
      <c r="G2817" s="112">
        <f ca="1">IFERROR(__xludf.DUMMYFUNCTION("""COMPUTED_VALUE"""),44428.7055555555)</f>
        <v>44428.705555555498</v>
      </c>
      <c r="H2817" s="111">
        <f ca="1">IFERROR(__xludf.DUMMYFUNCTION("""COMPUTED_VALUE"""),26.6)</f>
        <v>26.6</v>
      </c>
      <c r="M2817" s="112">
        <f ca="1">IFERROR(__xludf.DUMMYFUNCTION("""COMPUTED_VALUE"""),44337.7055555555)</f>
        <v>44337.705555555498</v>
      </c>
      <c r="N2817" s="111">
        <f ca="1">IFERROR(__xludf.DUMMYFUNCTION("""COMPUTED_VALUE"""),25.93)</f>
        <v>25.93</v>
      </c>
      <c r="O2817" s="112">
        <f ca="1">IFERROR(__xludf.DUMMYFUNCTION("""COMPUTED_VALUE"""),44413.7055555555)</f>
        <v>44413.705555555498</v>
      </c>
      <c r="P2817" s="111">
        <f ca="1">IFERROR(__xludf.DUMMYFUNCTION("""COMPUTED_VALUE"""),109.08)</f>
        <v>109.08</v>
      </c>
      <c r="Q2817" s="112">
        <f ca="1">IFERROR(__xludf.DUMMYFUNCTION("""COMPUTED_VALUE"""),44412.7055555555)</f>
        <v>44412.705555555498</v>
      </c>
      <c r="R2817" s="111">
        <f ca="1">IFERROR(__xludf.DUMMYFUNCTION("""COMPUTED_VALUE"""),31.41)</f>
        <v>31.41</v>
      </c>
      <c r="S2817" s="112">
        <f ca="1">IFERROR(__xludf.DUMMYFUNCTION("""COMPUTED_VALUE"""),44426.7055555555)</f>
        <v>44426.705555555498</v>
      </c>
      <c r="T2817" s="111">
        <f ca="1">IFERROR(__xludf.DUMMYFUNCTION("""COMPUTED_VALUE"""),35.45)</f>
        <v>35.450000000000003</v>
      </c>
    </row>
    <row r="2818" spans="1:20" x14ac:dyDescent="0.3">
      <c r="A2818" s="112">
        <f ca="1">IFERROR(__xludf.DUMMYFUNCTION("""COMPUTED_VALUE"""),44421.7055555555)</f>
        <v>44421.705555555498</v>
      </c>
      <c r="B2818" s="111">
        <f ca="1">IFERROR(__xludf.DUMMYFUNCTION("""COMPUTED_VALUE"""),38.6)</f>
        <v>38.6</v>
      </c>
      <c r="C2818" s="112">
        <f ca="1">IFERROR(__xludf.DUMMYFUNCTION("""COMPUTED_VALUE"""),44432.7055555555)</f>
        <v>44432.705555555498</v>
      </c>
      <c r="D2818" s="111">
        <f ca="1">IFERROR(__xludf.DUMMYFUNCTION("""COMPUTED_VALUE"""),30.95)</f>
        <v>30.95</v>
      </c>
      <c r="E2818" s="112">
        <f ca="1">IFERROR(__xludf.DUMMYFUNCTION("""COMPUTED_VALUE"""),44433.7055555555)</f>
        <v>44433.705555555498</v>
      </c>
      <c r="F2818" s="111">
        <f ca="1">IFERROR(__xludf.DUMMYFUNCTION("""COMPUTED_VALUE"""),10.94)</f>
        <v>10.94</v>
      </c>
      <c r="G2818" s="112">
        <f ca="1">IFERROR(__xludf.DUMMYFUNCTION("""COMPUTED_VALUE"""),44431.7055555555)</f>
        <v>44431.705555555498</v>
      </c>
      <c r="H2818" s="111">
        <f ca="1">IFERROR(__xludf.DUMMYFUNCTION("""COMPUTED_VALUE"""),27.02)</f>
        <v>27.02</v>
      </c>
      <c r="M2818" s="112">
        <f ca="1">IFERROR(__xludf.DUMMYFUNCTION("""COMPUTED_VALUE"""),44340.7055555555)</f>
        <v>44340.705555555498</v>
      </c>
      <c r="N2818" s="111">
        <f ca="1">IFERROR(__xludf.DUMMYFUNCTION("""COMPUTED_VALUE"""),25.86)</f>
        <v>25.86</v>
      </c>
      <c r="O2818" s="112">
        <f ca="1">IFERROR(__xludf.DUMMYFUNCTION("""COMPUTED_VALUE"""),44414.7055555555)</f>
        <v>44414.705555555498</v>
      </c>
      <c r="P2818" s="111">
        <f ca="1">IFERROR(__xludf.DUMMYFUNCTION("""COMPUTED_VALUE"""),109.7)</f>
        <v>109.7</v>
      </c>
      <c r="Q2818" s="112">
        <f ca="1">IFERROR(__xludf.DUMMYFUNCTION("""COMPUTED_VALUE"""),44413.7055555555)</f>
        <v>44413.705555555498</v>
      </c>
      <c r="R2818" s="111">
        <f ca="1">IFERROR(__xludf.DUMMYFUNCTION("""COMPUTED_VALUE"""),30.85)</f>
        <v>30.85</v>
      </c>
      <c r="S2818" s="112">
        <f ca="1">IFERROR(__xludf.DUMMYFUNCTION("""COMPUTED_VALUE"""),44427.7055555555)</f>
        <v>44427.705555555498</v>
      </c>
      <c r="T2818" s="111">
        <f ca="1">IFERROR(__xludf.DUMMYFUNCTION("""COMPUTED_VALUE"""),35.86)</f>
        <v>35.86</v>
      </c>
    </row>
    <row r="2819" spans="1:20" x14ac:dyDescent="0.3">
      <c r="A2819" s="112">
        <f ca="1">IFERROR(__xludf.DUMMYFUNCTION("""COMPUTED_VALUE"""),44424.7055555555)</f>
        <v>44424.705555555498</v>
      </c>
      <c r="B2819" s="111">
        <f ca="1">IFERROR(__xludf.DUMMYFUNCTION("""COMPUTED_VALUE"""),37.36)</f>
        <v>37.36</v>
      </c>
      <c r="C2819" s="112">
        <f ca="1">IFERROR(__xludf.DUMMYFUNCTION("""COMPUTED_VALUE"""),44433.7055555555)</f>
        <v>44433.705555555498</v>
      </c>
      <c r="D2819" s="111">
        <f ca="1">IFERROR(__xludf.DUMMYFUNCTION("""COMPUTED_VALUE"""),30.99)</f>
        <v>30.99</v>
      </c>
      <c r="E2819" s="112">
        <f ca="1">IFERROR(__xludf.DUMMYFUNCTION("""COMPUTED_VALUE"""),44434.7055555555)</f>
        <v>44434.705555555498</v>
      </c>
      <c r="F2819" s="111">
        <f ca="1">IFERROR(__xludf.DUMMYFUNCTION("""COMPUTED_VALUE"""),10.67)</f>
        <v>10.67</v>
      </c>
      <c r="G2819" s="112">
        <f ca="1">IFERROR(__xludf.DUMMYFUNCTION("""COMPUTED_VALUE"""),44432.7055555555)</f>
        <v>44432.705555555498</v>
      </c>
      <c r="H2819" s="111">
        <f ca="1">IFERROR(__xludf.DUMMYFUNCTION("""COMPUTED_VALUE"""),27.58)</f>
        <v>27.58</v>
      </c>
      <c r="M2819" s="112">
        <f ca="1">IFERROR(__xludf.DUMMYFUNCTION("""COMPUTED_VALUE"""),44341.7055555555)</f>
        <v>44341.705555555498</v>
      </c>
      <c r="N2819" s="111">
        <f ca="1">IFERROR(__xludf.DUMMYFUNCTION("""COMPUTED_VALUE"""),25.73)</f>
        <v>25.73</v>
      </c>
      <c r="O2819" s="112">
        <f ca="1">IFERROR(__xludf.DUMMYFUNCTION("""COMPUTED_VALUE"""),44417.7055555555)</f>
        <v>44417.705555555498</v>
      </c>
      <c r="P2819" s="111">
        <f ca="1">IFERROR(__xludf.DUMMYFUNCTION("""COMPUTED_VALUE"""),109.01)</f>
        <v>109.01</v>
      </c>
      <c r="Q2819" s="112">
        <f ca="1">IFERROR(__xludf.DUMMYFUNCTION("""COMPUTED_VALUE"""),44414.7055555555)</f>
        <v>44414.705555555498</v>
      </c>
      <c r="R2819" s="111">
        <f ca="1">IFERROR(__xludf.DUMMYFUNCTION("""COMPUTED_VALUE"""),31.79)</f>
        <v>31.79</v>
      </c>
      <c r="S2819" s="112">
        <f ca="1">IFERROR(__xludf.DUMMYFUNCTION("""COMPUTED_VALUE"""),44428.7055555555)</f>
        <v>44428.705555555498</v>
      </c>
      <c r="T2819" s="111">
        <f ca="1">IFERROR(__xludf.DUMMYFUNCTION("""COMPUTED_VALUE"""),35.64)</f>
        <v>35.64</v>
      </c>
    </row>
    <row r="2820" spans="1:20" x14ac:dyDescent="0.3">
      <c r="A2820" s="112">
        <f ca="1">IFERROR(__xludf.DUMMYFUNCTION("""COMPUTED_VALUE"""),44425.7055555555)</f>
        <v>44425.705555555498</v>
      </c>
      <c r="B2820" s="111">
        <f ca="1">IFERROR(__xludf.DUMMYFUNCTION("""COMPUTED_VALUE"""),37.46)</f>
        <v>37.46</v>
      </c>
      <c r="C2820" s="112">
        <f ca="1">IFERROR(__xludf.DUMMYFUNCTION("""COMPUTED_VALUE"""),44434.7055555555)</f>
        <v>44434.705555555498</v>
      </c>
      <c r="D2820" s="111">
        <f ca="1">IFERROR(__xludf.DUMMYFUNCTION("""COMPUTED_VALUE"""),30.24)</f>
        <v>30.24</v>
      </c>
      <c r="E2820" s="112">
        <f ca="1">IFERROR(__xludf.DUMMYFUNCTION("""COMPUTED_VALUE"""),44435.7055555555)</f>
        <v>44435.705555555498</v>
      </c>
      <c r="F2820" s="111">
        <f ca="1">IFERROR(__xludf.DUMMYFUNCTION("""COMPUTED_VALUE"""),10.86)</f>
        <v>10.86</v>
      </c>
      <c r="G2820" s="112">
        <f ca="1">IFERROR(__xludf.DUMMYFUNCTION("""COMPUTED_VALUE"""),44433.7055555555)</f>
        <v>44433.705555555498</v>
      </c>
      <c r="H2820" s="111">
        <f ca="1">IFERROR(__xludf.DUMMYFUNCTION("""COMPUTED_VALUE"""),27.73)</f>
        <v>27.73</v>
      </c>
      <c r="M2820" s="112">
        <f ca="1">IFERROR(__xludf.DUMMYFUNCTION("""COMPUTED_VALUE"""),44342.7055555555)</f>
        <v>44342.705555555498</v>
      </c>
      <c r="N2820" s="111">
        <f ca="1">IFERROR(__xludf.DUMMYFUNCTION("""COMPUTED_VALUE"""),26.32)</f>
        <v>26.32</v>
      </c>
      <c r="O2820" s="112">
        <f ca="1">IFERROR(__xludf.DUMMYFUNCTION("""COMPUTED_VALUE"""),44418.7055555555)</f>
        <v>44418.705555555498</v>
      </c>
      <c r="P2820" s="111">
        <f ca="1">IFERROR(__xludf.DUMMYFUNCTION("""COMPUTED_VALUE"""),110.06)</f>
        <v>110.06</v>
      </c>
      <c r="Q2820" s="112">
        <f ca="1">IFERROR(__xludf.DUMMYFUNCTION("""COMPUTED_VALUE"""),44417.7055555555)</f>
        <v>44417.705555555498</v>
      </c>
      <c r="R2820" s="111">
        <f ca="1">IFERROR(__xludf.DUMMYFUNCTION("""COMPUTED_VALUE"""),31.5)</f>
        <v>31.5</v>
      </c>
      <c r="S2820" s="112">
        <f ca="1">IFERROR(__xludf.DUMMYFUNCTION("""COMPUTED_VALUE"""),44431.7055555555)</f>
        <v>44431.705555555498</v>
      </c>
      <c r="T2820" s="111">
        <f ca="1">IFERROR(__xludf.DUMMYFUNCTION("""COMPUTED_VALUE"""),34.59)</f>
        <v>34.590000000000003</v>
      </c>
    </row>
    <row r="2821" spans="1:20" x14ac:dyDescent="0.3">
      <c r="A2821" s="112">
        <f ca="1">IFERROR(__xludf.DUMMYFUNCTION("""COMPUTED_VALUE"""),44426.7055555555)</f>
        <v>44426.705555555498</v>
      </c>
      <c r="B2821" s="111">
        <f ca="1">IFERROR(__xludf.DUMMYFUNCTION("""COMPUTED_VALUE"""),36.81)</f>
        <v>36.81</v>
      </c>
      <c r="C2821" s="112">
        <f ca="1">IFERROR(__xludf.DUMMYFUNCTION("""COMPUTED_VALUE"""),44435.7055555555)</f>
        <v>44435.705555555498</v>
      </c>
      <c r="D2821" s="111">
        <f ca="1">IFERROR(__xludf.DUMMYFUNCTION("""COMPUTED_VALUE"""),30.76)</f>
        <v>30.76</v>
      </c>
      <c r="E2821" s="112">
        <f ca="1">IFERROR(__xludf.DUMMYFUNCTION("""COMPUTED_VALUE"""),44438.7055555555)</f>
        <v>44438.705555555498</v>
      </c>
      <c r="F2821" s="111">
        <f ca="1">IFERROR(__xludf.DUMMYFUNCTION("""COMPUTED_VALUE"""),10.78)</f>
        <v>10.78</v>
      </c>
      <c r="G2821" s="112">
        <f ca="1">IFERROR(__xludf.DUMMYFUNCTION("""COMPUTED_VALUE"""),44434.7055555555)</f>
        <v>44434.705555555498</v>
      </c>
      <c r="H2821" s="111">
        <f ca="1">IFERROR(__xludf.DUMMYFUNCTION("""COMPUTED_VALUE"""),27.49)</f>
        <v>27.49</v>
      </c>
      <c r="M2821" s="112">
        <f ca="1">IFERROR(__xludf.DUMMYFUNCTION("""COMPUTED_VALUE"""),44343.7055555555)</f>
        <v>44343.705555555498</v>
      </c>
      <c r="N2821" s="111">
        <f ca="1">IFERROR(__xludf.DUMMYFUNCTION("""COMPUTED_VALUE"""),26.48)</f>
        <v>26.48</v>
      </c>
      <c r="O2821" s="112">
        <f ca="1">IFERROR(__xludf.DUMMYFUNCTION("""COMPUTED_VALUE"""),44419.7055555555)</f>
        <v>44419.705555555498</v>
      </c>
      <c r="P2821" s="111">
        <f ca="1">IFERROR(__xludf.DUMMYFUNCTION("""COMPUTED_VALUE"""),109.27)</f>
        <v>109.27</v>
      </c>
      <c r="Q2821" s="112">
        <f ca="1">IFERROR(__xludf.DUMMYFUNCTION("""COMPUTED_VALUE"""),44418.7055555555)</f>
        <v>44418.705555555498</v>
      </c>
      <c r="R2821" s="111">
        <f ca="1">IFERROR(__xludf.DUMMYFUNCTION("""COMPUTED_VALUE"""),30.7)</f>
        <v>30.7</v>
      </c>
      <c r="S2821" s="112">
        <f ca="1">IFERROR(__xludf.DUMMYFUNCTION("""COMPUTED_VALUE"""),44432.7055555555)</f>
        <v>44432.705555555498</v>
      </c>
      <c r="T2821" s="111">
        <f ca="1">IFERROR(__xludf.DUMMYFUNCTION("""COMPUTED_VALUE"""),35.36)</f>
        <v>35.36</v>
      </c>
    </row>
    <row r="2822" spans="1:20" x14ac:dyDescent="0.3">
      <c r="A2822" s="112">
        <f ca="1">IFERROR(__xludf.DUMMYFUNCTION("""COMPUTED_VALUE"""),44427.7055555555)</f>
        <v>44427.705555555498</v>
      </c>
      <c r="B2822" s="111">
        <f ca="1">IFERROR(__xludf.DUMMYFUNCTION("""COMPUTED_VALUE"""),37.5)</f>
        <v>37.5</v>
      </c>
      <c r="C2822" s="112">
        <f ca="1">IFERROR(__xludf.DUMMYFUNCTION("""COMPUTED_VALUE"""),44438.7055555555)</f>
        <v>44438.705555555498</v>
      </c>
      <c r="D2822" s="111">
        <f ca="1">IFERROR(__xludf.DUMMYFUNCTION("""COMPUTED_VALUE"""),30.54)</f>
        <v>30.54</v>
      </c>
      <c r="E2822" s="112">
        <f ca="1">IFERROR(__xludf.DUMMYFUNCTION("""COMPUTED_VALUE"""),44439.7055555555)</f>
        <v>44439.705555555498</v>
      </c>
      <c r="F2822" s="111">
        <f ca="1">IFERROR(__xludf.DUMMYFUNCTION("""COMPUTED_VALUE"""),11.01)</f>
        <v>11.01</v>
      </c>
      <c r="G2822" s="112">
        <f ca="1">IFERROR(__xludf.DUMMYFUNCTION("""COMPUTED_VALUE"""),44435.7055555555)</f>
        <v>44435.705555555498</v>
      </c>
      <c r="H2822" s="111">
        <f ca="1">IFERROR(__xludf.DUMMYFUNCTION("""COMPUTED_VALUE"""),28.49)</f>
        <v>28.49</v>
      </c>
      <c r="M2822" s="112">
        <f ca="1">IFERROR(__xludf.DUMMYFUNCTION("""COMPUTED_VALUE"""),44344.7055555555)</f>
        <v>44344.705555555498</v>
      </c>
      <c r="N2822" s="111">
        <f ca="1">IFERROR(__xludf.DUMMYFUNCTION("""COMPUTED_VALUE"""),26.54)</f>
        <v>26.54</v>
      </c>
      <c r="O2822" s="112">
        <f ca="1">IFERROR(__xludf.DUMMYFUNCTION("""COMPUTED_VALUE"""),44420.8125)</f>
        <v>44420.8125</v>
      </c>
      <c r="P2822" s="111">
        <f ca="1">IFERROR(__xludf.DUMMYFUNCTION("""COMPUTED_VALUE"""),109.2)</f>
        <v>109.2</v>
      </c>
      <c r="Q2822" s="112">
        <f ca="1">IFERROR(__xludf.DUMMYFUNCTION("""COMPUTED_VALUE"""),44419.7055555555)</f>
        <v>44419.705555555498</v>
      </c>
      <c r="R2822" s="111">
        <f ca="1">IFERROR(__xludf.DUMMYFUNCTION("""COMPUTED_VALUE"""),30.4)</f>
        <v>30.4</v>
      </c>
      <c r="S2822" s="112">
        <f ca="1">IFERROR(__xludf.DUMMYFUNCTION("""COMPUTED_VALUE"""),44433.7055555555)</f>
        <v>44433.705555555498</v>
      </c>
      <c r="T2822" s="111">
        <f ca="1">IFERROR(__xludf.DUMMYFUNCTION("""COMPUTED_VALUE"""),35.75)</f>
        <v>35.75</v>
      </c>
    </row>
    <row r="2823" spans="1:20" x14ac:dyDescent="0.3">
      <c r="A2823" s="112">
        <f ca="1">IFERROR(__xludf.DUMMYFUNCTION("""COMPUTED_VALUE"""),44428.7055555555)</f>
        <v>44428.705555555498</v>
      </c>
      <c r="B2823" s="111">
        <f ca="1">IFERROR(__xludf.DUMMYFUNCTION("""COMPUTED_VALUE"""),37.72)</f>
        <v>37.72</v>
      </c>
      <c r="C2823" s="112">
        <f ca="1">IFERROR(__xludf.DUMMYFUNCTION("""COMPUTED_VALUE"""),44439.7055555555)</f>
        <v>44439.705555555498</v>
      </c>
      <c r="D2823" s="111">
        <f ca="1">IFERROR(__xludf.DUMMYFUNCTION("""COMPUTED_VALUE"""),30.94)</f>
        <v>30.94</v>
      </c>
      <c r="E2823" s="112">
        <f ca="1">IFERROR(__xludf.DUMMYFUNCTION("""COMPUTED_VALUE"""),44440.7055555555)</f>
        <v>44440.705555555498</v>
      </c>
      <c r="F2823" s="111">
        <f ca="1">IFERROR(__xludf.DUMMYFUNCTION("""COMPUTED_VALUE"""),11.1)</f>
        <v>11.1</v>
      </c>
      <c r="G2823" s="112">
        <f ca="1">IFERROR(__xludf.DUMMYFUNCTION("""COMPUTED_VALUE"""),44438.7055555555)</f>
        <v>44438.705555555498</v>
      </c>
      <c r="H2823" s="111">
        <f ca="1">IFERROR(__xludf.DUMMYFUNCTION("""COMPUTED_VALUE"""),28.3)</f>
        <v>28.3</v>
      </c>
      <c r="M2823" s="112">
        <f ca="1">IFERROR(__xludf.DUMMYFUNCTION("""COMPUTED_VALUE"""),44347.7055555555)</f>
        <v>44347.705555555498</v>
      </c>
      <c r="N2823" s="111">
        <f ca="1">IFERROR(__xludf.DUMMYFUNCTION("""COMPUTED_VALUE"""),26.48)</f>
        <v>26.48</v>
      </c>
      <c r="O2823" s="112">
        <f ca="1">IFERROR(__xludf.DUMMYFUNCTION("""COMPUTED_VALUE"""),44421.7055555555)</f>
        <v>44421.705555555498</v>
      </c>
      <c r="P2823" s="111">
        <f ca="1">IFERROR(__xludf.DUMMYFUNCTION("""COMPUTED_VALUE"""),108.3)</f>
        <v>108.3</v>
      </c>
      <c r="Q2823" s="112">
        <f ca="1">IFERROR(__xludf.DUMMYFUNCTION("""COMPUTED_VALUE"""),44420.8125)</f>
        <v>44420.8125</v>
      </c>
      <c r="R2823" s="111">
        <f ca="1">IFERROR(__xludf.DUMMYFUNCTION("""COMPUTED_VALUE"""),29.74)</f>
        <v>29.74</v>
      </c>
      <c r="S2823" s="112">
        <f ca="1">IFERROR(__xludf.DUMMYFUNCTION("""COMPUTED_VALUE"""),44434.7055555555)</f>
        <v>44434.705555555498</v>
      </c>
      <c r="T2823" s="111">
        <f ca="1">IFERROR(__xludf.DUMMYFUNCTION("""COMPUTED_VALUE"""),34.46)</f>
        <v>34.46</v>
      </c>
    </row>
    <row r="2824" spans="1:20" x14ac:dyDescent="0.3">
      <c r="A2824" s="112">
        <f ca="1">IFERROR(__xludf.DUMMYFUNCTION("""COMPUTED_VALUE"""),44431.7055555555)</f>
        <v>44431.705555555498</v>
      </c>
      <c r="B2824" s="111">
        <f ca="1">IFERROR(__xludf.DUMMYFUNCTION("""COMPUTED_VALUE"""),37.19)</f>
        <v>37.19</v>
      </c>
      <c r="C2824" s="112">
        <f ca="1">IFERROR(__xludf.DUMMYFUNCTION("""COMPUTED_VALUE"""),44440.7055555555)</f>
        <v>44440.705555555498</v>
      </c>
      <c r="D2824" s="111">
        <f ca="1">IFERROR(__xludf.DUMMYFUNCTION("""COMPUTED_VALUE"""),31.06)</f>
        <v>31.06</v>
      </c>
      <c r="E2824" s="112">
        <f ca="1">IFERROR(__xludf.DUMMYFUNCTION("""COMPUTED_VALUE"""),44441.7055555555)</f>
        <v>44441.705555555498</v>
      </c>
      <c r="F2824" s="111">
        <f ca="1">IFERROR(__xludf.DUMMYFUNCTION("""COMPUTED_VALUE"""),10.73)</f>
        <v>10.73</v>
      </c>
      <c r="G2824" s="112">
        <f ca="1">IFERROR(__xludf.DUMMYFUNCTION("""COMPUTED_VALUE"""),44439.7055555555)</f>
        <v>44439.705555555498</v>
      </c>
      <c r="H2824" s="111">
        <f ca="1">IFERROR(__xludf.DUMMYFUNCTION("""COMPUTED_VALUE"""),27.19)</f>
        <v>27.19</v>
      </c>
      <c r="M2824" s="112">
        <f ca="1">IFERROR(__xludf.DUMMYFUNCTION("""COMPUTED_VALUE"""),44348.7055555555)</f>
        <v>44348.705555555498</v>
      </c>
      <c r="N2824" s="111">
        <f ca="1">IFERROR(__xludf.DUMMYFUNCTION("""COMPUTED_VALUE"""),27.08)</f>
        <v>27.08</v>
      </c>
      <c r="O2824" s="112">
        <f ca="1">IFERROR(__xludf.DUMMYFUNCTION("""COMPUTED_VALUE"""),44424.7055555555)</f>
        <v>44424.705555555498</v>
      </c>
      <c r="P2824" s="111">
        <f ca="1">IFERROR(__xludf.DUMMYFUNCTION("""COMPUTED_VALUE"""),108.8)</f>
        <v>108.8</v>
      </c>
      <c r="Q2824" s="112">
        <f ca="1">IFERROR(__xludf.DUMMYFUNCTION("""COMPUTED_VALUE"""),44421.7055555555)</f>
        <v>44421.705555555498</v>
      </c>
      <c r="R2824" s="111">
        <f ca="1">IFERROR(__xludf.DUMMYFUNCTION("""COMPUTED_VALUE"""),29.5)</f>
        <v>29.5</v>
      </c>
      <c r="S2824" s="112">
        <f ca="1">IFERROR(__xludf.DUMMYFUNCTION("""COMPUTED_VALUE"""),44435.7055555555)</f>
        <v>44435.705555555498</v>
      </c>
      <c r="T2824" s="111">
        <f ca="1">IFERROR(__xludf.DUMMYFUNCTION("""COMPUTED_VALUE"""),34.74)</f>
        <v>34.74</v>
      </c>
    </row>
    <row r="2825" spans="1:20" x14ac:dyDescent="0.3">
      <c r="A2825" s="112">
        <f ca="1">IFERROR(__xludf.DUMMYFUNCTION("""COMPUTED_VALUE"""),44432.7055555555)</f>
        <v>44432.705555555498</v>
      </c>
      <c r="B2825" s="111">
        <f ca="1">IFERROR(__xludf.DUMMYFUNCTION("""COMPUTED_VALUE"""),38.64)</f>
        <v>38.64</v>
      </c>
      <c r="C2825" s="112">
        <f ca="1">IFERROR(__xludf.DUMMYFUNCTION("""COMPUTED_VALUE"""),44441.7055555555)</f>
        <v>44441.705555555498</v>
      </c>
      <c r="D2825" s="111">
        <f ca="1">IFERROR(__xludf.DUMMYFUNCTION("""COMPUTED_VALUE"""),29.94)</f>
        <v>29.94</v>
      </c>
      <c r="E2825" s="112">
        <f ca="1">IFERROR(__xludf.DUMMYFUNCTION("""COMPUTED_VALUE"""),44442.7055555555)</f>
        <v>44442.705555555498</v>
      </c>
      <c r="F2825" s="111">
        <f ca="1">IFERROR(__xludf.DUMMYFUNCTION("""COMPUTED_VALUE"""),10.71)</f>
        <v>10.71</v>
      </c>
      <c r="G2825" s="112">
        <f ca="1">IFERROR(__xludf.DUMMYFUNCTION("""COMPUTED_VALUE"""),44440.7055555555)</f>
        <v>44440.705555555498</v>
      </c>
      <c r="H2825" s="111">
        <f ca="1">IFERROR(__xludf.DUMMYFUNCTION("""COMPUTED_VALUE"""),27.04)</f>
        <v>27.04</v>
      </c>
      <c r="M2825" s="112">
        <f ca="1">IFERROR(__xludf.DUMMYFUNCTION("""COMPUTED_VALUE"""),44349.7055555555)</f>
        <v>44349.705555555498</v>
      </c>
      <c r="N2825" s="111">
        <f ca="1">IFERROR(__xludf.DUMMYFUNCTION("""COMPUTED_VALUE"""),28.12)</f>
        <v>28.12</v>
      </c>
      <c r="O2825" s="112">
        <f ca="1">IFERROR(__xludf.DUMMYFUNCTION("""COMPUTED_VALUE"""),44425.7055555555)</f>
        <v>44425.705555555498</v>
      </c>
      <c r="P2825" s="111">
        <f ca="1">IFERROR(__xludf.DUMMYFUNCTION("""COMPUTED_VALUE"""),107)</f>
        <v>107</v>
      </c>
      <c r="Q2825" s="112">
        <f ca="1">IFERROR(__xludf.DUMMYFUNCTION("""COMPUTED_VALUE"""),44424.7055555555)</f>
        <v>44424.705555555498</v>
      </c>
      <c r="R2825" s="111">
        <f ca="1">IFERROR(__xludf.DUMMYFUNCTION("""COMPUTED_VALUE"""),29.45)</f>
        <v>29.45</v>
      </c>
      <c r="S2825" s="112">
        <f ca="1">IFERROR(__xludf.DUMMYFUNCTION("""COMPUTED_VALUE"""),44438.7055555555)</f>
        <v>44438.705555555498</v>
      </c>
      <c r="T2825" s="111">
        <f ca="1">IFERROR(__xludf.DUMMYFUNCTION("""COMPUTED_VALUE"""),34.53)</f>
        <v>34.53</v>
      </c>
    </row>
    <row r="2826" spans="1:20" x14ac:dyDescent="0.3">
      <c r="A2826" s="112">
        <f ca="1">IFERROR(__xludf.DUMMYFUNCTION("""COMPUTED_VALUE"""),44433.7055555555)</f>
        <v>44433.705555555498</v>
      </c>
      <c r="B2826" s="111">
        <f ca="1">IFERROR(__xludf.DUMMYFUNCTION("""COMPUTED_VALUE"""),38.63)</f>
        <v>38.630000000000003</v>
      </c>
      <c r="C2826" s="112">
        <f ca="1">IFERROR(__xludf.DUMMYFUNCTION("""COMPUTED_VALUE"""),44442.7055555555)</f>
        <v>44442.705555555498</v>
      </c>
      <c r="D2826" s="111">
        <f ca="1">IFERROR(__xludf.DUMMYFUNCTION("""COMPUTED_VALUE"""),29.77)</f>
        <v>29.77</v>
      </c>
      <c r="E2826" s="112">
        <f ca="1">IFERROR(__xludf.DUMMYFUNCTION("""COMPUTED_VALUE"""),44445.7055555555)</f>
        <v>44445.705555555498</v>
      </c>
      <c r="F2826" s="111">
        <f ca="1">IFERROR(__xludf.DUMMYFUNCTION("""COMPUTED_VALUE"""),10.91)</f>
        <v>10.91</v>
      </c>
      <c r="G2826" s="112">
        <f ca="1">IFERROR(__xludf.DUMMYFUNCTION("""COMPUTED_VALUE"""),44441.7055555555)</f>
        <v>44441.705555555498</v>
      </c>
      <c r="H2826" s="111">
        <f ca="1">IFERROR(__xludf.DUMMYFUNCTION("""COMPUTED_VALUE"""),26.6)</f>
        <v>26.6</v>
      </c>
      <c r="M2826" s="112">
        <f ca="1">IFERROR(__xludf.DUMMYFUNCTION("""COMPUTED_VALUE"""),44351.7055555555)</f>
        <v>44351.705555555498</v>
      </c>
      <c r="N2826" s="111">
        <f ca="1">IFERROR(__xludf.DUMMYFUNCTION("""COMPUTED_VALUE"""),28.09)</f>
        <v>28.09</v>
      </c>
      <c r="O2826" s="112">
        <f ca="1">IFERROR(__xludf.DUMMYFUNCTION("""COMPUTED_VALUE"""),44426.7055555555)</f>
        <v>44426.705555555498</v>
      </c>
      <c r="P2826" s="111">
        <f ca="1">IFERROR(__xludf.DUMMYFUNCTION("""COMPUTED_VALUE"""),103.41)</f>
        <v>103.41</v>
      </c>
      <c r="Q2826" s="112">
        <f ca="1">IFERROR(__xludf.DUMMYFUNCTION("""COMPUTED_VALUE"""),44425.7055555555)</f>
        <v>44425.705555555498</v>
      </c>
      <c r="R2826" s="111">
        <f ca="1">IFERROR(__xludf.DUMMYFUNCTION("""COMPUTED_VALUE"""),29.33)</f>
        <v>29.33</v>
      </c>
      <c r="S2826" s="112">
        <f ca="1">IFERROR(__xludf.DUMMYFUNCTION("""COMPUTED_VALUE"""),44439.7055555555)</f>
        <v>44439.705555555498</v>
      </c>
      <c r="T2826" s="111">
        <f ca="1">IFERROR(__xludf.DUMMYFUNCTION("""COMPUTED_VALUE"""),34.6)</f>
        <v>34.6</v>
      </c>
    </row>
    <row r="2827" spans="1:20" x14ac:dyDescent="0.3">
      <c r="A2827" s="112">
        <f ca="1">IFERROR(__xludf.DUMMYFUNCTION("""COMPUTED_VALUE"""),44434.7055555555)</f>
        <v>44434.705555555498</v>
      </c>
      <c r="B2827" s="111">
        <f ca="1">IFERROR(__xludf.DUMMYFUNCTION("""COMPUTED_VALUE"""),38.4)</f>
        <v>38.4</v>
      </c>
      <c r="C2827" s="112">
        <f ca="1">IFERROR(__xludf.DUMMYFUNCTION("""COMPUTED_VALUE"""),44445.7055555555)</f>
        <v>44445.705555555498</v>
      </c>
      <c r="D2827" s="111">
        <f ca="1">IFERROR(__xludf.DUMMYFUNCTION("""COMPUTED_VALUE"""),30.15)</f>
        <v>30.15</v>
      </c>
      <c r="E2827" s="112">
        <f ca="1">IFERROR(__xludf.DUMMYFUNCTION("""COMPUTED_VALUE"""),44447.7055555555)</f>
        <v>44447.705555555498</v>
      </c>
      <c r="F2827" s="111">
        <f ca="1">IFERROR(__xludf.DUMMYFUNCTION("""COMPUTED_VALUE"""),10.4)</f>
        <v>10.4</v>
      </c>
      <c r="G2827" s="112">
        <f ca="1">IFERROR(__xludf.DUMMYFUNCTION("""COMPUTED_VALUE"""),44442.7055555555)</f>
        <v>44442.705555555498</v>
      </c>
      <c r="H2827" s="111">
        <f ca="1">IFERROR(__xludf.DUMMYFUNCTION("""COMPUTED_VALUE"""),26.33)</f>
        <v>26.33</v>
      </c>
      <c r="M2827" s="112">
        <f ca="1">IFERROR(__xludf.DUMMYFUNCTION("""COMPUTED_VALUE"""),44354.7055555555)</f>
        <v>44354.705555555498</v>
      </c>
      <c r="N2827" s="111">
        <f ca="1">IFERROR(__xludf.DUMMYFUNCTION("""COMPUTED_VALUE"""),28.44)</f>
        <v>28.44</v>
      </c>
      <c r="O2827" s="112">
        <f ca="1">IFERROR(__xludf.DUMMYFUNCTION("""COMPUTED_VALUE"""),44427.7055555555)</f>
        <v>44427.705555555498</v>
      </c>
      <c r="P2827" s="111">
        <f ca="1">IFERROR(__xludf.DUMMYFUNCTION("""COMPUTED_VALUE"""),97.51)</f>
        <v>97.51</v>
      </c>
      <c r="Q2827" s="112">
        <f ca="1">IFERROR(__xludf.DUMMYFUNCTION("""COMPUTED_VALUE"""),44426.7055555555)</f>
        <v>44426.705555555498</v>
      </c>
      <c r="R2827" s="111">
        <f ca="1">IFERROR(__xludf.DUMMYFUNCTION("""COMPUTED_VALUE"""),29.47)</f>
        <v>29.47</v>
      </c>
      <c r="S2827" s="112">
        <f ca="1">IFERROR(__xludf.DUMMYFUNCTION("""COMPUTED_VALUE"""),44440.7055555555)</f>
        <v>44440.705555555498</v>
      </c>
      <c r="T2827" s="111">
        <f ca="1">IFERROR(__xludf.DUMMYFUNCTION("""COMPUTED_VALUE"""),34.09)</f>
        <v>34.090000000000003</v>
      </c>
    </row>
    <row r="2828" spans="1:20" x14ac:dyDescent="0.3">
      <c r="A2828" s="112">
        <f ca="1">IFERROR(__xludf.DUMMYFUNCTION("""COMPUTED_VALUE"""),44435.7055555555)</f>
        <v>44435.705555555498</v>
      </c>
      <c r="B2828" s="111">
        <f ca="1">IFERROR(__xludf.DUMMYFUNCTION("""COMPUTED_VALUE"""),38.41)</f>
        <v>38.409999999999997</v>
      </c>
      <c r="C2828" s="112">
        <f ca="1">IFERROR(__xludf.DUMMYFUNCTION("""COMPUTED_VALUE"""),44447.7055555555)</f>
        <v>44447.705555555498</v>
      </c>
      <c r="D2828" s="111">
        <f ca="1">IFERROR(__xludf.DUMMYFUNCTION("""COMPUTED_VALUE"""),28.72)</f>
        <v>28.72</v>
      </c>
      <c r="E2828" s="112">
        <f ca="1">IFERROR(__xludf.DUMMYFUNCTION("""COMPUTED_VALUE"""),44448.7055555555)</f>
        <v>44448.705555555498</v>
      </c>
      <c r="F2828" s="111">
        <f ca="1">IFERROR(__xludf.DUMMYFUNCTION("""COMPUTED_VALUE"""),10.61)</f>
        <v>10.61</v>
      </c>
      <c r="G2828" s="112">
        <f ca="1">IFERROR(__xludf.DUMMYFUNCTION("""COMPUTED_VALUE"""),44445.7055555555)</f>
        <v>44445.705555555498</v>
      </c>
      <c r="H2828" s="111">
        <f ca="1">IFERROR(__xludf.DUMMYFUNCTION("""COMPUTED_VALUE"""),26.46)</f>
        <v>26.46</v>
      </c>
      <c r="M2828" s="112">
        <f ca="1">IFERROR(__xludf.DUMMYFUNCTION("""COMPUTED_VALUE"""),44355.7055555555)</f>
        <v>44355.705555555498</v>
      </c>
      <c r="N2828" s="111">
        <f ca="1">IFERROR(__xludf.DUMMYFUNCTION("""COMPUTED_VALUE"""),28.24)</f>
        <v>28.24</v>
      </c>
      <c r="O2828" s="112">
        <f ca="1">IFERROR(__xludf.DUMMYFUNCTION("""COMPUTED_VALUE"""),44428.7055555555)</f>
        <v>44428.705555555498</v>
      </c>
      <c r="P2828" s="111">
        <f ca="1">IFERROR(__xludf.DUMMYFUNCTION("""COMPUTED_VALUE"""),97.55)</f>
        <v>97.55</v>
      </c>
      <c r="Q2828" s="112">
        <f ca="1">IFERROR(__xludf.DUMMYFUNCTION("""COMPUTED_VALUE"""),44427.7055555555)</f>
        <v>44427.705555555498</v>
      </c>
      <c r="R2828" s="111">
        <f ca="1">IFERROR(__xludf.DUMMYFUNCTION("""COMPUTED_VALUE"""),29.67)</f>
        <v>29.67</v>
      </c>
      <c r="S2828" s="112">
        <f ca="1">IFERROR(__xludf.DUMMYFUNCTION("""COMPUTED_VALUE"""),44441.7055555555)</f>
        <v>44441.705555555498</v>
      </c>
      <c r="T2828" s="111">
        <f ca="1">IFERROR(__xludf.DUMMYFUNCTION("""COMPUTED_VALUE"""),33.21)</f>
        <v>33.21</v>
      </c>
    </row>
    <row r="2829" spans="1:20" x14ac:dyDescent="0.3">
      <c r="A2829" s="112">
        <f ca="1">IFERROR(__xludf.DUMMYFUNCTION("""COMPUTED_VALUE"""),44438.7055555555)</f>
        <v>44438.705555555498</v>
      </c>
      <c r="B2829" s="111">
        <f ca="1">IFERROR(__xludf.DUMMYFUNCTION("""COMPUTED_VALUE"""),37.54)</f>
        <v>37.54</v>
      </c>
      <c r="C2829" s="112">
        <f ca="1">IFERROR(__xludf.DUMMYFUNCTION("""COMPUTED_VALUE"""),44448.7055555555)</f>
        <v>44448.705555555498</v>
      </c>
      <c r="D2829" s="111">
        <f ca="1">IFERROR(__xludf.DUMMYFUNCTION("""COMPUTED_VALUE"""),29.1)</f>
        <v>29.1</v>
      </c>
      <c r="E2829" s="112">
        <f ca="1">IFERROR(__xludf.DUMMYFUNCTION("""COMPUTED_VALUE"""),44449.7055555555)</f>
        <v>44449.705555555498</v>
      </c>
      <c r="F2829" s="111">
        <f ca="1">IFERROR(__xludf.DUMMYFUNCTION("""COMPUTED_VALUE"""),10.46)</f>
        <v>10.46</v>
      </c>
      <c r="G2829" s="112">
        <f ca="1">IFERROR(__xludf.DUMMYFUNCTION("""COMPUTED_VALUE"""),44447.7055555555)</f>
        <v>44447.705555555498</v>
      </c>
      <c r="H2829" s="111">
        <f ca="1">IFERROR(__xludf.DUMMYFUNCTION("""COMPUTED_VALUE"""),24.97)</f>
        <v>24.97</v>
      </c>
      <c r="M2829" s="112">
        <f ca="1">IFERROR(__xludf.DUMMYFUNCTION("""COMPUTED_VALUE"""),44356.7055555555)</f>
        <v>44356.705555555498</v>
      </c>
      <c r="N2829" s="111">
        <f ca="1">IFERROR(__xludf.DUMMYFUNCTION("""COMPUTED_VALUE"""),28.1)</f>
        <v>28.1</v>
      </c>
      <c r="O2829" s="112">
        <f ca="1">IFERROR(__xludf.DUMMYFUNCTION("""COMPUTED_VALUE"""),44431.7055555555)</f>
        <v>44431.705555555498</v>
      </c>
      <c r="P2829" s="111">
        <f ca="1">IFERROR(__xludf.DUMMYFUNCTION("""COMPUTED_VALUE"""),96.2)</f>
        <v>96.2</v>
      </c>
      <c r="Q2829" s="112">
        <f ca="1">IFERROR(__xludf.DUMMYFUNCTION("""COMPUTED_VALUE"""),44428.7055555555)</f>
        <v>44428.705555555498</v>
      </c>
      <c r="R2829" s="111">
        <f ca="1">IFERROR(__xludf.DUMMYFUNCTION("""COMPUTED_VALUE"""),29.71)</f>
        <v>29.71</v>
      </c>
      <c r="S2829" s="112">
        <f ca="1">IFERROR(__xludf.DUMMYFUNCTION("""COMPUTED_VALUE"""),44442.7055555555)</f>
        <v>44442.705555555498</v>
      </c>
      <c r="T2829" s="111">
        <f ca="1">IFERROR(__xludf.DUMMYFUNCTION("""COMPUTED_VALUE"""),33.75)</f>
        <v>33.75</v>
      </c>
    </row>
    <row r="2830" spans="1:20" x14ac:dyDescent="0.3">
      <c r="A2830" s="112">
        <f ca="1">IFERROR(__xludf.DUMMYFUNCTION("""COMPUTED_VALUE"""),44439.7055555555)</f>
        <v>44439.705555555498</v>
      </c>
      <c r="B2830" s="111">
        <f ca="1">IFERROR(__xludf.DUMMYFUNCTION("""COMPUTED_VALUE"""),37.23)</f>
        <v>37.229999999999997</v>
      </c>
      <c r="C2830" s="112">
        <f ca="1">IFERROR(__xludf.DUMMYFUNCTION("""COMPUTED_VALUE"""),44449.7055555555)</f>
        <v>44449.705555555498</v>
      </c>
      <c r="D2830" s="111">
        <f ca="1">IFERROR(__xludf.DUMMYFUNCTION("""COMPUTED_VALUE"""),28.81)</f>
        <v>28.81</v>
      </c>
      <c r="E2830" s="112">
        <f ca="1">IFERROR(__xludf.DUMMYFUNCTION("""COMPUTED_VALUE"""),44452.7055555555)</f>
        <v>44452.705555555498</v>
      </c>
      <c r="F2830" s="111">
        <f ca="1">IFERROR(__xludf.DUMMYFUNCTION("""COMPUTED_VALUE"""),10.6)</f>
        <v>10.6</v>
      </c>
      <c r="G2830" s="112">
        <f ca="1">IFERROR(__xludf.DUMMYFUNCTION("""COMPUTED_VALUE"""),44448.7055555555)</f>
        <v>44448.705555555498</v>
      </c>
      <c r="H2830" s="111">
        <f ca="1">IFERROR(__xludf.DUMMYFUNCTION("""COMPUTED_VALUE"""),25.5)</f>
        <v>25.5</v>
      </c>
      <c r="M2830" s="112">
        <f ca="1">IFERROR(__xludf.DUMMYFUNCTION("""COMPUTED_VALUE"""),44357.7055555555)</f>
        <v>44357.705555555498</v>
      </c>
      <c r="N2830" s="111">
        <f ca="1">IFERROR(__xludf.DUMMYFUNCTION("""COMPUTED_VALUE"""),28.15)</f>
        <v>28.15</v>
      </c>
      <c r="O2830" s="112">
        <f ca="1">IFERROR(__xludf.DUMMYFUNCTION("""COMPUTED_VALUE"""),44432.7055555555)</f>
        <v>44432.705555555498</v>
      </c>
      <c r="P2830" s="111">
        <f ca="1">IFERROR(__xludf.DUMMYFUNCTION("""COMPUTED_VALUE"""),99.71)</f>
        <v>99.71</v>
      </c>
      <c r="Q2830" s="112">
        <f ca="1">IFERROR(__xludf.DUMMYFUNCTION("""COMPUTED_VALUE"""),44431.7055555555)</f>
        <v>44431.705555555498</v>
      </c>
      <c r="R2830" s="111">
        <f ca="1">IFERROR(__xludf.DUMMYFUNCTION("""COMPUTED_VALUE"""),29.98)</f>
        <v>29.98</v>
      </c>
      <c r="S2830" s="112">
        <f ca="1">IFERROR(__xludf.DUMMYFUNCTION("""COMPUTED_VALUE"""),44445.7055555555)</f>
        <v>44445.705555555498</v>
      </c>
      <c r="T2830" s="111">
        <f ca="1">IFERROR(__xludf.DUMMYFUNCTION("""COMPUTED_VALUE"""),33.75)</f>
        <v>33.75</v>
      </c>
    </row>
    <row r="2831" spans="1:20" x14ac:dyDescent="0.3">
      <c r="A2831" s="112">
        <f ca="1">IFERROR(__xludf.DUMMYFUNCTION("""COMPUTED_VALUE"""),44440.7055555555)</f>
        <v>44440.705555555498</v>
      </c>
      <c r="B2831" s="111">
        <f ca="1">IFERROR(__xludf.DUMMYFUNCTION("""COMPUTED_VALUE"""),38.27)</f>
        <v>38.270000000000003</v>
      </c>
      <c r="C2831" s="112">
        <f ca="1">IFERROR(__xludf.DUMMYFUNCTION("""COMPUTED_VALUE"""),44452.7055555555)</f>
        <v>44452.705555555498</v>
      </c>
      <c r="D2831" s="111">
        <f ca="1">IFERROR(__xludf.DUMMYFUNCTION("""COMPUTED_VALUE"""),29.17)</f>
        <v>29.17</v>
      </c>
      <c r="E2831" s="112">
        <f ca="1">IFERROR(__xludf.DUMMYFUNCTION("""COMPUTED_VALUE"""),44453.7055555555)</f>
        <v>44453.705555555498</v>
      </c>
      <c r="F2831" s="111">
        <f ca="1">IFERROR(__xludf.DUMMYFUNCTION("""COMPUTED_VALUE"""),10.53)</f>
        <v>10.53</v>
      </c>
      <c r="G2831" s="112">
        <f ca="1">IFERROR(__xludf.DUMMYFUNCTION("""COMPUTED_VALUE"""),44449.7055555555)</f>
        <v>44449.705555555498</v>
      </c>
      <c r="H2831" s="111">
        <f ca="1">IFERROR(__xludf.DUMMYFUNCTION("""COMPUTED_VALUE"""),25.34)</f>
        <v>25.34</v>
      </c>
      <c r="M2831" s="112">
        <f ca="1">IFERROR(__xludf.DUMMYFUNCTION("""COMPUTED_VALUE"""),44358.7055555555)</f>
        <v>44358.705555555498</v>
      </c>
      <c r="N2831" s="111">
        <f ca="1">IFERROR(__xludf.DUMMYFUNCTION("""COMPUTED_VALUE"""),28.04)</f>
        <v>28.04</v>
      </c>
      <c r="O2831" s="112">
        <f ca="1">IFERROR(__xludf.DUMMYFUNCTION("""COMPUTED_VALUE"""),44433.7055555555)</f>
        <v>44433.705555555498</v>
      </c>
      <c r="P2831" s="111">
        <f ca="1">IFERROR(__xludf.DUMMYFUNCTION("""COMPUTED_VALUE"""),99.5)</f>
        <v>99.5</v>
      </c>
      <c r="Q2831" s="112">
        <f ca="1">IFERROR(__xludf.DUMMYFUNCTION("""COMPUTED_VALUE"""),44432.7055555555)</f>
        <v>44432.705555555498</v>
      </c>
      <c r="R2831" s="111">
        <f ca="1">IFERROR(__xludf.DUMMYFUNCTION("""COMPUTED_VALUE"""),30.6)</f>
        <v>30.6</v>
      </c>
      <c r="S2831" s="112">
        <f ca="1">IFERROR(__xludf.DUMMYFUNCTION("""COMPUTED_VALUE"""),44447.7055555555)</f>
        <v>44447.705555555498</v>
      </c>
      <c r="T2831" s="111">
        <f ca="1">IFERROR(__xludf.DUMMYFUNCTION("""COMPUTED_VALUE"""),31.98)</f>
        <v>31.98</v>
      </c>
    </row>
    <row r="2832" spans="1:20" x14ac:dyDescent="0.3">
      <c r="A2832" s="112">
        <f ca="1">IFERROR(__xludf.DUMMYFUNCTION("""COMPUTED_VALUE"""),44441.7055555555)</f>
        <v>44441.705555555498</v>
      </c>
      <c r="B2832" s="111">
        <f ca="1">IFERROR(__xludf.DUMMYFUNCTION("""COMPUTED_VALUE"""),36.36)</f>
        <v>36.36</v>
      </c>
      <c r="C2832" s="112">
        <f ca="1">IFERROR(__xludf.DUMMYFUNCTION("""COMPUTED_VALUE"""),44453.7055555555)</f>
        <v>44453.705555555498</v>
      </c>
      <c r="D2832" s="111">
        <f ca="1">IFERROR(__xludf.DUMMYFUNCTION("""COMPUTED_VALUE"""),28.99)</f>
        <v>28.99</v>
      </c>
      <c r="E2832" s="112">
        <f ca="1">IFERROR(__xludf.DUMMYFUNCTION("""COMPUTED_VALUE"""),44454.7055555555)</f>
        <v>44454.705555555498</v>
      </c>
      <c r="F2832" s="111">
        <f ca="1">IFERROR(__xludf.DUMMYFUNCTION("""COMPUTED_VALUE"""),10.53)</f>
        <v>10.53</v>
      </c>
      <c r="G2832" s="112">
        <f ca="1">IFERROR(__xludf.DUMMYFUNCTION("""COMPUTED_VALUE"""),44452.7055555555)</f>
        <v>44452.705555555498</v>
      </c>
      <c r="H2832" s="111">
        <f ca="1">IFERROR(__xludf.DUMMYFUNCTION("""COMPUTED_VALUE"""),26.23)</f>
        <v>26.23</v>
      </c>
      <c r="M2832" s="112">
        <f ca="1">IFERROR(__xludf.DUMMYFUNCTION("""COMPUTED_VALUE"""),44361.7055555555)</f>
        <v>44361.705555555498</v>
      </c>
      <c r="N2832" s="111">
        <f ca="1">IFERROR(__xludf.DUMMYFUNCTION("""COMPUTED_VALUE"""),27.92)</f>
        <v>27.92</v>
      </c>
      <c r="O2832" s="112">
        <f ca="1">IFERROR(__xludf.DUMMYFUNCTION("""COMPUTED_VALUE"""),44434.7055555555)</f>
        <v>44434.705555555498</v>
      </c>
      <c r="P2832" s="111">
        <f ca="1">IFERROR(__xludf.DUMMYFUNCTION("""COMPUTED_VALUE"""),98.23)</f>
        <v>98.23</v>
      </c>
      <c r="Q2832" s="112">
        <f ca="1">IFERROR(__xludf.DUMMYFUNCTION("""COMPUTED_VALUE"""),44433.7055555555)</f>
        <v>44433.705555555498</v>
      </c>
      <c r="R2832" s="111">
        <f ca="1">IFERROR(__xludf.DUMMYFUNCTION("""COMPUTED_VALUE"""),30.5)</f>
        <v>30.5</v>
      </c>
      <c r="S2832" s="112">
        <f ca="1">IFERROR(__xludf.DUMMYFUNCTION("""COMPUTED_VALUE"""),44448.7055555555)</f>
        <v>44448.705555555498</v>
      </c>
      <c r="T2832" s="111">
        <f ca="1">IFERROR(__xludf.DUMMYFUNCTION("""COMPUTED_VALUE"""),32.55)</f>
        <v>32.549999999999997</v>
      </c>
    </row>
    <row r="2833" spans="1:20" x14ac:dyDescent="0.3">
      <c r="A2833" s="112">
        <f ca="1">IFERROR(__xludf.DUMMYFUNCTION("""COMPUTED_VALUE"""),44442.7055555555)</f>
        <v>44442.705555555498</v>
      </c>
      <c r="B2833" s="111">
        <f ca="1">IFERROR(__xludf.DUMMYFUNCTION("""COMPUTED_VALUE"""),36.8)</f>
        <v>36.799999999999997</v>
      </c>
      <c r="C2833" s="112">
        <f ca="1">IFERROR(__xludf.DUMMYFUNCTION("""COMPUTED_VALUE"""),44454.7055555555)</f>
        <v>44454.705555555498</v>
      </c>
      <c r="D2833" s="111">
        <f ca="1">IFERROR(__xludf.DUMMYFUNCTION("""COMPUTED_VALUE"""),28.52)</f>
        <v>28.52</v>
      </c>
      <c r="E2833" s="112">
        <f ca="1">IFERROR(__xludf.DUMMYFUNCTION("""COMPUTED_VALUE"""),44455.7055555555)</f>
        <v>44455.705555555498</v>
      </c>
      <c r="F2833" s="111">
        <f ca="1">IFERROR(__xludf.DUMMYFUNCTION("""COMPUTED_VALUE"""),10.59)</f>
        <v>10.59</v>
      </c>
      <c r="G2833" s="112">
        <f ca="1">IFERROR(__xludf.DUMMYFUNCTION("""COMPUTED_VALUE"""),44453.7055555555)</f>
        <v>44453.705555555498</v>
      </c>
      <c r="H2833" s="111">
        <f ca="1">IFERROR(__xludf.DUMMYFUNCTION("""COMPUTED_VALUE"""),25.88)</f>
        <v>25.88</v>
      </c>
      <c r="M2833" s="112">
        <f ca="1">IFERROR(__xludf.DUMMYFUNCTION("""COMPUTED_VALUE"""),44362.7055555555)</f>
        <v>44362.705555555498</v>
      </c>
      <c r="N2833" s="111">
        <f ca="1">IFERROR(__xludf.DUMMYFUNCTION("""COMPUTED_VALUE"""),27.94)</f>
        <v>27.94</v>
      </c>
      <c r="O2833" s="112">
        <f ca="1">IFERROR(__xludf.DUMMYFUNCTION("""COMPUTED_VALUE"""),44435.7055555555)</f>
        <v>44435.705555555498</v>
      </c>
      <c r="P2833" s="111">
        <f ca="1">IFERROR(__xludf.DUMMYFUNCTION("""COMPUTED_VALUE"""),100.69)</f>
        <v>100.69</v>
      </c>
      <c r="Q2833" s="112">
        <f ca="1">IFERROR(__xludf.DUMMYFUNCTION("""COMPUTED_VALUE"""),44434.7055555555)</f>
        <v>44434.705555555498</v>
      </c>
      <c r="R2833" s="111">
        <f ca="1">IFERROR(__xludf.DUMMYFUNCTION("""COMPUTED_VALUE"""),30.07)</f>
        <v>30.07</v>
      </c>
      <c r="S2833" s="112">
        <f ca="1">IFERROR(__xludf.DUMMYFUNCTION("""COMPUTED_VALUE"""),44449.7055555555)</f>
        <v>44449.705555555498</v>
      </c>
      <c r="T2833" s="111">
        <f ca="1">IFERROR(__xludf.DUMMYFUNCTION("""COMPUTED_VALUE"""),32.88)</f>
        <v>32.880000000000003</v>
      </c>
    </row>
    <row r="2834" spans="1:20" x14ac:dyDescent="0.3">
      <c r="A2834" s="112">
        <f ca="1">IFERROR(__xludf.DUMMYFUNCTION("""COMPUTED_VALUE"""),44445.7055555555)</f>
        <v>44445.705555555498</v>
      </c>
      <c r="B2834" s="111">
        <f ca="1">IFERROR(__xludf.DUMMYFUNCTION("""COMPUTED_VALUE"""),37.4)</f>
        <v>37.4</v>
      </c>
      <c r="C2834" s="112">
        <f ca="1">IFERROR(__xludf.DUMMYFUNCTION("""COMPUTED_VALUE"""),44455.7055555555)</f>
        <v>44455.705555555498</v>
      </c>
      <c r="D2834" s="111">
        <f ca="1">IFERROR(__xludf.DUMMYFUNCTION("""COMPUTED_VALUE"""),28.5)</f>
        <v>28.5</v>
      </c>
      <c r="E2834" s="112">
        <f ca="1">IFERROR(__xludf.DUMMYFUNCTION("""COMPUTED_VALUE"""),44456.7055555555)</f>
        <v>44456.705555555498</v>
      </c>
      <c r="F2834" s="111">
        <f ca="1">IFERROR(__xludf.DUMMYFUNCTION("""COMPUTED_VALUE"""),10.36)</f>
        <v>10.36</v>
      </c>
      <c r="G2834" s="112">
        <f ca="1">IFERROR(__xludf.DUMMYFUNCTION("""COMPUTED_VALUE"""),44454.7055555555)</f>
        <v>44454.705555555498</v>
      </c>
      <c r="H2834" s="111">
        <f ca="1">IFERROR(__xludf.DUMMYFUNCTION("""COMPUTED_VALUE"""),26.33)</f>
        <v>26.33</v>
      </c>
      <c r="M2834" s="112">
        <f ca="1">IFERROR(__xludf.DUMMYFUNCTION("""COMPUTED_VALUE"""),44363.7055555555)</f>
        <v>44363.705555555498</v>
      </c>
      <c r="N2834" s="111">
        <f ca="1">IFERROR(__xludf.DUMMYFUNCTION("""COMPUTED_VALUE"""),28.08)</f>
        <v>28.08</v>
      </c>
      <c r="O2834" s="112">
        <f ca="1">IFERROR(__xludf.DUMMYFUNCTION("""COMPUTED_VALUE"""),44438.7055555555)</f>
        <v>44438.705555555498</v>
      </c>
      <c r="P2834" s="111">
        <f ca="1">IFERROR(__xludf.DUMMYFUNCTION("""COMPUTED_VALUE"""),100.05)</f>
        <v>100.05</v>
      </c>
      <c r="Q2834" s="112">
        <f ca="1">IFERROR(__xludf.DUMMYFUNCTION("""COMPUTED_VALUE"""),44435.7055555555)</f>
        <v>44435.705555555498</v>
      </c>
      <c r="R2834" s="111">
        <f ca="1">IFERROR(__xludf.DUMMYFUNCTION("""COMPUTED_VALUE"""),30.53)</f>
        <v>30.53</v>
      </c>
      <c r="S2834" s="112">
        <f ca="1">IFERROR(__xludf.DUMMYFUNCTION("""COMPUTED_VALUE"""),44452.7055555555)</f>
        <v>44452.705555555498</v>
      </c>
      <c r="T2834" s="111">
        <f ca="1">IFERROR(__xludf.DUMMYFUNCTION("""COMPUTED_VALUE"""),33.79)</f>
        <v>33.79</v>
      </c>
    </row>
    <row r="2835" spans="1:20" x14ac:dyDescent="0.3">
      <c r="A2835" s="112">
        <f ca="1">IFERROR(__xludf.DUMMYFUNCTION("""COMPUTED_VALUE"""),44447.7055555555)</f>
        <v>44447.705555555498</v>
      </c>
      <c r="B2835" s="111">
        <f ca="1">IFERROR(__xludf.DUMMYFUNCTION("""COMPUTED_VALUE"""),33.92)</f>
        <v>33.92</v>
      </c>
      <c r="C2835" s="112">
        <f ca="1">IFERROR(__xludf.DUMMYFUNCTION("""COMPUTED_VALUE"""),44456.7055555555)</f>
        <v>44456.705555555498</v>
      </c>
      <c r="D2835" s="111">
        <f ca="1">IFERROR(__xludf.DUMMYFUNCTION("""COMPUTED_VALUE"""),27.82)</f>
        <v>27.82</v>
      </c>
      <c r="E2835" s="112">
        <f ca="1">IFERROR(__xludf.DUMMYFUNCTION("""COMPUTED_VALUE"""),44459.7055555555)</f>
        <v>44459.705555555498</v>
      </c>
      <c r="F2835" s="111">
        <f ca="1">IFERROR(__xludf.DUMMYFUNCTION("""COMPUTED_VALUE"""),10.18)</f>
        <v>10.18</v>
      </c>
      <c r="G2835" s="112">
        <f ca="1">IFERROR(__xludf.DUMMYFUNCTION("""COMPUTED_VALUE"""),44455.7055555555)</f>
        <v>44455.705555555498</v>
      </c>
      <c r="H2835" s="111">
        <f ca="1">IFERROR(__xludf.DUMMYFUNCTION("""COMPUTED_VALUE"""),26.1)</f>
        <v>26.1</v>
      </c>
      <c r="M2835" s="112">
        <f ca="1">IFERROR(__xludf.DUMMYFUNCTION("""COMPUTED_VALUE"""),44364.7055555555)</f>
        <v>44364.705555555498</v>
      </c>
      <c r="N2835" s="111">
        <f ca="1">IFERROR(__xludf.DUMMYFUNCTION("""COMPUTED_VALUE"""),27.96)</f>
        <v>27.96</v>
      </c>
      <c r="O2835" s="112">
        <f ca="1">IFERROR(__xludf.DUMMYFUNCTION("""COMPUTED_VALUE"""),44439.7055555555)</f>
        <v>44439.705555555498</v>
      </c>
      <c r="P2835" s="111">
        <f ca="1">IFERROR(__xludf.DUMMYFUNCTION("""COMPUTED_VALUE"""),98.68)</f>
        <v>98.68</v>
      </c>
      <c r="Q2835" s="112">
        <f ca="1">IFERROR(__xludf.DUMMYFUNCTION("""COMPUTED_VALUE"""),44438.7055555555)</f>
        <v>44438.705555555498</v>
      </c>
      <c r="R2835" s="111">
        <f ca="1">IFERROR(__xludf.DUMMYFUNCTION("""COMPUTED_VALUE"""),30.24)</f>
        <v>30.24</v>
      </c>
      <c r="S2835" s="112">
        <f ca="1">IFERROR(__xludf.DUMMYFUNCTION("""COMPUTED_VALUE"""),44453.7055555555)</f>
        <v>44453.705555555498</v>
      </c>
      <c r="T2835" s="111">
        <f ca="1">IFERROR(__xludf.DUMMYFUNCTION("""COMPUTED_VALUE"""),33.98)</f>
        <v>33.979999999999997</v>
      </c>
    </row>
    <row r="2836" spans="1:20" x14ac:dyDescent="0.3">
      <c r="A2836" s="112">
        <f ca="1">IFERROR(__xludf.DUMMYFUNCTION("""COMPUTED_VALUE"""),44448.7055555555)</f>
        <v>44448.705555555498</v>
      </c>
      <c r="B2836" s="111">
        <f ca="1">IFERROR(__xludf.DUMMYFUNCTION("""COMPUTED_VALUE"""),35.98)</f>
        <v>35.979999999999997</v>
      </c>
      <c r="C2836" s="112">
        <f ca="1">IFERROR(__xludf.DUMMYFUNCTION("""COMPUTED_VALUE"""),44459.7055555555)</f>
        <v>44459.705555555498</v>
      </c>
      <c r="D2836" s="111">
        <f ca="1">IFERROR(__xludf.DUMMYFUNCTION("""COMPUTED_VALUE"""),27.19)</f>
        <v>27.19</v>
      </c>
      <c r="E2836" s="112">
        <f ca="1">IFERROR(__xludf.DUMMYFUNCTION("""COMPUTED_VALUE"""),44460.7055555555)</f>
        <v>44460.705555555498</v>
      </c>
      <c r="F2836" s="111">
        <f ca="1">IFERROR(__xludf.DUMMYFUNCTION("""COMPUTED_VALUE"""),10.13)</f>
        <v>10.130000000000001</v>
      </c>
      <c r="G2836" s="112">
        <f ca="1">IFERROR(__xludf.DUMMYFUNCTION("""COMPUTED_VALUE"""),44456.7055555555)</f>
        <v>44456.705555555498</v>
      </c>
      <c r="H2836" s="111">
        <f ca="1">IFERROR(__xludf.DUMMYFUNCTION("""COMPUTED_VALUE"""),24.93)</f>
        <v>24.93</v>
      </c>
      <c r="M2836" s="112">
        <f ca="1">IFERROR(__xludf.DUMMYFUNCTION("""COMPUTED_VALUE"""),44365.7055555555)</f>
        <v>44365.705555555498</v>
      </c>
      <c r="N2836" s="111">
        <f ca="1">IFERROR(__xludf.DUMMYFUNCTION("""COMPUTED_VALUE"""),27.6)</f>
        <v>27.6</v>
      </c>
      <c r="O2836" s="112">
        <f ca="1">IFERROR(__xludf.DUMMYFUNCTION("""COMPUTED_VALUE"""),44440.7055555555)</f>
        <v>44440.705555555498</v>
      </c>
      <c r="P2836" s="111">
        <f ca="1">IFERROR(__xludf.DUMMYFUNCTION("""COMPUTED_VALUE"""),98.85)</f>
        <v>98.85</v>
      </c>
      <c r="Q2836" s="112">
        <f ca="1">IFERROR(__xludf.DUMMYFUNCTION("""COMPUTED_VALUE"""),44439.7055555555)</f>
        <v>44439.705555555498</v>
      </c>
      <c r="R2836" s="111">
        <f ca="1">IFERROR(__xludf.DUMMYFUNCTION("""COMPUTED_VALUE"""),30.43)</f>
        <v>30.43</v>
      </c>
      <c r="S2836" s="112">
        <f ca="1">IFERROR(__xludf.DUMMYFUNCTION("""COMPUTED_VALUE"""),44454.7055555555)</f>
        <v>44454.705555555498</v>
      </c>
      <c r="T2836" s="111">
        <f ca="1">IFERROR(__xludf.DUMMYFUNCTION("""COMPUTED_VALUE"""),33.45)</f>
        <v>33.450000000000003</v>
      </c>
    </row>
    <row r="2837" spans="1:20" x14ac:dyDescent="0.3">
      <c r="A2837" s="112">
        <f ca="1">IFERROR(__xludf.DUMMYFUNCTION("""COMPUTED_VALUE"""),44449.7055555555)</f>
        <v>44449.705555555498</v>
      </c>
      <c r="B2837" s="111">
        <f ca="1">IFERROR(__xludf.DUMMYFUNCTION("""COMPUTED_VALUE"""),35.99)</f>
        <v>35.99</v>
      </c>
      <c r="C2837" s="112">
        <f ca="1">IFERROR(__xludf.DUMMYFUNCTION("""COMPUTED_VALUE"""),44460.7055555555)</f>
        <v>44460.705555555498</v>
      </c>
      <c r="D2837" s="111">
        <f ca="1">IFERROR(__xludf.DUMMYFUNCTION("""COMPUTED_VALUE"""),27.12)</f>
        <v>27.12</v>
      </c>
      <c r="E2837" s="112">
        <f ca="1">IFERROR(__xludf.DUMMYFUNCTION("""COMPUTED_VALUE"""),44461.7055555555)</f>
        <v>44461.705555555498</v>
      </c>
      <c r="F2837" s="111">
        <f ca="1">IFERROR(__xludf.DUMMYFUNCTION("""COMPUTED_VALUE"""),10.33)</f>
        <v>10.33</v>
      </c>
      <c r="G2837" s="112">
        <f ca="1">IFERROR(__xludf.DUMMYFUNCTION("""COMPUTED_VALUE"""),44459.7055555555)</f>
        <v>44459.705555555498</v>
      </c>
      <c r="H2837" s="111">
        <f ca="1">IFERROR(__xludf.DUMMYFUNCTION("""COMPUTED_VALUE"""),24.65)</f>
        <v>24.65</v>
      </c>
      <c r="M2837" s="112">
        <f ca="1">IFERROR(__xludf.DUMMYFUNCTION("""COMPUTED_VALUE"""),44368.7055555555)</f>
        <v>44368.705555555498</v>
      </c>
      <c r="N2837" s="111">
        <f ca="1">IFERROR(__xludf.DUMMYFUNCTION("""COMPUTED_VALUE"""),27.67)</f>
        <v>27.67</v>
      </c>
      <c r="O2837" s="112">
        <f ca="1">IFERROR(__xludf.DUMMYFUNCTION("""COMPUTED_VALUE"""),44441.7055555555)</f>
        <v>44441.705555555498</v>
      </c>
      <c r="P2837" s="111">
        <f ca="1">IFERROR(__xludf.DUMMYFUNCTION("""COMPUTED_VALUE"""),98.54)</f>
        <v>98.54</v>
      </c>
      <c r="Q2837" s="112">
        <f ca="1">IFERROR(__xludf.DUMMYFUNCTION("""COMPUTED_VALUE"""),44440.7055555555)</f>
        <v>44440.705555555498</v>
      </c>
      <c r="R2837" s="111">
        <f ca="1">IFERROR(__xludf.DUMMYFUNCTION("""COMPUTED_VALUE"""),30.46)</f>
        <v>30.46</v>
      </c>
      <c r="S2837" s="112">
        <f ca="1">IFERROR(__xludf.DUMMYFUNCTION("""COMPUTED_VALUE"""),44455.7055555555)</f>
        <v>44455.705555555498</v>
      </c>
      <c r="T2837" s="111">
        <f ca="1">IFERROR(__xludf.DUMMYFUNCTION("""COMPUTED_VALUE"""),33.86)</f>
        <v>33.86</v>
      </c>
    </row>
    <row r="2838" spans="1:20" x14ac:dyDescent="0.3">
      <c r="A2838" s="112">
        <f ca="1">IFERROR(__xludf.DUMMYFUNCTION("""COMPUTED_VALUE"""),44452.7055555555)</f>
        <v>44452.705555555498</v>
      </c>
      <c r="B2838" s="111">
        <f ca="1">IFERROR(__xludf.DUMMYFUNCTION("""COMPUTED_VALUE"""),37.14)</f>
        <v>37.14</v>
      </c>
      <c r="C2838" s="112">
        <f ca="1">IFERROR(__xludf.DUMMYFUNCTION("""COMPUTED_VALUE"""),44461.7055555555)</f>
        <v>44461.705555555498</v>
      </c>
      <c r="D2838" s="111">
        <f ca="1">IFERROR(__xludf.DUMMYFUNCTION("""COMPUTED_VALUE"""),27.75)</f>
        <v>27.75</v>
      </c>
      <c r="E2838" s="112">
        <f ca="1">IFERROR(__xludf.DUMMYFUNCTION("""COMPUTED_VALUE"""),44462.7055555555)</f>
        <v>44462.705555555498</v>
      </c>
      <c r="F2838" s="111">
        <f ca="1">IFERROR(__xludf.DUMMYFUNCTION("""COMPUTED_VALUE"""),10.6)</f>
        <v>10.6</v>
      </c>
      <c r="G2838" s="112">
        <f ca="1">IFERROR(__xludf.DUMMYFUNCTION("""COMPUTED_VALUE"""),44460.7055555555)</f>
        <v>44460.705555555498</v>
      </c>
      <c r="H2838" s="111">
        <f ca="1">IFERROR(__xludf.DUMMYFUNCTION("""COMPUTED_VALUE"""),25.21)</f>
        <v>25.21</v>
      </c>
      <c r="M2838" s="112">
        <f ca="1">IFERROR(__xludf.DUMMYFUNCTION("""COMPUTED_VALUE"""),44369.7055555555)</f>
        <v>44369.705555555498</v>
      </c>
      <c r="N2838" s="111">
        <f ca="1">IFERROR(__xludf.DUMMYFUNCTION("""COMPUTED_VALUE"""),27.16)</f>
        <v>27.16</v>
      </c>
      <c r="O2838" s="112">
        <f ca="1">IFERROR(__xludf.DUMMYFUNCTION("""COMPUTED_VALUE"""),44442.7055555555)</f>
        <v>44442.705555555498</v>
      </c>
      <c r="P2838" s="111">
        <f ca="1">IFERROR(__xludf.DUMMYFUNCTION("""COMPUTED_VALUE"""),98.61)</f>
        <v>98.61</v>
      </c>
      <c r="Q2838" s="112">
        <f ca="1">IFERROR(__xludf.DUMMYFUNCTION("""COMPUTED_VALUE"""),44441.7055555555)</f>
        <v>44441.705555555498</v>
      </c>
      <c r="R2838" s="111">
        <f ca="1">IFERROR(__xludf.DUMMYFUNCTION("""COMPUTED_VALUE"""),29.2)</f>
        <v>29.2</v>
      </c>
      <c r="S2838" s="112">
        <f ca="1">IFERROR(__xludf.DUMMYFUNCTION("""COMPUTED_VALUE"""),44456.7055555555)</f>
        <v>44456.705555555498</v>
      </c>
      <c r="T2838" s="111">
        <f ca="1">IFERROR(__xludf.DUMMYFUNCTION("""COMPUTED_VALUE"""),33.23)</f>
        <v>33.229999999999997</v>
      </c>
    </row>
    <row r="2839" spans="1:20" x14ac:dyDescent="0.3">
      <c r="A2839" s="112">
        <f ca="1">IFERROR(__xludf.DUMMYFUNCTION("""COMPUTED_VALUE"""),44453.7055555555)</f>
        <v>44453.705555555498</v>
      </c>
      <c r="B2839" s="111">
        <f ca="1">IFERROR(__xludf.DUMMYFUNCTION("""COMPUTED_VALUE"""),37.79)</f>
        <v>37.79</v>
      </c>
      <c r="C2839" s="112">
        <f ca="1">IFERROR(__xludf.DUMMYFUNCTION("""COMPUTED_VALUE"""),44462.7055555555)</f>
        <v>44462.705555555498</v>
      </c>
      <c r="D2839" s="111">
        <f ca="1">IFERROR(__xludf.DUMMYFUNCTION("""COMPUTED_VALUE"""),28.71)</f>
        <v>28.71</v>
      </c>
      <c r="E2839" s="112">
        <f ca="1">IFERROR(__xludf.DUMMYFUNCTION("""COMPUTED_VALUE"""),44463.7055555555)</f>
        <v>44463.705555555498</v>
      </c>
      <c r="F2839" s="111">
        <f ca="1">IFERROR(__xludf.DUMMYFUNCTION("""COMPUTED_VALUE"""),10.45)</f>
        <v>10.45</v>
      </c>
      <c r="G2839" s="112">
        <f ca="1">IFERROR(__xludf.DUMMYFUNCTION("""COMPUTED_VALUE"""),44461.7055555555)</f>
        <v>44461.705555555498</v>
      </c>
      <c r="H2839" s="111">
        <f ca="1">IFERROR(__xludf.DUMMYFUNCTION("""COMPUTED_VALUE"""),25.85)</f>
        <v>25.85</v>
      </c>
      <c r="M2839" s="112">
        <f ca="1">IFERROR(__xludf.DUMMYFUNCTION("""COMPUTED_VALUE"""),44370.7055555555)</f>
        <v>44370.705555555498</v>
      </c>
      <c r="N2839" s="111">
        <f ca="1">IFERROR(__xludf.DUMMYFUNCTION("""COMPUTED_VALUE"""),27.04)</f>
        <v>27.04</v>
      </c>
      <c r="O2839" s="112">
        <f ca="1">IFERROR(__xludf.DUMMYFUNCTION("""COMPUTED_VALUE"""),44445.7055555555)</f>
        <v>44445.705555555498</v>
      </c>
      <c r="P2839" s="111">
        <f ca="1">IFERROR(__xludf.DUMMYFUNCTION("""COMPUTED_VALUE"""),97.06)</f>
        <v>97.06</v>
      </c>
      <c r="Q2839" s="112">
        <f ca="1">IFERROR(__xludf.DUMMYFUNCTION("""COMPUTED_VALUE"""),44442.7055555555)</f>
        <v>44442.705555555498</v>
      </c>
      <c r="R2839" s="111">
        <f ca="1">IFERROR(__xludf.DUMMYFUNCTION("""COMPUTED_VALUE"""),29.13)</f>
        <v>29.13</v>
      </c>
      <c r="S2839" s="112">
        <f ca="1">IFERROR(__xludf.DUMMYFUNCTION("""COMPUTED_VALUE"""),44459.7055555555)</f>
        <v>44459.705555555498</v>
      </c>
      <c r="T2839" s="111">
        <f ca="1">IFERROR(__xludf.DUMMYFUNCTION("""COMPUTED_VALUE"""),32.46)</f>
        <v>32.46</v>
      </c>
    </row>
    <row r="2840" spans="1:20" x14ac:dyDescent="0.3">
      <c r="A2840" s="112">
        <f ca="1">IFERROR(__xludf.DUMMYFUNCTION("""COMPUTED_VALUE"""),44454.7055555555)</f>
        <v>44454.705555555498</v>
      </c>
      <c r="B2840" s="111">
        <f ca="1">IFERROR(__xludf.DUMMYFUNCTION("""COMPUTED_VALUE"""),37.6)</f>
        <v>37.6</v>
      </c>
      <c r="C2840" s="112">
        <f ca="1">IFERROR(__xludf.DUMMYFUNCTION("""COMPUTED_VALUE"""),44463.7055555555)</f>
        <v>44463.705555555498</v>
      </c>
      <c r="D2840" s="111">
        <f ca="1">IFERROR(__xludf.DUMMYFUNCTION("""COMPUTED_VALUE"""),28.31)</f>
        <v>28.31</v>
      </c>
      <c r="E2840" s="112">
        <f ca="1">IFERROR(__xludf.DUMMYFUNCTION("""COMPUTED_VALUE"""),44466.7055555555)</f>
        <v>44466.705555555498</v>
      </c>
      <c r="F2840" s="111">
        <f ca="1">IFERROR(__xludf.DUMMYFUNCTION("""COMPUTED_VALUE"""),10.71)</f>
        <v>10.71</v>
      </c>
      <c r="G2840" s="112">
        <f ca="1">IFERROR(__xludf.DUMMYFUNCTION("""COMPUTED_VALUE"""),44462.7055555555)</f>
        <v>44462.705555555498</v>
      </c>
      <c r="H2840" s="111">
        <f ca="1">IFERROR(__xludf.DUMMYFUNCTION("""COMPUTED_VALUE"""),26.84)</f>
        <v>26.84</v>
      </c>
      <c r="M2840" s="112">
        <f ca="1">IFERROR(__xludf.DUMMYFUNCTION("""COMPUTED_VALUE"""),44371.7055555555)</f>
        <v>44371.705555555498</v>
      </c>
      <c r="N2840" s="111">
        <f ca="1">IFERROR(__xludf.DUMMYFUNCTION("""COMPUTED_VALUE"""),27.24)</f>
        <v>27.24</v>
      </c>
      <c r="O2840" s="112">
        <f ca="1">IFERROR(__xludf.DUMMYFUNCTION("""COMPUTED_VALUE"""),44447.7055555555)</f>
        <v>44447.705555555498</v>
      </c>
      <c r="P2840" s="111">
        <f ca="1">IFERROR(__xludf.DUMMYFUNCTION("""COMPUTED_VALUE"""),95.04)</f>
        <v>95.04</v>
      </c>
      <c r="Q2840" s="112">
        <f ca="1">IFERROR(__xludf.DUMMYFUNCTION("""COMPUTED_VALUE"""),44445.7055555555)</f>
        <v>44445.705555555498</v>
      </c>
      <c r="R2840" s="111">
        <f ca="1">IFERROR(__xludf.DUMMYFUNCTION("""COMPUTED_VALUE"""),29.65)</f>
        <v>29.65</v>
      </c>
      <c r="S2840" s="112">
        <f ca="1">IFERROR(__xludf.DUMMYFUNCTION("""COMPUTED_VALUE"""),44460.7055555555)</f>
        <v>44460.705555555498</v>
      </c>
      <c r="T2840" s="111">
        <f ca="1">IFERROR(__xludf.DUMMYFUNCTION("""COMPUTED_VALUE"""),33.23)</f>
        <v>33.229999999999997</v>
      </c>
    </row>
    <row r="2841" spans="1:20" x14ac:dyDescent="0.3">
      <c r="A2841" s="112">
        <f ca="1">IFERROR(__xludf.DUMMYFUNCTION("""COMPUTED_VALUE"""),44455.7055555555)</f>
        <v>44455.705555555498</v>
      </c>
      <c r="B2841" s="111">
        <f ca="1">IFERROR(__xludf.DUMMYFUNCTION("""COMPUTED_VALUE"""),37.29)</f>
        <v>37.29</v>
      </c>
      <c r="C2841" s="112">
        <f ca="1">IFERROR(__xludf.DUMMYFUNCTION("""COMPUTED_VALUE"""),44466.7055555555)</f>
        <v>44466.705555555498</v>
      </c>
      <c r="D2841" s="111">
        <f ca="1">IFERROR(__xludf.DUMMYFUNCTION("""COMPUTED_VALUE"""),29.05)</f>
        <v>29.05</v>
      </c>
      <c r="E2841" s="112">
        <f ca="1">IFERROR(__xludf.DUMMYFUNCTION("""COMPUTED_VALUE"""),44467.7055555555)</f>
        <v>44467.705555555498</v>
      </c>
      <c r="F2841" s="111">
        <f ca="1">IFERROR(__xludf.DUMMYFUNCTION("""COMPUTED_VALUE"""),10.5)</f>
        <v>10.5</v>
      </c>
      <c r="G2841" s="112">
        <f ca="1">IFERROR(__xludf.DUMMYFUNCTION("""COMPUTED_VALUE"""),44463.7055555555)</f>
        <v>44463.705555555498</v>
      </c>
      <c r="H2841" s="111">
        <f ca="1">IFERROR(__xludf.DUMMYFUNCTION("""COMPUTED_VALUE"""),26.9)</f>
        <v>26.9</v>
      </c>
      <c r="M2841" s="112">
        <f ca="1">IFERROR(__xludf.DUMMYFUNCTION("""COMPUTED_VALUE"""),44372.7055555555)</f>
        <v>44372.705555555498</v>
      </c>
      <c r="N2841" s="111">
        <f ca="1">IFERROR(__xludf.DUMMYFUNCTION("""COMPUTED_VALUE"""),26.39)</f>
        <v>26.39</v>
      </c>
      <c r="O2841" s="112">
        <f ca="1">IFERROR(__xludf.DUMMYFUNCTION("""COMPUTED_VALUE"""),44448.7055555555)</f>
        <v>44448.705555555498</v>
      </c>
      <c r="P2841" s="111">
        <f ca="1">IFERROR(__xludf.DUMMYFUNCTION("""COMPUTED_VALUE"""),94.7)</f>
        <v>94.7</v>
      </c>
      <c r="Q2841" s="112">
        <f ca="1">IFERROR(__xludf.DUMMYFUNCTION("""COMPUTED_VALUE"""),44447.7055555555)</f>
        <v>44447.705555555498</v>
      </c>
      <c r="R2841" s="111">
        <f ca="1">IFERROR(__xludf.DUMMYFUNCTION("""COMPUTED_VALUE"""),28.4)</f>
        <v>28.4</v>
      </c>
      <c r="S2841" s="112">
        <f ca="1">IFERROR(__xludf.DUMMYFUNCTION("""COMPUTED_VALUE"""),44461.7055555555)</f>
        <v>44461.705555555498</v>
      </c>
      <c r="T2841" s="111">
        <f ca="1">IFERROR(__xludf.DUMMYFUNCTION("""COMPUTED_VALUE"""),33.28)</f>
        <v>33.28</v>
      </c>
    </row>
    <row r="2842" spans="1:20" x14ac:dyDescent="0.3">
      <c r="A2842" s="112">
        <f ca="1">IFERROR(__xludf.DUMMYFUNCTION("""COMPUTED_VALUE"""),44456.7055555555)</f>
        <v>44456.705555555498</v>
      </c>
      <c r="B2842" s="111">
        <f ca="1">IFERROR(__xludf.DUMMYFUNCTION("""COMPUTED_VALUE"""),37.45)</f>
        <v>37.450000000000003</v>
      </c>
      <c r="C2842" s="112">
        <f ca="1">IFERROR(__xludf.DUMMYFUNCTION("""COMPUTED_VALUE"""),44467.7055555555)</f>
        <v>44467.705555555498</v>
      </c>
      <c r="D2842" s="111">
        <f ca="1">IFERROR(__xludf.DUMMYFUNCTION("""COMPUTED_VALUE"""),28.39)</f>
        <v>28.39</v>
      </c>
      <c r="E2842" s="112">
        <f ca="1">IFERROR(__xludf.DUMMYFUNCTION("""COMPUTED_VALUE"""),44468.7055555555)</f>
        <v>44468.705555555498</v>
      </c>
      <c r="F2842" s="111">
        <f ca="1">IFERROR(__xludf.DUMMYFUNCTION("""COMPUTED_VALUE"""),10.7)</f>
        <v>10.7</v>
      </c>
      <c r="G2842" s="112">
        <f ca="1">IFERROR(__xludf.DUMMYFUNCTION("""COMPUTED_VALUE"""),44466.7055555555)</f>
        <v>44466.705555555498</v>
      </c>
      <c r="H2842" s="111">
        <f ca="1">IFERROR(__xludf.DUMMYFUNCTION("""COMPUTED_VALUE"""),27.14)</f>
        <v>27.14</v>
      </c>
      <c r="M2842" s="112">
        <f ca="1">IFERROR(__xludf.DUMMYFUNCTION("""COMPUTED_VALUE"""),44375.7055555555)</f>
        <v>44375.705555555498</v>
      </c>
      <c r="N2842" s="111">
        <f ca="1">IFERROR(__xludf.DUMMYFUNCTION("""COMPUTED_VALUE"""),26.26)</f>
        <v>26.26</v>
      </c>
      <c r="O2842" s="112">
        <f ca="1">IFERROR(__xludf.DUMMYFUNCTION("""COMPUTED_VALUE"""),44449.7055555555)</f>
        <v>44449.705555555498</v>
      </c>
      <c r="P2842" s="111">
        <f ca="1">IFERROR(__xludf.DUMMYFUNCTION("""COMPUTED_VALUE"""),94.81)</f>
        <v>94.81</v>
      </c>
      <c r="Q2842" s="112">
        <f ca="1">IFERROR(__xludf.DUMMYFUNCTION("""COMPUTED_VALUE"""),44448.7055555555)</f>
        <v>44448.705555555498</v>
      </c>
      <c r="R2842" s="111">
        <f ca="1">IFERROR(__xludf.DUMMYFUNCTION("""COMPUTED_VALUE"""),28.9)</f>
        <v>28.9</v>
      </c>
      <c r="S2842" s="112">
        <f ca="1">IFERROR(__xludf.DUMMYFUNCTION("""COMPUTED_VALUE"""),44462.7055555555)</f>
        <v>44462.705555555498</v>
      </c>
      <c r="T2842" s="111">
        <f ca="1">IFERROR(__xludf.DUMMYFUNCTION("""COMPUTED_VALUE"""),33.82)</f>
        <v>33.82</v>
      </c>
    </row>
    <row r="2843" spans="1:20" x14ac:dyDescent="0.3">
      <c r="A2843" s="112">
        <f ca="1">IFERROR(__xludf.DUMMYFUNCTION("""COMPUTED_VALUE"""),44459.7055555555)</f>
        <v>44459.705555555498</v>
      </c>
      <c r="B2843" s="111">
        <f ca="1">IFERROR(__xludf.DUMMYFUNCTION("""COMPUTED_VALUE"""),36.63)</f>
        <v>36.630000000000003</v>
      </c>
      <c r="C2843" s="112">
        <f ca="1">IFERROR(__xludf.DUMMYFUNCTION("""COMPUTED_VALUE"""),44468.7055555555)</f>
        <v>44468.705555555498</v>
      </c>
      <c r="D2843" s="111">
        <f ca="1">IFERROR(__xludf.DUMMYFUNCTION("""COMPUTED_VALUE"""),28.9)</f>
        <v>28.9</v>
      </c>
      <c r="E2843" s="112">
        <f ca="1">IFERROR(__xludf.DUMMYFUNCTION("""COMPUTED_VALUE"""),44469.7055555555)</f>
        <v>44469.705555555498</v>
      </c>
      <c r="F2843" s="111">
        <f ca="1">IFERROR(__xludf.DUMMYFUNCTION("""COMPUTED_VALUE"""),10.61)</f>
        <v>10.61</v>
      </c>
      <c r="G2843" s="112">
        <f ca="1">IFERROR(__xludf.DUMMYFUNCTION("""COMPUTED_VALUE"""),44467.7055555555)</f>
        <v>44467.705555555498</v>
      </c>
      <c r="H2843" s="111">
        <f ca="1">IFERROR(__xludf.DUMMYFUNCTION("""COMPUTED_VALUE"""),26.96)</f>
        <v>26.96</v>
      </c>
      <c r="M2843" s="112">
        <f ca="1">IFERROR(__xludf.DUMMYFUNCTION("""COMPUTED_VALUE"""),44376.7055555555)</f>
        <v>44376.705555555498</v>
      </c>
      <c r="N2843" s="111">
        <f ca="1">IFERROR(__xludf.DUMMYFUNCTION("""COMPUTED_VALUE"""),26.1)</f>
        <v>26.1</v>
      </c>
      <c r="O2843" s="112">
        <f ca="1">IFERROR(__xludf.DUMMYFUNCTION("""COMPUTED_VALUE"""),44452.7055555555)</f>
        <v>44452.705555555498</v>
      </c>
      <c r="P2843" s="111">
        <f ca="1">IFERROR(__xludf.DUMMYFUNCTION("""COMPUTED_VALUE"""),94.76)</f>
        <v>94.76</v>
      </c>
      <c r="Q2843" s="112">
        <f ca="1">IFERROR(__xludf.DUMMYFUNCTION("""COMPUTED_VALUE"""),44449.7055555555)</f>
        <v>44449.705555555498</v>
      </c>
      <c r="R2843" s="111">
        <f ca="1">IFERROR(__xludf.DUMMYFUNCTION("""COMPUTED_VALUE"""),28.99)</f>
        <v>28.99</v>
      </c>
      <c r="S2843" s="112">
        <f ca="1">IFERROR(__xludf.DUMMYFUNCTION("""COMPUTED_VALUE"""),44463.7055555555)</f>
        <v>44463.705555555498</v>
      </c>
      <c r="T2843" s="111">
        <f ca="1">IFERROR(__xludf.DUMMYFUNCTION("""COMPUTED_VALUE"""),33.62)</f>
        <v>33.619999999999997</v>
      </c>
    </row>
    <row r="2844" spans="1:20" x14ac:dyDescent="0.3">
      <c r="A2844" s="112">
        <f ca="1">IFERROR(__xludf.DUMMYFUNCTION("""COMPUTED_VALUE"""),44460.7055555555)</f>
        <v>44460.705555555498</v>
      </c>
      <c r="B2844" s="111">
        <f ca="1">IFERROR(__xludf.DUMMYFUNCTION("""COMPUTED_VALUE"""),37.5)</f>
        <v>37.5</v>
      </c>
      <c r="C2844" s="112">
        <f ca="1">IFERROR(__xludf.DUMMYFUNCTION("""COMPUTED_VALUE"""),44469.7055555555)</f>
        <v>44469.705555555498</v>
      </c>
      <c r="D2844" s="111">
        <f ca="1">IFERROR(__xludf.DUMMYFUNCTION("""COMPUTED_VALUE"""),28.93)</f>
        <v>28.93</v>
      </c>
      <c r="E2844" s="112">
        <f ca="1">IFERROR(__xludf.DUMMYFUNCTION("""COMPUTED_VALUE"""),44470.7055555555)</f>
        <v>44470.705555555498</v>
      </c>
      <c r="F2844" s="111">
        <f ca="1">IFERROR(__xludf.DUMMYFUNCTION("""COMPUTED_VALUE"""),10.88)</f>
        <v>10.88</v>
      </c>
      <c r="G2844" s="112">
        <f ca="1">IFERROR(__xludf.DUMMYFUNCTION("""COMPUTED_VALUE"""),44468.7055555555)</f>
        <v>44468.705555555498</v>
      </c>
      <c r="H2844" s="111">
        <f ca="1">IFERROR(__xludf.DUMMYFUNCTION("""COMPUTED_VALUE"""),27.39)</f>
        <v>27.39</v>
      </c>
      <c r="M2844" s="112">
        <f ca="1">IFERROR(__xludf.DUMMYFUNCTION("""COMPUTED_VALUE"""),44377.7055555555)</f>
        <v>44377.705555555498</v>
      </c>
      <c r="N2844" s="111">
        <f ca="1">IFERROR(__xludf.DUMMYFUNCTION("""COMPUTED_VALUE"""),25.73)</f>
        <v>25.73</v>
      </c>
      <c r="O2844" s="112">
        <f ca="1">IFERROR(__xludf.DUMMYFUNCTION("""COMPUTED_VALUE"""),44453.7055555555)</f>
        <v>44453.705555555498</v>
      </c>
      <c r="P2844" s="111">
        <f ca="1">IFERROR(__xludf.DUMMYFUNCTION("""COMPUTED_VALUE"""),94.09)</f>
        <v>94.09</v>
      </c>
      <c r="Q2844" s="112">
        <f ca="1">IFERROR(__xludf.DUMMYFUNCTION("""COMPUTED_VALUE"""),44452.7055555555)</f>
        <v>44452.705555555498</v>
      </c>
      <c r="R2844" s="111">
        <f ca="1">IFERROR(__xludf.DUMMYFUNCTION("""COMPUTED_VALUE"""),29.63)</f>
        <v>29.63</v>
      </c>
      <c r="S2844" s="112">
        <f ca="1">IFERROR(__xludf.DUMMYFUNCTION("""COMPUTED_VALUE"""),44466.7055555555)</f>
        <v>44466.705555555498</v>
      </c>
      <c r="T2844" s="111">
        <f ca="1">IFERROR(__xludf.DUMMYFUNCTION("""COMPUTED_VALUE"""),32.59)</f>
        <v>32.590000000000003</v>
      </c>
    </row>
    <row r="2845" spans="1:20" x14ac:dyDescent="0.3">
      <c r="A2845" s="112">
        <f ca="1">IFERROR(__xludf.DUMMYFUNCTION("""COMPUTED_VALUE"""),44461.7055555555)</f>
        <v>44461.705555555498</v>
      </c>
      <c r="B2845" s="111">
        <f ca="1">IFERROR(__xludf.DUMMYFUNCTION("""COMPUTED_VALUE"""),37.54)</f>
        <v>37.54</v>
      </c>
      <c r="C2845" s="112">
        <f ca="1">IFERROR(__xludf.DUMMYFUNCTION("""COMPUTED_VALUE"""),44470.7055555555)</f>
        <v>44470.705555555498</v>
      </c>
      <c r="D2845" s="111">
        <f ca="1">IFERROR(__xludf.DUMMYFUNCTION("""COMPUTED_VALUE"""),29.67)</f>
        <v>29.67</v>
      </c>
      <c r="E2845" s="112">
        <f ca="1">IFERROR(__xludf.DUMMYFUNCTION("""COMPUTED_VALUE"""),44473.7055555555)</f>
        <v>44473.705555555498</v>
      </c>
      <c r="F2845" s="111">
        <f ca="1">IFERROR(__xludf.DUMMYFUNCTION("""COMPUTED_VALUE"""),10.63)</f>
        <v>10.63</v>
      </c>
      <c r="G2845" s="112">
        <f ca="1">IFERROR(__xludf.DUMMYFUNCTION("""COMPUTED_VALUE"""),44469.7055555555)</f>
        <v>44469.705555555498</v>
      </c>
      <c r="H2845" s="111">
        <f ca="1">IFERROR(__xludf.DUMMYFUNCTION("""COMPUTED_VALUE"""),27.23)</f>
        <v>27.23</v>
      </c>
      <c r="M2845" s="112">
        <f ca="1">IFERROR(__xludf.DUMMYFUNCTION("""COMPUTED_VALUE"""),44378.7055555555)</f>
        <v>44378.705555555498</v>
      </c>
      <c r="N2845" s="111">
        <f ca="1">IFERROR(__xludf.DUMMYFUNCTION("""COMPUTED_VALUE"""),25.41)</f>
        <v>25.41</v>
      </c>
      <c r="O2845" s="112">
        <f ca="1">IFERROR(__xludf.DUMMYFUNCTION("""COMPUTED_VALUE"""),44454.7055555555)</f>
        <v>44454.705555555498</v>
      </c>
      <c r="P2845" s="111">
        <f ca="1">IFERROR(__xludf.DUMMYFUNCTION("""COMPUTED_VALUE"""),91.74)</f>
        <v>91.74</v>
      </c>
      <c r="Q2845" s="112">
        <f ca="1">IFERROR(__xludf.DUMMYFUNCTION("""COMPUTED_VALUE"""),44453.7055555555)</f>
        <v>44453.705555555498</v>
      </c>
      <c r="R2845" s="111">
        <f ca="1">IFERROR(__xludf.DUMMYFUNCTION("""COMPUTED_VALUE"""),29.23)</f>
        <v>29.23</v>
      </c>
      <c r="S2845" s="112">
        <f ca="1">IFERROR(__xludf.DUMMYFUNCTION("""COMPUTED_VALUE"""),44467.7055555555)</f>
        <v>44467.705555555498</v>
      </c>
      <c r="T2845" s="111">
        <f ca="1">IFERROR(__xludf.DUMMYFUNCTION("""COMPUTED_VALUE"""),31.13)</f>
        <v>31.13</v>
      </c>
    </row>
    <row r="2846" spans="1:20" x14ac:dyDescent="0.3">
      <c r="A2846" s="112">
        <f ca="1">IFERROR(__xludf.DUMMYFUNCTION("""COMPUTED_VALUE"""),44462.7055555555)</f>
        <v>44462.705555555498</v>
      </c>
      <c r="B2846" s="111">
        <f ca="1">IFERROR(__xludf.DUMMYFUNCTION("""COMPUTED_VALUE"""),38.58)</f>
        <v>38.58</v>
      </c>
      <c r="C2846" s="112">
        <f ca="1">IFERROR(__xludf.DUMMYFUNCTION("""COMPUTED_VALUE"""),44473.7055555555)</f>
        <v>44473.705555555498</v>
      </c>
      <c r="D2846" s="111">
        <f ca="1">IFERROR(__xludf.DUMMYFUNCTION("""COMPUTED_VALUE"""),24.34)</f>
        <v>24.34</v>
      </c>
      <c r="E2846" s="112">
        <f ca="1">IFERROR(__xludf.DUMMYFUNCTION("""COMPUTED_VALUE"""),44474.7055555555)</f>
        <v>44474.705555555498</v>
      </c>
      <c r="F2846" s="111">
        <f ca="1">IFERROR(__xludf.DUMMYFUNCTION("""COMPUTED_VALUE"""),10.79)</f>
        <v>10.79</v>
      </c>
      <c r="G2846" s="112">
        <f ca="1">IFERROR(__xludf.DUMMYFUNCTION("""COMPUTED_VALUE"""),44470.7055555555)</f>
        <v>44470.705555555498</v>
      </c>
      <c r="H2846" s="111">
        <f ca="1">IFERROR(__xludf.DUMMYFUNCTION("""COMPUTED_VALUE"""),28)</f>
        <v>28</v>
      </c>
      <c r="M2846" s="112">
        <f ca="1">IFERROR(__xludf.DUMMYFUNCTION("""COMPUTED_VALUE"""),44379.7055555555)</f>
        <v>44379.705555555498</v>
      </c>
      <c r="N2846" s="111">
        <f ca="1">IFERROR(__xludf.DUMMYFUNCTION("""COMPUTED_VALUE"""),26)</f>
        <v>26</v>
      </c>
      <c r="O2846" s="112">
        <f ca="1">IFERROR(__xludf.DUMMYFUNCTION("""COMPUTED_VALUE"""),44455.7055555555)</f>
        <v>44455.705555555498</v>
      </c>
      <c r="P2846" s="111">
        <f ca="1">IFERROR(__xludf.DUMMYFUNCTION("""COMPUTED_VALUE"""),87.93)</f>
        <v>87.93</v>
      </c>
      <c r="Q2846" s="112">
        <f ca="1">IFERROR(__xludf.DUMMYFUNCTION("""COMPUTED_VALUE"""),44454.7055555555)</f>
        <v>44454.705555555498</v>
      </c>
      <c r="R2846" s="111">
        <f ca="1">IFERROR(__xludf.DUMMYFUNCTION("""COMPUTED_VALUE"""),29)</f>
        <v>29</v>
      </c>
      <c r="S2846" s="112">
        <f ca="1">IFERROR(__xludf.DUMMYFUNCTION("""COMPUTED_VALUE"""),44468.7055555555)</f>
        <v>44468.705555555498</v>
      </c>
      <c r="T2846" s="111">
        <f ca="1">IFERROR(__xludf.DUMMYFUNCTION("""COMPUTED_VALUE"""),31.35)</f>
        <v>31.35</v>
      </c>
    </row>
    <row r="2847" spans="1:20" x14ac:dyDescent="0.3">
      <c r="A2847" s="112">
        <f ca="1">IFERROR(__xludf.DUMMYFUNCTION("""COMPUTED_VALUE"""),44463.7055555555)</f>
        <v>44463.705555555498</v>
      </c>
      <c r="B2847" s="111">
        <f ca="1">IFERROR(__xludf.DUMMYFUNCTION("""COMPUTED_VALUE"""),38.89)</f>
        <v>38.89</v>
      </c>
      <c r="C2847" s="112">
        <f ca="1">IFERROR(__xludf.DUMMYFUNCTION("""COMPUTED_VALUE"""),44474.7055555555)</f>
        <v>44474.705555555498</v>
      </c>
      <c r="D2847" s="111">
        <f ca="1">IFERROR(__xludf.DUMMYFUNCTION("""COMPUTED_VALUE"""),24.93)</f>
        <v>24.93</v>
      </c>
      <c r="E2847" s="112">
        <f ca="1">IFERROR(__xludf.DUMMYFUNCTION("""COMPUTED_VALUE"""),44475.7055555555)</f>
        <v>44475.705555555498</v>
      </c>
      <c r="F2847" s="111">
        <f ca="1">IFERROR(__xludf.DUMMYFUNCTION("""COMPUTED_VALUE"""),10.83)</f>
        <v>10.83</v>
      </c>
      <c r="G2847" s="112">
        <f ca="1">IFERROR(__xludf.DUMMYFUNCTION("""COMPUTED_VALUE"""),44473.7055555555)</f>
        <v>44473.705555555498</v>
      </c>
      <c r="H2847" s="111">
        <f ca="1">IFERROR(__xludf.DUMMYFUNCTION("""COMPUTED_VALUE"""),28.79)</f>
        <v>28.79</v>
      </c>
      <c r="M2847" s="112">
        <f ca="1">IFERROR(__xludf.DUMMYFUNCTION("""COMPUTED_VALUE"""),44382.7055555555)</f>
        <v>44382.705555555498</v>
      </c>
      <c r="N2847" s="111">
        <f ca="1">IFERROR(__xludf.DUMMYFUNCTION("""COMPUTED_VALUE"""),25.01)</f>
        <v>25.01</v>
      </c>
      <c r="O2847" s="112">
        <f ca="1">IFERROR(__xludf.DUMMYFUNCTION("""COMPUTED_VALUE"""),44456.7055555555)</f>
        <v>44456.705555555498</v>
      </c>
      <c r="P2847" s="111">
        <f ca="1">IFERROR(__xludf.DUMMYFUNCTION("""COMPUTED_VALUE"""),86.15)</f>
        <v>86.15</v>
      </c>
      <c r="Q2847" s="112">
        <f ca="1">IFERROR(__xludf.DUMMYFUNCTION("""COMPUTED_VALUE"""),44455.7055555555)</f>
        <v>44455.705555555498</v>
      </c>
      <c r="R2847" s="111">
        <f ca="1">IFERROR(__xludf.DUMMYFUNCTION("""COMPUTED_VALUE"""),29.47)</f>
        <v>29.47</v>
      </c>
      <c r="S2847" s="112">
        <f ca="1">IFERROR(__xludf.DUMMYFUNCTION("""COMPUTED_VALUE"""),44469.7055555555)</f>
        <v>44469.705555555498</v>
      </c>
      <c r="T2847" s="111">
        <f ca="1">IFERROR(__xludf.DUMMYFUNCTION("""COMPUTED_VALUE"""),31.29)</f>
        <v>31.29</v>
      </c>
    </row>
    <row r="2848" spans="1:20" x14ac:dyDescent="0.3">
      <c r="A2848" s="112">
        <f ca="1">IFERROR(__xludf.DUMMYFUNCTION("""COMPUTED_VALUE"""),44466.7055555555)</f>
        <v>44466.705555555498</v>
      </c>
      <c r="B2848" s="111">
        <f ca="1">IFERROR(__xludf.DUMMYFUNCTION("""COMPUTED_VALUE"""),38.95)</f>
        <v>38.950000000000003</v>
      </c>
      <c r="C2848" s="112">
        <f ca="1">IFERROR(__xludf.DUMMYFUNCTION("""COMPUTED_VALUE"""),44475.7055555555)</f>
        <v>44475.705555555498</v>
      </c>
      <c r="D2848" s="111">
        <f ca="1">IFERROR(__xludf.DUMMYFUNCTION("""COMPUTED_VALUE"""),25.01)</f>
        <v>25.01</v>
      </c>
      <c r="E2848" s="112">
        <f ca="1">IFERROR(__xludf.DUMMYFUNCTION("""COMPUTED_VALUE"""),44476.7055555555)</f>
        <v>44476.705555555498</v>
      </c>
      <c r="F2848" s="111">
        <f ca="1">IFERROR(__xludf.DUMMYFUNCTION("""COMPUTED_VALUE"""),10.62)</f>
        <v>10.62</v>
      </c>
      <c r="G2848" s="112">
        <f ca="1">IFERROR(__xludf.DUMMYFUNCTION("""COMPUTED_VALUE"""),44474.7055555555)</f>
        <v>44474.705555555498</v>
      </c>
      <c r="H2848" s="111">
        <f ca="1">IFERROR(__xludf.DUMMYFUNCTION("""COMPUTED_VALUE"""),29.42)</f>
        <v>29.42</v>
      </c>
      <c r="M2848" s="112">
        <f ca="1">IFERROR(__xludf.DUMMYFUNCTION("""COMPUTED_VALUE"""),44383.7055555555)</f>
        <v>44383.705555555498</v>
      </c>
      <c r="N2848" s="111">
        <f ca="1">IFERROR(__xludf.DUMMYFUNCTION("""COMPUTED_VALUE"""),24.7)</f>
        <v>24.7</v>
      </c>
      <c r="O2848" s="112">
        <f ca="1">IFERROR(__xludf.DUMMYFUNCTION("""COMPUTED_VALUE"""),44459.7055555555)</f>
        <v>44459.705555555498</v>
      </c>
      <c r="P2848" s="111">
        <f ca="1">IFERROR(__xludf.DUMMYFUNCTION("""COMPUTED_VALUE"""),82.75)</f>
        <v>82.75</v>
      </c>
      <c r="Q2848" s="112">
        <f ca="1">IFERROR(__xludf.DUMMYFUNCTION("""COMPUTED_VALUE"""),44456.7055555555)</f>
        <v>44456.705555555498</v>
      </c>
      <c r="R2848" s="111">
        <f ca="1">IFERROR(__xludf.DUMMYFUNCTION("""COMPUTED_VALUE"""),28.94)</f>
        <v>28.94</v>
      </c>
      <c r="S2848" s="112">
        <f ca="1">IFERROR(__xludf.DUMMYFUNCTION("""COMPUTED_VALUE"""),44470.7055555555)</f>
        <v>44470.705555555498</v>
      </c>
      <c r="T2848" s="111">
        <f ca="1">IFERROR(__xludf.DUMMYFUNCTION("""COMPUTED_VALUE"""),32.93)</f>
        <v>32.93</v>
      </c>
    </row>
    <row r="2849" spans="1:20" x14ac:dyDescent="0.3">
      <c r="A2849" s="112">
        <f ca="1">IFERROR(__xludf.DUMMYFUNCTION("""COMPUTED_VALUE"""),44467.7055555555)</f>
        <v>44467.705555555498</v>
      </c>
      <c r="B2849" s="111">
        <f ca="1">IFERROR(__xludf.DUMMYFUNCTION("""COMPUTED_VALUE"""),38.43)</f>
        <v>38.43</v>
      </c>
      <c r="C2849" s="112">
        <f ca="1">IFERROR(__xludf.DUMMYFUNCTION("""COMPUTED_VALUE"""),44476.7055555555)</f>
        <v>44476.705555555498</v>
      </c>
      <c r="D2849" s="111">
        <f ca="1">IFERROR(__xludf.DUMMYFUNCTION("""COMPUTED_VALUE"""),24.48)</f>
        <v>24.48</v>
      </c>
      <c r="E2849" s="112">
        <f ca="1">IFERROR(__xludf.DUMMYFUNCTION("""COMPUTED_VALUE"""),44477.7055555555)</f>
        <v>44477.705555555498</v>
      </c>
      <c r="F2849" s="111">
        <f ca="1">IFERROR(__xludf.DUMMYFUNCTION("""COMPUTED_VALUE"""),10.78)</f>
        <v>10.78</v>
      </c>
      <c r="G2849" s="112">
        <f ca="1">IFERROR(__xludf.DUMMYFUNCTION("""COMPUTED_VALUE"""),44475.7055555555)</f>
        <v>44475.705555555498</v>
      </c>
      <c r="H2849" s="111">
        <f ca="1">IFERROR(__xludf.DUMMYFUNCTION("""COMPUTED_VALUE"""),28.64)</f>
        <v>28.64</v>
      </c>
      <c r="M2849" s="112">
        <f ca="1">IFERROR(__xludf.DUMMYFUNCTION("""COMPUTED_VALUE"""),44384.7055555555)</f>
        <v>44384.705555555498</v>
      </c>
      <c r="N2849" s="111">
        <f ca="1">IFERROR(__xludf.DUMMYFUNCTION("""COMPUTED_VALUE"""),24.88)</f>
        <v>24.88</v>
      </c>
      <c r="O2849" s="112">
        <f ca="1">IFERROR(__xludf.DUMMYFUNCTION("""COMPUTED_VALUE"""),44460.7055555555)</f>
        <v>44460.705555555498</v>
      </c>
      <c r="P2849" s="111">
        <f ca="1">IFERROR(__xludf.DUMMYFUNCTION("""COMPUTED_VALUE"""),84.12)</f>
        <v>84.12</v>
      </c>
      <c r="Q2849" s="112">
        <f ca="1">IFERROR(__xludf.DUMMYFUNCTION("""COMPUTED_VALUE"""),44459.7055555555)</f>
        <v>44459.705555555498</v>
      </c>
      <c r="R2849" s="111">
        <f ca="1">IFERROR(__xludf.DUMMYFUNCTION("""COMPUTED_VALUE"""),28)</f>
        <v>28</v>
      </c>
      <c r="S2849" s="112">
        <f ca="1">IFERROR(__xludf.DUMMYFUNCTION("""COMPUTED_VALUE"""),44473.7055555555)</f>
        <v>44473.705555555498</v>
      </c>
      <c r="T2849" s="111">
        <f ca="1">IFERROR(__xludf.DUMMYFUNCTION("""COMPUTED_VALUE"""),31.2)</f>
        <v>31.2</v>
      </c>
    </row>
    <row r="2850" spans="1:20" x14ac:dyDescent="0.3">
      <c r="A2850" s="112">
        <f ca="1">IFERROR(__xludf.DUMMYFUNCTION("""COMPUTED_VALUE"""),44468.7055555555)</f>
        <v>44468.705555555498</v>
      </c>
      <c r="B2850" s="111">
        <f ca="1">IFERROR(__xludf.DUMMYFUNCTION("""COMPUTED_VALUE"""),38.01)</f>
        <v>38.01</v>
      </c>
      <c r="C2850" s="112">
        <f ca="1">IFERROR(__xludf.DUMMYFUNCTION("""COMPUTED_VALUE"""),44477.7055555555)</f>
        <v>44477.705555555498</v>
      </c>
      <c r="D2850" s="111">
        <f ca="1">IFERROR(__xludf.DUMMYFUNCTION("""COMPUTED_VALUE"""),24.66)</f>
        <v>24.66</v>
      </c>
      <c r="E2850" s="112">
        <f ca="1">IFERROR(__xludf.DUMMYFUNCTION("""COMPUTED_VALUE"""),44480.7055555555)</f>
        <v>44480.705555555498</v>
      </c>
      <c r="F2850" s="111">
        <f ca="1">IFERROR(__xludf.DUMMYFUNCTION("""COMPUTED_VALUE"""),10.62)</f>
        <v>10.62</v>
      </c>
      <c r="G2850" s="112">
        <f ca="1">IFERROR(__xludf.DUMMYFUNCTION("""COMPUTED_VALUE"""),44476.7055555555)</f>
        <v>44476.705555555498</v>
      </c>
      <c r="H2850" s="111">
        <f ca="1">IFERROR(__xludf.DUMMYFUNCTION("""COMPUTED_VALUE"""),28.6)</f>
        <v>28.6</v>
      </c>
      <c r="M2850" s="112">
        <f ca="1">IFERROR(__xludf.DUMMYFUNCTION("""COMPUTED_VALUE"""),44385.7055555555)</f>
        <v>44385.705555555498</v>
      </c>
      <c r="N2850" s="111">
        <f ca="1">IFERROR(__xludf.DUMMYFUNCTION("""COMPUTED_VALUE"""),24.59)</f>
        <v>24.59</v>
      </c>
      <c r="O2850" s="112">
        <f ca="1">IFERROR(__xludf.DUMMYFUNCTION("""COMPUTED_VALUE"""),44461.7055555555)</f>
        <v>44461.705555555498</v>
      </c>
      <c r="P2850" s="111">
        <f ca="1">IFERROR(__xludf.DUMMYFUNCTION("""COMPUTED_VALUE"""),87.11)</f>
        <v>87.11</v>
      </c>
      <c r="Q2850" s="112">
        <f ca="1">IFERROR(__xludf.DUMMYFUNCTION("""COMPUTED_VALUE"""),44460.7055555555)</f>
        <v>44460.705555555498</v>
      </c>
      <c r="R2850" s="111">
        <f ca="1">IFERROR(__xludf.DUMMYFUNCTION("""COMPUTED_VALUE"""),28.71)</f>
        <v>28.71</v>
      </c>
      <c r="S2850" s="112">
        <f ca="1">IFERROR(__xludf.DUMMYFUNCTION("""COMPUTED_VALUE"""),44474.7055555555)</f>
        <v>44474.705555555498</v>
      </c>
      <c r="T2850" s="111">
        <f ca="1">IFERROR(__xludf.DUMMYFUNCTION("""COMPUTED_VALUE"""),31.12)</f>
        <v>31.12</v>
      </c>
    </row>
    <row r="2851" spans="1:20" x14ac:dyDescent="0.3">
      <c r="A2851" s="112">
        <f ca="1">IFERROR(__xludf.DUMMYFUNCTION("""COMPUTED_VALUE"""),44469.7055555555)</f>
        <v>44469.705555555498</v>
      </c>
      <c r="B2851" s="111">
        <f ca="1">IFERROR(__xludf.DUMMYFUNCTION("""COMPUTED_VALUE"""),38.1)</f>
        <v>38.1</v>
      </c>
      <c r="C2851" s="112">
        <f ca="1">IFERROR(__xludf.DUMMYFUNCTION("""COMPUTED_VALUE"""),44480.7055555555)</f>
        <v>44480.705555555498</v>
      </c>
      <c r="D2851" s="111">
        <f ca="1">IFERROR(__xludf.DUMMYFUNCTION("""COMPUTED_VALUE"""),24.23)</f>
        <v>24.23</v>
      </c>
      <c r="E2851" s="112">
        <f ca="1">IFERROR(__xludf.DUMMYFUNCTION("""COMPUTED_VALUE"""),44482.7055555555)</f>
        <v>44482.705555555498</v>
      </c>
      <c r="F2851" s="111">
        <f ca="1">IFERROR(__xludf.DUMMYFUNCTION("""COMPUTED_VALUE"""),10.64)</f>
        <v>10.64</v>
      </c>
      <c r="G2851" s="112">
        <f ca="1">IFERROR(__xludf.DUMMYFUNCTION("""COMPUTED_VALUE"""),44477.7055555555)</f>
        <v>44477.705555555498</v>
      </c>
      <c r="H2851" s="111">
        <f ca="1">IFERROR(__xludf.DUMMYFUNCTION("""COMPUTED_VALUE"""),29.12)</f>
        <v>29.12</v>
      </c>
      <c r="M2851" s="112">
        <f ca="1">IFERROR(__xludf.DUMMYFUNCTION("""COMPUTED_VALUE"""),44389.8125)</f>
        <v>44389.8125</v>
      </c>
      <c r="N2851" s="111">
        <f ca="1">IFERROR(__xludf.DUMMYFUNCTION("""COMPUTED_VALUE"""),25.21)</f>
        <v>25.21</v>
      </c>
      <c r="O2851" s="112">
        <f ca="1">IFERROR(__xludf.DUMMYFUNCTION("""COMPUTED_VALUE"""),44462.7055555555)</f>
        <v>44462.705555555498</v>
      </c>
      <c r="P2851" s="111">
        <f ca="1">IFERROR(__xludf.DUMMYFUNCTION("""COMPUTED_VALUE"""),78.91)</f>
        <v>78.91</v>
      </c>
      <c r="Q2851" s="112">
        <f ca="1">IFERROR(__xludf.DUMMYFUNCTION("""COMPUTED_VALUE"""),44461.7055555555)</f>
        <v>44461.705555555498</v>
      </c>
      <c r="R2851" s="111">
        <f ca="1">IFERROR(__xludf.DUMMYFUNCTION("""COMPUTED_VALUE"""),29.38)</f>
        <v>29.38</v>
      </c>
      <c r="S2851" s="112">
        <f ca="1">IFERROR(__xludf.DUMMYFUNCTION("""COMPUTED_VALUE"""),44475.7055555555)</f>
        <v>44475.705555555498</v>
      </c>
      <c r="T2851" s="111">
        <f ca="1">IFERROR(__xludf.DUMMYFUNCTION("""COMPUTED_VALUE"""),30.73)</f>
        <v>30.73</v>
      </c>
    </row>
    <row r="2852" spans="1:20" x14ac:dyDescent="0.3">
      <c r="A2852" s="112">
        <f ca="1">IFERROR(__xludf.DUMMYFUNCTION("""COMPUTED_VALUE"""),44470.7055555555)</f>
        <v>44470.705555555498</v>
      </c>
      <c r="B2852" s="111">
        <f ca="1">IFERROR(__xludf.DUMMYFUNCTION("""COMPUTED_VALUE"""),38.56)</f>
        <v>38.56</v>
      </c>
      <c r="C2852" s="112">
        <f ca="1">IFERROR(__xludf.DUMMYFUNCTION("""COMPUTED_VALUE"""),44482.7055555555)</f>
        <v>44482.705555555498</v>
      </c>
      <c r="D2852" s="111">
        <f ca="1">IFERROR(__xludf.DUMMYFUNCTION("""COMPUTED_VALUE"""),24.26)</f>
        <v>24.26</v>
      </c>
      <c r="E2852" s="112">
        <f ca="1">IFERROR(__xludf.DUMMYFUNCTION("""COMPUTED_VALUE"""),44483.7055555555)</f>
        <v>44483.705555555498</v>
      </c>
      <c r="F2852" s="111">
        <f ca="1">IFERROR(__xludf.DUMMYFUNCTION("""COMPUTED_VALUE"""),10.51)</f>
        <v>10.51</v>
      </c>
      <c r="G2852" s="112">
        <f ca="1">IFERROR(__xludf.DUMMYFUNCTION("""COMPUTED_VALUE"""),44480.7055555555)</f>
        <v>44480.705555555498</v>
      </c>
      <c r="H2852" s="111">
        <f ca="1">IFERROR(__xludf.DUMMYFUNCTION("""COMPUTED_VALUE"""),29.32)</f>
        <v>29.32</v>
      </c>
      <c r="M2852" s="112">
        <f ca="1">IFERROR(__xludf.DUMMYFUNCTION("""COMPUTED_VALUE"""),44390.7055555555)</f>
        <v>44390.705555555498</v>
      </c>
      <c r="N2852" s="111">
        <f ca="1">IFERROR(__xludf.DUMMYFUNCTION("""COMPUTED_VALUE"""),25.19)</f>
        <v>25.19</v>
      </c>
      <c r="O2852" s="112">
        <f ca="1">IFERROR(__xludf.DUMMYFUNCTION("""COMPUTED_VALUE"""),44463.7055555555)</f>
        <v>44463.705555555498</v>
      </c>
      <c r="P2852" s="111">
        <f ca="1">IFERROR(__xludf.DUMMYFUNCTION("""COMPUTED_VALUE"""),77.69)</f>
        <v>77.69</v>
      </c>
      <c r="Q2852" s="112">
        <f ca="1">IFERROR(__xludf.DUMMYFUNCTION("""COMPUTED_VALUE"""),44462.7055555555)</f>
        <v>44462.705555555498</v>
      </c>
      <c r="R2852" s="111">
        <f ca="1">IFERROR(__xludf.DUMMYFUNCTION("""COMPUTED_VALUE"""),29.45)</f>
        <v>29.45</v>
      </c>
      <c r="S2852" s="112">
        <f ca="1">IFERROR(__xludf.DUMMYFUNCTION("""COMPUTED_VALUE"""),44476.7055555555)</f>
        <v>44476.705555555498</v>
      </c>
      <c r="T2852" s="111">
        <f ca="1">IFERROR(__xludf.DUMMYFUNCTION("""COMPUTED_VALUE"""),30.7)</f>
        <v>30.7</v>
      </c>
    </row>
    <row r="2853" spans="1:20" x14ac:dyDescent="0.3">
      <c r="A2853" s="112">
        <f ca="1">IFERROR(__xludf.DUMMYFUNCTION("""COMPUTED_VALUE"""),44473.7055555555)</f>
        <v>44473.705555555498</v>
      </c>
      <c r="B2853" s="111">
        <f ca="1">IFERROR(__xludf.DUMMYFUNCTION("""COMPUTED_VALUE"""),36.57)</f>
        <v>36.57</v>
      </c>
      <c r="C2853" s="112">
        <f ca="1">IFERROR(__xludf.DUMMYFUNCTION("""COMPUTED_VALUE"""),44483.7055555555)</f>
        <v>44483.705555555498</v>
      </c>
      <c r="D2853" s="111">
        <f ca="1">IFERROR(__xludf.DUMMYFUNCTION("""COMPUTED_VALUE"""),24.14)</f>
        <v>24.14</v>
      </c>
      <c r="E2853" s="112">
        <f ca="1">IFERROR(__xludf.DUMMYFUNCTION("""COMPUTED_VALUE"""),44484.7055555555)</f>
        <v>44484.705555555498</v>
      </c>
      <c r="F2853" s="111">
        <f ca="1">IFERROR(__xludf.DUMMYFUNCTION("""COMPUTED_VALUE"""),10.71)</f>
        <v>10.71</v>
      </c>
      <c r="G2853" s="112">
        <f ca="1">IFERROR(__xludf.DUMMYFUNCTION("""COMPUTED_VALUE"""),44482.7055555555)</f>
        <v>44482.705555555498</v>
      </c>
      <c r="H2853" s="111">
        <f ca="1">IFERROR(__xludf.DUMMYFUNCTION("""COMPUTED_VALUE"""),29.63)</f>
        <v>29.63</v>
      </c>
      <c r="M2853" s="112">
        <f ca="1">IFERROR(__xludf.DUMMYFUNCTION("""COMPUTED_VALUE"""),44391.7055555555)</f>
        <v>44391.705555555498</v>
      </c>
      <c r="N2853" s="111">
        <f ca="1">IFERROR(__xludf.DUMMYFUNCTION("""COMPUTED_VALUE"""),25.3)</f>
        <v>25.3</v>
      </c>
      <c r="O2853" s="112">
        <f ca="1">IFERROR(__xludf.DUMMYFUNCTION("""COMPUTED_VALUE"""),44466.7055555555)</f>
        <v>44466.705555555498</v>
      </c>
      <c r="P2853" s="111">
        <f ca="1">IFERROR(__xludf.DUMMYFUNCTION("""COMPUTED_VALUE"""),78.8)</f>
        <v>78.8</v>
      </c>
      <c r="Q2853" s="112">
        <f ca="1">IFERROR(__xludf.DUMMYFUNCTION("""COMPUTED_VALUE"""),44463.7055555555)</f>
        <v>44463.705555555498</v>
      </c>
      <c r="R2853" s="111">
        <f ca="1">IFERROR(__xludf.DUMMYFUNCTION("""COMPUTED_VALUE"""),29.22)</f>
        <v>29.22</v>
      </c>
      <c r="S2853" s="112">
        <f ca="1">IFERROR(__xludf.DUMMYFUNCTION("""COMPUTED_VALUE"""),44477.7055555555)</f>
        <v>44477.705555555498</v>
      </c>
      <c r="T2853" s="111">
        <f ca="1">IFERROR(__xludf.DUMMYFUNCTION("""COMPUTED_VALUE"""),31.55)</f>
        <v>31.55</v>
      </c>
    </row>
    <row r="2854" spans="1:20" x14ac:dyDescent="0.3">
      <c r="A2854" s="112">
        <f ca="1">IFERROR(__xludf.DUMMYFUNCTION("""COMPUTED_VALUE"""),44474.7055555555)</f>
        <v>44474.705555555498</v>
      </c>
      <c r="B2854" s="111">
        <f ca="1">IFERROR(__xludf.DUMMYFUNCTION("""COMPUTED_VALUE"""),36.21)</f>
        <v>36.21</v>
      </c>
      <c r="C2854" s="112">
        <f ca="1">IFERROR(__xludf.DUMMYFUNCTION("""COMPUTED_VALUE"""),44484.7055555555)</f>
        <v>44484.705555555498</v>
      </c>
      <c r="D2854" s="111">
        <f ca="1">IFERROR(__xludf.DUMMYFUNCTION("""COMPUTED_VALUE"""),24.76)</f>
        <v>24.76</v>
      </c>
      <c r="E2854" s="112">
        <f ca="1">IFERROR(__xludf.DUMMYFUNCTION("""COMPUTED_VALUE"""),44487.7055555555)</f>
        <v>44487.705555555498</v>
      </c>
      <c r="F2854" s="111">
        <f ca="1">IFERROR(__xludf.DUMMYFUNCTION("""COMPUTED_VALUE"""),10.79)</f>
        <v>10.79</v>
      </c>
      <c r="G2854" s="112">
        <f ca="1">IFERROR(__xludf.DUMMYFUNCTION("""COMPUTED_VALUE"""),44483.7055555555)</f>
        <v>44483.705555555498</v>
      </c>
      <c r="H2854" s="111">
        <f ca="1">IFERROR(__xludf.DUMMYFUNCTION("""COMPUTED_VALUE"""),29.68)</f>
        <v>29.68</v>
      </c>
      <c r="M2854" s="112">
        <f ca="1">IFERROR(__xludf.DUMMYFUNCTION("""COMPUTED_VALUE"""),44392.7055555555)</f>
        <v>44392.705555555498</v>
      </c>
      <c r="N2854" s="111">
        <f ca="1">IFERROR(__xludf.DUMMYFUNCTION("""COMPUTED_VALUE"""),24.92)</f>
        <v>24.92</v>
      </c>
      <c r="O2854" s="112">
        <f ca="1">IFERROR(__xludf.DUMMYFUNCTION("""COMPUTED_VALUE"""),44467.7055555555)</f>
        <v>44467.705555555498</v>
      </c>
      <c r="P2854" s="111">
        <f ca="1">IFERROR(__xludf.DUMMYFUNCTION("""COMPUTED_VALUE"""),74.85)</f>
        <v>74.849999999999994</v>
      </c>
      <c r="Q2854" s="112">
        <f ca="1">IFERROR(__xludf.DUMMYFUNCTION("""COMPUTED_VALUE"""),44466.7055555555)</f>
        <v>44466.705555555498</v>
      </c>
      <c r="R2854" s="111">
        <f ca="1">IFERROR(__xludf.DUMMYFUNCTION("""COMPUTED_VALUE"""),29.87)</f>
        <v>29.87</v>
      </c>
      <c r="S2854" s="112">
        <f ca="1">IFERROR(__xludf.DUMMYFUNCTION("""COMPUTED_VALUE"""),44480.7055555555)</f>
        <v>44480.705555555498</v>
      </c>
      <c r="T2854" s="111">
        <f ca="1">IFERROR(__xludf.DUMMYFUNCTION("""COMPUTED_VALUE"""),30.82)</f>
        <v>30.82</v>
      </c>
    </row>
    <row r="2855" spans="1:20" x14ac:dyDescent="0.3">
      <c r="A2855" s="112">
        <f ca="1">IFERROR(__xludf.DUMMYFUNCTION("""COMPUTED_VALUE"""),44475.7055555555)</f>
        <v>44475.705555555498</v>
      </c>
      <c r="B2855" s="111">
        <f ca="1">IFERROR(__xludf.DUMMYFUNCTION("""COMPUTED_VALUE"""),36)</f>
        <v>36</v>
      </c>
      <c r="C2855" s="112">
        <f ca="1">IFERROR(__xludf.DUMMYFUNCTION("""COMPUTED_VALUE"""),44487.7055555555)</f>
        <v>44487.705555555498</v>
      </c>
      <c r="D2855" s="111">
        <f ca="1">IFERROR(__xludf.DUMMYFUNCTION("""COMPUTED_VALUE"""),24.93)</f>
        <v>24.93</v>
      </c>
      <c r="E2855" s="112">
        <f ca="1">IFERROR(__xludf.DUMMYFUNCTION("""COMPUTED_VALUE"""),44488.7055555555)</f>
        <v>44488.705555555498</v>
      </c>
      <c r="F2855" s="111">
        <f ca="1">IFERROR(__xludf.DUMMYFUNCTION("""COMPUTED_VALUE"""),10.39)</f>
        <v>10.39</v>
      </c>
      <c r="G2855" s="112">
        <f ca="1">IFERROR(__xludf.DUMMYFUNCTION("""COMPUTED_VALUE"""),44484.7055555555)</f>
        <v>44484.705555555498</v>
      </c>
      <c r="H2855" s="111">
        <f ca="1">IFERROR(__xludf.DUMMYFUNCTION("""COMPUTED_VALUE"""),29.6)</f>
        <v>29.6</v>
      </c>
      <c r="M2855" s="112">
        <f ca="1">IFERROR(__xludf.DUMMYFUNCTION("""COMPUTED_VALUE"""),44393.7055555555)</f>
        <v>44393.705555555498</v>
      </c>
      <c r="N2855" s="111">
        <f ca="1">IFERROR(__xludf.DUMMYFUNCTION("""COMPUTED_VALUE"""),24.92)</f>
        <v>24.92</v>
      </c>
      <c r="O2855" s="112">
        <f ca="1">IFERROR(__xludf.DUMMYFUNCTION("""COMPUTED_VALUE"""),44468.7055555555)</f>
        <v>44468.705555555498</v>
      </c>
      <c r="P2855" s="111">
        <f ca="1">IFERROR(__xludf.DUMMYFUNCTION("""COMPUTED_VALUE"""),75.8)</f>
        <v>75.8</v>
      </c>
      <c r="Q2855" s="112">
        <f ca="1">IFERROR(__xludf.DUMMYFUNCTION("""COMPUTED_VALUE"""),44467.7055555555)</f>
        <v>44467.705555555498</v>
      </c>
      <c r="R2855" s="111">
        <f ca="1">IFERROR(__xludf.DUMMYFUNCTION("""COMPUTED_VALUE"""),29.26)</f>
        <v>29.26</v>
      </c>
      <c r="S2855" s="112">
        <f ca="1">IFERROR(__xludf.DUMMYFUNCTION("""COMPUTED_VALUE"""),44482.7055555555)</f>
        <v>44482.705555555498</v>
      </c>
      <c r="T2855" s="111">
        <f ca="1">IFERROR(__xludf.DUMMYFUNCTION("""COMPUTED_VALUE"""),31.62)</f>
        <v>31.62</v>
      </c>
    </row>
    <row r="2856" spans="1:20" x14ac:dyDescent="0.3">
      <c r="A2856" s="112">
        <f ca="1">IFERROR(__xludf.DUMMYFUNCTION("""COMPUTED_VALUE"""),44476.7055555555)</f>
        <v>44476.705555555498</v>
      </c>
      <c r="B2856" s="111">
        <f ca="1">IFERROR(__xludf.DUMMYFUNCTION("""COMPUTED_VALUE"""),36.61)</f>
        <v>36.61</v>
      </c>
      <c r="C2856" s="112">
        <f ca="1">IFERROR(__xludf.DUMMYFUNCTION("""COMPUTED_VALUE"""),44488.7055555555)</f>
        <v>44488.705555555498</v>
      </c>
      <c r="D2856" s="111">
        <f ca="1">IFERROR(__xludf.DUMMYFUNCTION("""COMPUTED_VALUE"""),24.34)</f>
        <v>24.34</v>
      </c>
      <c r="E2856" s="112">
        <f ca="1">IFERROR(__xludf.DUMMYFUNCTION("""COMPUTED_VALUE"""),44489.7055555555)</f>
        <v>44489.705555555498</v>
      </c>
      <c r="F2856" s="111">
        <f ca="1">IFERROR(__xludf.DUMMYFUNCTION("""COMPUTED_VALUE"""),10.61)</f>
        <v>10.61</v>
      </c>
      <c r="G2856" s="112">
        <f ca="1">IFERROR(__xludf.DUMMYFUNCTION("""COMPUTED_VALUE"""),44487.7055555555)</f>
        <v>44487.705555555498</v>
      </c>
      <c r="H2856" s="111">
        <f ca="1">IFERROR(__xludf.DUMMYFUNCTION("""COMPUTED_VALUE"""),29.45)</f>
        <v>29.45</v>
      </c>
      <c r="M2856" s="112">
        <f ca="1">IFERROR(__xludf.DUMMYFUNCTION("""COMPUTED_VALUE"""),44396.7055555555)</f>
        <v>44396.705555555498</v>
      </c>
      <c r="N2856" s="111">
        <f ca="1">IFERROR(__xludf.DUMMYFUNCTION("""COMPUTED_VALUE"""),24.01)</f>
        <v>24.01</v>
      </c>
      <c r="O2856" s="112">
        <f ca="1">IFERROR(__xludf.DUMMYFUNCTION("""COMPUTED_VALUE"""),44469.7055555555)</f>
        <v>44469.705555555498</v>
      </c>
      <c r="P2856" s="111">
        <f ca="1">IFERROR(__xludf.DUMMYFUNCTION("""COMPUTED_VALUE"""),76.24)</f>
        <v>76.239999999999995</v>
      </c>
      <c r="Q2856" s="112">
        <f ca="1">IFERROR(__xludf.DUMMYFUNCTION("""COMPUTED_VALUE"""),44468.7055555555)</f>
        <v>44468.705555555498</v>
      </c>
      <c r="R2856" s="111">
        <f ca="1">IFERROR(__xludf.DUMMYFUNCTION("""COMPUTED_VALUE"""),29.42)</f>
        <v>29.42</v>
      </c>
      <c r="S2856" s="112">
        <f ca="1">IFERROR(__xludf.DUMMYFUNCTION("""COMPUTED_VALUE"""),44483.7055555555)</f>
        <v>44483.705555555498</v>
      </c>
      <c r="T2856" s="111">
        <f ca="1">IFERROR(__xludf.DUMMYFUNCTION("""COMPUTED_VALUE"""),31.45)</f>
        <v>31.45</v>
      </c>
    </row>
    <row r="2857" spans="1:20" x14ac:dyDescent="0.3">
      <c r="A2857" s="112">
        <f ca="1">IFERROR(__xludf.DUMMYFUNCTION("""COMPUTED_VALUE"""),44477.7055555555)</f>
        <v>44477.705555555498</v>
      </c>
      <c r="B2857" s="111">
        <f ca="1">IFERROR(__xludf.DUMMYFUNCTION("""COMPUTED_VALUE"""),37.67)</f>
        <v>37.67</v>
      </c>
      <c r="C2857" s="112">
        <f ca="1">IFERROR(__xludf.DUMMYFUNCTION("""COMPUTED_VALUE"""),44489.7055555555)</f>
        <v>44489.705555555498</v>
      </c>
      <c r="D2857" s="111">
        <f ca="1">IFERROR(__xludf.DUMMYFUNCTION("""COMPUTED_VALUE"""),24.99)</f>
        <v>24.99</v>
      </c>
      <c r="E2857" s="112">
        <f ca="1">IFERROR(__xludf.DUMMYFUNCTION("""COMPUTED_VALUE"""),44490.7055555555)</f>
        <v>44490.705555555498</v>
      </c>
      <c r="F2857" s="111">
        <f ca="1">IFERROR(__xludf.DUMMYFUNCTION("""COMPUTED_VALUE"""),10.32)</f>
        <v>10.32</v>
      </c>
      <c r="G2857" s="112">
        <f ca="1">IFERROR(__xludf.DUMMYFUNCTION("""COMPUTED_VALUE"""),44488.7055555555)</f>
        <v>44488.705555555498</v>
      </c>
      <c r="H2857" s="111">
        <f ca="1">IFERROR(__xludf.DUMMYFUNCTION("""COMPUTED_VALUE"""),28.01)</f>
        <v>28.01</v>
      </c>
      <c r="M2857" s="112">
        <f ca="1">IFERROR(__xludf.DUMMYFUNCTION("""COMPUTED_VALUE"""),44397.7055555555)</f>
        <v>44397.705555555498</v>
      </c>
      <c r="N2857" s="111">
        <f ca="1">IFERROR(__xludf.DUMMYFUNCTION("""COMPUTED_VALUE"""),24.38)</f>
        <v>24.38</v>
      </c>
      <c r="O2857" s="112">
        <f ca="1">IFERROR(__xludf.DUMMYFUNCTION("""COMPUTED_VALUE"""),44470.7055555555)</f>
        <v>44470.705555555498</v>
      </c>
      <c r="P2857" s="111">
        <f ca="1">IFERROR(__xludf.DUMMYFUNCTION("""COMPUTED_VALUE"""),76.2)</f>
        <v>76.2</v>
      </c>
      <c r="Q2857" s="112">
        <f ca="1">IFERROR(__xludf.DUMMYFUNCTION("""COMPUTED_VALUE"""),44469.7055555555)</f>
        <v>44469.705555555498</v>
      </c>
      <c r="R2857" s="111">
        <f ca="1">IFERROR(__xludf.DUMMYFUNCTION("""COMPUTED_VALUE"""),28.9)</f>
        <v>28.9</v>
      </c>
      <c r="S2857" s="112">
        <f ca="1">IFERROR(__xludf.DUMMYFUNCTION("""COMPUTED_VALUE"""),44484.7055555555)</f>
        <v>44484.705555555498</v>
      </c>
      <c r="T2857" s="111">
        <f ca="1">IFERROR(__xludf.DUMMYFUNCTION("""COMPUTED_VALUE"""),32.5)</f>
        <v>32.5</v>
      </c>
    </row>
    <row r="2858" spans="1:20" x14ac:dyDescent="0.3">
      <c r="A2858" s="112">
        <f ca="1">IFERROR(__xludf.DUMMYFUNCTION("""COMPUTED_VALUE"""),44480.7055555555)</f>
        <v>44480.705555555498</v>
      </c>
      <c r="B2858" s="111">
        <f ca="1">IFERROR(__xludf.DUMMYFUNCTION("""COMPUTED_VALUE"""),38.67)</f>
        <v>38.67</v>
      </c>
      <c r="C2858" s="112">
        <f ca="1">IFERROR(__xludf.DUMMYFUNCTION("""COMPUTED_VALUE"""),44490.7055555555)</f>
        <v>44490.705555555498</v>
      </c>
      <c r="D2858" s="111">
        <f ca="1">IFERROR(__xludf.DUMMYFUNCTION("""COMPUTED_VALUE"""),24.48)</f>
        <v>24.48</v>
      </c>
      <c r="E2858" s="112">
        <f ca="1">IFERROR(__xludf.DUMMYFUNCTION("""COMPUTED_VALUE"""),44491.7055555555)</f>
        <v>44491.705555555498</v>
      </c>
      <c r="F2858" s="111">
        <f ca="1">IFERROR(__xludf.DUMMYFUNCTION("""COMPUTED_VALUE"""),10.03)</f>
        <v>10.029999999999999</v>
      </c>
      <c r="G2858" s="112">
        <f ca="1">IFERROR(__xludf.DUMMYFUNCTION("""COMPUTED_VALUE"""),44489.7055555555)</f>
        <v>44489.705555555498</v>
      </c>
      <c r="H2858" s="111">
        <f ca="1">IFERROR(__xludf.DUMMYFUNCTION("""COMPUTED_VALUE"""),28.5)</f>
        <v>28.5</v>
      </c>
      <c r="M2858" s="112">
        <f ca="1">IFERROR(__xludf.DUMMYFUNCTION("""COMPUTED_VALUE"""),44398.7055555555)</f>
        <v>44398.705555555498</v>
      </c>
      <c r="N2858" s="111">
        <f ca="1">IFERROR(__xludf.DUMMYFUNCTION("""COMPUTED_VALUE"""),24.39)</f>
        <v>24.39</v>
      </c>
      <c r="O2858" s="112">
        <f ca="1">IFERROR(__xludf.DUMMYFUNCTION("""COMPUTED_VALUE"""),44473.7055555555)</f>
        <v>44473.705555555498</v>
      </c>
      <c r="P2858" s="111">
        <f ca="1">IFERROR(__xludf.DUMMYFUNCTION("""COMPUTED_VALUE"""),75.49)</f>
        <v>75.489999999999995</v>
      </c>
      <c r="Q2858" s="112">
        <f ca="1">IFERROR(__xludf.DUMMYFUNCTION("""COMPUTED_VALUE"""),44470.7055555555)</f>
        <v>44470.705555555498</v>
      </c>
      <c r="R2858" s="111">
        <f ca="1">IFERROR(__xludf.DUMMYFUNCTION("""COMPUTED_VALUE"""),29.55)</f>
        <v>29.55</v>
      </c>
      <c r="S2858" s="112">
        <f ca="1">IFERROR(__xludf.DUMMYFUNCTION("""COMPUTED_VALUE"""),44487.7055555555)</f>
        <v>44487.705555555498</v>
      </c>
      <c r="T2858" s="111">
        <f ca="1">IFERROR(__xludf.DUMMYFUNCTION("""COMPUTED_VALUE"""),32.72)</f>
        <v>32.72</v>
      </c>
    </row>
    <row r="2859" spans="1:20" x14ac:dyDescent="0.3">
      <c r="A2859" s="112">
        <f ca="1">IFERROR(__xludf.DUMMYFUNCTION("""COMPUTED_VALUE"""),44482.7055555555)</f>
        <v>44482.705555555498</v>
      </c>
      <c r="B2859" s="111">
        <f ca="1">IFERROR(__xludf.DUMMYFUNCTION("""COMPUTED_VALUE"""),38.74)</f>
        <v>38.74</v>
      </c>
      <c r="C2859" s="112">
        <f ca="1">IFERROR(__xludf.DUMMYFUNCTION("""COMPUTED_VALUE"""),44491.7055555555)</f>
        <v>44491.705555555498</v>
      </c>
      <c r="D2859" s="111">
        <f ca="1">IFERROR(__xludf.DUMMYFUNCTION("""COMPUTED_VALUE"""),23.54)</f>
        <v>23.54</v>
      </c>
      <c r="E2859" s="112">
        <f ca="1">IFERROR(__xludf.DUMMYFUNCTION("""COMPUTED_VALUE"""),44494.7055555555)</f>
        <v>44494.705555555498</v>
      </c>
      <c r="F2859" s="111">
        <f ca="1">IFERROR(__xludf.DUMMYFUNCTION("""COMPUTED_VALUE"""),10.16)</f>
        <v>10.16</v>
      </c>
      <c r="G2859" s="112">
        <f ca="1">IFERROR(__xludf.DUMMYFUNCTION("""COMPUTED_VALUE"""),44490.7055555555)</f>
        <v>44490.705555555498</v>
      </c>
      <c r="H2859" s="111">
        <f ca="1">IFERROR(__xludf.DUMMYFUNCTION("""COMPUTED_VALUE"""),27.45)</f>
        <v>27.45</v>
      </c>
      <c r="M2859" s="112">
        <f ca="1">IFERROR(__xludf.DUMMYFUNCTION("""COMPUTED_VALUE"""),44399.7055555555)</f>
        <v>44399.705555555498</v>
      </c>
      <c r="N2859" s="111">
        <f ca="1">IFERROR(__xludf.DUMMYFUNCTION("""COMPUTED_VALUE"""),24.2)</f>
        <v>24.2</v>
      </c>
      <c r="O2859" s="112">
        <f ca="1">IFERROR(__xludf.DUMMYFUNCTION("""COMPUTED_VALUE"""),44474.7055555555)</f>
        <v>44474.705555555498</v>
      </c>
      <c r="P2859" s="111">
        <f ca="1">IFERROR(__xludf.DUMMYFUNCTION("""COMPUTED_VALUE"""),74.95)</f>
        <v>74.95</v>
      </c>
      <c r="Q2859" s="112">
        <f ca="1">IFERROR(__xludf.DUMMYFUNCTION("""COMPUTED_VALUE"""),44473.7055555555)</f>
        <v>44473.705555555498</v>
      </c>
      <c r="R2859" s="111">
        <f ca="1">IFERROR(__xludf.DUMMYFUNCTION("""COMPUTED_VALUE"""),29.2)</f>
        <v>29.2</v>
      </c>
      <c r="S2859" s="112">
        <f ca="1">IFERROR(__xludf.DUMMYFUNCTION("""COMPUTED_VALUE"""),44488.7055555555)</f>
        <v>44488.705555555498</v>
      </c>
      <c r="T2859" s="111">
        <f ca="1">IFERROR(__xludf.DUMMYFUNCTION("""COMPUTED_VALUE"""),31.3)</f>
        <v>31.3</v>
      </c>
    </row>
    <row r="2860" spans="1:20" x14ac:dyDescent="0.3">
      <c r="A2860" s="112">
        <f ca="1">IFERROR(__xludf.DUMMYFUNCTION("""COMPUTED_VALUE"""),44483.7055555555)</f>
        <v>44483.705555555498</v>
      </c>
      <c r="B2860" s="111">
        <f ca="1">IFERROR(__xludf.DUMMYFUNCTION("""COMPUTED_VALUE"""),39.5)</f>
        <v>39.5</v>
      </c>
      <c r="C2860" s="112">
        <f ca="1">IFERROR(__xludf.DUMMYFUNCTION("""COMPUTED_VALUE"""),44494.7055555555)</f>
        <v>44494.705555555498</v>
      </c>
      <c r="D2860" s="111">
        <f ca="1">IFERROR(__xludf.DUMMYFUNCTION("""COMPUTED_VALUE"""),24)</f>
        <v>24</v>
      </c>
      <c r="E2860" s="112">
        <f ca="1">IFERROR(__xludf.DUMMYFUNCTION("""COMPUTED_VALUE"""),44495.7055555555)</f>
        <v>44495.705555555498</v>
      </c>
      <c r="F2860" s="111">
        <f ca="1">IFERROR(__xludf.DUMMYFUNCTION("""COMPUTED_VALUE"""),9.97)</f>
        <v>9.9700000000000006</v>
      </c>
      <c r="G2860" s="112">
        <f ca="1">IFERROR(__xludf.DUMMYFUNCTION("""COMPUTED_VALUE"""),44491.7055555555)</f>
        <v>44491.705555555498</v>
      </c>
      <c r="H2860" s="111">
        <f ca="1">IFERROR(__xludf.DUMMYFUNCTION("""COMPUTED_VALUE"""),27.18)</f>
        <v>27.18</v>
      </c>
      <c r="M2860" s="112">
        <f ca="1">IFERROR(__xludf.DUMMYFUNCTION("""COMPUTED_VALUE"""),44400.7055555555)</f>
        <v>44400.705555555498</v>
      </c>
      <c r="N2860" s="111">
        <f ca="1">IFERROR(__xludf.DUMMYFUNCTION("""COMPUTED_VALUE"""),23.95)</f>
        <v>23.95</v>
      </c>
      <c r="O2860" s="112">
        <f ca="1">IFERROR(__xludf.DUMMYFUNCTION("""COMPUTED_VALUE"""),44475.7055555555)</f>
        <v>44475.705555555498</v>
      </c>
      <c r="P2860" s="111">
        <f ca="1">IFERROR(__xludf.DUMMYFUNCTION("""COMPUTED_VALUE"""),77.06)</f>
        <v>77.06</v>
      </c>
      <c r="Q2860" s="112">
        <f ca="1">IFERROR(__xludf.DUMMYFUNCTION("""COMPUTED_VALUE"""),44474.7055555555)</f>
        <v>44474.705555555498</v>
      </c>
      <c r="R2860" s="111">
        <f ca="1">IFERROR(__xludf.DUMMYFUNCTION("""COMPUTED_VALUE"""),30.59)</f>
        <v>30.59</v>
      </c>
      <c r="S2860" s="112">
        <f ca="1">IFERROR(__xludf.DUMMYFUNCTION("""COMPUTED_VALUE"""),44489.7055555555)</f>
        <v>44489.705555555498</v>
      </c>
      <c r="T2860" s="111">
        <f ca="1">IFERROR(__xludf.DUMMYFUNCTION("""COMPUTED_VALUE"""),31.95)</f>
        <v>31.95</v>
      </c>
    </row>
    <row r="2861" spans="1:20" x14ac:dyDescent="0.3">
      <c r="A2861" s="112">
        <f ca="1">IFERROR(__xludf.DUMMYFUNCTION("""COMPUTED_VALUE"""),44484.7055555555)</f>
        <v>44484.705555555498</v>
      </c>
      <c r="B2861" s="111">
        <f ca="1">IFERROR(__xludf.DUMMYFUNCTION("""COMPUTED_VALUE"""),38.84)</f>
        <v>38.840000000000003</v>
      </c>
      <c r="C2861" s="112">
        <f ca="1">IFERROR(__xludf.DUMMYFUNCTION("""COMPUTED_VALUE"""),44495.7055555555)</f>
        <v>44495.705555555498</v>
      </c>
      <c r="D2861" s="111">
        <f ca="1">IFERROR(__xludf.DUMMYFUNCTION("""COMPUTED_VALUE"""),23.74)</f>
        <v>23.74</v>
      </c>
      <c r="E2861" s="112">
        <f ca="1">IFERROR(__xludf.DUMMYFUNCTION("""COMPUTED_VALUE"""),44496.7055555555)</f>
        <v>44496.705555555498</v>
      </c>
      <c r="F2861" s="111">
        <f ca="1">IFERROR(__xludf.DUMMYFUNCTION("""COMPUTED_VALUE"""),10.02)</f>
        <v>10.02</v>
      </c>
      <c r="G2861" s="112">
        <f ca="1">IFERROR(__xludf.DUMMYFUNCTION("""COMPUTED_VALUE"""),44494.7055555555)</f>
        <v>44494.705555555498</v>
      </c>
      <c r="H2861" s="111">
        <f ca="1">IFERROR(__xludf.DUMMYFUNCTION("""COMPUTED_VALUE"""),29.04)</f>
        <v>29.04</v>
      </c>
      <c r="M2861" s="112">
        <f ca="1">IFERROR(__xludf.DUMMYFUNCTION("""COMPUTED_VALUE"""),44403.7055555555)</f>
        <v>44403.705555555498</v>
      </c>
      <c r="N2861" s="111">
        <f ca="1">IFERROR(__xludf.DUMMYFUNCTION("""COMPUTED_VALUE"""),24.15)</f>
        <v>24.15</v>
      </c>
      <c r="O2861" s="112">
        <f ca="1">IFERROR(__xludf.DUMMYFUNCTION("""COMPUTED_VALUE"""),44476.7055555555)</f>
        <v>44476.705555555498</v>
      </c>
      <c r="P2861" s="111">
        <f ca="1">IFERROR(__xludf.DUMMYFUNCTION("""COMPUTED_VALUE"""),79.36)</f>
        <v>79.36</v>
      </c>
      <c r="Q2861" s="112">
        <f ca="1">IFERROR(__xludf.DUMMYFUNCTION("""COMPUTED_VALUE"""),44475.7055555555)</f>
        <v>44475.705555555498</v>
      </c>
      <c r="R2861" s="111">
        <f ca="1">IFERROR(__xludf.DUMMYFUNCTION("""COMPUTED_VALUE"""),30.64)</f>
        <v>30.64</v>
      </c>
      <c r="S2861" s="112">
        <f ca="1">IFERROR(__xludf.DUMMYFUNCTION("""COMPUTED_VALUE"""),44490.7055555555)</f>
        <v>44490.705555555498</v>
      </c>
      <c r="T2861" s="111">
        <f ca="1">IFERROR(__xludf.DUMMYFUNCTION("""COMPUTED_VALUE"""),30.35)</f>
        <v>30.35</v>
      </c>
    </row>
    <row r="2862" spans="1:20" x14ac:dyDescent="0.3">
      <c r="A2862" s="112">
        <f ca="1">IFERROR(__xludf.DUMMYFUNCTION("""COMPUTED_VALUE"""),44487.7055555555)</f>
        <v>44487.705555555498</v>
      </c>
      <c r="B2862" s="111">
        <f ca="1">IFERROR(__xludf.DUMMYFUNCTION("""COMPUTED_VALUE"""),40.18)</f>
        <v>40.18</v>
      </c>
      <c r="C2862" s="112">
        <f ca="1">IFERROR(__xludf.DUMMYFUNCTION("""COMPUTED_VALUE"""),44496.7055555555)</f>
        <v>44496.705555555498</v>
      </c>
      <c r="D2862" s="111">
        <f ca="1">IFERROR(__xludf.DUMMYFUNCTION("""COMPUTED_VALUE"""),23.92)</f>
        <v>23.92</v>
      </c>
      <c r="E2862" s="112">
        <f ca="1">IFERROR(__xludf.DUMMYFUNCTION("""COMPUTED_VALUE"""),44497.7055555555)</f>
        <v>44497.705555555498</v>
      </c>
      <c r="F2862" s="111">
        <f ca="1">IFERROR(__xludf.DUMMYFUNCTION("""COMPUTED_VALUE"""),9.97)</f>
        <v>9.9700000000000006</v>
      </c>
      <c r="G2862" s="112">
        <f ca="1">IFERROR(__xludf.DUMMYFUNCTION("""COMPUTED_VALUE"""),44495.7055555555)</f>
        <v>44495.705555555498</v>
      </c>
      <c r="H2862" s="111">
        <f ca="1">IFERROR(__xludf.DUMMYFUNCTION("""COMPUTED_VALUE"""),28.76)</f>
        <v>28.76</v>
      </c>
      <c r="M2862" s="112">
        <f ca="1">IFERROR(__xludf.DUMMYFUNCTION("""COMPUTED_VALUE"""),44404.7055555555)</f>
        <v>44404.705555555498</v>
      </c>
      <c r="N2862" s="111">
        <f ca="1">IFERROR(__xludf.DUMMYFUNCTION("""COMPUTED_VALUE"""),24.34)</f>
        <v>24.34</v>
      </c>
      <c r="O2862" s="112">
        <f ca="1">IFERROR(__xludf.DUMMYFUNCTION("""COMPUTED_VALUE"""),44477.7055555555)</f>
        <v>44477.705555555498</v>
      </c>
      <c r="P2862" s="111">
        <f ca="1">IFERROR(__xludf.DUMMYFUNCTION("""COMPUTED_VALUE"""),79.85)</f>
        <v>79.849999999999994</v>
      </c>
      <c r="Q2862" s="112">
        <f ca="1">IFERROR(__xludf.DUMMYFUNCTION("""COMPUTED_VALUE"""),44476.7055555555)</f>
        <v>44476.705555555498</v>
      </c>
      <c r="R2862" s="111">
        <f ca="1">IFERROR(__xludf.DUMMYFUNCTION("""COMPUTED_VALUE"""),30.32)</f>
        <v>30.32</v>
      </c>
      <c r="S2862" s="112">
        <f ca="1">IFERROR(__xludf.DUMMYFUNCTION("""COMPUTED_VALUE"""),44491.7055555555)</f>
        <v>44491.705555555498</v>
      </c>
      <c r="T2862" s="111">
        <f ca="1">IFERROR(__xludf.DUMMYFUNCTION("""COMPUTED_VALUE"""),29.14)</f>
        <v>29.14</v>
      </c>
    </row>
    <row r="2863" spans="1:20" x14ac:dyDescent="0.3">
      <c r="A2863" s="112">
        <f ca="1">IFERROR(__xludf.DUMMYFUNCTION("""COMPUTED_VALUE"""),44488.7055555555)</f>
        <v>44488.705555555498</v>
      </c>
      <c r="B2863" s="111">
        <f ca="1">IFERROR(__xludf.DUMMYFUNCTION("""COMPUTED_VALUE"""),38.73)</f>
        <v>38.729999999999997</v>
      </c>
      <c r="C2863" s="112">
        <f ca="1">IFERROR(__xludf.DUMMYFUNCTION("""COMPUTED_VALUE"""),44497.7055555555)</f>
        <v>44497.705555555498</v>
      </c>
      <c r="D2863" s="111">
        <f ca="1">IFERROR(__xludf.DUMMYFUNCTION("""COMPUTED_VALUE"""),23.87)</f>
        <v>23.87</v>
      </c>
      <c r="E2863" s="112">
        <f ca="1">IFERROR(__xludf.DUMMYFUNCTION("""COMPUTED_VALUE"""),44498.7055555555)</f>
        <v>44498.705555555498</v>
      </c>
      <c r="F2863" s="111">
        <f ca="1">IFERROR(__xludf.DUMMYFUNCTION("""COMPUTED_VALUE"""),9.76)</f>
        <v>9.76</v>
      </c>
      <c r="G2863" s="112">
        <f ca="1">IFERROR(__xludf.DUMMYFUNCTION("""COMPUTED_VALUE"""),44496.7055555555)</f>
        <v>44496.705555555498</v>
      </c>
      <c r="H2863" s="111">
        <f ca="1">IFERROR(__xludf.DUMMYFUNCTION("""COMPUTED_VALUE"""),28.69)</f>
        <v>28.69</v>
      </c>
      <c r="M2863" s="112">
        <f ca="1">IFERROR(__xludf.DUMMYFUNCTION("""COMPUTED_VALUE"""),44405.7055555555)</f>
        <v>44405.705555555498</v>
      </c>
      <c r="N2863" s="111">
        <f ca="1">IFERROR(__xludf.DUMMYFUNCTION("""COMPUTED_VALUE"""),24.91)</f>
        <v>24.91</v>
      </c>
      <c r="O2863" s="112">
        <f ca="1">IFERROR(__xludf.DUMMYFUNCTION("""COMPUTED_VALUE"""),44480.7055555555)</f>
        <v>44480.705555555498</v>
      </c>
      <c r="P2863" s="111">
        <f ca="1">IFERROR(__xludf.DUMMYFUNCTION("""COMPUTED_VALUE"""),81.62)</f>
        <v>81.62</v>
      </c>
      <c r="Q2863" s="112">
        <f ca="1">IFERROR(__xludf.DUMMYFUNCTION("""COMPUTED_VALUE"""),44477.7055555555)</f>
        <v>44477.705555555498</v>
      </c>
      <c r="R2863" s="111">
        <f ca="1">IFERROR(__xludf.DUMMYFUNCTION("""COMPUTED_VALUE"""),30.96)</f>
        <v>30.96</v>
      </c>
      <c r="S2863" s="112">
        <f ca="1">IFERROR(__xludf.DUMMYFUNCTION("""COMPUTED_VALUE"""),44494.7055555555)</f>
        <v>44494.705555555498</v>
      </c>
      <c r="T2863" s="111">
        <f ca="1">IFERROR(__xludf.DUMMYFUNCTION("""COMPUTED_VALUE"""),29.86)</f>
        <v>29.86</v>
      </c>
    </row>
    <row r="2864" spans="1:20" x14ac:dyDescent="0.3">
      <c r="A2864" s="112">
        <f ca="1">IFERROR(__xludf.DUMMYFUNCTION("""COMPUTED_VALUE"""),44489.7055555555)</f>
        <v>44489.705555555498</v>
      </c>
      <c r="B2864" s="111">
        <f ca="1">IFERROR(__xludf.DUMMYFUNCTION("""COMPUTED_VALUE"""),37.57)</f>
        <v>37.57</v>
      </c>
      <c r="C2864" s="112">
        <f ca="1">IFERROR(__xludf.DUMMYFUNCTION("""COMPUTED_VALUE"""),44498.7055555555)</f>
        <v>44498.705555555498</v>
      </c>
      <c r="D2864" s="111">
        <f ca="1">IFERROR(__xludf.DUMMYFUNCTION("""COMPUTED_VALUE"""),23.31)</f>
        <v>23.31</v>
      </c>
      <c r="E2864" s="112">
        <f ca="1">IFERROR(__xludf.DUMMYFUNCTION("""COMPUTED_VALUE"""),44501.7055555555)</f>
        <v>44501.705555555498</v>
      </c>
      <c r="F2864" s="111">
        <f ca="1">IFERROR(__xludf.DUMMYFUNCTION("""COMPUTED_VALUE"""),10.01)</f>
        <v>10.01</v>
      </c>
      <c r="G2864" s="112">
        <f ca="1">IFERROR(__xludf.DUMMYFUNCTION("""COMPUTED_VALUE"""),44497.7055555555)</f>
        <v>44497.705555555498</v>
      </c>
      <c r="H2864" s="111">
        <f ca="1">IFERROR(__xludf.DUMMYFUNCTION("""COMPUTED_VALUE"""),28.96)</f>
        <v>28.96</v>
      </c>
      <c r="M2864" s="112">
        <f ca="1">IFERROR(__xludf.DUMMYFUNCTION("""COMPUTED_VALUE"""),44406.7055555555)</f>
        <v>44406.705555555498</v>
      </c>
      <c r="N2864" s="111">
        <f ca="1">IFERROR(__xludf.DUMMYFUNCTION("""COMPUTED_VALUE"""),24.67)</f>
        <v>24.67</v>
      </c>
      <c r="O2864" s="112">
        <f ca="1">IFERROR(__xludf.DUMMYFUNCTION("""COMPUTED_VALUE"""),44482.7055555555)</f>
        <v>44482.705555555498</v>
      </c>
      <c r="P2864" s="111">
        <f ca="1">IFERROR(__xludf.DUMMYFUNCTION("""COMPUTED_VALUE"""),79.2)</f>
        <v>79.2</v>
      </c>
      <c r="Q2864" s="112">
        <f ca="1">IFERROR(__xludf.DUMMYFUNCTION("""COMPUTED_VALUE"""),44480.7055555555)</f>
        <v>44480.705555555498</v>
      </c>
      <c r="R2864" s="111">
        <f ca="1">IFERROR(__xludf.DUMMYFUNCTION("""COMPUTED_VALUE"""),30.72)</f>
        <v>30.72</v>
      </c>
      <c r="S2864" s="112">
        <f ca="1">IFERROR(__xludf.DUMMYFUNCTION("""COMPUTED_VALUE"""),44495.7055555555)</f>
        <v>44495.705555555498</v>
      </c>
      <c r="T2864" s="111">
        <f ca="1">IFERROR(__xludf.DUMMYFUNCTION("""COMPUTED_VALUE"""),28.63)</f>
        <v>28.63</v>
      </c>
    </row>
    <row r="2865" spans="1:20" x14ac:dyDescent="0.3">
      <c r="A2865" s="112">
        <f ca="1">IFERROR(__xludf.DUMMYFUNCTION("""COMPUTED_VALUE"""),44490.7055555555)</f>
        <v>44490.705555555498</v>
      </c>
      <c r="B2865" s="111">
        <f ca="1">IFERROR(__xludf.DUMMYFUNCTION("""COMPUTED_VALUE"""),35.85)</f>
        <v>35.85</v>
      </c>
      <c r="C2865" s="112">
        <f ca="1">IFERROR(__xludf.DUMMYFUNCTION("""COMPUTED_VALUE"""),44501.7055555555)</f>
        <v>44501.705555555498</v>
      </c>
      <c r="D2865" s="111">
        <f ca="1">IFERROR(__xludf.DUMMYFUNCTION("""COMPUTED_VALUE"""),24.22)</f>
        <v>24.22</v>
      </c>
      <c r="E2865" s="112">
        <f ca="1">IFERROR(__xludf.DUMMYFUNCTION("""COMPUTED_VALUE"""),44503.7055555555)</f>
        <v>44503.705555555498</v>
      </c>
      <c r="F2865" s="111">
        <f ca="1">IFERROR(__xludf.DUMMYFUNCTION("""COMPUTED_VALUE"""),10.1)</f>
        <v>10.1</v>
      </c>
      <c r="G2865" s="112">
        <f ca="1">IFERROR(__xludf.DUMMYFUNCTION("""COMPUTED_VALUE"""),44498.7055555555)</f>
        <v>44498.705555555498</v>
      </c>
      <c r="H2865" s="111">
        <f ca="1">IFERROR(__xludf.DUMMYFUNCTION("""COMPUTED_VALUE"""),27.15)</f>
        <v>27.15</v>
      </c>
      <c r="M2865" s="112">
        <f ca="1">IFERROR(__xludf.DUMMYFUNCTION("""COMPUTED_VALUE"""),44407.7055555555)</f>
        <v>44407.705555555498</v>
      </c>
      <c r="N2865" s="111">
        <f ca="1">IFERROR(__xludf.DUMMYFUNCTION("""COMPUTED_VALUE"""),24.25)</f>
        <v>24.25</v>
      </c>
      <c r="O2865" s="112">
        <f ca="1">IFERROR(__xludf.DUMMYFUNCTION("""COMPUTED_VALUE"""),44483.7055555555)</f>
        <v>44483.705555555498</v>
      </c>
      <c r="P2865" s="111">
        <f ca="1">IFERROR(__xludf.DUMMYFUNCTION("""COMPUTED_VALUE"""),79.2)</f>
        <v>79.2</v>
      </c>
      <c r="Q2865" s="112">
        <f ca="1">IFERROR(__xludf.DUMMYFUNCTION("""COMPUTED_VALUE"""),44482.7055555555)</f>
        <v>44482.705555555498</v>
      </c>
      <c r="R2865" s="111">
        <f ca="1">IFERROR(__xludf.DUMMYFUNCTION("""COMPUTED_VALUE"""),30.76)</f>
        <v>30.76</v>
      </c>
      <c r="S2865" s="112">
        <f ca="1">IFERROR(__xludf.DUMMYFUNCTION("""COMPUTED_VALUE"""),44496.7055555555)</f>
        <v>44496.705555555498</v>
      </c>
      <c r="T2865" s="111">
        <f ca="1">IFERROR(__xludf.DUMMYFUNCTION("""COMPUTED_VALUE"""),29.43)</f>
        <v>29.43</v>
      </c>
    </row>
    <row r="2866" spans="1:20" x14ac:dyDescent="0.3">
      <c r="A2866" s="112">
        <f ca="1">IFERROR(__xludf.DUMMYFUNCTION("""COMPUTED_VALUE"""),44491.7055555555)</f>
        <v>44491.705555555498</v>
      </c>
      <c r="B2866" s="111">
        <f ca="1">IFERROR(__xludf.DUMMYFUNCTION("""COMPUTED_VALUE"""),35.09)</f>
        <v>35.090000000000003</v>
      </c>
      <c r="C2866" s="112">
        <f ca="1">IFERROR(__xludf.DUMMYFUNCTION("""COMPUTED_VALUE"""),44503.7055555555)</f>
        <v>44503.705555555498</v>
      </c>
      <c r="D2866" s="111">
        <f ca="1">IFERROR(__xludf.DUMMYFUNCTION("""COMPUTED_VALUE"""),24.45)</f>
        <v>24.45</v>
      </c>
      <c r="E2866" s="112">
        <f ca="1">IFERROR(__xludf.DUMMYFUNCTION("""COMPUTED_VALUE"""),44504.7055555555)</f>
        <v>44504.705555555498</v>
      </c>
      <c r="F2866" s="111">
        <f ca="1">IFERROR(__xludf.DUMMYFUNCTION("""COMPUTED_VALUE"""),9.76)</f>
        <v>9.76</v>
      </c>
      <c r="G2866" s="112">
        <f ca="1">IFERROR(__xludf.DUMMYFUNCTION("""COMPUTED_VALUE"""),44501.7055555555)</f>
        <v>44501.705555555498</v>
      </c>
      <c r="H2866" s="111">
        <f ca="1">IFERROR(__xludf.DUMMYFUNCTION("""COMPUTED_VALUE"""),28)</f>
        <v>28</v>
      </c>
      <c r="M2866" s="112">
        <f ca="1">IFERROR(__xludf.DUMMYFUNCTION("""COMPUTED_VALUE"""),44410.7055555555)</f>
        <v>44410.705555555498</v>
      </c>
      <c r="N2866" s="111">
        <f ca="1">IFERROR(__xludf.DUMMYFUNCTION("""COMPUTED_VALUE"""),24.4)</f>
        <v>24.4</v>
      </c>
      <c r="O2866" s="112">
        <f ca="1">IFERROR(__xludf.DUMMYFUNCTION("""COMPUTED_VALUE"""),44484.7055555555)</f>
        <v>44484.705555555498</v>
      </c>
      <c r="P2866" s="111">
        <f ca="1">IFERROR(__xludf.DUMMYFUNCTION("""COMPUTED_VALUE"""),80.68)</f>
        <v>80.680000000000007</v>
      </c>
      <c r="Q2866" s="112">
        <f ca="1">IFERROR(__xludf.DUMMYFUNCTION("""COMPUTED_VALUE"""),44483.7055555555)</f>
        <v>44483.705555555498</v>
      </c>
      <c r="R2866" s="111">
        <f ca="1">IFERROR(__xludf.DUMMYFUNCTION("""COMPUTED_VALUE"""),30.61)</f>
        <v>30.61</v>
      </c>
      <c r="S2866" s="112">
        <f ca="1">IFERROR(__xludf.DUMMYFUNCTION("""COMPUTED_VALUE"""),44497.7055555555)</f>
        <v>44497.705555555498</v>
      </c>
      <c r="T2866" s="111">
        <f ca="1">IFERROR(__xludf.DUMMYFUNCTION("""COMPUTED_VALUE"""),29.41)</f>
        <v>29.41</v>
      </c>
    </row>
    <row r="2867" spans="1:20" x14ac:dyDescent="0.3">
      <c r="A2867" s="112">
        <f ca="1">IFERROR(__xludf.DUMMYFUNCTION("""COMPUTED_VALUE"""),44494.7055555555)</f>
        <v>44494.705555555498</v>
      </c>
      <c r="B2867" s="111">
        <f ca="1">IFERROR(__xludf.DUMMYFUNCTION("""COMPUTED_VALUE"""),36.25)</f>
        <v>36.25</v>
      </c>
      <c r="C2867" s="112">
        <f ca="1">IFERROR(__xludf.DUMMYFUNCTION("""COMPUTED_VALUE"""),44504.7055555555)</f>
        <v>44504.705555555498</v>
      </c>
      <c r="D2867" s="111">
        <f ca="1">IFERROR(__xludf.DUMMYFUNCTION("""COMPUTED_VALUE"""),23.16)</f>
        <v>23.16</v>
      </c>
      <c r="E2867" s="112">
        <f ca="1">IFERROR(__xludf.DUMMYFUNCTION("""COMPUTED_VALUE"""),44505.7055555555)</f>
        <v>44505.705555555498</v>
      </c>
      <c r="F2867" s="111">
        <f ca="1">IFERROR(__xludf.DUMMYFUNCTION("""COMPUTED_VALUE"""),9.69)</f>
        <v>9.69</v>
      </c>
      <c r="G2867" s="112">
        <f ca="1">IFERROR(__xludf.DUMMYFUNCTION("""COMPUTED_VALUE"""),44503.7055555555)</f>
        <v>44503.705555555498</v>
      </c>
      <c r="H2867" s="111">
        <f ca="1">IFERROR(__xludf.DUMMYFUNCTION("""COMPUTED_VALUE"""),26.85)</f>
        <v>26.85</v>
      </c>
      <c r="M2867" s="112">
        <f ca="1">IFERROR(__xludf.DUMMYFUNCTION("""COMPUTED_VALUE"""),44411.7055555555)</f>
        <v>44411.705555555498</v>
      </c>
      <c r="N2867" s="111">
        <f ca="1">IFERROR(__xludf.DUMMYFUNCTION("""COMPUTED_VALUE"""),24.52)</f>
        <v>24.52</v>
      </c>
      <c r="O2867" s="112">
        <f ca="1">IFERROR(__xludf.DUMMYFUNCTION("""COMPUTED_VALUE"""),44487.7055555555)</f>
        <v>44487.705555555498</v>
      </c>
      <c r="P2867" s="111">
        <f ca="1">IFERROR(__xludf.DUMMYFUNCTION("""COMPUTED_VALUE"""),79.92)</f>
        <v>79.92</v>
      </c>
      <c r="Q2867" s="112">
        <f ca="1">IFERROR(__xludf.DUMMYFUNCTION("""COMPUTED_VALUE"""),44484.7055555555)</f>
        <v>44484.705555555498</v>
      </c>
      <c r="R2867" s="111">
        <f ca="1">IFERROR(__xludf.DUMMYFUNCTION("""COMPUTED_VALUE"""),31.58)</f>
        <v>31.58</v>
      </c>
      <c r="S2867" s="112">
        <f ca="1">IFERROR(__xludf.DUMMYFUNCTION("""COMPUTED_VALUE"""),44498.7055555555)</f>
        <v>44498.705555555498</v>
      </c>
      <c r="T2867" s="111">
        <f ca="1">IFERROR(__xludf.DUMMYFUNCTION("""COMPUTED_VALUE"""),29.3)</f>
        <v>29.3</v>
      </c>
    </row>
    <row r="2868" spans="1:20" x14ac:dyDescent="0.3">
      <c r="A2868" s="112">
        <f ca="1">IFERROR(__xludf.DUMMYFUNCTION("""COMPUTED_VALUE"""),44495.7055555555)</f>
        <v>44495.705555555498</v>
      </c>
      <c r="B2868" s="111">
        <f ca="1">IFERROR(__xludf.DUMMYFUNCTION("""COMPUTED_VALUE"""),35.79)</f>
        <v>35.79</v>
      </c>
      <c r="C2868" s="112">
        <f ca="1">IFERROR(__xludf.DUMMYFUNCTION("""COMPUTED_VALUE"""),44505.7055555555)</f>
        <v>44505.705555555498</v>
      </c>
      <c r="D2868" s="111">
        <f ca="1">IFERROR(__xludf.DUMMYFUNCTION("""COMPUTED_VALUE"""),22.88)</f>
        <v>22.88</v>
      </c>
      <c r="E2868" s="112">
        <f ca="1">IFERROR(__xludf.DUMMYFUNCTION("""COMPUTED_VALUE"""),44508.7055555555)</f>
        <v>44508.705555555498</v>
      </c>
      <c r="F2868" s="111">
        <f ca="1">IFERROR(__xludf.DUMMYFUNCTION("""COMPUTED_VALUE"""),9.67)</f>
        <v>9.67</v>
      </c>
      <c r="G2868" s="112">
        <f ca="1">IFERROR(__xludf.DUMMYFUNCTION("""COMPUTED_VALUE"""),44504.7055555555)</f>
        <v>44504.705555555498</v>
      </c>
      <c r="H2868" s="111">
        <f ca="1">IFERROR(__xludf.DUMMYFUNCTION("""COMPUTED_VALUE"""),26)</f>
        <v>26</v>
      </c>
      <c r="M2868" s="112">
        <f ca="1">IFERROR(__xludf.DUMMYFUNCTION("""COMPUTED_VALUE"""),44412.7055555555)</f>
        <v>44412.705555555498</v>
      </c>
      <c r="N2868" s="111">
        <f ca="1">IFERROR(__xludf.DUMMYFUNCTION("""COMPUTED_VALUE"""),23.55)</f>
        <v>23.55</v>
      </c>
      <c r="O2868" s="112">
        <f ca="1">IFERROR(__xludf.DUMMYFUNCTION("""COMPUTED_VALUE"""),44488.7055555555)</f>
        <v>44488.705555555498</v>
      </c>
      <c r="P2868" s="111">
        <f ca="1">IFERROR(__xludf.DUMMYFUNCTION("""COMPUTED_VALUE"""),79)</f>
        <v>79</v>
      </c>
      <c r="Q2868" s="112">
        <f ca="1">IFERROR(__xludf.DUMMYFUNCTION("""COMPUTED_VALUE"""),44487.7055555555)</f>
        <v>44487.705555555498</v>
      </c>
      <c r="R2868" s="111">
        <f ca="1">IFERROR(__xludf.DUMMYFUNCTION("""COMPUTED_VALUE"""),32.21)</f>
        <v>32.21</v>
      </c>
      <c r="S2868" s="112">
        <f ca="1">IFERROR(__xludf.DUMMYFUNCTION("""COMPUTED_VALUE"""),44501.7055555555)</f>
        <v>44501.705555555498</v>
      </c>
      <c r="T2868" s="111">
        <f ca="1">IFERROR(__xludf.DUMMYFUNCTION("""COMPUTED_VALUE"""),30.18)</f>
        <v>30.18</v>
      </c>
    </row>
    <row r="2869" spans="1:20" x14ac:dyDescent="0.3">
      <c r="A2869" s="112">
        <f ca="1">IFERROR(__xludf.DUMMYFUNCTION("""COMPUTED_VALUE"""),44496.7055555555)</f>
        <v>44496.705555555498</v>
      </c>
      <c r="B2869" s="111">
        <f ca="1">IFERROR(__xludf.DUMMYFUNCTION("""COMPUTED_VALUE"""),35.98)</f>
        <v>35.979999999999997</v>
      </c>
      <c r="C2869" s="112">
        <f ca="1">IFERROR(__xludf.DUMMYFUNCTION("""COMPUTED_VALUE"""),44508.7055555555)</f>
        <v>44508.705555555498</v>
      </c>
      <c r="D2869" s="111">
        <f ca="1">IFERROR(__xludf.DUMMYFUNCTION("""COMPUTED_VALUE"""),22.76)</f>
        <v>22.76</v>
      </c>
      <c r="E2869" s="112">
        <f ca="1">IFERROR(__xludf.DUMMYFUNCTION("""COMPUTED_VALUE"""),44509.7055555555)</f>
        <v>44509.705555555498</v>
      </c>
      <c r="F2869" s="111">
        <f ca="1">IFERROR(__xludf.DUMMYFUNCTION("""COMPUTED_VALUE"""),9.56)</f>
        <v>9.56</v>
      </c>
      <c r="G2869" s="112">
        <f ca="1">IFERROR(__xludf.DUMMYFUNCTION("""COMPUTED_VALUE"""),44505.7055555555)</f>
        <v>44505.705555555498</v>
      </c>
      <c r="H2869" s="111">
        <f ca="1">IFERROR(__xludf.DUMMYFUNCTION("""COMPUTED_VALUE"""),25.85)</f>
        <v>25.85</v>
      </c>
      <c r="M2869" s="112">
        <f ca="1">IFERROR(__xludf.DUMMYFUNCTION("""COMPUTED_VALUE"""),44413.7055555555)</f>
        <v>44413.705555555498</v>
      </c>
      <c r="N2869" s="111">
        <f ca="1">IFERROR(__xludf.DUMMYFUNCTION("""COMPUTED_VALUE"""),23.2)</f>
        <v>23.2</v>
      </c>
      <c r="O2869" s="112">
        <f ca="1">IFERROR(__xludf.DUMMYFUNCTION("""COMPUTED_VALUE"""),44489.7055555555)</f>
        <v>44489.705555555498</v>
      </c>
      <c r="P2869" s="111">
        <f ca="1">IFERROR(__xludf.DUMMYFUNCTION("""COMPUTED_VALUE"""),76.67)</f>
        <v>76.67</v>
      </c>
      <c r="Q2869" s="112">
        <f ca="1">IFERROR(__xludf.DUMMYFUNCTION("""COMPUTED_VALUE"""),44488.7055555555)</f>
        <v>44488.705555555498</v>
      </c>
      <c r="R2869" s="111">
        <f ca="1">IFERROR(__xludf.DUMMYFUNCTION("""COMPUTED_VALUE"""),30.63)</f>
        <v>30.63</v>
      </c>
      <c r="S2869" s="112">
        <f ca="1">IFERROR(__xludf.DUMMYFUNCTION("""COMPUTED_VALUE"""),44503.7055555555)</f>
        <v>44503.705555555498</v>
      </c>
      <c r="T2869" s="111">
        <f ca="1">IFERROR(__xludf.DUMMYFUNCTION("""COMPUTED_VALUE"""),31.69)</f>
        <v>31.69</v>
      </c>
    </row>
    <row r="2870" spans="1:20" x14ac:dyDescent="0.3">
      <c r="A2870" s="112">
        <f ca="1">IFERROR(__xludf.DUMMYFUNCTION("""COMPUTED_VALUE"""),44497.7055555555)</f>
        <v>44497.705555555498</v>
      </c>
      <c r="B2870" s="111">
        <f ca="1">IFERROR(__xludf.DUMMYFUNCTION("""COMPUTED_VALUE"""),35.56)</f>
        <v>35.56</v>
      </c>
      <c r="C2870" s="112">
        <f ca="1">IFERROR(__xludf.DUMMYFUNCTION("""COMPUTED_VALUE"""),44509.7055555555)</f>
        <v>44509.705555555498</v>
      </c>
      <c r="D2870" s="111">
        <f ca="1">IFERROR(__xludf.DUMMYFUNCTION("""COMPUTED_VALUE"""),22.53)</f>
        <v>22.53</v>
      </c>
      <c r="E2870" s="112">
        <f ca="1">IFERROR(__xludf.DUMMYFUNCTION("""COMPUTED_VALUE"""),44510.7055555555)</f>
        <v>44510.705555555498</v>
      </c>
      <c r="F2870" s="111">
        <f ca="1">IFERROR(__xludf.DUMMYFUNCTION("""COMPUTED_VALUE"""),9.78)</f>
        <v>9.7799999999999994</v>
      </c>
      <c r="G2870" s="112">
        <f ca="1">IFERROR(__xludf.DUMMYFUNCTION("""COMPUTED_VALUE"""),44508.7055555555)</f>
        <v>44508.705555555498</v>
      </c>
      <c r="H2870" s="111">
        <f ca="1">IFERROR(__xludf.DUMMYFUNCTION("""COMPUTED_VALUE"""),26.12)</f>
        <v>26.12</v>
      </c>
      <c r="M2870" s="112">
        <f ca="1">IFERROR(__xludf.DUMMYFUNCTION("""COMPUTED_VALUE"""),44414.7055555555)</f>
        <v>44414.705555555498</v>
      </c>
      <c r="N2870" s="111">
        <f ca="1">IFERROR(__xludf.DUMMYFUNCTION("""COMPUTED_VALUE"""),23.71)</f>
        <v>23.71</v>
      </c>
      <c r="O2870" s="112">
        <f ca="1">IFERROR(__xludf.DUMMYFUNCTION("""COMPUTED_VALUE"""),44490.7055555555)</f>
        <v>44490.705555555498</v>
      </c>
      <c r="P2870" s="111">
        <f ca="1">IFERROR(__xludf.DUMMYFUNCTION("""COMPUTED_VALUE"""),75.16)</f>
        <v>75.16</v>
      </c>
      <c r="Q2870" s="112">
        <f ca="1">IFERROR(__xludf.DUMMYFUNCTION("""COMPUTED_VALUE"""),44489.7055555555)</f>
        <v>44489.705555555498</v>
      </c>
      <c r="R2870" s="111">
        <f ca="1">IFERROR(__xludf.DUMMYFUNCTION("""COMPUTED_VALUE"""),31.2)</f>
        <v>31.2</v>
      </c>
      <c r="S2870" s="112">
        <f ca="1">IFERROR(__xludf.DUMMYFUNCTION("""COMPUTED_VALUE"""),44504.7055555555)</f>
        <v>44504.705555555498</v>
      </c>
      <c r="T2870" s="111">
        <f ca="1">IFERROR(__xludf.DUMMYFUNCTION("""COMPUTED_VALUE"""),31)</f>
        <v>31</v>
      </c>
    </row>
    <row r="2871" spans="1:20" x14ac:dyDescent="0.3">
      <c r="A2871" s="112">
        <f ca="1">IFERROR(__xludf.DUMMYFUNCTION("""COMPUTED_VALUE"""),44498.7055555555)</f>
        <v>44498.705555555498</v>
      </c>
      <c r="B2871" s="111">
        <f ca="1">IFERROR(__xludf.DUMMYFUNCTION("""COMPUTED_VALUE"""),33.47)</f>
        <v>33.47</v>
      </c>
      <c r="C2871" s="112">
        <f ca="1">IFERROR(__xludf.DUMMYFUNCTION("""COMPUTED_VALUE"""),44510.7055555555)</f>
        <v>44510.705555555498</v>
      </c>
      <c r="D2871" s="111">
        <f ca="1">IFERROR(__xludf.DUMMYFUNCTION("""COMPUTED_VALUE"""),23.1)</f>
        <v>23.1</v>
      </c>
      <c r="E2871" s="112">
        <f ca="1">IFERROR(__xludf.DUMMYFUNCTION("""COMPUTED_VALUE"""),44511.7055555555)</f>
        <v>44511.705555555498</v>
      </c>
      <c r="F2871" s="111">
        <f ca="1">IFERROR(__xludf.DUMMYFUNCTION("""COMPUTED_VALUE"""),9.75)</f>
        <v>9.75</v>
      </c>
      <c r="G2871" s="112">
        <f ca="1">IFERROR(__xludf.DUMMYFUNCTION("""COMPUTED_VALUE"""),44509.7055555555)</f>
        <v>44509.705555555498</v>
      </c>
      <c r="H2871" s="111">
        <f ca="1">IFERROR(__xludf.DUMMYFUNCTION("""COMPUTED_VALUE"""),26.64)</f>
        <v>26.64</v>
      </c>
      <c r="M2871" s="112">
        <f ca="1">IFERROR(__xludf.DUMMYFUNCTION("""COMPUTED_VALUE"""),44417.7055555555)</f>
        <v>44417.705555555498</v>
      </c>
      <c r="N2871" s="111">
        <f ca="1">IFERROR(__xludf.DUMMYFUNCTION("""COMPUTED_VALUE"""),23.7)</f>
        <v>23.7</v>
      </c>
      <c r="O2871" s="112">
        <f ca="1">IFERROR(__xludf.DUMMYFUNCTION("""COMPUTED_VALUE"""),44491.7055555555)</f>
        <v>44491.705555555498</v>
      </c>
      <c r="P2871" s="111">
        <f ca="1">IFERROR(__xludf.DUMMYFUNCTION("""COMPUTED_VALUE"""),76.08)</f>
        <v>76.08</v>
      </c>
      <c r="Q2871" s="112">
        <f ca="1">IFERROR(__xludf.DUMMYFUNCTION("""COMPUTED_VALUE"""),44490.7055555555)</f>
        <v>44490.705555555498</v>
      </c>
      <c r="R2871" s="111">
        <f ca="1">IFERROR(__xludf.DUMMYFUNCTION("""COMPUTED_VALUE"""),29.82)</f>
        <v>29.82</v>
      </c>
      <c r="S2871" s="112">
        <f ca="1">IFERROR(__xludf.DUMMYFUNCTION("""COMPUTED_VALUE"""),44505.7055555555)</f>
        <v>44505.705555555498</v>
      </c>
      <c r="T2871" s="111">
        <f ca="1">IFERROR(__xludf.DUMMYFUNCTION("""COMPUTED_VALUE"""),31.6)</f>
        <v>31.6</v>
      </c>
    </row>
    <row r="2872" spans="1:20" x14ac:dyDescent="0.3">
      <c r="A2872" s="112">
        <f ca="1">IFERROR(__xludf.DUMMYFUNCTION("""COMPUTED_VALUE"""),44501.7055555555)</f>
        <v>44501.705555555498</v>
      </c>
      <c r="B2872" s="111">
        <f ca="1">IFERROR(__xludf.DUMMYFUNCTION("""COMPUTED_VALUE"""),34.68)</f>
        <v>34.68</v>
      </c>
      <c r="C2872" s="112">
        <f ca="1">IFERROR(__xludf.DUMMYFUNCTION("""COMPUTED_VALUE"""),44511.7055555555)</f>
        <v>44511.705555555498</v>
      </c>
      <c r="D2872" s="111">
        <f ca="1">IFERROR(__xludf.DUMMYFUNCTION("""COMPUTED_VALUE"""),23.05)</f>
        <v>23.05</v>
      </c>
      <c r="E2872" s="112">
        <f ca="1">IFERROR(__xludf.DUMMYFUNCTION("""COMPUTED_VALUE"""),44512.8125)</f>
        <v>44512.8125</v>
      </c>
      <c r="F2872" s="111">
        <f ca="1">IFERROR(__xludf.DUMMYFUNCTION("""COMPUTED_VALUE"""),9.74)</f>
        <v>9.74</v>
      </c>
      <c r="G2872" s="112">
        <f ca="1">IFERROR(__xludf.DUMMYFUNCTION("""COMPUTED_VALUE"""),44510.7055555555)</f>
        <v>44510.705555555498</v>
      </c>
      <c r="H2872" s="111">
        <f ca="1">IFERROR(__xludf.DUMMYFUNCTION("""COMPUTED_VALUE"""),26.43)</f>
        <v>26.43</v>
      </c>
      <c r="M2872" s="112">
        <f ca="1">IFERROR(__xludf.DUMMYFUNCTION("""COMPUTED_VALUE"""),44418.7055555555)</f>
        <v>44418.705555555498</v>
      </c>
      <c r="N2872" s="111">
        <f ca="1">IFERROR(__xludf.DUMMYFUNCTION("""COMPUTED_VALUE"""),23.36)</f>
        <v>23.36</v>
      </c>
      <c r="O2872" s="112">
        <f ca="1">IFERROR(__xludf.DUMMYFUNCTION("""COMPUTED_VALUE"""),44494.7055555555)</f>
        <v>44494.705555555498</v>
      </c>
      <c r="P2872" s="111">
        <f ca="1">IFERROR(__xludf.DUMMYFUNCTION("""COMPUTED_VALUE"""),77)</f>
        <v>77</v>
      </c>
      <c r="Q2872" s="112">
        <f ca="1">IFERROR(__xludf.DUMMYFUNCTION("""COMPUTED_VALUE"""),44491.7055555555)</f>
        <v>44491.705555555498</v>
      </c>
      <c r="R2872" s="111">
        <f ca="1">IFERROR(__xludf.DUMMYFUNCTION("""COMPUTED_VALUE"""),28.91)</f>
        <v>28.91</v>
      </c>
      <c r="S2872" s="112">
        <f ca="1">IFERROR(__xludf.DUMMYFUNCTION("""COMPUTED_VALUE"""),44508.7055555555)</f>
        <v>44508.705555555498</v>
      </c>
      <c r="T2872" s="111">
        <f ca="1">IFERROR(__xludf.DUMMYFUNCTION("""COMPUTED_VALUE"""),31)</f>
        <v>31</v>
      </c>
    </row>
    <row r="2873" spans="1:20" x14ac:dyDescent="0.3">
      <c r="A2873" s="112">
        <f ca="1">IFERROR(__xludf.DUMMYFUNCTION("""COMPUTED_VALUE"""),44503.7055555555)</f>
        <v>44503.705555555498</v>
      </c>
      <c r="B2873" s="111">
        <f ca="1">IFERROR(__xludf.DUMMYFUNCTION("""COMPUTED_VALUE"""),34.84)</f>
        <v>34.840000000000003</v>
      </c>
      <c r="C2873" s="112">
        <f ca="1">IFERROR(__xludf.DUMMYFUNCTION("""COMPUTED_VALUE"""),44512.8125)</f>
        <v>44512.8125</v>
      </c>
      <c r="D2873" s="111">
        <f ca="1">IFERROR(__xludf.DUMMYFUNCTION("""COMPUTED_VALUE"""),23)</f>
        <v>23</v>
      </c>
      <c r="E2873" s="112">
        <f ca="1">IFERROR(__xludf.DUMMYFUNCTION("""COMPUTED_VALUE"""),44516.7055555555)</f>
        <v>44516.705555555498</v>
      </c>
      <c r="F2873" s="111">
        <f ca="1">IFERROR(__xludf.DUMMYFUNCTION("""COMPUTED_VALUE"""),9.56)</f>
        <v>9.56</v>
      </c>
      <c r="G2873" s="112">
        <f ca="1">IFERROR(__xludf.DUMMYFUNCTION("""COMPUTED_VALUE"""),44511.7055555555)</f>
        <v>44511.705555555498</v>
      </c>
      <c r="H2873" s="111">
        <f ca="1">IFERROR(__xludf.DUMMYFUNCTION("""COMPUTED_VALUE"""),26.45)</f>
        <v>26.45</v>
      </c>
      <c r="M2873" s="112">
        <f ca="1">IFERROR(__xludf.DUMMYFUNCTION("""COMPUTED_VALUE"""),44419.7055555555)</f>
        <v>44419.705555555498</v>
      </c>
      <c r="N2873" s="111">
        <f ca="1">IFERROR(__xludf.DUMMYFUNCTION("""COMPUTED_VALUE"""),23.45)</f>
        <v>23.45</v>
      </c>
      <c r="O2873" s="112">
        <f ca="1">IFERROR(__xludf.DUMMYFUNCTION("""COMPUTED_VALUE"""),44495.7055555555)</f>
        <v>44495.705555555498</v>
      </c>
      <c r="P2873" s="111">
        <f ca="1">IFERROR(__xludf.DUMMYFUNCTION("""COMPUTED_VALUE"""),76.18)</f>
        <v>76.180000000000007</v>
      </c>
      <c r="Q2873" s="112">
        <f ca="1">IFERROR(__xludf.DUMMYFUNCTION("""COMPUTED_VALUE"""),44494.7055555555)</f>
        <v>44494.705555555498</v>
      </c>
      <c r="R2873" s="111">
        <f ca="1">IFERROR(__xludf.DUMMYFUNCTION("""COMPUTED_VALUE"""),29.51)</f>
        <v>29.51</v>
      </c>
      <c r="S2873" s="112">
        <f ca="1">IFERROR(__xludf.DUMMYFUNCTION("""COMPUTED_VALUE"""),44509.7055555555)</f>
        <v>44509.705555555498</v>
      </c>
      <c r="T2873" s="111">
        <f ca="1">IFERROR(__xludf.DUMMYFUNCTION("""COMPUTED_VALUE"""),32.32)</f>
        <v>32.32</v>
      </c>
    </row>
    <row r="2874" spans="1:20" x14ac:dyDescent="0.3">
      <c r="A2874" s="112">
        <f ca="1">IFERROR(__xludf.DUMMYFUNCTION("""COMPUTED_VALUE"""),44504.7055555555)</f>
        <v>44504.705555555498</v>
      </c>
      <c r="B2874" s="111">
        <f ca="1">IFERROR(__xludf.DUMMYFUNCTION("""COMPUTED_VALUE"""),32.82)</f>
        <v>32.82</v>
      </c>
      <c r="C2874" s="112">
        <f ca="1">IFERROR(__xludf.DUMMYFUNCTION("""COMPUTED_VALUE"""),44516.7055555555)</f>
        <v>44516.705555555498</v>
      </c>
      <c r="D2874" s="111">
        <f ca="1">IFERROR(__xludf.DUMMYFUNCTION("""COMPUTED_VALUE"""),22.76)</f>
        <v>22.76</v>
      </c>
      <c r="E2874" s="112">
        <f ca="1">IFERROR(__xludf.DUMMYFUNCTION("""COMPUTED_VALUE"""),44517.7055555555)</f>
        <v>44517.705555555498</v>
      </c>
      <c r="F2874" s="111">
        <f ca="1">IFERROR(__xludf.DUMMYFUNCTION("""COMPUTED_VALUE"""),9.55)</f>
        <v>9.5500000000000007</v>
      </c>
      <c r="G2874" s="112">
        <f ca="1">IFERROR(__xludf.DUMMYFUNCTION("""COMPUTED_VALUE"""),44512.8125)</f>
        <v>44512.8125</v>
      </c>
      <c r="H2874" s="111">
        <f ca="1">IFERROR(__xludf.DUMMYFUNCTION("""COMPUTED_VALUE"""),26.99)</f>
        <v>26.99</v>
      </c>
      <c r="M2874" s="112">
        <f ca="1">IFERROR(__xludf.DUMMYFUNCTION("""COMPUTED_VALUE"""),44420.8125)</f>
        <v>44420.8125</v>
      </c>
      <c r="N2874" s="111">
        <f ca="1">IFERROR(__xludf.DUMMYFUNCTION("""COMPUTED_VALUE"""),23.12)</f>
        <v>23.12</v>
      </c>
      <c r="O2874" s="112">
        <f ca="1">IFERROR(__xludf.DUMMYFUNCTION("""COMPUTED_VALUE"""),44496.7055555555)</f>
        <v>44496.705555555498</v>
      </c>
      <c r="P2874" s="111">
        <f ca="1">IFERROR(__xludf.DUMMYFUNCTION("""COMPUTED_VALUE"""),74.45)</f>
        <v>74.45</v>
      </c>
      <c r="Q2874" s="112">
        <f ca="1">IFERROR(__xludf.DUMMYFUNCTION("""COMPUTED_VALUE"""),44495.7055555555)</f>
        <v>44495.705555555498</v>
      </c>
      <c r="R2874" s="111">
        <f ca="1">IFERROR(__xludf.DUMMYFUNCTION("""COMPUTED_VALUE"""),29.2)</f>
        <v>29.2</v>
      </c>
      <c r="S2874" s="112">
        <f ca="1">IFERROR(__xludf.DUMMYFUNCTION("""COMPUTED_VALUE"""),44510.7055555555)</f>
        <v>44510.705555555498</v>
      </c>
      <c r="T2874" s="111">
        <f ca="1">IFERROR(__xludf.DUMMYFUNCTION("""COMPUTED_VALUE"""),32.76)</f>
        <v>32.76</v>
      </c>
    </row>
    <row r="2875" spans="1:20" x14ac:dyDescent="0.3">
      <c r="A2875" s="112">
        <f ca="1">IFERROR(__xludf.DUMMYFUNCTION("""COMPUTED_VALUE"""),44505.7055555555)</f>
        <v>44505.705555555498</v>
      </c>
      <c r="B2875" s="111">
        <f ca="1">IFERROR(__xludf.DUMMYFUNCTION("""COMPUTED_VALUE"""),33.8)</f>
        <v>33.799999999999997</v>
      </c>
      <c r="C2875" s="112">
        <f ca="1">IFERROR(__xludf.DUMMYFUNCTION("""COMPUTED_VALUE"""),44517.7055555555)</f>
        <v>44517.705555555498</v>
      </c>
      <c r="D2875" s="111">
        <f ca="1">IFERROR(__xludf.DUMMYFUNCTION("""COMPUTED_VALUE"""),22.85)</f>
        <v>22.85</v>
      </c>
      <c r="E2875" s="112">
        <f ca="1">IFERROR(__xludf.DUMMYFUNCTION("""COMPUTED_VALUE"""),44518.7055555555)</f>
        <v>44518.705555555498</v>
      </c>
      <c r="F2875" s="111">
        <f ca="1">IFERROR(__xludf.DUMMYFUNCTION("""COMPUTED_VALUE"""),9.49)</f>
        <v>9.49</v>
      </c>
      <c r="G2875" s="112">
        <f ca="1">IFERROR(__xludf.DUMMYFUNCTION("""COMPUTED_VALUE"""),44516.7055555555)</f>
        <v>44516.705555555498</v>
      </c>
      <c r="H2875" s="111">
        <f ca="1">IFERROR(__xludf.DUMMYFUNCTION("""COMPUTED_VALUE"""),27.27)</f>
        <v>27.27</v>
      </c>
      <c r="M2875" s="112">
        <f ca="1">IFERROR(__xludf.DUMMYFUNCTION("""COMPUTED_VALUE"""),44421.7055555555)</f>
        <v>44421.705555555498</v>
      </c>
      <c r="N2875" s="111">
        <f ca="1">IFERROR(__xludf.DUMMYFUNCTION("""COMPUTED_VALUE"""),23.23)</f>
        <v>23.23</v>
      </c>
      <c r="O2875" s="112">
        <f ca="1">IFERROR(__xludf.DUMMYFUNCTION("""COMPUTED_VALUE"""),44497.7055555555)</f>
        <v>44497.705555555498</v>
      </c>
      <c r="P2875" s="111">
        <f ca="1">IFERROR(__xludf.DUMMYFUNCTION("""COMPUTED_VALUE"""),73.7)</f>
        <v>73.7</v>
      </c>
      <c r="Q2875" s="112">
        <f ca="1">IFERROR(__xludf.DUMMYFUNCTION("""COMPUTED_VALUE"""),44496.7055555555)</f>
        <v>44496.705555555498</v>
      </c>
      <c r="R2875" s="111">
        <f ca="1">IFERROR(__xludf.DUMMYFUNCTION("""COMPUTED_VALUE"""),29.17)</f>
        <v>29.17</v>
      </c>
      <c r="S2875" s="112">
        <f ca="1">IFERROR(__xludf.DUMMYFUNCTION("""COMPUTED_VALUE"""),44511.7055555555)</f>
        <v>44511.705555555498</v>
      </c>
      <c r="T2875" s="111">
        <f ca="1">IFERROR(__xludf.DUMMYFUNCTION("""COMPUTED_VALUE"""),33.93)</f>
        <v>33.93</v>
      </c>
    </row>
    <row r="2876" spans="1:20" x14ac:dyDescent="0.3">
      <c r="A2876" s="112">
        <f ca="1">IFERROR(__xludf.DUMMYFUNCTION("""COMPUTED_VALUE"""),44508.7055555555)</f>
        <v>44508.705555555498</v>
      </c>
      <c r="B2876" s="111">
        <f ca="1">IFERROR(__xludf.DUMMYFUNCTION("""COMPUTED_VALUE"""),33.71)</f>
        <v>33.71</v>
      </c>
      <c r="C2876" s="112">
        <f ca="1">IFERROR(__xludf.DUMMYFUNCTION("""COMPUTED_VALUE"""),44518.7055555555)</f>
        <v>44518.705555555498</v>
      </c>
      <c r="D2876" s="111">
        <f ca="1">IFERROR(__xludf.DUMMYFUNCTION("""COMPUTED_VALUE"""),22.47)</f>
        <v>22.47</v>
      </c>
      <c r="E2876" s="112">
        <f ca="1">IFERROR(__xludf.DUMMYFUNCTION("""COMPUTED_VALUE"""),44519.8125)</f>
        <v>44519.8125</v>
      </c>
      <c r="F2876" s="111">
        <f ca="1">IFERROR(__xludf.DUMMYFUNCTION("""COMPUTED_VALUE"""),9.48)</f>
        <v>9.48</v>
      </c>
      <c r="G2876" s="112">
        <f ca="1">IFERROR(__xludf.DUMMYFUNCTION("""COMPUTED_VALUE"""),44517.7055555555)</f>
        <v>44517.705555555498</v>
      </c>
      <c r="H2876" s="111">
        <f ca="1">IFERROR(__xludf.DUMMYFUNCTION("""COMPUTED_VALUE"""),26.58)</f>
        <v>26.58</v>
      </c>
      <c r="M2876" s="112">
        <f ca="1">IFERROR(__xludf.DUMMYFUNCTION("""COMPUTED_VALUE"""),44424.7055555555)</f>
        <v>44424.705555555498</v>
      </c>
      <c r="N2876" s="111">
        <f ca="1">IFERROR(__xludf.DUMMYFUNCTION("""COMPUTED_VALUE"""),23.04)</f>
        <v>23.04</v>
      </c>
      <c r="O2876" s="112">
        <f ca="1">IFERROR(__xludf.DUMMYFUNCTION("""COMPUTED_VALUE"""),44498.7055555555)</f>
        <v>44498.705555555498</v>
      </c>
      <c r="P2876" s="111">
        <f ca="1">IFERROR(__xludf.DUMMYFUNCTION("""COMPUTED_VALUE"""),71.61)</f>
        <v>71.61</v>
      </c>
      <c r="Q2876" s="112">
        <f ca="1">IFERROR(__xludf.DUMMYFUNCTION("""COMPUTED_VALUE"""),44497.7055555555)</f>
        <v>44497.705555555498</v>
      </c>
      <c r="R2876" s="111">
        <f ca="1">IFERROR(__xludf.DUMMYFUNCTION("""COMPUTED_VALUE"""),28.91)</f>
        <v>28.91</v>
      </c>
      <c r="S2876" s="112">
        <f ca="1">IFERROR(__xludf.DUMMYFUNCTION("""COMPUTED_VALUE"""),44512.8125)</f>
        <v>44512.8125</v>
      </c>
      <c r="T2876" s="111">
        <f ca="1">IFERROR(__xludf.DUMMYFUNCTION("""COMPUTED_VALUE"""),32.23)</f>
        <v>32.229999999999997</v>
      </c>
    </row>
    <row r="2877" spans="1:20" x14ac:dyDescent="0.3">
      <c r="A2877" s="112">
        <f ca="1">IFERROR(__xludf.DUMMYFUNCTION("""COMPUTED_VALUE"""),44509.7055555555)</f>
        <v>44509.705555555498</v>
      </c>
      <c r="B2877" s="111">
        <f ca="1">IFERROR(__xludf.DUMMYFUNCTION("""COMPUTED_VALUE"""),34.57)</f>
        <v>34.57</v>
      </c>
      <c r="C2877" s="112">
        <f ca="1">IFERROR(__xludf.DUMMYFUNCTION("""COMPUTED_VALUE"""),44519.8125)</f>
        <v>44519.8125</v>
      </c>
      <c r="D2877" s="111">
        <f ca="1">IFERROR(__xludf.DUMMYFUNCTION("""COMPUTED_VALUE"""),22.28)</f>
        <v>22.28</v>
      </c>
      <c r="E2877" s="112">
        <f ca="1">IFERROR(__xludf.DUMMYFUNCTION("""COMPUTED_VALUE"""),44522.8125)</f>
        <v>44522.8125</v>
      </c>
      <c r="F2877" s="111">
        <f ca="1">IFERROR(__xludf.DUMMYFUNCTION("""COMPUTED_VALUE"""),9.38)</f>
        <v>9.3800000000000008</v>
      </c>
      <c r="G2877" s="112">
        <f ca="1">IFERROR(__xludf.DUMMYFUNCTION("""COMPUTED_VALUE"""),44518.7055555555)</f>
        <v>44518.705555555498</v>
      </c>
      <c r="H2877" s="111">
        <f ca="1">IFERROR(__xludf.DUMMYFUNCTION("""COMPUTED_VALUE"""),26.54)</f>
        <v>26.54</v>
      </c>
      <c r="M2877" s="112">
        <f ca="1">IFERROR(__xludf.DUMMYFUNCTION("""COMPUTED_VALUE"""),44425.7055555555)</f>
        <v>44425.705555555498</v>
      </c>
      <c r="N2877" s="111">
        <f ca="1">IFERROR(__xludf.DUMMYFUNCTION("""COMPUTED_VALUE"""),22.95)</f>
        <v>22.95</v>
      </c>
      <c r="O2877" s="112">
        <f ca="1">IFERROR(__xludf.DUMMYFUNCTION("""COMPUTED_VALUE"""),44501.7055555555)</f>
        <v>44501.705555555498</v>
      </c>
      <c r="P2877" s="111">
        <f ca="1">IFERROR(__xludf.DUMMYFUNCTION("""COMPUTED_VALUE"""),72.32)</f>
        <v>72.319999999999993</v>
      </c>
      <c r="Q2877" s="112">
        <f ca="1">IFERROR(__xludf.DUMMYFUNCTION("""COMPUTED_VALUE"""),44498.7055555555)</f>
        <v>44498.705555555498</v>
      </c>
      <c r="R2877" s="111">
        <f ca="1">IFERROR(__xludf.DUMMYFUNCTION("""COMPUTED_VALUE"""),28.5)</f>
        <v>28.5</v>
      </c>
      <c r="S2877" s="112">
        <f ca="1">IFERROR(__xludf.DUMMYFUNCTION("""COMPUTED_VALUE"""),44516.7055555555)</f>
        <v>44516.705555555498</v>
      </c>
      <c r="T2877" s="111">
        <f ca="1">IFERROR(__xludf.DUMMYFUNCTION("""COMPUTED_VALUE"""),31.21)</f>
        <v>31.21</v>
      </c>
    </row>
    <row r="2878" spans="1:20" x14ac:dyDescent="0.3">
      <c r="A2878" s="112">
        <f ca="1">IFERROR(__xludf.DUMMYFUNCTION("""COMPUTED_VALUE"""),44510.7055555555)</f>
        <v>44510.705555555498</v>
      </c>
      <c r="B2878" s="111">
        <f ca="1">IFERROR(__xludf.DUMMYFUNCTION("""COMPUTED_VALUE"""),35.22)</f>
        <v>35.22</v>
      </c>
      <c r="C2878" s="112">
        <f ca="1">IFERROR(__xludf.DUMMYFUNCTION("""COMPUTED_VALUE"""),44522.8125)</f>
        <v>44522.8125</v>
      </c>
      <c r="D2878" s="111">
        <f ca="1">IFERROR(__xludf.DUMMYFUNCTION("""COMPUTED_VALUE"""),22.07)</f>
        <v>22.07</v>
      </c>
      <c r="E2878" s="112">
        <f ca="1">IFERROR(__xludf.DUMMYFUNCTION("""COMPUTED_VALUE"""),44523.8125)</f>
        <v>44523.8125</v>
      </c>
      <c r="F2878" s="111">
        <f ca="1">IFERROR(__xludf.DUMMYFUNCTION("""COMPUTED_VALUE"""),9.47)</f>
        <v>9.4700000000000006</v>
      </c>
      <c r="G2878" s="112">
        <f ca="1">IFERROR(__xludf.DUMMYFUNCTION("""COMPUTED_VALUE"""),44519.8125)</f>
        <v>44519.8125</v>
      </c>
      <c r="H2878" s="111">
        <f ca="1">IFERROR(__xludf.DUMMYFUNCTION("""COMPUTED_VALUE"""),26.1)</f>
        <v>26.1</v>
      </c>
      <c r="M2878" s="112">
        <f ca="1">IFERROR(__xludf.DUMMYFUNCTION("""COMPUTED_VALUE"""),44426.7055555555)</f>
        <v>44426.705555555498</v>
      </c>
      <c r="N2878" s="111">
        <f ca="1">IFERROR(__xludf.DUMMYFUNCTION("""COMPUTED_VALUE"""),22.8)</f>
        <v>22.8</v>
      </c>
      <c r="O2878" s="112">
        <f ca="1">IFERROR(__xludf.DUMMYFUNCTION("""COMPUTED_VALUE"""),44503.7055555555)</f>
        <v>44503.705555555498</v>
      </c>
      <c r="P2878" s="111">
        <f ca="1">IFERROR(__xludf.DUMMYFUNCTION("""COMPUTED_VALUE"""),66.83)</f>
        <v>66.83</v>
      </c>
      <c r="Q2878" s="112">
        <f ca="1">IFERROR(__xludf.DUMMYFUNCTION("""COMPUTED_VALUE"""),44501.7055555555)</f>
        <v>44501.705555555498</v>
      </c>
      <c r="R2878" s="111">
        <f ca="1">IFERROR(__xludf.DUMMYFUNCTION("""COMPUTED_VALUE"""),29.15)</f>
        <v>29.15</v>
      </c>
      <c r="S2878" s="112">
        <f ca="1">IFERROR(__xludf.DUMMYFUNCTION("""COMPUTED_VALUE"""),44517.7055555555)</f>
        <v>44517.705555555498</v>
      </c>
      <c r="T2878" s="111">
        <f ca="1">IFERROR(__xludf.DUMMYFUNCTION("""COMPUTED_VALUE"""),30.98)</f>
        <v>30.98</v>
      </c>
    </row>
    <row r="2879" spans="1:20" x14ac:dyDescent="0.3">
      <c r="A2879" s="112">
        <f ca="1">IFERROR(__xludf.DUMMYFUNCTION("""COMPUTED_VALUE"""),44511.7055555555)</f>
        <v>44511.705555555498</v>
      </c>
      <c r="B2879" s="111">
        <f ca="1">IFERROR(__xludf.DUMMYFUNCTION("""COMPUTED_VALUE"""),35.54)</f>
        <v>35.54</v>
      </c>
      <c r="C2879" s="112">
        <f ca="1">IFERROR(__xludf.DUMMYFUNCTION("""COMPUTED_VALUE"""),44523.8125)</f>
        <v>44523.8125</v>
      </c>
      <c r="D2879" s="111">
        <f ca="1">IFERROR(__xludf.DUMMYFUNCTION("""COMPUTED_VALUE"""),22.44)</f>
        <v>22.44</v>
      </c>
      <c r="E2879" s="112">
        <f ca="1">IFERROR(__xludf.DUMMYFUNCTION("""COMPUTED_VALUE"""),44524.8125)</f>
        <v>44524.8125</v>
      </c>
      <c r="F2879" s="111">
        <f ca="1">IFERROR(__xludf.DUMMYFUNCTION("""COMPUTED_VALUE"""),9.47)</f>
        <v>9.4700000000000006</v>
      </c>
      <c r="G2879" s="112">
        <f ca="1">IFERROR(__xludf.DUMMYFUNCTION("""COMPUTED_VALUE"""),44522.8125)</f>
        <v>44522.8125</v>
      </c>
      <c r="H2879" s="111">
        <f ca="1">IFERROR(__xludf.DUMMYFUNCTION("""COMPUTED_VALUE"""),26.36)</f>
        <v>26.36</v>
      </c>
      <c r="M2879" s="112">
        <f ca="1">IFERROR(__xludf.DUMMYFUNCTION("""COMPUTED_VALUE"""),44427.7055555555)</f>
        <v>44427.705555555498</v>
      </c>
      <c r="N2879" s="111">
        <f ca="1">IFERROR(__xludf.DUMMYFUNCTION("""COMPUTED_VALUE"""),22.75)</f>
        <v>22.75</v>
      </c>
      <c r="O2879" s="112">
        <f ca="1">IFERROR(__xludf.DUMMYFUNCTION("""COMPUTED_VALUE"""),44504.7055555555)</f>
        <v>44504.705555555498</v>
      </c>
      <c r="P2879" s="111">
        <f ca="1">IFERROR(__xludf.DUMMYFUNCTION("""COMPUTED_VALUE"""),66.07)</f>
        <v>66.069999999999993</v>
      </c>
      <c r="Q2879" s="112">
        <f ca="1">IFERROR(__xludf.DUMMYFUNCTION("""COMPUTED_VALUE"""),44503.7055555555)</f>
        <v>44503.705555555498</v>
      </c>
      <c r="R2879" s="111">
        <f ca="1">IFERROR(__xludf.DUMMYFUNCTION("""COMPUTED_VALUE"""),29.34)</f>
        <v>29.34</v>
      </c>
      <c r="S2879" s="112">
        <f ca="1">IFERROR(__xludf.DUMMYFUNCTION("""COMPUTED_VALUE"""),44518.7055555555)</f>
        <v>44518.705555555498</v>
      </c>
      <c r="T2879" s="111">
        <f ca="1">IFERROR(__xludf.DUMMYFUNCTION("""COMPUTED_VALUE"""),31.85)</f>
        <v>31.85</v>
      </c>
    </row>
    <row r="2880" spans="1:20" x14ac:dyDescent="0.3">
      <c r="A2880" s="112">
        <f ca="1">IFERROR(__xludf.DUMMYFUNCTION("""COMPUTED_VALUE"""),44512.8125)</f>
        <v>44512.8125</v>
      </c>
      <c r="B2880" s="111">
        <f ca="1">IFERROR(__xludf.DUMMYFUNCTION("""COMPUTED_VALUE"""),35.24)</f>
        <v>35.24</v>
      </c>
      <c r="C2880" s="112">
        <f ca="1">IFERROR(__xludf.DUMMYFUNCTION("""COMPUTED_VALUE"""),44524.8125)</f>
        <v>44524.8125</v>
      </c>
      <c r="D2880" s="111">
        <f ca="1">IFERROR(__xludf.DUMMYFUNCTION("""COMPUTED_VALUE"""),23.04)</f>
        <v>23.04</v>
      </c>
      <c r="E2880" s="112">
        <f ca="1">IFERROR(__xludf.DUMMYFUNCTION("""COMPUTED_VALUE"""),44525.8125)</f>
        <v>44525.8125</v>
      </c>
      <c r="F2880" s="111">
        <f ca="1">IFERROR(__xludf.DUMMYFUNCTION("""COMPUTED_VALUE"""),9.55)</f>
        <v>9.5500000000000007</v>
      </c>
      <c r="G2880" s="112">
        <f ca="1">IFERROR(__xludf.DUMMYFUNCTION("""COMPUTED_VALUE"""),44523.8125)</f>
        <v>44523.8125</v>
      </c>
      <c r="H2880" s="111">
        <f ca="1">IFERROR(__xludf.DUMMYFUNCTION("""COMPUTED_VALUE"""),27.8)</f>
        <v>27.8</v>
      </c>
      <c r="M2880" s="112">
        <f ca="1">IFERROR(__xludf.DUMMYFUNCTION("""COMPUTED_VALUE"""),44428.7055555555)</f>
        <v>44428.705555555498</v>
      </c>
      <c r="N2880" s="111">
        <f ca="1">IFERROR(__xludf.DUMMYFUNCTION("""COMPUTED_VALUE"""),22.62)</f>
        <v>22.62</v>
      </c>
      <c r="O2880" s="112">
        <f ca="1">IFERROR(__xludf.DUMMYFUNCTION("""COMPUTED_VALUE"""),44505.7055555555)</f>
        <v>44505.705555555498</v>
      </c>
      <c r="P2880" s="111">
        <f ca="1">IFERROR(__xludf.DUMMYFUNCTION("""COMPUTED_VALUE"""),64.11)</f>
        <v>64.11</v>
      </c>
      <c r="Q2880" s="112">
        <f ca="1">IFERROR(__xludf.DUMMYFUNCTION("""COMPUTED_VALUE"""),44504.7055555555)</f>
        <v>44504.705555555498</v>
      </c>
      <c r="R2880" s="111">
        <f ca="1">IFERROR(__xludf.DUMMYFUNCTION("""COMPUTED_VALUE"""),28.65)</f>
        <v>28.65</v>
      </c>
      <c r="S2880" s="112">
        <f ca="1">IFERROR(__xludf.DUMMYFUNCTION("""COMPUTED_VALUE"""),44519.8125)</f>
        <v>44519.8125</v>
      </c>
      <c r="T2880" s="111">
        <f ca="1">IFERROR(__xludf.DUMMYFUNCTION("""COMPUTED_VALUE"""),32.32)</f>
        <v>32.32</v>
      </c>
    </row>
    <row r="2881" spans="1:20" x14ac:dyDescent="0.3">
      <c r="A2881" s="112">
        <f ca="1">IFERROR(__xludf.DUMMYFUNCTION("""COMPUTED_VALUE"""),44516.7055555555)</f>
        <v>44516.705555555498</v>
      </c>
      <c r="B2881" s="111">
        <f ca="1">IFERROR(__xludf.DUMMYFUNCTION("""COMPUTED_VALUE"""),34.18)</f>
        <v>34.18</v>
      </c>
      <c r="C2881" s="112">
        <f ca="1">IFERROR(__xludf.DUMMYFUNCTION("""COMPUTED_VALUE"""),44525.8125)</f>
        <v>44525.8125</v>
      </c>
      <c r="D2881" s="111">
        <f ca="1">IFERROR(__xludf.DUMMYFUNCTION("""COMPUTED_VALUE"""),23.25)</f>
        <v>23.25</v>
      </c>
      <c r="E2881" s="112">
        <f ca="1">IFERROR(__xludf.DUMMYFUNCTION("""COMPUTED_VALUE"""),44526.8125)</f>
        <v>44526.8125</v>
      </c>
      <c r="F2881" s="111">
        <f ca="1">IFERROR(__xludf.DUMMYFUNCTION("""COMPUTED_VALUE"""),9.36)</f>
        <v>9.36</v>
      </c>
      <c r="G2881" s="112">
        <f ca="1">IFERROR(__xludf.DUMMYFUNCTION("""COMPUTED_VALUE"""),44524.8125)</f>
        <v>44524.8125</v>
      </c>
      <c r="H2881" s="111">
        <f ca="1">IFERROR(__xludf.DUMMYFUNCTION("""COMPUTED_VALUE"""),28.37)</f>
        <v>28.37</v>
      </c>
      <c r="M2881" s="112">
        <f ca="1">IFERROR(__xludf.DUMMYFUNCTION("""COMPUTED_VALUE"""),44431.7055555555)</f>
        <v>44431.705555555498</v>
      </c>
      <c r="N2881" s="111">
        <f ca="1">IFERROR(__xludf.DUMMYFUNCTION("""COMPUTED_VALUE"""),22.78)</f>
        <v>22.78</v>
      </c>
      <c r="O2881" s="112">
        <f ca="1">IFERROR(__xludf.DUMMYFUNCTION("""COMPUTED_VALUE"""),44508.7055555555)</f>
        <v>44508.705555555498</v>
      </c>
      <c r="P2881" s="111">
        <f ca="1">IFERROR(__xludf.DUMMYFUNCTION("""COMPUTED_VALUE"""),67.6)</f>
        <v>67.599999999999994</v>
      </c>
      <c r="Q2881" s="112">
        <f ca="1">IFERROR(__xludf.DUMMYFUNCTION("""COMPUTED_VALUE"""),44505.7055555555)</f>
        <v>44505.705555555498</v>
      </c>
      <c r="R2881" s="111">
        <f ca="1">IFERROR(__xludf.DUMMYFUNCTION("""COMPUTED_VALUE"""),29.29)</f>
        <v>29.29</v>
      </c>
      <c r="S2881" s="112">
        <f ca="1">IFERROR(__xludf.DUMMYFUNCTION("""COMPUTED_VALUE"""),44522.8125)</f>
        <v>44522.8125</v>
      </c>
      <c r="T2881" s="111">
        <f ca="1">IFERROR(__xludf.DUMMYFUNCTION("""COMPUTED_VALUE"""),31.18)</f>
        <v>31.18</v>
      </c>
    </row>
    <row r="2882" spans="1:20" x14ac:dyDescent="0.3">
      <c r="A2882" s="112">
        <f ca="1">IFERROR(__xludf.DUMMYFUNCTION("""COMPUTED_VALUE"""),44517.7055555555)</f>
        <v>44517.705555555498</v>
      </c>
      <c r="B2882" s="111">
        <f ca="1">IFERROR(__xludf.DUMMYFUNCTION("""COMPUTED_VALUE"""),31.92)</f>
        <v>31.92</v>
      </c>
      <c r="C2882" s="112">
        <f ca="1">IFERROR(__xludf.DUMMYFUNCTION("""COMPUTED_VALUE"""),44526.8125)</f>
        <v>44526.8125</v>
      </c>
      <c r="D2882" s="111">
        <f ca="1">IFERROR(__xludf.DUMMYFUNCTION("""COMPUTED_VALUE"""),22.81)</f>
        <v>22.81</v>
      </c>
      <c r="E2882" s="112">
        <f ca="1">IFERROR(__xludf.DUMMYFUNCTION("""COMPUTED_VALUE"""),44529.8125)</f>
        <v>44529.8125</v>
      </c>
      <c r="F2882" s="111">
        <f ca="1">IFERROR(__xludf.DUMMYFUNCTION("""COMPUTED_VALUE"""),9.35)</f>
        <v>9.35</v>
      </c>
      <c r="G2882" s="112">
        <f ca="1">IFERROR(__xludf.DUMMYFUNCTION("""COMPUTED_VALUE"""),44525.8125)</f>
        <v>44525.8125</v>
      </c>
      <c r="H2882" s="111">
        <f ca="1">IFERROR(__xludf.DUMMYFUNCTION("""COMPUTED_VALUE"""),29.62)</f>
        <v>29.62</v>
      </c>
      <c r="M2882" s="112">
        <f ca="1">IFERROR(__xludf.DUMMYFUNCTION("""COMPUTED_VALUE"""),44432.7055555555)</f>
        <v>44432.705555555498</v>
      </c>
      <c r="N2882" s="111">
        <f ca="1">IFERROR(__xludf.DUMMYFUNCTION("""COMPUTED_VALUE"""),23.38)</f>
        <v>23.38</v>
      </c>
      <c r="O2882" s="112">
        <f ca="1">IFERROR(__xludf.DUMMYFUNCTION("""COMPUTED_VALUE"""),44509.7055555555)</f>
        <v>44509.705555555498</v>
      </c>
      <c r="P2882" s="111">
        <f ca="1">IFERROR(__xludf.DUMMYFUNCTION("""COMPUTED_VALUE"""),65.94)</f>
        <v>65.94</v>
      </c>
      <c r="Q2882" s="112">
        <f ca="1">IFERROR(__xludf.DUMMYFUNCTION("""COMPUTED_VALUE"""),44508.7055555555)</f>
        <v>44508.705555555498</v>
      </c>
      <c r="R2882" s="111">
        <f ca="1">IFERROR(__xludf.DUMMYFUNCTION("""COMPUTED_VALUE"""),29.48)</f>
        <v>29.48</v>
      </c>
      <c r="S2882" s="112">
        <f ca="1">IFERROR(__xludf.DUMMYFUNCTION("""COMPUTED_VALUE"""),44523.8125)</f>
        <v>44523.8125</v>
      </c>
      <c r="T2882" s="111">
        <f ca="1">IFERROR(__xludf.DUMMYFUNCTION("""COMPUTED_VALUE"""),31.15)</f>
        <v>31.15</v>
      </c>
    </row>
    <row r="2883" spans="1:20" x14ac:dyDescent="0.3">
      <c r="A2883" s="112">
        <f ca="1">IFERROR(__xludf.DUMMYFUNCTION("""COMPUTED_VALUE"""),44518.7055555555)</f>
        <v>44518.705555555498</v>
      </c>
      <c r="B2883" s="111">
        <f ca="1">IFERROR(__xludf.DUMMYFUNCTION("""COMPUTED_VALUE"""),32.18)</f>
        <v>32.18</v>
      </c>
      <c r="C2883" s="112">
        <f ca="1">IFERROR(__xludf.DUMMYFUNCTION("""COMPUTED_VALUE"""),44529.8125)</f>
        <v>44529.8125</v>
      </c>
      <c r="D2883" s="111">
        <f ca="1">IFERROR(__xludf.DUMMYFUNCTION("""COMPUTED_VALUE"""),22.66)</f>
        <v>22.66</v>
      </c>
      <c r="E2883" s="112">
        <f ca="1">IFERROR(__xludf.DUMMYFUNCTION("""COMPUTED_VALUE"""),44530.75)</f>
        <v>44530.75</v>
      </c>
      <c r="F2883" s="111">
        <f ca="1">IFERROR(__xludf.DUMMYFUNCTION("""COMPUTED_VALUE"""),9.21)</f>
        <v>9.2100000000000009</v>
      </c>
      <c r="G2883" s="112">
        <f ca="1">IFERROR(__xludf.DUMMYFUNCTION("""COMPUTED_VALUE"""),44526.8125)</f>
        <v>44526.8125</v>
      </c>
      <c r="H2883" s="111">
        <f ca="1">IFERROR(__xludf.DUMMYFUNCTION("""COMPUTED_VALUE"""),28.47)</f>
        <v>28.47</v>
      </c>
      <c r="M2883" s="112">
        <f ca="1">IFERROR(__xludf.DUMMYFUNCTION("""COMPUTED_VALUE"""),44433.7055555555)</f>
        <v>44433.705555555498</v>
      </c>
      <c r="N2883" s="111">
        <f ca="1">IFERROR(__xludf.DUMMYFUNCTION("""COMPUTED_VALUE"""),23.42)</f>
        <v>23.42</v>
      </c>
      <c r="O2883" s="112">
        <f ca="1">IFERROR(__xludf.DUMMYFUNCTION("""COMPUTED_VALUE"""),44510.7055555555)</f>
        <v>44510.705555555498</v>
      </c>
      <c r="P2883" s="111">
        <f ca="1">IFERROR(__xludf.DUMMYFUNCTION("""COMPUTED_VALUE"""),65.69)</f>
        <v>65.69</v>
      </c>
      <c r="Q2883" s="112">
        <f ca="1">IFERROR(__xludf.DUMMYFUNCTION("""COMPUTED_VALUE"""),44509.7055555555)</f>
        <v>44509.705555555498</v>
      </c>
      <c r="R2883" s="111">
        <f ca="1">IFERROR(__xludf.DUMMYFUNCTION("""COMPUTED_VALUE"""),29.44)</f>
        <v>29.44</v>
      </c>
      <c r="S2883" s="112">
        <f ca="1">IFERROR(__xludf.DUMMYFUNCTION("""COMPUTED_VALUE"""),44524.8125)</f>
        <v>44524.8125</v>
      </c>
      <c r="T2883" s="111">
        <f ca="1">IFERROR(__xludf.DUMMYFUNCTION("""COMPUTED_VALUE"""),30.61)</f>
        <v>30.61</v>
      </c>
    </row>
    <row r="2884" spans="1:20" x14ac:dyDescent="0.3">
      <c r="A2884" s="112">
        <f ca="1">IFERROR(__xludf.DUMMYFUNCTION("""COMPUTED_VALUE"""),44519.8125)</f>
        <v>44519.8125</v>
      </c>
      <c r="B2884" s="111">
        <f ca="1">IFERROR(__xludf.DUMMYFUNCTION("""COMPUTED_VALUE"""),32.69)</f>
        <v>32.69</v>
      </c>
      <c r="C2884" s="112">
        <f ca="1">IFERROR(__xludf.DUMMYFUNCTION("""COMPUTED_VALUE"""),44530.75)</f>
        <v>44530.75</v>
      </c>
      <c r="D2884" s="111">
        <f ca="1">IFERROR(__xludf.DUMMYFUNCTION("""COMPUTED_VALUE"""),22.38)</f>
        <v>22.38</v>
      </c>
      <c r="E2884" s="112">
        <f ca="1">IFERROR(__xludf.DUMMYFUNCTION("""COMPUTED_VALUE"""),44531.7055555555)</f>
        <v>44531.705555555498</v>
      </c>
      <c r="F2884" s="111">
        <f ca="1">IFERROR(__xludf.DUMMYFUNCTION("""COMPUTED_VALUE"""),9.16)</f>
        <v>9.16</v>
      </c>
      <c r="G2884" s="112">
        <f ca="1">IFERROR(__xludf.DUMMYFUNCTION("""COMPUTED_VALUE"""),44529.8125)</f>
        <v>44529.8125</v>
      </c>
      <c r="H2884" s="111">
        <f ca="1">IFERROR(__xludf.DUMMYFUNCTION("""COMPUTED_VALUE"""),29.47)</f>
        <v>29.47</v>
      </c>
      <c r="M2884" s="112">
        <f ca="1">IFERROR(__xludf.DUMMYFUNCTION("""COMPUTED_VALUE"""),44434.7055555555)</f>
        <v>44434.705555555498</v>
      </c>
      <c r="N2884" s="111">
        <f ca="1">IFERROR(__xludf.DUMMYFUNCTION("""COMPUTED_VALUE"""),22.97)</f>
        <v>22.97</v>
      </c>
      <c r="O2884" s="112">
        <f ca="1">IFERROR(__xludf.DUMMYFUNCTION("""COMPUTED_VALUE"""),44511.7055555555)</f>
        <v>44511.705555555498</v>
      </c>
      <c r="P2884" s="111">
        <f ca="1">IFERROR(__xludf.DUMMYFUNCTION("""COMPUTED_VALUE"""),68.01)</f>
        <v>68.010000000000005</v>
      </c>
      <c r="Q2884" s="112">
        <f ca="1">IFERROR(__xludf.DUMMYFUNCTION("""COMPUTED_VALUE"""),44510.7055555555)</f>
        <v>44510.705555555498</v>
      </c>
      <c r="R2884" s="111">
        <f ca="1">IFERROR(__xludf.DUMMYFUNCTION("""COMPUTED_VALUE"""),30.79)</f>
        <v>30.79</v>
      </c>
      <c r="S2884" s="112">
        <f ca="1">IFERROR(__xludf.DUMMYFUNCTION("""COMPUTED_VALUE"""),44525.8125)</f>
        <v>44525.8125</v>
      </c>
      <c r="T2884" s="111">
        <f ca="1">IFERROR(__xludf.DUMMYFUNCTION("""COMPUTED_VALUE"""),30.77)</f>
        <v>30.77</v>
      </c>
    </row>
    <row r="2885" spans="1:20" x14ac:dyDescent="0.3">
      <c r="A2885" s="112">
        <f ca="1">IFERROR(__xludf.DUMMYFUNCTION("""COMPUTED_VALUE"""),44522.8125)</f>
        <v>44522.8125</v>
      </c>
      <c r="B2885" s="111">
        <f ca="1">IFERROR(__xludf.DUMMYFUNCTION("""COMPUTED_VALUE"""),31.73)</f>
        <v>31.73</v>
      </c>
      <c r="C2885" s="112">
        <f ca="1">IFERROR(__xludf.DUMMYFUNCTION("""COMPUTED_VALUE"""),44531.7055555555)</f>
        <v>44531.705555555498</v>
      </c>
      <c r="D2885" s="111">
        <f ca="1">IFERROR(__xludf.DUMMYFUNCTION("""COMPUTED_VALUE"""),22.22)</f>
        <v>22.22</v>
      </c>
      <c r="E2885" s="112">
        <f ca="1">IFERROR(__xludf.DUMMYFUNCTION("""COMPUTED_VALUE"""),44532.7055555555)</f>
        <v>44532.705555555498</v>
      </c>
      <c r="F2885" s="111">
        <f ca="1">IFERROR(__xludf.DUMMYFUNCTION("""COMPUTED_VALUE"""),9.43)</f>
        <v>9.43</v>
      </c>
      <c r="G2885" s="112">
        <f ca="1">IFERROR(__xludf.DUMMYFUNCTION("""COMPUTED_VALUE"""),44530.75)</f>
        <v>44530.75</v>
      </c>
      <c r="H2885" s="111">
        <f ca="1">IFERROR(__xludf.DUMMYFUNCTION("""COMPUTED_VALUE"""),29.43)</f>
        <v>29.43</v>
      </c>
      <c r="M2885" s="112">
        <f ca="1">IFERROR(__xludf.DUMMYFUNCTION("""COMPUTED_VALUE"""),44435.7055555555)</f>
        <v>44435.705555555498</v>
      </c>
      <c r="N2885" s="111">
        <f ca="1">IFERROR(__xludf.DUMMYFUNCTION("""COMPUTED_VALUE"""),23.27)</f>
        <v>23.27</v>
      </c>
      <c r="O2885" s="112">
        <f ca="1">IFERROR(__xludf.DUMMYFUNCTION("""COMPUTED_VALUE"""),44512.8125)</f>
        <v>44512.8125</v>
      </c>
      <c r="P2885" s="111">
        <f ca="1">IFERROR(__xludf.DUMMYFUNCTION("""COMPUTED_VALUE"""),68.3)</f>
        <v>68.3</v>
      </c>
      <c r="Q2885" s="112">
        <f ca="1">IFERROR(__xludf.DUMMYFUNCTION("""COMPUTED_VALUE"""),44511.7055555555)</f>
        <v>44511.705555555498</v>
      </c>
      <c r="R2885" s="111">
        <f ca="1">IFERROR(__xludf.DUMMYFUNCTION("""COMPUTED_VALUE"""),30.2)</f>
        <v>30.2</v>
      </c>
      <c r="S2885" s="112">
        <f ca="1">IFERROR(__xludf.DUMMYFUNCTION("""COMPUTED_VALUE"""),44526.8125)</f>
        <v>44526.8125</v>
      </c>
      <c r="T2885" s="111">
        <f ca="1">IFERROR(__xludf.DUMMYFUNCTION("""COMPUTED_VALUE"""),29.36)</f>
        <v>29.36</v>
      </c>
    </row>
    <row r="2886" spans="1:20" x14ac:dyDescent="0.3">
      <c r="A2886" s="112">
        <f ca="1">IFERROR(__xludf.DUMMYFUNCTION("""COMPUTED_VALUE"""),44523.8125)</f>
        <v>44523.8125</v>
      </c>
      <c r="B2886" s="111">
        <f ca="1">IFERROR(__xludf.DUMMYFUNCTION("""COMPUTED_VALUE"""),32.55)</f>
        <v>32.549999999999997</v>
      </c>
      <c r="C2886" s="112">
        <f ca="1">IFERROR(__xludf.DUMMYFUNCTION("""COMPUTED_VALUE"""),44532.7055555555)</f>
        <v>44532.705555555498</v>
      </c>
      <c r="D2886" s="111">
        <f ca="1">IFERROR(__xludf.DUMMYFUNCTION("""COMPUTED_VALUE"""),23.06)</f>
        <v>23.06</v>
      </c>
      <c r="E2886" s="112">
        <f ca="1">IFERROR(__xludf.DUMMYFUNCTION("""COMPUTED_VALUE"""),44533.7055555555)</f>
        <v>44533.705555555498</v>
      </c>
      <c r="F2886" s="111">
        <f ca="1">IFERROR(__xludf.DUMMYFUNCTION("""COMPUTED_VALUE"""),9.38)</f>
        <v>9.3800000000000008</v>
      </c>
      <c r="G2886" s="112">
        <f ca="1">IFERROR(__xludf.DUMMYFUNCTION("""COMPUTED_VALUE"""),44531.7055555555)</f>
        <v>44531.705555555498</v>
      </c>
      <c r="H2886" s="111">
        <f ca="1">IFERROR(__xludf.DUMMYFUNCTION("""COMPUTED_VALUE"""),29.6)</f>
        <v>29.6</v>
      </c>
      <c r="M2886" s="112">
        <f ca="1">IFERROR(__xludf.DUMMYFUNCTION("""COMPUTED_VALUE"""),44438.7055555555)</f>
        <v>44438.705555555498</v>
      </c>
      <c r="N2886" s="111">
        <f ca="1">IFERROR(__xludf.DUMMYFUNCTION("""COMPUTED_VALUE"""),23.02)</f>
        <v>23.02</v>
      </c>
      <c r="O2886" s="112">
        <f ca="1">IFERROR(__xludf.DUMMYFUNCTION("""COMPUTED_VALUE"""),44516.7055555555)</f>
        <v>44516.705555555498</v>
      </c>
      <c r="P2886" s="111">
        <f ca="1">IFERROR(__xludf.DUMMYFUNCTION("""COMPUTED_VALUE"""),66.33)</f>
        <v>66.33</v>
      </c>
      <c r="Q2886" s="112">
        <f ca="1">IFERROR(__xludf.DUMMYFUNCTION("""COMPUTED_VALUE"""),44512.8125)</f>
        <v>44512.8125</v>
      </c>
      <c r="R2886" s="111">
        <f ca="1">IFERROR(__xludf.DUMMYFUNCTION("""COMPUTED_VALUE"""),30.15)</f>
        <v>30.15</v>
      </c>
      <c r="S2886" s="112">
        <f ca="1">IFERROR(__xludf.DUMMYFUNCTION("""COMPUTED_VALUE"""),44529.8125)</f>
        <v>44529.8125</v>
      </c>
      <c r="T2886" s="111">
        <f ca="1">IFERROR(__xludf.DUMMYFUNCTION("""COMPUTED_VALUE"""),28.94)</f>
        <v>28.94</v>
      </c>
    </row>
    <row r="2887" spans="1:20" x14ac:dyDescent="0.3">
      <c r="A2887" s="112">
        <f ca="1">IFERROR(__xludf.DUMMYFUNCTION("""COMPUTED_VALUE"""),44524.8125)</f>
        <v>44524.8125</v>
      </c>
      <c r="B2887" s="111">
        <f ca="1">IFERROR(__xludf.DUMMYFUNCTION("""COMPUTED_VALUE"""),32.45)</f>
        <v>32.450000000000003</v>
      </c>
      <c r="C2887" s="112">
        <f ca="1">IFERROR(__xludf.DUMMYFUNCTION("""COMPUTED_VALUE"""),44533.7055555555)</f>
        <v>44533.705555555498</v>
      </c>
      <c r="D2887" s="111">
        <f ca="1">IFERROR(__xludf.DUMMYFUNCTION("""COMPUTED_VALUE"""),22.98)</f>
        <v>22.98</v>
      </c>
      <c r="E2887" s="112">
        <f ca="1">IFERROR(__xludf.DUMMYFUNCTION("""COMPUTED_VALUE"""),44536.7055555555)</f>
        <v>44536.705555555498</v>
      </c>
      <c r="F2887" s="111">
        <f ca="1">IFERROR(__xludf.DUMMYFUNCTION("""COMPUTED_VALUE"""),9.5)</f>
        <v>9.5</v>
      </c>
      <c r="G2887" s="112">
        <f ca="1">IFERROR(__xludf.DUMMYFUNCTION("""COMPUTED_VALUE"""),44532.7055555555)</f>
        <v>44532.705555555498</v>
      </c>
      <c r="H2887" s="111">
        <f ca="1">IFERROR(__xludf.DUMMYFUNCTION("""COMPUTED_VALUE"""),28.36)</f>
        <v>28.36</v>
      </c>
      <c r="M2887" s="112">
        <f ca="1">IFERROR(__xludf.DUMMYFUNCTION("""COMPUTED_VALUE"""),44439.7055555555)</f>
        <v>44439.705555555498</v>
      </c>
      <c r="N2887" s="111">
        <f ca="1">IFERROR(__xludf.DUMMYFUNCTION("""COMPUTED_VALUE"""),23.15)</f>
        <v>23.15</v>
      </c>
      <c r="O2887" s="112">
        <f ca="1">IFERROR(__xludf.DUMMYFUNCTION("""COMPUTED_VALUE"""),44517.7055555555)</f>
        <v>44517.705555555498</v>
      </c>
      <c r="P2887" s="111">
        <f ca="1">IFERROR(__xludf.DUMMYFUNCTION("""COMPUTED_VALUE"""),65)</f>
        <v>65</v>
      </c>
      <c r="Q2887" s="112">
        <f ca="1">IFERROR(__xludf.DUMMYFUNCTION("""COMPUTED_VALUE"""),44516.7055555555)</f>
        <v>44516.705555555498</v>
      </c>
      <c r="R2887" s="111">
        <f ca="1">IFERROR(__xludf.DUMMYFUNCTION("""COMPUTED_VALUE"""),29.73)</f>
        <v>29.73</v>
      </c>
      <c r="S2887" s="112">
        <f ca="1">IFERROR(__xludf.DUMMYFUNCTION("""COMPUTED_VALUE"""),44530.75)</f>
        <v>44530.75</v>
      </c>
      <c r="T2887" s="111">
        <f ca="1">IFERROR(__xludf.DUMMYFUNCTION("""COMPUTED_VALUE"""),28.45)</f>
        <v>28.45</v>
      </c>
    </row>
    <row r="2888" spans="1:20" x14ac:dyDescent="0.3">
      <c r="A2888" s="112">
        <f ca="1">IFERROR(__xludf.DUMMYFUNCTION("""COMPUTED_VALUE"""),44525.8125)</f>
        <v>44525.8125</v>
      </c>
      <c r="B2888" s="111">
        <f ca="1">IFERROR(__xludf.DUMMYFUNCTION("""COMPUTED_VALUE"""),33.25)</f>
        <v>33.25</v>
      </c>
      <c r="C2888" s="112">
        <f ca="1">IFERROR(__xludf.DUMMYFUNCTION("""COMPUTED_VALUE"""),44536.7055555555)</f>
        <v>44536.705555555498</v>
      </c>
      <c r="D2888" s="111">
        <f ca="1">IFERROR(__xludf.DUMMYFUNCTION("""COMPUTED_VALUE"""),23.25)</f>
        <v>23.25</v>
      </c>
      <c r="E2888" s="112">
        <f ca="1">IFERROR(__xludf.DUMMYFUNCTION("""COMPUTED_VALUE"""),44537.7055555555)</f>
        <v>44537.705555555498</v>
      </c>
      <c r="F2888" s="111">
        <f ca="1">IFERROR(__xludf.DUMMYFUNCTION("""COMPUTED_VALUE"""),9.41)</f>
        <v>9.41</v>
      </c>
      <c r="G2888" s="112">
        <f ca="1">IFERROR(__xludf.DUMMYFUNCTION("""COMPUTED_VALUE"""),44533.7055555555)</f>
        <v>44533.705555555498</v>
      </c>
      <c r="H2888" s="111">
        <f ca="1">IFERROR(__xludf.DUMMYFUNCTION("""COMPUTED_VALUE"""),28.76)</f>
        <v>28.76</v>
      </c>
      <c r="M2888" s="112">
        <f ca="1">IFERROR(__xludf.DUMMYFUNCTION("""COMPUTED_VALUE"""),44440.7055555555)</f>
        <v>44440.705555555498</v>
      </c>
      <c r="N2888" s="111">
        <f ca="1">IFERROR(__xludf.DUMMYFUNCTION("""COMPUTED_VALUE"""),23.11)</f>
        <v>23.11</v>
      </c>
      <c r="O2888" s="112">
        <f ca="1">IFERROR(__xludf.DUMMYFUNCTION("""COMPUTED_VALUE"""),44518.7055555555)</f>
        <v>44518.705555555498</v>
      </c>
      <c r="P2888" s="111">
        <f ca="1">IFERROR(__xludf.DUMMYFUNCTION("""COMPUTED_VALUE"""),62.33)</f>
        <v>62.33</v>
      </c>
      <c r="Q2888" s="112">
        <f ca="1">IFERROR(__xludf.DUMMYFUNCTION("""COMPUTED_VALUE"""),44517.7055555555)</f>
        <v>44517.705555555498</v>
      </c>
      <c r="R2888" s="111">
        <f ca="1">IFERROR(__xludf.DUMMYFUNCTION("""COMPUTED_VALUE"""),29.31)</f>
        <v>29.31</v>
      </c>
      <c r="S2888" s="112">
        <f ca="1">IFERROR(__xludf.DUMMYFUNCTION("""COMPUTED_VALUE"""),44531.7055555555)</f>
        <v>44531.705555555498</v>
      </c>
      <c r="T2888" s="111">
        <f ca="1">IFERROR(__xludf.DUMMYFUNCTION("""COMPUTED_VALUE"""),28.29)</f>
        <v>28.29</v>
      </c>
    </row>
    <row r="2889" spans="1:20" x14ac:dyDescent="0.3">
      <c r="A2889" s="112">
        <f ca="1">IFERROR(__xludf.DUMMYFUNCTION("""COMPUTED_VALUE"""),44526.8125)</f>
        <v>44526.8125</v>
      </c>
      <c r="B2889" s="111">
        <f ca="1">IFERROR(__xludf.DUMMYFUNCTION("""COMPUTED_VALUE"""),32.28)</f>
        <v>32.28</v>
      </c>
      <c r="C2889" s="112">
        <f ca="1">IFERROR(__xludf.DUMMYFUNCTION("""COMPUTED_VALUE"""),44537.7055555555)</f>
        <v>44537.705555555498</v>
      </c>
      <c r="D2889" s="111">
        <f ca="1">IFERROR(__xludf.DUMMYFUNCTION("""COMPUTED_VALUE"""),22.96)</f>
        <v>22.96</v>
      </c>
      <c r="E2889" s="112">
        <f ca="1">IFERROR(__xludf.DUMMYFUNCTION("""COMPUTED_VALUE"""),44538.7055555555)</f>
        <v>44538.705555555498</v>
      </c>
      <c r="F2889" s="111">
        <f ca="1">IFERROR(__xludf.DUMMYFUNCTION("""COMPUTED_VALUE"""),9.44)</f>
        <v>9.44</v>
      </c>
      <c r="G2889" s="112">
        <f ca="1">IFERROR(__xludf.DUMMYFUNCTION("""COMPUTED_VALUE"""),44536.7055555555)</f>
        <v>44536.705555555498</v>
      </c>
      <c r="H2889" s="111">
        <f ca="1">IFERROR(__xludf.DUMMYFUNCTION("""COMPUTED_VALUE"""),28.89)</f>
        <v>28.89</v>
      </c>
      <c r="M2889" s="112">
        <f ca="1">IFERROR(__xludf.DUMMYFUNCTION("""COMPUTED_VALUE"""),44441.7055555555)</f>
        <v>44441.705555555498</v>
      </c>
      <c r="N2889" s="111">
        <f ca="1">IFERROR(__xludf.DUMMYFUNCTION("""COMPUTED_VALUE"""),22.28)</f>
        <v>22.28</v>
      </c>
      <c r="O2889" s="112">
        <f ca="1">IFERROR(__xludf.DUMMYFUNCTION("""COMPUTED_VALUE"""),44519.8125)</f>
        <v>44519.8125</v>
      </c>
      <c r="P2889" s="111">
        <f ca="1">IFERROR(__xludf.DUMMYFUNCTION("""COMPUTED_VALUE"""),64.03)</f>
        <v>64.03</v>
      </c>
      <c r="Q2889" s="112">
        <f ca="1">IFERROR(__xludf.DUMMYFUNCTION("""COMPUTED_VALUE"""),44518.7055555555)</f>
        <v>44518.705555555498</v>
      </c>
      <c r="R2889" s="111">
        <f ca="1">IFERROR(__xludf.DUMMYFUNCTION("""COMPUTED_VALUE"""),29.09)</f>
        <v>29.09</v>
      </c>
      <c r="S2889" s="112">
        <f ca="1">IFERROR(__xludf.DUMMYFUNCTION("""COMPUTED_VALUE"""),44532.7055555555)</f>
        <v>44532.705555555498</v>
      </c>
      <c r="T2889" s="111">
        <f ca="1">IFERROR(__xludf.DUMMYFUNCTION("""COMPUTED_VALUE"""),28.61)</f>
        <v>28.61</v>
      </c>
    </row>
    <row r="2890" spans="1:20" x14ac:dyDescent="0.3">
      <c r="A2890" s="112">
        <f ca="1">IFERROR(__xludf.DUMMYFUNCTION("""COMPUTED_VALUE"""),44529.8125)</f>
        <v>44529.8125</v>
      </c>
      <c r="B2890" s="111">
        <f ca="1">IFERROR(__xludf.DUMMYFUNCTION("""COMPUTED_VALUE"""),32.57)</f>
        <v>32.57</v>
      </c>
      <c r="C2890" s="112">
        <f ca="1">IFERROR(__xludf.DUMMYFUNCTION("""COMPUTED_VALUE"""),44538.7055555555)</f>
        <v>44538.705555555498</v>
      </c>
      <c r="D2890" s="111">
        <f ca="1">IFERROR(__xludf.DUMMYFUNCTION("""COMPUTED_VALUE"""),22.74)</f>
        <v>22.74</v>
      </c>
      <c r="E2890" s="112">
        <f ca="1">IFERROR(__xludf.DUMMYFUNCTION("""COMPUTED_VALUE"""),44539.7055555555)</f>
        <v>44539.705555555498</v>
      </c>
      <c r="F2890" s="111">
        <f ca="1">IFERROR(__xludf.DUMMYFUNCTION("""COMPUTED_VALUE"""),9.22)</f>
        <v>9.2200000000000006</v>
      </c>
      <c r="G2890" s="112">
        <f ca="1">IFERROR(__xludf.DUMMYFUNCTION("""COMPUTED_VALUE"""),44537.7055555555)</f>
        <v>44537.705555555498</v>
      </c>
      <c r="H2890" s="111">
        <f ca="1">IFERROR(__xludf.DUMMYFUNCTION("""COMPUTED_VALUE"""),29.36)</f>
        <v>29.36</v>
      </c>
      <c r="M2890" s="112">
        <f ca="1">IFERROR(__xludf.DUMMYFUNCTION("""COMPUTED_VALUE"""),44442.7055555555)</f>
        <v>44442.705555555498</v>
      </c>
      <c r="N2890" s="111">
        <f ca="1">IFERROR(__xludf.DUMMYFUNCTION("""COMPUTED_VALUE"""),22.17)</f>
        <v>22.17</v>
      </c>
      <c r="O2890" s="112">
        <f ca="1">IFERROR(__xludf.DUMMYFUNCTION("""COMPUTED_VALUE"""),44522.8125)</f>
        <v>44522.8125</v>
      </c>
      <c r="P2890" s="111">
        <f ca="1">IFERROR(__xludf.DUMMYFUNCTION("""COMPUTED_VALUE"""),67.59)</f>
        <v>67.59</v>
      </c>
      <c r="Q2890" s="112">
        <f ca="1">IFERROR(__xludf.DUMMYFUNCTION("""COMPUTED_VALUE"""),44519.8125)</f>
        <v>44519.8125</v>
      </c>
      <c r="R2890" s="111">
        <f ca="1">IFERROR(__xludf.DUMMYFUNCTION("""COMPUTED_VALUE"""),29.05)</f>
        <v>29.05</v>
      </c>
      <c r="S2890" s="112">
        <f ca="1">IFERROR(__xludf.DUMMYFUNCTION("""COMPUTED_VALUE"""),44533.7055555555)</f>
        <v>44533.705555555498</v>
      </c>
      <c r="T2890" s="111">
        <f ca="1">IFERROR(__xludf.DUMMYFUNCTION("""COMPUTED_VALUE"""),29.25)</f>
        <v>29.25</v>
      </c>
    </row>
    <row r="2891" spans="1:20" x14ac:dyDescent="0.3">
      <c r="A2891" s="112">
        <f ca="1">IFERROR(__xludf.DUMMYFUNCTION("""COMPUTED_VALUE"""),44530.75)</f>
        <v>44530.75</v>
      </c>
      <c r="B2891" s="111">
        <f ca="1">IFERROR(__xludf.DUMMYFUNCTION("""COMPUTED_VALUE"""),32.28)</f>
        <v>32.28</v>
      </c>
      <c r="C2891" s="112">
        <f ca="1">IFERROR(__xludf.DUMMYFUNCTION("""COMPUTED_VALUE"""),44539.7055555555)</f>
        <v>44539.705555555498</v>
      </c>
      <c r="D2891" s="111">
        <f ca="1">IFERROR(__xludf.DUMMYFUNCTION("""COMPUTED_VALUE"""),22.13)</f>
        <v>22.13</v>
      </c>
      <c r="E2891" s="112">
        <f ca="1">IFERROR(__xludf.DUMMYFUNCTION("""COMPUTED_VALUE"""),44540.7055555555)</f>
        <v>44540.705555555498</v>
      </c>
      <c r="F2891" s="111">
        <f ca="1">IFERROR(__xludf.DUMMYFUNCTION("""COMPUTED_VALUE"""),9.24)</f>
        <v>9.24</v>
      </c>
      <c r="G2891" s="112">
        <f ca="1">IFERROR(__xludf.DUMMYFUNCTION("""COMPUTED_VALUE"""),44538.7055555555)</f>
        <v>44538.705555555498</v>
      </c>
      <c r="H2891" s="111">
        <f ca="1">IFERROR(__xludf.DUMMYFUNCTION("""COMPUTED_VALUE"""),29.35)</f>
        <v>29.35</v>
      </c>
      <c r="M2891" s="112">
        <f ca="1">IFERROR(__xludf.DUMMYFUNCTION("""COMPUTED_VALUE"""),44445.7055555555)</f>
        <v>44445.705555555498</v>
      </c>
      <c r="N2891" s="111">
        <f ca="1">IFERROR(__xludf.DUMMYFUNCTION("""COMPUTED_VALUE"""),22.4)</f>
        <v>22.4</v>
      </c>
      <c r="O2891" s="112">
        <f ca="1">IFERROR(__xludf.DUMMYFUNCTION("""COMPUTED_VALUE"""),44523.8125)</f>
        <v>44523.8125</v>
      </c>
      <c r="P2891" s="111">
        <f ca="1">IFERROR(__xludf.DUMMYFUNCTION("""COMPUTED_VALUE"""),69.37)</f>
        <v>69.37</v>
      </c>
      <c r="Q2891" s="112">
        <f ca="1">IFERROR(__xludf.DUMMYFUNCTION("""COMPUTED_VALUE"""),44522.8125)</f>
        <v>44522.8125</v>
      </c>
      <c r="R2891" s="111">
        <f ca="1">IFERROR(__xludf.DUMMYFUNCTION("""COMPUTED_VALUE"""),28.89)</f>
        <v>28.89</v>
      </c>
      <c r="S2891" s="112">
        <f ca="1">IFERROR(__xludf.DUMMYFUNCTION("""COMPUTED_VALUE"""),44536.7055555555)</f>
        <v>44536.705555555498</v>
      </c>
      <c r="T2891" s="111">
        <f ca="1">IFERROR(__xludf.DUMMYFUNCTION("""COMPUTED_VALUE"""),29.79)</f>
        <v>29.79</v>
      </c>
    </row>
    <row r="2892" spans="1:20" x14ac:dyDescent="0.3">
      <c r="A2892" s="112">
        <f ca="1">IFERROR(__xludf.DUMMYFUNCTION("""COMPUTED_VALUE"""),44531.7055555555)</f>
        <v>44531.705555555498</v>
      </c>
      <c r="B2892" s="111">
        <f ca="1">IFERROR(__xludf.DUMMYFUNCTION("""COMPUTED_VALUE"""),32.4)</f>
        <v>32.4</v>
      </c>
      <c r="C2892" s="112">
        <f ca="1">IFERROR(__xludf.DUMMYFUNCTION("""COMPUTED_VALUE"""),44540.7055555555)</f>
        <v>44540.705555555498</v>
      </c>
      <c r="D2892" s="111">
        <f ca="1">IFERROR(__xludf.DUMMYFUNCTION("""COMPUTED_VALUE"""),22.16)</f>
        <v>22.16</v>
      </c>
      <c r="E2892" s="112">
        <f ca="1">IFERROR(__xludf.DUMMYFUNCTION("""COMPUTED_VALUE"""),44543.75)</f>
        <v>44543.75</v>
      </c>
      <c r="F2892" s="111">
        <f ca="1">IFERROR(__xludf.DUMMYFUNCTION("""COMPUTED_VALUE"""),9.1)</f>
        <v>9.1</v>
      </c>
      <c r="G2892" s="112">
        <f ca="1">IFERROR(__xludf.DUMMYFUNCTION("""COMPUTED_VALUE"""),44539.7055555555)</f>
        <v>44539.705555555498</v>
      </c>
      <c r="H2892" s="111">
        <f ca="1">IFERROR(__xludf.DUMMYFUNCTION("""COMPUTED_VALUE"""),29.29)</f>
        <v>29.29</v>
      </c>
      <c r="M2892" s="112">
        <f ca="1">IFERROR(__xludf.DUMMYFUNCTION("""COMPUTED_VALUE"""),44447.7055555555)</f>
        <v>44447.705555555498</v>
      </c>
      <c r="N2892" s="111">
        <f ca="1">IFERROR(__xludf.DUMMYFUNCTION("""COMPUTED_VALUE"""),21.11)</f>
        <v>21.11</v>
      </c>
      <c r="O2892" s="112">
        <f ca="1">IFERROR(__xludf.DUMMYFUNCTION("""COMPUTED_VALUE"""),44524.8125)</f>
        <v>44524.8125</v>
      </c>
      <c r="P2892" s="111">
        <f ca="1">IFERROR(__xludf.DUMMYFUNCTION("""COMPUTED_VALUE"""),70.98)</f>
        <v>70.98</v>
      </c>
      <c r="Q2892" s="112">
        <f ca="1">IFERROR(__xludf.DUMMYFUNCTION("""COMPUTED_VALUE"""),44523.8125)</f>
        <v>44523.8125</v>
      </c>
      <c r="R2892" s="111">
        <f ca="1">IFERROR(__xludf.DUMMYFUNCTION("""COMPUTED_VALUE"""),29.69)</f>
        <v>29.69</v>
      </c>
      <c r="S2892" s="112">
        <f ca="1">IFERROR(__xludf.DUMMYFUNCTION("""COMPUTED_VALUE"""),44537.7055555555)</f>
        <v>44537.705555555498</v>
      </c>
      <c r="T2892" s="111">
        <f ca="1">IFERROR(__xludf.DUMMYFUNCTION("""COMPUTED_VALUE"""),29.46)</f>
        <v>29.46</v>
      </c>
    </row>
    <row r="2893" spans="1:20" x14ac:dyDescent="0.3">
      <c r="A2893" s="112">
        <f ca="1">IFERROR(__xludf.DUMMYFUNCTION("""COMPUTED_VALUE"""),44532.7055555555)</f>
        <v>44532.705555555498</v>
      </c>
      <c r="B2893" s="111">
        <f ca="1">IFERROR(__xludf.DUMMYFUNCTION("""COMPUTED_VALUE"""),34.13)</f>
        <v>34.130000000000003</v>
      </c>
      <c r="C2893" s="112">
        <f ca="1">IFERROR(__xludf.DUMMYFUNCTION("""COMPUTED_VALUE"""),44543.75)</f>
        <v>44543.75</v>
      </c>
      <c r="D2893" s="111">
        <f ca="1">IFERROR(__xludf.DUMMYFUNCTION("""COMPUTED_VALUE"""),21.57)</f>
        <v>21.57</v>
      </c>
      <c r="E2893" s="112">
        <f ca="1">IFERROR(__xludf.DUMMYFUNCTION("""COMPUTED_VALUE"""),44544.75)</f>
        <v>44544.75</v>
      </c>
      <c r="F2893" s="111">
        <f ca="1">IFERROR(__xludf.DUMMYFUNCTION("""COMPUTED_VALUE"""),9.15)</f>
        <v>9.15</v>
      </c>
      <c r="G2893" s="112">
        <f ca="1">IFERROR(__xludf.DUMMYFUNCTION("""COMPUTED_VALUE"""),44540.7055555555)</f>
        <v>44540.705555555498</v>
      </c>
      <c r="H2893" s="111">
        <f ca="1">IFERROR(__xludf.DUMMYFUNCTION("""COMPUTED_VALUE"""),29.65)</f>
        <v>29.65</v>
      </c>
      <c r="M2893" s="112">
        <f ca="1">IFERROR(__xludf.DUMMYFUNCTION("""COMPUTED_VALUE"""),44448.7055555555)</f>
        <v>44448.705555555498</v>
      </c>
      <c r="N2893" s="111">
        <f ca="1">IFERROR(__xludf.DUMMYFUNCTION("""COMPUTED_VALUE"""),21.2)</f>
        <v>21.2</v>
      </c>
      <c r="O2893" s="112">
        <f ca="1">IFERROR(__xludf.DUMMYFUNCTION("""COMPUTED_VALUE"""),44525.8125)</f>
        <v>44525.8125</v>
      </c>
      <c r="P2893" s="111">
        <f ca="1">IFERROR(__xludf.DUMMYFUNCTION("""COMPUTED_VALUE"""),70.5)</f>
        <v>70.5</v>
      </c>
      <c r="Q2893" s="112">
        <f ca="1">IFERROR(__xludf.DUMMYFUNCTION("""COMPUTED_VALUE"""),44524.8125)</f>
        <v>44524.8125</v>
      </c>
      <c r="R2893" s="111">
        <f ca="1">IFERROR(__xludf.DUMMYFUNCTION("""COMPUTED_VALUE"""),30.24)</f>
        <v>30.24</v>
      </c>
      <c r="S2893" s="112">
        <f ca="1">IFERROR(__xludf.DUMMYFUNCTION("""COMPUTED_VALUE"""),44538.7055555555)</f>
        <v>44538.705555555498</v>
      </c>
      <c r="T2893" s="111">
        <f ca="1">IFERROR(__xludf.DUMMYFUNCTION("""COMPUTED_VALUE"""),29.6)</f>
        <v>29.6</v>
      </c>
    </row>
    <row r="2894" spans="1:20" x14ac:dyDescent="0.3">
      <c r="A2894" s="112">
        <f ca="1">IFERROR(__xludf.DUMMYFUNCTION("""COMPUTED_VALUE"""),44533.7055555555)</f>
        <v>44533.705555555498</v>
      </c>
      <c r="B2894" s="111">
        <f ca="1">IFERROR(__xludf.DUMMYFUNCTION("""COMPUTED_VALUE"""),35.01)</f>
        <v>35.01</v>
      </c>
      <c r="C2894" s="112">
        <f ca="1">IFERROR(__xludf.DUMMYFUNCTION("""COMPUTED_VALUE"""),44544.75)</f>
        <v>44544.75</v>
      </c>
      <c r="D2894" s="111">
        <f ca="1">IFERROR(__xludf.DUMMYFUNCTION("""COMPUTED_VALUE"""),21.78)</f>
        <v>21.78</v>
      </c>
      <c r="E2894" s="112">
        <f ca="1">IFERROR(__xludf.DUMMYFUNCTION("""COMPUTED_VALUE"""),44545.75)</f>
        <v>44545.75</v>
      </c>
      <c r="F2894" s="111">
        <f ca="1">IFERROR(__xludf.DUMMYFUNCTION("""COMPUTED_VALUE"""),9.24)</f>
        <v>9.24</v>
      </c>
      <c r="G2894" s="112">
        <f ca="1">IFERROR(__xludf.DUMMYFUNCTION("""COMPUTED_VALUE"""),44543.75)</f>
        <v>44543.75</v>
      </c>
      <c r="H2894" s="111">
        <f ca="1">IFERROR(__xludf.DUMMYFUNCTION("""COMPUTED_VALUE"""),29.47)</f>
        <v>29.47</v>
      </c>
      <c r="M2894" s="112">
        <f ca="1">IFERROR(__xludf.DUMMYFUNCTION("""COMPUTED_VALUE"""),44449.7055555555)</f>
        <v>44449.705555555498</v>
      </c>
      <c r="N2894" s="111">
        <f ca="1">IFERROR(__xludf.DUMMYFUNCTION("""COMPUTED_VALUE"""),20.94)</f>
        <v>20.94</v>
      </c>
      <c r="O2894" s="112">
        <f ca="1">IFERROR(__xludf.DUMMYFUNCTION("""COMPUTED_VALUE"""),44526.8125)</f>
        <v>44526.8125</v>
      </c>
      <c r="P2894" s="111">
        <f ca="1">IFERROR(__xludf.DUMMYFUNCTION("""COMPUTED_VALUE"""),68.64)</f>
        <v>68.64</v>
      </c>
      <c r="Q2894" s="112">
        <f ca="1">IFERROR(__xludf.DUMMYFUNCTION("""COMPUTED_VALUE"""),44525.8125)</f>
        <v>44525.8125</v>
      </c>
      <c r="R2894" s="111">
        <f ca="1">IFERROR(__xludf.DUMMYFUNCTION("""COMPUTED_VALUE"""),31.81)</f>
        <v>31.81</v>
      </c>
      <c r="S2894" s="112">
        <f ca="1">IFERROR(__xludf.DUMMYFUNCTION("""COMPUTED_VALUE"""),44539.7055555555)</f>
        <v>44539.705555555498</v>
      </c>
      <c r="T2894" s="111">
        <f ca="1">IFERROR(__xludf.DUMMYFUNCTION("""COMPUTED_VALUE"""),28.25)</f>
        <v>28.25</v>
      </c>
    </row>
    <row r="2895" spans="1:20" x14ac:dyDescent="0.3">
      <c r="A2895" s="112">
        <f ca="1">IFERROR(__xludf.DUMMYFUNCTION("""COMPUTED_VALUE"""),44536.7055555555)</f>
        <v>44536.705555555498</v>
      </c>
      <c r="B2895" s="111">
        <f ca="1">IFERROR(__xludf.DUMMYFUNCTION("""COMPUTED_VALUE"""),35.3)</f>
        <v>35.299999999999997</v>
      </c>
      <c r="C2895" s="112">
        <f ca="1">IFERROR(__xludf.DUMMYFUNCTION("""COMPUTED_VALUE"""),44545.75)</f>
        <v>44545.75</v>
      </c>
      <c r="D2895" s="111">
        <f ca="1">IFERROR(__xludf.DUMMYFUNCTION("""COMPUTED_VALUE"""),21.71)</f>
        <v>21.71</v>
      </c>
      <c r="E2895" s="112">
        <f ca="1">IFERROR(__xludf.DUMMYFUNCTION("""COMPUTED_VALUE"""),44546.75)</f>
        <v>44546.75</v>
      </c>
      <c r="F2895" s="111">
        <f ca="1">IFERROR(__xludf.DUMMYFUNCTION("""COMPUTED_VALUE"""),9.25)</f>
        <v>9.25</v>
      </c>
      <c r="G2895" s="112">
        <f ca="1">IFERROR(__xludf.DUMMYFUNCTION("""COMPUTED_VALUE"""),44544.75)</f>
        <v>44544.75</v>
      </c>
      <c r="H2895" s="111">
        <f ca="1">IFERROR(__xludf.DUMMYFUNCTION("""COMPUTED_VALUE"""),29.12)</f>
        <v>29.12</v>
      </c>
      <c r="M2895" s="112">
        <f ca="1">IFERROR(__xludf.DUMMYFUNCTION("""COMPUTED_VALUE"""),44452.7055555555)</f>
        <v>44452.705555555498</v>
      </c>
      <c r="N2895" s="111">
        <f ca="1">IFERROR(__xludf.DUMMYFUNCTION("""COMPUTED_VALUE"""),21.37)</f>
        <v>21.37</v>
      </c>
      <c r="O2895" s="112">
        <f ca="1">IFERROR(__xludf.DUMMYFUNCTION("""COMPUTED_VALUE"""),44529.8125)</f>
        <v>44529.8125</v>
      </c>
      <c r="P2895" s="111">
        <f ca="1">IFERROR(__xludf.DUMMYFUNCTION("""COMPUTED_VALUE"""),69.5)</f>
        <v>69.5</v>
      </c>
      <c r="Q2895" s="112">
        <f ca="1">IFERROR(__xludf.DUMMYFUNCTION("""COMPUTED_VALUE"""),44526.8125)</f>
        <v>44526.8125</v>
      </c>
      <c r="R2895" s="111">
        <f ca="1">IFERROR(__xludf.DUMMYFUNCTION("""COMPUTED_VALUE"""),30.76)</f>
        <v>30.76</v>
      </c>
      <c r="S2895" s="112">
        <f ca="1">IFERROR(__xludf.DUMMYFUNCTION("""COMPUTED_VALUE"""),44540.7055555555)</f>
        <v>44540.705555555498</v>
      </c>
      <c r="T2895" s="111">
        <f ca="1">IFERROR(__xludf.DUMMYFUNCTION("""COMPUTED_VALUE"""),28.4)</f>
        <v>28.4</v>
      </c>
    </row>
    <row r="2896" spans="1:20" x14ac:dyDescent="0.3">
      <c r="A2896" s="112">
        <f ca="1">IFERROR(__xludf.DUMMYFUNCTION("""COMPUTED_VALUE"""),44537.7055555555)</f>
        <v>44537.705555555498</v>
      </c>
      <c r="B2896" s="111">
        <f ca="1">IFERROR(__xludf.DUMMYFUNCTION("""COMPUTED_VALUE"""),34.76)</f>
        <v>34.76</v>
      </c>
      <c r="C2896" s="112">
        <f ca="1">IFERROR(__xludf.DUMMYFUNCTION("""COMPUTED_VALUE"""),44546.75)</f>
        <v>44546.75</v>
      </c>
      <c r="D2896" s="111">
        <f ca="1">IFERROR(__xludf.DUMMYFUNCTION("""COMPUTED_VALUE"""),21.93)</f>
        <v>21.93</v>
      </c>
      <c r="E2896" s="112">
        <f ca="1">IFERROR(__xludf.DUMMYFUNCTION("""COMPUTED_VALUE"""),44547.75)</f>
        <v>44547.75</v>
      </c>
      <c r="F2896" s="111">
        <f ca="1">IFERROR(__xludf.DUMMYFUNCTION("""COMPUTED_VALUE"""),9.09)</f>
        <v>9.09</v>
      </c>
      <c r="G2896" s="112">
        <f ca="1">IFERROR(__xludf.DUMMYFUNCTION("""COMPUTED_VALUE"""),44545.75)</f>
        <v>44545.75</v>
      </c>
      <c r="H2896" s="111">
        <f ca="1">IFERROR(__xludf.DUMMYFUNCTION("""COMPUTED_VALUE"""),29.3)</f>
        <v>29.3</v>
      </c>
      <c r="M2896" s="112">
        <f ca="1">IFERROR(__xludf.DUMMYFUNCTION("""COMPUTED_VALUE"""),44453.7055555555)</f>
        <v>44453.705555555498</v>
      </c>
      <c r="N2896" s="111">
        <f ca="1">IFERROR(__xludf.DUMMYFUNCTION("""COMPUTED_VALUE"""),21.23)</f>
        <v>21.23</v>
      </c>
      <c r="O2896" s="112">
        <f ca="1">IFERROR(__xludf.DUMMYFUNCTION("""COMPUTED_VALUE"""),44530.75)</f>
        <v>44530.75</v>
      </c>
      <c r="P2896" s="111">
        <f ca="1">IFERROR(__xludf.DUMMYFUNCTION("""COMPUTED_VALUE"""),69.95)</f>
        <v>69.95</v>
      </c>
      <c r="Q2896" s="112">
        <f ca="1">IFERROR(__xludf.DUMMYFUNCTION("""COMPUTED_VALUE"""),44529.8125)</f>
        <v>44529.8125</v>
      </c>
      <c r="R2896" s="111">
        <f ca="1">IFERROR(__xludf.DUMMYFUNCTION("""COMPUTED_VALUE"""),30.81)</f>
        <v>30.81</v>
      </c>
      <c r="S2896" s="112">
        <f ca="1">IFERROR(__xludf.DUMMYFUNCTION("""COMPUTED_VALUE"""),44543.75)</f>
        <v>44543.75</v>
      </c>
      <c r="T2896" s="111">
        <f ca="1">IFERROR(__xludf.DUMMYFUNCTION("""COMPUTED_VALUE"""),27.81)</f>
        <v>27.81</v>
      </c>
    </row>
    <row r="2897" spans="1:20" x14ac:dyDescent="0.3">
      <c r="A2897" s="112">
        <f ca="1">IFERROR(__xludf.DUMMYFUNCTION("""COMPUTED_VALUE"""),44538.7055555555)</f>
        <v>44538.705555555498</v>
      </c>
      <c r="B2897" s="111">
        <f ca="1">IFERROR(__xludf.DUMMYFUNCTION("""COMPUTED_VALUE"""),35.06)</f>
        <v>35.06</v>
      </c>
      <c r="C2897" s="112">
        <f ca="1">IFERROR(__xludf.DUMMYFUNCTION("""COMPUTED_VALUE"""),44547.75)</f>
        <v>44547.75</v>
      </c>
      <c r="D2897" s="111">
        <f ca="1">IFERROR(__xludf.DUMMYFUNCTION("""COMPUTED_VALUE"""),21.45)</f>
        <v>21.45</v>
      </c>
      <c r="E2897" s="112">
        <f ca="1">IFERROR(__xludf.DUMMYFUNCTION("""COMPUTED_VALUE"""),44550.75)</f>
        <v>44550.75</v>
      </c>
      <c r="F2897" s="111">
        <f ca="1">IFERROR(__xludf.DUMMYFUNCTION("""COMPUTED_VALUE"""),9)</f>
        <v>9</v>
      </c>
      <c r="G2897" s="112">
        <f ca="1">IFERROR(__xludf.DUMMYFUNCTION("""COMPUTED_VALUE"""),44546.75)</f>
        <v>44546.75</v>
      </c>
      <c r="H2897" s="111">
        <f ca="1">IFERROR(__xludf.DUMMYFUNCTION("""COMPUTED_VALUE"""),29.69)</f>
        <v>29.69</v>
      </c>
      <c r="M2897" s="112">
        <f ca="1">IFERROR(__xludf.DUMMYFUNCTION("""COMPUTED_VALUE"""),44454.7055555555)</f>
        <v>44454.705555555498</v>
      </c>
      <c r="N2897" s="111">
        <f ca="1">IFERROR(__xludf.DUMMYFUNCTION("""COMPUTED_VALUE"""),21.04)</f>
        <v>21.04</v>
      </c>
      <c r="O2897" s="112">
        <f ca="1">IFERROR(__xludf.DUMMYFUNCTION("""COMPUTED_VALUE"""),44531.7055555555)</f>
        <v>44531.705555555498</v>
      </c>
      <c r="P2897" s="111">
        <f ca="1">IFERROR(__xludf.DUMMYFUNCTION("""COMPUTED_VALUE"""),70.23)</f>
        <v>70.23</v>
      </c>
      <c r="Q2897" s="112">
        <f ca="1">IFERROR(__xludf.DUMMYFUNCTION("""COMPUTED_VALUE"""),44530.75)</f>
        <v>44530.75</v>
      </c>
      <c r="R2897" s="111">
        <f ca="1">IFERROR(__xludf.DUMMYFUNCTION("""COMPUTED_VALUE"""),31.84)</f>
        <v>31.84</v>
      </c>
      <c r="S2897" s="112">
        <f ca="1">IFERROR(__xludf.DUMMYFUNCTION("""COMPUTED_VALUE"""),44544.75)</f>
        <v>44544.75</v>
      </c>
      <c r="T2897" s="111">
        <f ca="1">IFERROR(__xludf.DUMMYFUNCTION("""COMPUTED_VALUE"""),26.45)</f>
        <v>26.45</v>
      </c>
    </row>
    <row r="2898" spans="1:20" x14ac:dyDescent="0.3">
      <c r="A2898" s="112">
        <f ca="1">IFERROR(__xludf.DUMMYFUNCTION("""COMPUTED_VALUE"""),44539.7055555555)</f>
        <v>44539.705555555498</v>
      </c>
      <c r="B2898" s="111">
        <f ca="1">IFERROR(__xludf.DUMMYFUNCTION("""COMPUTED_VALUE"""),33.93)</f>
        <v>33.93</v>
      </c>
      <c r="C2898" s="112">
        <f ca="1">IFERROR(__xludf.DUMMYFUNCTION("""COMPUTED_VALUE"""),44550.75)</f>
        <v>44550.75</v>
      </c>
      <c r="D2898" s="111">
        <f ca="1">IFERROR(__xludf.DUMMYFUNCTION("""COMPUTED_VALUE"""),21.12)</f>
        <v>21.12</v>
      </c>
      <c r="E2898" s="112">
        <f ca="1">IFERROR(__xludf.DUMMYFUNCTION("""COMPUTED_VALUE"""),44551.75)</f>
        <v>44551.75</v>
      </c>
      <c r="F2898" s="111">
        <f ca="1">IFERROR(__xludf.DUMMYFUNCTION("""COMPUTED_VALUE"""),8.94)</f>
        <v>8.94</v>
      </c>
      <c r="G2898" s="112">
        <f ca="1">IFERROR(__xludf.DUMMYFUNCTION("""COMPUTED_VALUE"""),44547.75)</f>
        <v>44547.75</v>
      </c>
      <c r="H2898" s="111">
        <f ca="1">IFERROR(__xludf.DUMMYFUNCTION("""COMPUTED_VALUE"""),28.99)</f>
        <v>28.99</v>
      </c>
      <c r="M2898" s="112">
        <f ca="1">IFERROR(__xludf.DUMMYFUNCTION("""COMPUTED_VALUE"""),44455.7055555555)</f>
        <v>44455.705555555498</v>
      </c>
      <c r="N2898" s="111">
        <f ca="1">IFERROR(__xludf.DUMMYFUNCTION("""COMPUTED_VALUE"""),20.77)</f>
        <v>20.77</v>
      </c>
      <c r="O2898" s="112">
        <f ca="1">IFERROR(__xludf.DUMMYFUNCTION("""COMPUTED_VALUE"""),44532.7055555555)</f>
        <v>44532.705555555498</v>
      </c>
      <c r="P2898" s="111">
        <f ca="1">IFERROR(__xludf.DUMMYFUNCTION("""COMPUTED_VALUE"""),73.49)</f>
        <v>73.489999999999995</v>
      </c>
      <c r="Q2898" s="112">
        <f ca="1">IFERROR(__xludf.DUMMYFUNCTION("""COMPUTED_VALUE"""),44531.7055555555)</f>
        <v>44531.705555555498</v>
      </c>
      <c r="R2898" s="111">
        <f ca="1">IFERROR(__xludf.DUMMYFUNCTION("""COMPUTED_VALUE"""),31.3)</f>
        <v>31.3</v>
      </c>
      <c r="S2898" s="112">
        <f ca="1">IFERROR(__xludf.DUMMYFUNCTION("""COMPUTED_VALUE"""),44545.75)</f>
        <v>44545.75</v>
      </c>
      <c r="T2898" s="111">
        <f ca="1">IFERROR(__xludf.DUMMYFUNCTION("""COMPUTED_VALUE"""),26.99)</f>
        <v>26.99</v>
      </c>
    </row>
    <row r="2899" spans="1:20" x14ac:dyDescent="0.3">
      <c r="A2899" s="112">
        <f ca="1">IFERROR(__xludf.DUMMYFUNCTION("""COMPUTED_VALUE"""),44540.7055555555)</f>
        <v>44540.705555555498</v>
      </c>
      <c r="B2899" s="111">
        <f ca="1">IFERROR(__xludf.DUMMYFUNCTION("""COMPUTED_VALUE"""),35.02)</f>
        <v>35.020000000000003</v>
      </c>
      <c r="C2899" s="112">
        <f ca="1">IFERROR(__xludf.DUMMYFUNCTION("""COMPUTED_VALUE"""),44551.75)</f>
        <v>44551.75</v>
      </c>
      <c r="D2899" s="111">
        <f ca="1">IFERROR(__xludf.DUMMYFUNCTION("""COMPUTED_VALUE"""),21.15)</f>
        <v>21.15</v>
      </c>
      <c r="E2899" s="112">
        <f ca="1">IFERROR(__xludf.DUMMYFUNCTION("""COMPUTED_VALUE"""),44552.75)</f>
        <v>44552.75</v>
      </c>
      <c r="F2899" s="111">
        <f ca="1">IFERROR(__xludf.DUMMYFUNCTION("""COMPUTED_VALUE"""),8.97)</f>
        <v>8.9700000000000006</v>
      </c>
      <c r="G2899" s="112">
        <f ca="1">IFERROR(__xludf.DUMMYFUNCTION("""COMPUTED_VALUE"""),44550.75)</f>
        <v>44550.75</v>
      </c>
      <c r="H2899" s="111">
        <f ca="1">IFERROR(__xludf.DUMMYFUNCTION("""COMPUTED_VALUE"""),28.16)</f>
        <v>28.16</v>
      </c>
      <c r="M2899" s="112">
        <f ca="1">IFERROR(__xludf.DUMMYFUNCTION("""COMPUTED_VALUE"""),44456.7055555555)</f>
        <v>44456.705555555498</v>
      </c>
      <c r="N2899" s="111">
        <f ca="1">IFERROR(__xludf.DUMMYFUNCTION("""COMPUTED_VALUE"""),20.02)</f>
        <v>20.02</v>
      </c>
      <c r="O2899" s="112">
        <f ca="1">IFERROR(__xludf.DUMMYFUNCTION("""COMPUTED_VALUE"""),44533.7055555555)</f>
        <v>44533.705555555498</v>
      </c>
      <c r="P2899" s="111">
        <f ca="1">IFERROR(__xludf.DUMMYFUNCTION("""COMPUTED_VALUE"""),71.87)</f>
        <v>71.87</v>
      </c>
      <c r="Q2899" s="112">
        <f ca="1">IFERROR(__xludf.DUMMYFUNCTION("""COMPUTED_VALUE"""),44532.7055555555)</f>
        <v>44532.705555555498</v>
      </c>
      <c r="R2899" s="111">
        <f ca="1">IFERROR(__xludf.DUMMYFUNCTION("""COMPUTED_VALUE"""),32.16)</f>
        <v>32.159999999999997</v>
      </c>
      <c r="S2899" s="112">
        <f ca="1">IFERROR(__xludf.DUMMYFUNCTION("""COMPUTED_VALUE"""),44546.75)</f>
        <v>44546.75</v>
      </c>
      <c r="T2899" s="111">
        <f ca="1">IFERROR(__xludf.DUMMYFUNCTION("""COMPUTED_VALUE"""),26.2)</f>
        <v>26.2</v>
      </c>
    </row>
    <row r="2900" spans="1:20" x14ac:dyDescent="0.3">
      <c r="A2900" s="112">
        <f ca="1">IFERROR(__xludf.DUMMYFUNCTION("""COMPUTED_VALUE"""),44543.75)</f>
        <v>44543.75</v>
      </c>
      <c r="B2900" s="111">
        <f ca="1">IFERROR(__xludf.DUMMYFUNCTION("""COMPUTED_VALUE"""),35.62)</f>
        <v>35.619999999999997</v>
      </c>
      <c r="C2900" s="112">
        <f ca="1">IFERROR(__xludf.DUMMYFUNCTION("""COMPUTED_VALUE"""),44552.75)</f>
        <v>44552.75</v>
      </c>
      <c r="D2900" s="111">
        <f ca="1">IFERROR(__xludf.DUMMYFUNCTION("""COMPUTED_VALUE"""),21.23)</f>
        <v>21.23</v>
      </c>
      <c r="E2900" s="112">
        <f ca="1">IFERROR(__xludf.DUMMYFUNCTION("""COMPUTED_VALUE"""),44553.75)</f>
        <v>44553.75</v>
      </c>
      <c r="F2900" s="111">
        <f ca="1">IFERROR(__xludf.DUMMYFUNCTION("""COMPUTED_VALUE"""),8.99)</f>
        <v>8.99</v>
      </c>
      <c r="G2900" s="112">
        <f ca="1">IFERROR(__xludf.DUMMYFUNCTION("""COMPUTED_VALUE"""),44551.75)</f>
        <v>44551.75</v>
      </c>
      <c r="H2900" s="111">
        <f ca="1">IFERROR(__xludf.DUMMYFUNCTION("""COMPUTED_VALUE"""),28.2)</f>
        <v>28.2</v>
      </c>
      <c r="M2900" s="112">
        <f ca="1">IFERROR(__xludf.DUMMYFUNCTION("""COMPUTED_VALUE"""),44459.7055555555)</f>
        <v>44459.705555555498</v>
      </c>
      <c r="N2900" s="111">
        <f ca="1">IFERROR(__xludf.DUMMYFUNCTION("""COMPUTED_VALUE"""),19.27)</f>
        <v>19.27</v>
      </c>
      <c r="O2900" s="112">
        <f ca="1">IFERROR(__xludf.DUMMYFUNCTION("""COMPUTED_VALUE"""),44536.7055555555)</f>
        <v>44536.705555555498</v>
      </c>
      <c r="P2900" s="111">
        <f ca="1">IFERROR(__xludf.DUMMYFUNCTION("""COMPUTED_VALUE"""),75.77)</f>
        <v>75.77</v>
      </c>
      <c r="Q2900" s="112">
        <f ca="1">IFERROR(__xludf.DUMMYFUNCTION("""COMPUTED_VALUE"""),44533.7055555555)</f>
        <v>44533.705555555498</v>
      </c>
      <c r="R2900" s="111">
        <f ca="1">IFERROR(__xludf.DUMMYFUNCTION("""COMPUTED_VALUE"""),32.2)</f>
        <v>32.200000000000003</v>
      </c>
      <c r="S2900" s="112">
        <f ca="1">IFERROR(__xludf.DUMMYFUNCTION("""COMPUTED_VALUE"""),44547.75)</f>
        <v>44547.75</v>
      </c>
      <c r="T2900" s="111">
        <f ca="1">IFERROR(__xludf.DUMMYFUNCTION("""COMPUTED_VALUE"""),26.24)</f>
        <v>26.24</v>
      </c>
    </row>
    <row r="2901" spans="1:20" x14ac:dyDescent="0.3">
      <c r="A2901" s="112">
        <f ca="1">IFERROR(__xludf.DUMMYFUNCTION("""COMPUTED_VALUE"""),44544.75)</f>
        <v>44544.75</v>
      </c>
      <c r="B2901" s="111">
        <f ca="1">IFERROR(__xludf.DUMMYFUNCTION("""COMPUTED_VALUE"""),34.15)</f>
        <v>34.15</v>
      </c>
      <c r="C2901" s="112">
        <f ca="1">IFERROR(__xludf.DUMMYFUNCTION("""COMPUTED_VALUE"""),44553.75)</f>
        <v>44553.75</v>
      </c>
      <c r="D2901" s="111">
        <f ca="1">IFERROR(__xludf.DUMMYFUNCTION("""COMPUTED_VALUE"""),21.34)</f>
        <v>21.34</v>
      </c>
      <c r="E2901" s="112">
        <f ca="1">IFERROR(__xludf.DUMMYFUNCTION("""COMPUTED_VALUE"""),44557.75)</f>
        <v>44557.75</v>
      </c>
      <c r="F2901" s="111">
        <f ca="1">IFERROR(__xludf.DUMMYFUNCTION("""COMPUTED_VALUE"""),9.09)</f>
        <v>9.09</v>
      </c>
      <c r="G2901" s="112">
        <f ca="1">IFERROR(__xludf.DUMMYFUNCTION("""COMPUTED_VALUE"""),44552.75)</f>
        <v>44552.75</v>
      </c>
      <c r="H2901" s="111">
        <f ca="1">IFERROR(__xludf.DUMMYFUNCTION("""COMPUTED_VALUE"""),28.16)</f>
        <v>28.16</v>
      </c>
      <c r="M2901" s="112">
        <f ca="1">IFERROR(__xludf.DUMMYFUNCTION("""COMPUTED_VALUE"""),44460.7055555555)</f>
        <v>44460.705555555498</v>
      </c>
      <c r="N2901" s="111">
        <f ca="1">IFERROR(__xludf.DUMMYFUNCTION("""COMPUTED_VALUE"""),19.55)</f>
        <v>19.55</v>
      </c>
      <c r="O2901" s="112">
        <f ca="1">IFERROR(__xludf.DUMMYFUNCTION("""COMPUTED_VALUE"""),44537.7055555555)</f>
        <v>44537.705555555498</v>
      </c>
      <c r="P2901" s="111">
        <f ca="1">IFERROR(__xludf.DUMMYFUNCTION("""COMPUTED_VALUE"""),76.33)</f>
        <v>76.33</v>
      </c>
      <c r="Q2901" s="112">
        <f ca="1">IFERROR(__xludf.DUMMYFUNCTION("""COMPUTED_VALUE"""),44536.7055555555)</f>
        <v>44536.705555555498</v>
      </c>
      <c r="R2901" s="111">
        <f ca="1">IFERROR(__xludf.DUMMYFUNCTION("""COMPUTED_VALUE"""),33.07)</f>
        <v>33.07</v>
      </c>
      <c r="S2901" s="112">
        <f ca="1">IFERROR(__xludf.DUMMYFUNCTION("""COMPUTED_VALUE"""),44550.75)</f>
        <v>44550.75</v>
      </c>
      <c r="T2901" s="111">
        <f ca="1">IFERROR(__xludf.DUMMYFUNCTION("""COMPUTED_VALUE"""),25.26)</f>
        <v>25.26</v>
      </c>
    </row>
    <row r="2902" spans="1:20" x14ac:dyDescent="0.3">
      <c r="A2902" s="112">
        <f ca="1">IFERROR(__xludf.DUMMYFUNCTION("""COMPUTED_VALUE"""),44545.75)</f>
        <v>44545.75</v>
      </c>
      <c r="B2902" s="111">
        <f ca="1">IFERROR(__xludf.DUMMYFUNCTION("""COMPUTED_VALUE"""),34.01)</f>
        <v>34.01</v>
      </c>
      <c r="C2902" s="112">
        <f ca="1">IFERROR(__xludf.DUMMYFUNCTION("""COMPUTED_VALUE"""),44557.75)</f>
        <v>44557.75</v>
      </c>
      <c r="D2902" s="111">
        <f ca="1">IFERROR(__xludf.DUMMYFUNCTION("""COMPUTED_VALUE"""),21.56)</f>
        <v>21.56</v>
      </c>
      <c r="E2902" s="112">
        <f ca="1">IFERROR(__xludf.DUMMYFUNCTION("""COMPUTED_VALUE"""),44558.75)</f>
        <v>44558.75</v>
      </c>
      <c r="F2902" s="111">
        <f ca="1">IFERROR(__xludf.DUMMYFUNCTION("""COMPUTED_VALUE"""),9.08)</f>
        <v>9.08</v>
      </c>
      <c r="G2902" s="112">
        <f ca="1">IFERROR(__xludf.DUMMYFUNCTION("""COMPUTED_VALUE"""),44553.75)</f>
        <v>44553.75</v>
      </c>
      <c r="H2902" s="111">
        <f ca="1">IFERROR(__xludf.DUMMYFUNCTION("""COMPUTED_VALUE"""),28.33)</f>
        <v>28.33</v>
      </c>
      <c r="M2902" s="112">
        <f ca="1">IFERROR(__xludf.DUMMYFUNCTION("""COMPUTED_VALUE"""),44461.7055555555)</f>
        <v>44461.705555555498</v>
      </c>
      <c r="N2902" s="111">
        <f ca="1">IFERROR(__xludf.DUMMYFUNCTION("""COMPUTED_VALUE"""),19.84)</f>
        <v>19.84</v>
      </c>
      <c r="O2902" s="112">
        <f ca="1">IFERROR(__xludf.DUMMYFUNCTION("""COMPUTED_VALUE"""),44538.7055555555)</f>
        <v>44538.705555555498</v>
      </c>
      <c r="P2902" s="111">
        <f ca="1">IFERROR(__xludf.DUMMYFUNCTION("""COMPUTED_VALUE"""),75.76)</f>
        <v>75.760000000000005</v>
      </c>
      <c r="Q2902" s="112">
        <f ca="1">IFERROR(__xludf.DUMMYFUNCTION("""COMPUTED_VALUE"""),44537.7055555555)</f>
        <v>44537.705555555498</v>
      </c>
      <c r="R2902" s="111">
        <f ca="1">IFERROR(__xludf.DUMMYFUNCTION("""COMPUTED_VALUE"""),32.6)</f>
        <v>32.6</v>
      </c>
      <c r="S2902" s="112">
        <f ca="1">IFERROR(__xludf.DUMMYFUNCTION("""COMPUTED_VALUE"""),44551.75)</f>
        <v>44551.75</v>
      </c>
      <c r="T2902" s="111">
        <f ca="1">IFERROR(__xludf.DUMMYFUNCTION("""COMPUTED_VALUE"""),24.69)</f>
        <v>24.69</v>
      </c>
    </row>
    <row r="2903" spans="1:20" x14ac:dyDescent="0.3">
      <c r="A2903" s="112">
        <f ca="1">IFERROR(__xludf.DUMMYFUNCTION("""COMPUTED_VALUE"""),44546.75)</f>
        <v>44546.75</v>
      </c>
      <c r="B2903" s="111">
        <f ca="1">IFERROR(__xludf.DUMMYFUNCTION("""COMPUTED_VALUE"""),32.8)</f>
        <v>32.799999999999997</v>
      </c>
      <c r="C2903" s="112">
        <f ca="1">IFERROR(__xludf.DUMMYFUNCTION("""COMPUTED_VALUE"""),44558.75)</f>
        <v>44558.75</v>
      </c>
      <c r="D2903" s="111">
        <f ca="1">IFERROR(__xludf.DUMMYFUNCTION("""COMPUTED_VALUE"""),21.48)</f>
        <v>21.48</v>
      </c>
      <c r="E2903" s="112">
        <f ca="1">IFERROR(__xludf.DUMMYFUNCTION("""COMPUTED_VALUE"""),44559.75)</f>
        <v>44559.75</v>
      </c>
      <c r="F2903" s="111">
        <f ca="1">IFERROR(__xludf.DUMMYFUNCTION("""COMPUTED_VALUE"""),9.03)</f>
        <v>9.0299999999999994</v>
      </c>
      <c r="G2903" s="112">
        <f ca="1">IFERROR(__xludf.DUMMYFUNCTION("""COMPUTED_VALUE"""),44557.75)</f>
        <v>44557.75</v>
      </c>
      <c r="H2903" s="111">
        <f ca="1">IFERROR(__xludf.DUMMYFUNCTION("""COMPUTED_VALUE"""),28.75)</f>
        <v>28.75</v>
      </c>
      <c r="M2903" s="112">
        <f ca="1">IFERROR(__xludf.DUMMYFUNCTION("""COMPUTED_VALUE"""),44462.7055555555)</f>
        <v>44462.705555555498</v>
      </c>
      <c r="N2903" s="111">
        <f ca="1">IFERROR(__xludf.DUMMYFUNCTION("""COMPUTED_VALUE"""),20.72)</f>
        <v>20.72</v>
      </c>
      <c r="O2903" s="112">
        <f ca="1">IFERROR(__xludf.DUMMYFUNCTION("""COMPUTED_VALUE"""),44539.7055555555)</f>
        <v>44539.705555555498</v>
      </c>
      <c r="P2903" s="111">
        <f ca="1">IFERROR(__xludf.DUMMYFUNCTION("""COMPUTED_VALUE"""),75.18)</f>
        <v>75.180000000000007</v>
      </c>
      <c r="Q2903" s="112">
        <f ca="1">IFERROR(__xludf.DUMMYFUNCTION("""COMPUTED_VALUE"""),44538.7055555555)</f>
        <v>44538.705555555498</v>
      </c>
      <c r="R2903" s="111">
        <f ca="1">IFERROR(__xludf.DUMMYFUNCTION("""COMPUTED_VALUE"""),32.75)</f>
        <v>32.75</v>
      </c>
      <c r="S2903" s="112">
        <f ca="1">IFERROR(__xludf.DUMMYFUNCTION("""COMPUTED_VALUE"""),44552.75)</f>
        <v>44552.75</v>
      </c>
      <c r="T2903" s="111">
        <f ca="1">IFERROR(__xludf.DUMMYFUNCTION("""COMPUTED_VALUE"""),24.6)</f>
        <v>24.6</v>
      </c>
    </row>
    <row r="2904" spans="1:20" x14ac:dyDescent="0.3">
      <c r="A2904" s="112">
        <f ca="1">IFERROR(__xludf.DUMMYFUNCTION("""COMPUTED_VALUE"""),44547.75)</f>
        <v>44547.75</v>
      </c>
      <c r="B2904" s="111">
        <f ca="1">IFERROR(__xludf.DUMMYFUNCTION("""COMPUTED_VALUE"""),33.46)</f>
        <v>33.46</v>
      </c>
      <c r="C2904" s="112">
        <f ca="1">IFERROR(__xludf.DUMMYFUNCTION("""COMPUTED_VALUE"""),44559.75)</f>
        <v>44559.75</v>
      </c>
      <c r="D2904" s="111">
        <f ca="1">IFERROR(__xludf.DUMMYFUNCTION("""COMPUTED_VALUE"""),21.3)</f>
        <v>21.3</v>
      </c>
      <c r="E2904" s="112">
        <f ca="1">IFERROR(__xludf.DUMMYFUNCTION("""COMPUTED_VALUE"""),44560.75)</f>
        <v>44560.75</v>
      </c>
      <c r="F2904" s="111">
        <f ca="1">IFERROR(__xludf.DUMMYFUNCTION("""COMPUTED_VALUE"""),8.93)</f>
        <v>8.93</v>
      </c>
      <c r="G2904" s="112">
        <f ca="1">IFERROR(__xludf.DUMMYFUNCTION("""COMPUTED_VALUE"""),44558.75)</f>
        <v>44558.75</v>
      </c>
      <c r="H2904" s="111">
        <f ca="1">IFERROR(__xludf.DUMMYFUNCTION("""COMPUTED_VALUE"""),28.78)</f>
        <v>28.78</v>
      </c>
      <c r="M2904" s="112">
        <f ca="1">IFERROR(__xludf.DUMMYFUNCTION("""COMPUTED_VALUE"""),44463.7055555555)</f>
        <v>44463.705555555498</v>
      </c>
      <c r="N2904" s="111">
        <f ca="1">IFERROR(__xludf.DUMMYFUNCTION("""COMPUTED_VALUE"""),20.26)</f>
        <v>20.260000000000002</v>
      </c>
      <c r="O2904" s="112">
        <f ca="1">IFERROR(__xludf.DUMMYFUNCTION("""COMPUTED_VALUE"""),44540.7055555555)</f>
        <v>44540.705555555498</v>
      </c>
      <c r="P2904" s="111">
        <f ca="1">IFERROR(__xludf.DUMMYFUNCTION("""COMPUTED_VALUE"""),75.65)</f>
        <v>75.650000000000006</v>
      </c>
      <c r="Q2904" s="112">
        <f ca="1">IFERROR(__xludf.DUMMYFUNCTION("""COMPUTED_VALUE"""),44539.7055555555)</f>
        <v>44539.705555555498</v>
      </c>
      <c r="R2904" s="111">
        <f ca="1">IFERROR(__xludf.DUMMYFUNCTION("""COMPUTED_VALUE"""),32.02)</f>
        <v>32.020000000000003</v>
      </c>
      <c r="S2904" s="112">
        <f ca="1">IFERROR(__xludf.DUMMYFUNCTION("""COMPUTED_VALUE"""),44553.75)</f>
        <v>44553.75</v>
      </c>
      <c r="T2904" s="111">
        <f ca="1">IFERROR(__xludf.DUMMYFUNCTION("""COMPUTED_VALUE"""),24.17)</f>
        <v>24.17</v>
      </c>
    </row>
    <row r="2905" spans="1:20" x14ac:dyDescent="0.3">
      <c r="A2905" s="112">
        <f ca="1">IFERROR(__xludf.DUMMYFUNCTION("""COMPUTED_VALUE"""),44550.75)</f>
        <v>44550.75</v>
      </c>
      <c r="B2905" s="111">
        <f ca="1">IFERROR(__xludf.DUMMYFUNCTION("""COMPUTED_VALUE"""),32.43)</f>
        <v>32.43</v>
      </c>
      <c r="C2905" s="112">
        <f ca="1">IFERROR(__xludf.DUMMYFUNCTION("""COMPUTED_VALUE"""),44560.75)</f>
        <v>44560.75</v>
      </c>
      <c r="D2905" s="111">
        <f ca="1">IFERROR(__xludf.DUMMYFUNCTION("""COMPUTED_VALUE"""),20.95)</f>
        <v>20.95</v>
      </c>
      <c r="E2905" s="112">
        <f ca="1">IFERROR(__xludf.DUMMYFUNCTION("""COMPUTED_VALUE"""),44564.7055555555)</f>
        <v>44564.705555555498</v>
      </c>
      <c r="F2905" s="111">
        <f ca="1">IFERROR(__xludf.DUMMYFUNCTION("""COMPUTED_VALUE"""),9.02)</f>
        <v>9.02</v>
      </c>
      <c r="G2905" s="112">
        <f ca="1">IFERROR(__xludf.DUMMYFUNCTION("""COMPUTED_VALUE"""),44559.75)</f>
        <v>44559.75</v>
      </c>
      <c r="H2905" s="111">
        <f ca="1">IFERROR(__xludf.DUMMYFUNCTION("""COMPUTED_VALUE"""),28.54)</f>
        <v>28.54</v>
      </c>
      <c r="M2905" s="112">
        <f ca="1">IFERROR(__xludf.DUMMYFUNCTION("""COMPUTED_VALUE"""),44466.7055555555)</f>
        <v>44466.705555555498</v>
      </c>
      <c r="N2905" s="111">
        <f ca="1">IFERROR(__xludf.DUMMYFUNCTION("""COMPUTED_VALUE"""),20.87)</f>
        <v>20.87</v>
      </c>
      <c r="O2905" s="112">
        <f ca="1">IFERROR(__xludf.DUMMYFUNCTION("""COMPUTED_VALUE"""),44543.75)</f>
        <v>44543.75</v>
      </c>
      <c r="P2905" s="111">
        <f ca="1">IFERROR(__xludf.DUMMYFUNCTION("""COMPUTED_VALUE"""),77.86)</f>
        <v>77.86</v>
      </c>
      <c r="Q2905" s="112">
        <f ca="1">IFERROR(__xludf.DUMMYFUNCTION("""COMPUTED_VALUE"""),44540.7055555555)</f>
        <v>44540.705555555498</v>
      </c>
      <c r="R2905" s="111">
        <f ca="1">IFERROR(__xludf.DUMMYFUNCTION("""COMPUTED_VALUE"""),32.5)</f>
        <v>32.5</v>
      </c>
      <c r="S2905" s="112">
        <f ca="1">IFERROR(__xludf.DUMMYFUNCTION("""COMPUTED_VALUE"""),44557.75)</f>
        <v>44557.75</v>
      </c>
      <c r="T2905" s="111">
        <f ca="1">IFERROR(__xludf.DUMMYFUNCTION("""COMPUTED_VALUE"""),24.37)</f>
        <v>24.37</v>
      </c>
    </row>
    <row r="2906" spans="1:20" x14ac:dyDescent="0.3">
      <c r="A2906" s="112">
        <f ca="1">IFERROR(__xludf.DUMMYFUNCTION("""COMPUTED_VALUE"""),44551.75)</f>
        <v>44551.75</v>
      </c>
      <c r="B2906" s="111">
        <f ca="1">IFERROR(__xludf.DUMMYFUNCTION("""COMPUTED_VALUE"""),32.59)</f>
        <v>32.590000000000003</v>
      </c>
      <c r="C2906" s="112">
        <f ca="1">IFERROR(__xludf.DUMMYFUNCTION("""COMPUTED_VALUE"""),44564.7055555555)</f>
        <v>44564.705555555498</v>
      </c>
      <c r="D2906" s="111">
        <f ca="1">IFERROR(__xludf.DUMMYFUNCTION("""COMPUTED_VALUE"""),21.51)</f>
        <v>21.51</v>
      </c>
      <c r="E2906" s="112">
        <f ca="1">IFERROR(__xludf.DUMMYFUNCTION("""COMPUTED_VALUE"""),44565.7055555555)</f>
        <v>44565.705555555498</v>
      </c>
      <c r="F2906" s="111">
        <f ca="1">IFERROR(__xludf.DUMMYFUNCTION("""COMPUTED_VALUE"""),9.09)</f>
        <v>9.09</v>
      </c>
      <c r="G2906" s="112">
        <f ca="1">IFERROR(__xludf.DUMMYFUNCTION("""COMPUTED_VALUE"""),44560.75)</f>
        <v>44560.75</v>
      </c>
      <c r="H2906" s="111">
        <f ca="1">IFERROR(__xludf.DUMMYFUNCTION("""COMPUTED_VALUE"""),28.45)</f>
        <v>28.45</v>
      </c>
      <c r="M2906" s="112">
        <f ca="1">IFERROR(__xludf.DUMMYFUNCTION("""COMPUTED_VALUE"""),44467.7055555555)</f>
        <v>44467.705555555498</v>
      </c>
      <c r="N2906" s="111">
        <f ca="1">IFERROR(__xludf.DUMMYFUNCTION("""COMPUTED_VALUE"""),20.43)</f>
        <v>20.43</v>
      </c>
      <c r="O2906" s="112">
        <f ca="1">IFERROR(__xludf.DUMMYFUNCTION("""COMPUTED_VALUE"""),44544.75)</f>
        <v>44544.75</v>
      </c>
      <c r="P2906" s="111">
        <f ca="1">IFERROR(__xludf.DUMMYFUNCTION("""COMPUTED_VALUE"""),77.85)</f>
        <v>77.849999999999994</v>
      </c>
      <c r="Q2906" s="112">
        <f ca="1">IFERROR(__xludf.DUMMYFUNCTION("""COMPUTED_VALUE"""),44543.75)</f>
        <v>44543.75</v>
      </c>
      <c r="R2906" s="111">
        <f ca="1">IFERROR(__xludf.DUMMYFUNCTION("""COMPUTED_VALUE"""),32.23)</f>
        <v>32.229999999999997</v>
      </c>
      <c r="S2906" s="112">
        <f ca="1">IFERROR(__xludf.DUMMYFUNCTION("""COMPUTED_VALUE"""),44558.75)</f>
        <v>44558.75</v>
      </c>
      <c r="T2906" s="111">
        <f ca="1">IFERROR(__xludf.DUMMYFUNCTION("""COMPUTED_VALUE"""),24.46)</f>
        <v>24.46</v>
      </c>
    </row>
    <row r="2907" spans="1:20" x14ac:dyDescent="0.3">
      <c r="A2907" s="112">
        <f ca="1">IFERROR(__xludf.DUMMYFUNCTION("""COMPUTED_VALUE"""),44552.75)</f>
        <v>44552.75</v>
      </c>
      <c r="B2907" s="111">
        <f ca="1">IFERROR(__xludf.DUMMYFUNCTION("""COMPUTED_VALUE"""),33.32)</f>
        <v>33.32</v>
      </c>
      <c r="C2907" s="112">
        <f ca="1">IFERROR(__xludf.DUMMYFUNCTION("""COMPUTED_VALUE"""),44565.7055555555)</f>
        <v>44565.705555555498</v>
      </c>
      <c r="D2907" s="111">
        <f ca="1">IFERROR(__xludf.DUMMYFUNCTION("""COMPUTED_VALUE"""),22.12)</f>
        <v>22.12</v>
      </c>
      <c r="E2907" s="112">
        <f ca="1">IFERROR(__xludf.DUMMYFUNCTION("""COMPUTED_VALUE"""),44566.7055555555)</f>
        <v>44566.705555555498</v>
      </c>
      <c r="F2907" s="111">
        <f ca="1">IFERROR(__xludf.DUMMYFUNCTION("""COMPUTED_VALUE"""),8.99)</f>
        <v>8.99</v>
      </c>
      <c r="G2907" s="112">
        <f ca="1">IFERROR(__xludf.DUMMYFUNCTION("""COMPUTED_VALUE"""),44564.7055555555)</f>
        <v>44564.705555555498</v>
      </c>
      <c r="H2907" s="111">
        <f ca="1">IFERROR(__xludf.DUMMYFUNCTION("""COMPUTED_VALUE"""),29.09)</f>
        <v>29.09</v>
      </c>
      <c r="M2907" s="112">
        <f ca="1">IFERROR(__xludf.DUMMYFUNCTION("""COMPUTED_VALUE"""),44468.7055555555)</f>
        <v>44468.705555555498</v>
      </c>
      <c r="N2907" s="111">
        <f ca="1">IFERROR(__xludf.DUMMYFUNCTION("""COMPUTED_VALUE"""),20.8)</f>
        <v>20.8</v>
      </c>
      <c r="O2907" s="112">
        <f ca="1">IFERROR(__xludf.DUMMYFUNCTION("""COMPUTED_VALUE"""),44545.75)</f>
        <v>44545.75</v>
      </c>
      <c r="P2907" s="111">
        <f ca="1">IFERROR(__xludf.DUMMYFUNCTION("""COMPUTED_VALUE"""),77.41)</f>
        <v>77.41</v>
      </c>
      <c r="Q2907" s="112">
        <f ca="1">IFERROR(__xludf.DUMMYFUNCTION("""COMPUTED_VALUE"""),44544.75)</f>
        <v>44544.75</v>
      </c>
      <c r="R2907" s="111">
        <f ca="1">IFERROR(__xludf.DUMMYFUNCTION("""COMPUTED_VALUE"""),32.06)</f>
        <v>32.06</v>
      </c>
      <c r="S2907" s="112">
        <f ca="1">IFERROR(__xludf.DUMMYFUNCTION("""COMPUTED_VALUE"""),44559.75)</f>
        <v>44559.75</v>
      </c>
      <c r="T2907" s="111">
        <f ca="1">IFERROR(__xludf.DUMMYFUNCTION("""COMPUTED_VALUE"""),23.9)</f>
        <v>23.9</v>
      </c>
    </row>
    <row r="2908" spans="1:20" x14ac:dyDescent="0.3">
      <c r="A2908" s="112">
        <f ca="1">IFERROR(__xludf.DUMMYFUNCTION("""COMPUTED_VALUE"""),44553.75)</f>
        <v>44553.75</v>
      </c>
      <c r="B2908" s="111">
        <f ca="1">IFERROR(__xludf.DUMMYFUNCTION("""COMPUTED_VALUE"""),32.89)</f>
        <v>32.89</v>
      </c>
      <c r="C2908" s="112">
        <f ca="1">IFERROR(__xludf.DUMMYFUNCTION("""COMPUTED_VALUE"""),44566.7055555555)</f>
        <v>44566.705555555498</v>
      </c>
      <c r="D2908" s="111">
        <f ca="1">IFERROR(__xludf.DUMMYFUNCTION("""COMPUTED_VALUE"""),21.7)</f>
        <v>21.7</v>
      </c>
      <c r="E2908" s="112">
        <f ca="1">IFERROR(__xludf.DUMMYFUNCTION("""COMPUTED_VALUE"""),44567.7055555555)</f>
        <v>44567.705555555498</v>
      </c>
      <c r="F2908" s="111">
        <f ca="1">IFERROR(__xludf.DUMMYFUNCTION("""COMPUTED_VALUE"""),9.07)</f>
        <v>9.07</v>
      </c>
      <c r="G2908" s="112">
        <f ca="1">IFERROR(__xludf.DUMMYFUNCTION("""COMPUTED_VALUE"""),44565.7055555555)</f>
        <v>44565.705555555498</v>
      </c>
      <c r="H2908" s="111">
        <f ca="1">IFERROR(__xludf.DUMMYFUNCTION("""COMPUTED_VALUE"""),29.2)</f>
        <v>29.2</v>
      </c>
      <c r="M2908" s="112">
        <f ca="1">IFERROR(__xludf.DUMMYFUNCTION("""COMPUTED_VALUE"""),44469.7055555555)</f>
        <v>44469.705555555498</v>
      </c>
      <c r="N2908" s="111">
        <f ca="1">IFERROR(__xludf.DUMMYFUNCTION("""COMPUTED_VALUE"""),20.83)</f>
        <v>20.83</v>
      </c>
      <c r="O2908" s="112">
        <f ca="1">IFERROR(__xludf.DUMMYFUNCTION("""COMPUTED_VALUE"""),44546.75)</f>
        <v>44546.75</v>
      </c>
      <c r="P2908" s="111">
        <f ca="1">IFERROR(__xludf.DUMMYFUNCTION("""COMPUTED_VALUE"""),80.44)</f>
        <v>80.44</v>
      </c>
      <c r="Q2908" s="112">
        <f ca="1">IFERROR(__xludf.DUMMYFUNCTION("""COMPUTED_VALUE"""),44545.75)</f>
        <v>44545.75</v>
      </c>
      <c r="R2908" s="111">
        <f ca="1">IFERROR(__xludf.DUMMYFUNCTION("""COMPUTED_VALUE"""),31.51)</f>
        <v>31.51</v>
      </c>
      <c r="S2908" s="112">
        <f ca="1">IFERROR(__xludf.DUMMYFUNCTION("""COMPUTED_VALUE"""),44560.75)</f>
        <v>44560.75</v>
      </c>
      <c r="T2908" s="111">
        <f ca="1">IFERROR(__xludf.DUMMYFUNCTION("""COMPUTED_VALUE"""),24.44)</f>
        <v>24.44</v>
      </c>
    </row>
    <row r="2909" spans="1:20" x14ac:dyDescent="0.3">
      <c r="A2909" s="112">
        <f ca="1">IFERROR(__xludf.DUMMYFUNCTION("""COMPUTED_VALUE"""),44557.75)</f>
        <v>44557.75</v>
      </c>
      <c r="B2909" s="111">
        <f ca="1">IFERROR(__xludf.DUMMYFUNCTION("""COMPUTED_VALUE"""),32.87)</f>
        <v>32.869999999999997</v>
      </c>
      <c r="C2909" s="112">
        <f ca="1">IFERROR(__xludf.DUMMYFUNCTION("""COMPUTED_VALUE"""),44567.7055555555)</f>
        <v>44567.705555555498</v>
      </c>
      <c r="D2909" s="111">
        <f ca="1">IFERROR(__xludf.DUMMYFUNCTION("""COMPUTED_VALUE"""),22.14)</f>
        <v>22.14</v>
      </c>
      <c r="E2909" s="112">
        <f ca="1">IFERROR(__xludf.DUMMYFUNCTION("""COMPUTED_VALUE"""),44568.7055555555)</f>
        <v>44568.705555555498</v>
      </c>
      <c r="F2909" s="111">
        <f ca="1">IFERROR(__xludf.DUMMYFUNCTION("""COMPUTED_VALUE"""),9.18)</f>
        <v>9.18</v>
      </c>
      <c r="G2909" s="112">
        <f ca="1">IFERROR(__xludf.DUMMYFUNCTION("""COMPUTED_VALUE"""),44566.7055555555)</f>
        <v>44566.705555555498</v>
      </c>
      <c r="H2909" s="111">
        <f ca="1">IFERROR(__xludf.DUMMYFUNCTION("""COMPUTED_VALUE"""),28.07)</f>
        <v>28.07</v>
      </c>
      <c r="M2909" s="112">
        <f ca="1">IFERROR(__xludf.DUMMYFUNCTION("""COMPUTED_VALUE"""),44470.7055555555)</f>
        <v>44470.705555555498</v>
      </c>
      <c r="N2909" s="111">
        <f ca="1">IFERROR(__xludf.DUMMYFUNCTION("""COMPUTED_VALUE"""),21.35)</f>
        <v>21.35</v>
      </c>
      <c r="O2909" s="112">
        <f ca="1">IFERROR(__xludf.DUMMYFUNCTION("""COMPUTED_VALUE"""),44547.75)</f>
        <v>44547.75</v>
      </c>
      <c r="P2909" s="111">
        <f ca="1">IFERROR(__xludf.DUMMYFUNCTION("""COMPUTED_VALUE"""),79.17)</f>
        <v>79.17</v>
      </c>
      <c r="Q2909" s="112">
        <f ca="1">IFERROR(__xludf.DUMMYFUNCTION("""COMPUTED_VALUE"""),44546.75)</f>
        <v>44546.75</v>
      </c>
      <c r="R2909" s="111">
        <f ca="1">IFERROR(__xludf.DUMMYFUNCTION("""COMPUTED_VALUE"""),31.41)</f>
        <v>31.41</v>
      </c>
      <c r="S2909" s="112">
        <f ca="1">IFERROR(__xludf.DUMMYFUNCTION("""COMPUTED_VALUE"""),44564.7055555555)</f>
        <v>44564.705555555498</v>
      </c>
      <c r="T2909" s="111">
        <f ca="1">IFERROR(__xludf.DUMMYFUNCTION("""COMPUTED_VALUE"""),23.08)</f>
        <v>23.08</v>
      </c>
    </row>
    <row r="2910" spans="1:20" x14ac:dyDescent="0.3">
      <c r="A2910" s="112">
        <f ca="1">IFERROR(__xludf.DUMMYFUNCTION("""COMPUTED_VALUE"""),44558.75)</f>
        <v>44558.75</v>
      </c>
      <c r="B2910" s="111">
        <f ca="1">IFERROR(__xludf.DUMMYFUNCTION("""COMPUTED_VALUE"""),33.04)</f>
        <v>33.04</v>
      </c>
      <c r="C2910" s="112">
        <f ca="1">IFERROR(__xludf.DUMMYFUNCTION("""COMPUTED_VALUE"""),44568.7055555555)</f>
        <v>44568.705555555498</v>
      </c>
      <c r="D2910" s="111">
        <f ca="1">IFERROR(__xludf.DUMMYFUNCTION("""COMPUTED_VALUE"""),22.63)</f>
        <v>22.63</v>
      </c>
      <c r="E2910" s="112">
        <f ca="1">IFERROR(__xludf.DUMMYFUNCTION("""COMPUTED_VALUE"""),44571.7055555555)</f>
        <v>44571.705555555498</v>
      </c>
      <c r="F2910" s="111">
        <f ca="1">IFERROR(__xludf.DUMMYFUNCTION("""COMPUTED_VALUE"""),9.18)</f>
        <v>9.18</v>
      </c>
      <c r="G2910" s="112">
        <f ca="1">IFERROR(__xludf.DUMMYFUNCTION("""COMPUTED_VALUE"""),44567.7055555555)</f>
        <v>44567.705555555498</v>
      </c>
      <c r="H2910" s="111">
        <f ca="1">IFERROR(__xludf.DUMMYFUNCTION("""COMPUTED_VALUE"""),28.05)</f>
        <v>28.05</v>
      </c>
      <c r="M2910" s="112">
        <f ca="1">IFERROR(__xludf.DUMMYFUNCTION("""COMPUTED_VALUE"""),44473.7055555555)</f>
        <v>44473.705555555498</v>
      </c>
      <c r="N2910" s="111">
        <f ca="1">IFERROR(__xludf.DUMMYFUNCTION("""COMPUTED_VALUE"""),20.73)</f>
        <v>20.73</v>
      </c>
      <c r="O2910" s="112">
        <f ca="1">IFERROR(__xludf.DUMMYFUNCTION("""COMPUTED_VALUE"""),44550.75)</f>
        <v>44550.75</v>
      </c>
      <c r="P2910" s="111">
        <f ca="1">IFERROR(__xludf.DUMMYFUNCTION("""COMPUTED_VALUE"""),78.28)</f>
        <v>78.28</v>
      </c>
      <c r="Q2910" s="112">
        <f ca="1">IFERROR(__xludf.DUMMYFUNCTION("""COMPUTED_VALUE"""),44547.75)</f>
        <v>44547.75</v>
      </c>
      <c r="R2910" s="111">
        <f ca="1">IFERROR(__xludf.DUMMYFUNCTION("""COMPUTED_VALUE"""),30.33)</f>
        <v>30.33</v>
      </c>
      <c r="S2910" s="112">
        <f ca="1">IFERROR(__xludf.DUMMYFUNCTION("""COMPUTED_VALUE"""),44565.7055555555)</f>
        <v>44565.705555555498</v>
      </c>
      <c r="T2910" s="111">
        <f ca="1">IFERROR(__xludf.DUMMYFUNCTION("""COMPUTED_VALUE"""),22.8)</f>
        <v>22.8</v>
      </c>
    </row>
    <row r="2911" spans="1:20" x14ac:dyDescent="0.3">
      <c r="A2911" s="112">
        <f ca="1">IFERROR(__xludf.DUMMYFUNCTION("""COMPUTED_VALUE"""),44559.75)</f>
        <v>44559.75</v>
      </c>
      <c r="B2911" s="111">
        <f ca="1">IFERROR(__xludf.DUMMYFUNCTION("""COMPUTED_VALUE"""),32.65)</f>
        <v>32.65</v>
      </c>
      <c r="C2911" s="112">
        <f ca="1">IFERROR(__xludf.DUMMYFUNCTION("""COMPUTED_VALUE"""),44571.7055555555)</f>
        <v>44571.705555555498</v>
      </c>
      <c r="D2911" s="111">
        <f ca="1">IFERROR(__xludf.DUMMYFUNCTION("""COMPUTED_VALUE"""),22.84)</f>
        <v>22.84</v>
      </c>
      <c r="E2911" s="112">
        <f ca="1">IFERROR(__xludf.DUMMYFUNCTION("""COMPUTED_VALUE"""),44572.7055555555)</f>
        <v>44572.705555555498</v>
      </c>
      <c r="F2911" s="111">
        <f ca="1">IFERROR(__xludf.DUMMYFUNCTION("""COMPUTED_VALUE"""),9.33)</f>
        <v>9.33</v>
      </c>
      <c r="G2911" s="112">
        <f ca="1">IFERROR(__xludf.DUMMYFUNCTION("""COMPUTED_VALUE"""),44568.7055555555)</f>
        <v>44568.705555555498</v>
      </c>
      <c r="H2911" s="111">
        <f ca="1">IFERROR(__xludf.DUMMYFUNCTION("""COMPUTED_VALUE"""),28.18)</f>
        <v>28.18</v>
      </c>
      <c r="M2911" s="112">
        <f ca="1">IFERROR(__xludf.DUMMYFUNCTION("""COMPUTED_VALUE"""),44474.7055555555)</f>
        <v>44474.705555555498</v>
      </c>
      <c r="N2911" s="111">
        <f ca="1">IFERROR(__xludf.DUMMYFUNCTION("""COMPUTED_VALUE"""),21.08)</f>
        <v>21.08</v>
      </c>
      <c r="O2911" s="112">
        <f ca="1">IFERROR(__xludf.DUMMYFUNCTION("""COMPUTED_VALUE"""),44551.75)</f>
        <v>44551.75</v>
      </c>
      <c r="P2911" s="111">
        <f ca="1">IFERROR(__xludf.DUMMYFUNCTION("""COMPUTED_VALUE"""),80.34)</f>
        <v>80.34</v>
      </c>
      <c r="Q2911" s="112">
        <f ca="1">IFERROR(__xludf.DUMMYFUNCTION("""COMPUTED_VALUE"""),44550.75)</f>
        <v>44550.75</v>
      </c>
      <c r="R2911" s="111">
        <f ca="1">IFERROR(__xludf.DUMMYFUNCTION("""COMPUTED_VALUE"""),29.42)</f>
        <v>29.42</v>
      </c>
      <c r="S2911" s="112">
        <f ca="1">IFERROR(__xludf.DUMMYFUNCTION("""COMPUTED_VALUE"""),44566.7055555555)</f>
        <v>44566.705555555498</v>
      </c>
      <c r="T2911" s="111">
        <f ca="1">IFERROR(__xludf.DUMMYFUNCTION("""COMPUTED_VALUE"""),21.69)</f>
        <v>21.69</v>
      </c>
    </row>
    <row r="2912" spans="1:20" x14ac:dyDescent="0.3">
      <c r="A2912" s="112">
        <f ca="1">IFERROR(__xludf.DUMMYFUNCTION("""COMPUTED_VALUE"""),44560.75)</f>
        <v>44560.75</v>
      </c>
      <c r="B2912" s="111">
        <f ca="1">IFERROR(__xludf.DUMMYFUNCTION("""COMPUTED_VALUE"""),33.05)</f>
        <v>33.049999999999997</v>
      </c>
      <c r="C2912" s="112">
        <f ca="1">IFERROR(__xludf.DUMMYFUNCTION("""COMPUTED_VALUE"""),44572.7055555555)</f>
        <v>44572.705555555498</v>
      </c>
      <c r="D2912" s="111">
        <f ca="1">IFERROR(__xludf.DUMMYFUNCTION("""COMPUTED_VALUE"""),23.35)</f>
        <v>23.35</v>
      </c>
      <c r="E2912" s="112">
        <f ca="1">IFERROR(__xludf.DUMMYFUNCTION("""COMPUTED_VALUE"""),44573.7055555555)</f>
        <v>44573.705555555498</v>
      </c>
      <c r="F2912" s="111">
        <f ca="1">IFERROR(__xludf.DUMMYFUNCTION("""COMPUTED_VALUE"""),9.3)</f>
        <v>9.3000000000000007</v>
      </c>
      <c r="G2912" s="112">
        <f ca="1">IFERROR(__xludf.DUMMYFUNCTION("""COMPUTED_VALUE"""),44571.7055555555)</f>
        <v>44571.705555555498</v>
      </c>
      <c r="H2912" s="111">
        <f ca="1">IFERROR(__xludf.DUMMYFUNCTION("""COMPUTED_VALUE"""),28.01)</f>
        <v>28.01</v>
      </c>
      <c r="M2912" s="112">
        <f ca="1">IFERROR(__xludf.DUMMYFUNCTION("""COMPUTED_VALUE"""),44475.7055555555)</f>
        <v>44475.705555555498</v>
      </c>
      <c r="N2912" s="111">
        <f ca="1">IFERROR(__xludf.DUMMYFUNCTION("""COMPUTED_VALUE"""),21.24)</f>
        <v>21.24</v>
      </c>
      <c r="O2912" s="112">
        <f ca="1">IFERROR(__xludf.DUMMYFUNCTION("""COMPUTED_VALUE"""),44552.75)</f>
        <v>44552.75</v>
      </c>
      <c r="P2912" s="111">
        <f ca="1">IFERROR(__xludf.DUMMYFUNCTION("""COMPUTED_VALUE"""),79.92)</f>
        <v>79.92</v>
      </c>
      <c r="Q2912" s="112">
        <f ca="1">IFERROR(__xludf.DUMMYFUNCTION("""COMPUTED_VALUE"""),44551.75)</f>
        <v>44551.75</v>
      </c>
      <c r="R2912" s="111">
        <f ca="1">IFERROR(__xludf.DUMMYFUNCTION("""COMPUTED_VALUE"""),29.5)</f>
        <v>29.5</v>
      </c>
      <c r="S2912" s="112">
        <f ca="1">IFERROR(__xludf.DUMMYFUNCTION("""COMPUTED_VALUE"""),44567.7055555555)</f>
        <v>44567.705555555498</v>
      </c>
      <c r="T2912" s="111">
        <f ca="1">IFERROR(__xludf.DUMMYFUNCTION("""COMPUTED_VALUE"""),22.8)</f>
        <v>22.8</v>
      </c>
    </row>
    <row r="2913" spans="1:20" x14ac:dyDescent="0.3">
      <c r="A2913" s="112">
        <f ca="1">IFERROR(__xludf.DUMMYFUNCTION("""COMPUTED_VALUE"""),44564.7055555555)</f>
        <v>44564.705555555498</v>
      </c>
      <c r="B2913" s="111">
        <f ca="1">IFERROR(__xludf.DUMMYFUNCTION("""COMPUTED_VALUE"""),32.28)</f>
        <v>32.28</v>
      </c>
      <c r="C2913" s="112">
        <f ca="1">IFERROR(__xludf.DUMMYFUNCTION("""COMPUTED_VALUE"""),44573.7055555555)</f>
        <v>44573.705555555498</v>
      </c>
      <c r="D2913" s="111">
        <f ca="1">IFERROR(__xludf.DUMMYFUNCTION("""COMPUTED_VALUE"""),23.25)</f>
        <v>23.25</v>
      </c>
      <c r="E2913" s="112">
        <f ca="1">IFERROR(__xludf.DUMMYFUNCTION("""COMPUTED_VALUE"""),44574.7055555555)</f>
        <v>44574.705555555498</v>
      </c>
      <c r="F2913" s="111">
        <f ca="1">IFERROR(__xludf.DUMMYFUNCTION("""COMPUTED_VALUE"""),9.56)</f>
        <v>9.56</v>
      </c>
      <c r="G2913" s="112">
        <f ca="1">IFERROR(__xludf.DUMMYFUNCTION("""COMPUTED_VALUE"""),44572.7055555555)</f>
        <v>44572.705555555498</v>
      </c>
      <c r="H2913" s="111">
        <f ca="1">IFERROR(__xludf.DUMMYFUNCTION("""COMPUTED_VALUE"""),28.84)</f>
        <v>28.84</v>
      </c>
      <c r="M2913" s="112">
        <f ca="1">IFERROR(__xludf.DUMMYFUNCTION("""COMPUTED_VALUE"""),44476.7055555555)</f>
        <v>44476.705555555498</v>
      </c>
      <c r="N2913" s="111">
        <f ca="1">IFERROR(__xludf.DUMMYFUNCTION("""COMPUTED_VALUE"""),20.71)</f>
        <v>20.71</v>
      </c>
      <c r="O2913" s="112">
        <f ca="1">IFERROR(__xludf.DUMMYFUNCTION("""COMPUTED_VALUE"""),44553.75)</f>
        <v>44553.75</v>
      </c>
      <c r="P2913" s="111">
        <f ca="1">IFERROR(__xludf.DUMMYFUNCTION("""COMPUTED_VALUE"""),79.15)</f>
        <v>79.150000000000006</v>
      </c>
      <c r="Q2913" s="112">
        <f ca="1">IFERROR(__xludf.DUMMYFUNCTION("""COMPUTED_VALUE"""),44552.75)</f>
        <v>44552.75</v>
      </c>
      <c r="R2913" s="111">
        <f ca="1">IFERROR(__xludf.DUMMYFUNCTION("""COMPUTED_VALUE"""),29.33)</f>
        <v>29.33</v>
      </c>
      <c r="S2913" s="112">
        <f ca="1">IFERROR(__xludf.DUMMYFUNCTION("""COMPUTED_VALUE"""),44568.7055555555)</f>
        <v>44568.705555555498</v>
      </c>
      <c r="T2913" s="111">
        <f ca="1">IFERROR(__xludf.DUMMYFUNCTION("""COMPUTED_VALUE"""),22.99)</f>
        <v>22.99</v>
      </c>
    </row>
    <row r="2914" spans="1:20" x14ac:dyDescent="0.3">
      <c r="A2914" s="112">
        <f ca="1">IFERROR(__xludf.DUMMYFUNCTION("""COMPUTED_VALUE"""),44565.7055555555)</f>
        <v>44565.705555555498</v>
      </c>
      <c r="B2914" s="111">
        <f ca="1">IFERROR(__xludf.DUMMYFUNCTION("""COMPUTED_VALUE"""),31.59)</f>
        <v>31.59</v>
      </c>
      <c r="C2914" s="112">
        <f ca="1">IFERROR(__xludf.DUMMYFUNCTION("""COMPUTED_VALUE"""),44574.7055555555)</f>
        <v>44574.705555555498</v>
      </c>
      <c r="D2914" s="111">
        <f ca="1">IFERROR(__xludf.DUMMYFUNCTION("""COMPUTED_VALUE"""),23.68)</f>
        <v>23.68</v>
      </c>
      <c r="E2914" s="112">
        <f ca="1">IFERROR(__xludf.DUMMYFUNCTION("""COMPUTED_VALUE"""),44575.7055555555)</f>
        <v>44575.705555555498</v>
      </c>
      <c r="F2914" s="111">
        <f ca="1">IFERROR(__xludf.DUMMYFUNCTION("""COMPUTED_VALUE"""),9.67)</f>
        <v>9.67</v>
      </c>
      <c r="G2914" s="112">
        <f ca="1">IFERROR(__xludf.DUMMYFUNCTION("""COMPUTED_VALUE"""),44573.7055555555)</f>
        <v>44573.705555555498</v>
      </c>
      <c r="H2914" s="111">
        <f ca="1">IFERROR(__xludf.DUMMYFUNCTION("""COMPUTED_VALUE"""),29.72)</f>
        <v>29.72</v>
      </c>
      <c r="M2914" s="112">
        <f ca="1">IFERROR(__xludf.DUMMYFUNCTION("""COMPUTED_VALUE"""),44477.7055555555)</f>
        <v>44477.705555555498</v>
      </c>
      <c r="N2914" s="111">
        <f ca="1">IFERROR(__xludf.DUMMYFUNCTION("""COMPUTED_VALUE"""),20.85)</f>
        <v>20.85</v>
      </c>
      <c r="O2914" s="112">
        <f ca="1">IFERROR(__xludf.DUMMYFUNCTION("""COMPUTED_VALUE"""),44557.75)</f>
        <v>44557.75</v>
      </c>
      <c r="P2914" s="111">
        <f ca="1">IFERROR(__xludf.DUMMYFUNCTION("""COMPUTED_VALUE"""),78.95)</f>
        <v>78.95</v>
      </c>
      <c r="Q2914" s="112">
        <f ca="1">IFERROR(__xludf.DUMMYFUNCTION("""COMPUTED_VALUE"""),44553.75)</f>
        <v>44553.75</v>
      </c>
      <c r="R2914" s="111">
        <f ca="1">IFERROR(__xludf.DUMMYFUNCTION("""COMPUTED_VALUE"""),29.22)</f>
        <v>29.22</v>
      </c>
      <c r="S2914" s="112">
        <f ca="1">IFERROR(__xludf.DUMMYFUNCTION("""COMPUTED_VALUE"""),44571.7055555555)</f>
        <v>44571.705555555498</v>
      </c>
      <c r="T2914" s="111">
        <f ca="1">IFERROR(__xludf.DUMMYFUNCTION("""COMPUTED_VALUE"""),22.74)</f>
        <v>22.74</v>
      </c>
    </row>
    <row r="2915" spans="1:20" x14ac:dyDescent="0.3">
      <c r="A2915" s="112">
        <f ca="1">IFERROR(__xludf.DUMMYFUNCTION("""COMPUTED_VALUE"""),44566.7055555555)</f>
        <v>44566.705555555498</v>
      </c>
      <c r="B2915" s="111">
        <f ca="1">IFERROR(__xludf.DUMMYFUNCTION("""COMPUTED_VALUE"""),31.46)</f>
        <v>31.46</v>
      </c>
      <c r="C2915" s="112">
        <f ca="1">IFERROR(__xludf.DUMMYFUNCTION("""COMPUTED_VALUE"""),44575.7055555555)</f>
        <v>44575.705555555498</v>
      </c>
      <c r="D2915" s="111">
        <f ca="1">IFERROR(__xludf.DUMMYFUNCTION("""COMPUTED_VALUE"""),23.5)</f>
        <v>23.5</v>
      </c>
      <c r="E2915" s="112">
        <f ca="1">IFERROR(__xludf.DUMMYFUNCTION("""COMPUTED_VALUE"""),44578.7055555555)</f>
        <v>44578.705555555498</v>
      </c>
      <c r="F2915" s="111">
        <f ca="1">IFERROR(__xludf.DUMMYFUNCTION("""COMPUTED_VALUE"""),9.54)</f>
        <v>9.5399999999999991</v>
      </c>
      <c r="G2915" s="112">
        <f ca="1">IFERROR(__xludf.DUMMYFUNCTION("""COMPUTED_VALUE"""),44574.7055555555)</f>
        <v>44574.705555555498</v>
      </c>
      <c r="H2915" s="111">
        <f ca="1">IFERROR(__xludf.DUMMYFUNCTION("""COMPUTED_VALUE"""),30.32)</f>
        <v>30.32</v>
      </c>
      <c r="M2915" s="112">
        <f ca="1">IFERROR(__xludf.DUMMYFUNCTION("""COMPUTED_VALUE"""),44480.7055555555)</f>
        <v>44480.705555555498</v>
      </c>
      <c r="N2915" s="111">
        <f ca="1">IFERROR(__xludf.DUMMYFUNCTION("""COMPUTED_VALUE"""),20.47)</f>
        <v>20.47</v>
      </c>
      <c r="O2915" s="112">
        <f ca="1">IFERROR(__xludf.DUMMYFUNCTION("""COMPUTED_VALUE"""),44558.75)</f>
        <v>44558.75</v>
      </c>
      <c r="P2915" s="111">
        <f ca="1">IFERROR(__xludf.DUMMYFUNCTION("""COMPUTED_VALUE"""),77.05)</f>
        <v>77.05</v>
      </c>
      <c r="Q2915" s="112">
        <f ca="1">IFERROR(__xludf.DUMMYFUNCTION("""COMPUTED_VALUE"""),44557.75)</f>
        <v>44557.75</v>
      </c>
      <c r="R2915" s="111">
        <f ca="1">IFERROR(__xludf.DUMMYFUNCTION("""COMPUTED_VALUE"""),29.28)</f>
        <v>29.28</v>
      </c>
      <c r="S2915" s="112">
        <f ca="1">IFERROR(__xludf.DUMMYFUNCTION("""COMPUTED_VALUE"""),44572.7055555555)</f>
        <v>44572.705555555498</v>
      </c>
      <c r="T2915" s="111">
        <f ca="1">IFERROR(__xludf.DUMMYFUNCTION("""COMPUTED_VALUE"""),23.26)</f>
        <v>23.26</v>
      </c>
    </row>
    <row r="2916" spans="1:20" x14ac:dyDescent="0.3">
      <c r="A2916" s="112">
        <f ca="1">IFERROR(__xludf.DUMMYFUNCTION("""COMPUTED_VALUE"""),44567.7055555555)</f>
        <v>44567.705555555498</v>
      </c>
      <c r="B2916" s="111">
        <f ca="1">IFERROR(__xludf.DUMMYFUNCTION("""COMPUTED_VALUE"""),31.41)</f>
        <v>31.41</v>
      </c>
      <c r="C2916" s="112">
        <f ca="1">IFERROR(__xludf.DUMMYFUNCTION("""COMPUTED_VALUE"""),44578.7055555555)</f>
        <v>44578.705555555498</v>
      </c>
      <c r="D2916" s="111">
        <f ca="1">IFERROR(__xludf.DUMMYFUNCTION("""COMPUTED_VALUE"""),23.5)</f>
        <v>23.5</v>
      </c>
      <c r="E2916" s="112">
        <f ca="1">IFERROR(__xludf.DUMMYFUNCTION("""COMPUTED_VALUE"""),44579.7055555555)</f>
        <v>44579.705555555498</v>
      </c>
      <c r="F2916" s="111">
        <f ca="1">IFERROR(__xludf.DUMMYFUNCTION("""COMPUTED_VALUE"""),9.61)</f>
        <v>9.61</v>
      </c>
      <c r="G2916" s="112">
        <f ca="1">IFERROR(__xludf.DUMMYFUNCTION("""COMPUTED_VALUE"""),44575.7055555555)</f>
        <v>44575.705555555498</v>
      </c>
      <c r="H2916" s="111">
        <f ca="1">IFERROR(__xludf.DUMMYFUNCTION("""COMPUTED_VALUE"""),31.45)</f>
        <v>31.45</v>
      </c>
      <c r="M2916" s="112">
        <f ca="1">IFERROR(__xludf.DUMMYFUNCTION("""COMPUTED_VALUE"""),44482.7055555555)</f>
        <v>44482.705555555498</v>
      </c>
      <c r="N2916" s="111">
        <f ca="1">IFERROR(__xludf.DUMMYFUNCTION("""COMPUTED_VALUE"""),20.41)</f>
        <v>20.41</v>
      </c>
      <c r="O2916" s="112">
        <f ca="1">IFERROR(__xludf.DUMMYFUNCTION("""COMPUTED_VALUE"""),44559.75)</f>
        <v>44559.75</v>
      </c>
      <c r="P2916" s="111">
        <f ca="1">IFERROR(__xludf.DUMMYFUNCTION("""COMPUTED_VALUE"""),77.25)</f>
        <v>77.25</v>
      </c>
      <c r="Q2916" s="112">
        <f ca="1">IFERROR(__xludf.DUMMYFUNCTION("""COMPUTED_VALUE"""),44558.75)</f>
        <v>44558.75</v>
      </c>
      <c r="R2916" s="111">
        <f ca="1">IFERROR(__xludf.DUMMYFUNCTION("""COMPUTED_VALUE"""),29.11)</f>
        <v>29.11</v>
      </c>
      <c r="S2916" s="112">
        <f ca="1">IFERROR(__xludf.DUMMYFUNCTION("""COMPUTED_VALUE"""),44573.7055555555)</f>
        <v>44573.705555555498</v>
      </c>
      <c r="T2916" s="111">
        <f ca="1">IFERROR(__xludf.DUMMYFUNCTION("""COMPUTED_VALUE"""),24.65)</f>
        <v>24.65</v>
      </c>
    </row>
    <row r="2917" spans="1:20" x14ac:dyDescent="0.3">
      <c r="A2917" s="112">
        <f ca="1">IFERROR(__xludf.DUMMYFUNCTION("""COMPUTED_VALUE"""),44568.7055555555)</f>
        <v>44568.705555555498</v>
      </c>
      <c r="B2917" s="111">
        <f ca="1">IFERROR(__xludf.DUMMYFUNCTION("""COMPUTED_VALUE"""),30.04)</f>
        <v>30.04</v>
      </c>
      <c r="C2917" s="112">
        <f ca="1">IFERROR(__xludf.DUMMYFUNCTION("""COMPUTED_VALUE"""),44579.7055555555)</f>
        <v>44579.705555555498</v>
      </c>
      <c r="D2917" s="111">
        <f ca="1">IFERROR(__xludf.DUMMYFUNCTION("""COMPUTED_VALUE"""),23.64)</f>
        <v>23.64</v>
      </c>
      <c r="E2917" s="112">
        <f ca="1">IFERROR(__xludf.DUMMYFUNCTION("""COMPUTED_VALUE"""),44580.7055555555)</f>
        <v>44580.705555555498</v>
      </c>
      <c r="F2917" s="111">
        <f ca="1">IFERROR(__xludf.DUMMYFUNCTION("""COMPUTED_VALUE"""),9.62)</f>
        <v>9.6199999999999992</v>
      </c>
      <c r="G2917" s="112">
        <f ca="1">IFERROR(__xludf.DUMMYFUNCTION("""COMPUTED_VALUE"""),44578.7055555555)</f>
        <v>44578.705555555498</v>
      </c>
      <c r="H2917" s="111">
        <f ca="1">IFERROR(__xludf.DUMMYFUNCTION("""COMPUTED_VALUE"""),31.5)</f>
        <v>31.5</v>
      </c>
      <c r="M2917" s="112">
        <f ca="1">IFERROR(__xludf.DUMMYFUNCTION("""COMPUTED_VALUE"""),44483.7055555555)</f>
        <v>44483.705555555498</v>
      </c>
      <c r="N2917" s="111">
        <f ca="1">IFERROR(__xludf.DUMMYFUNCTION("""COMPUTED_VALUE"""),20.22)</f>
        <v>20.22</v>
      </c>
      <c r="O2917" s="112">
        <f ca="1">IFERROR(__xludf.DUMMYFUNCTION("""COMPUTED_VALUE"""),44560.75)</f>
        <v>44560.75</v>
      </c>
      <c r="P2917" s="111">
        <f ca="1">IFERROR(__xludf.DUMMYFUNCTION("""COMPUTED_VALUE"""),77.96)</f>
        <v>77.959999999999994</v>
      </c>
      <c r="Q2917" s="112">
        <f ca="1">IFERROR(__xludf.DUMMYFUNCTION("""COMPUTED_VALUE"""),44559.75)</f>
        <v>44559.75</v>
      </c>
      <c r="R2917" s="111">
        <f ca="1">IFERROR(__xludf.DUMMYFUNCTION("""COMPUTED_VALUE"""),28.96)</f>
        <v>28.96</v>
      </c>
      <c r="S2917" s="112">
        <f ca="1">IFERROR(__xludf.DUMMYFUNCTION("""COMPUTED_VALUE"""),44574.7055555555)</f>
        <v>44574.705555555498</v>
      </c>
      <c r="T2917" s="111">
        <f ca="1">IFERROR(__xludf.DUMMYFUNCTION("""COMPUTED_VALUE"""),24.76)</f>
        <v>24.76</v>
      </c>
    </row>
    <row r="2918" spans="1:20" x14ac:dyDescent="0.3">
      <c r="A2918" s="112">
        <f ca="1">IFERROR(__xludf.DUMMYFUNCTION("""COMPUTED_VALUE"""),44571.7055555555)</f>
        <v>44571.705555555498</v>
      </c>
      <c r="B2918" s="111">
        <f ca="1">IFERROR(__xludf.DUMMYFUNCTION("""COMPUTED_VALUE"""),29.16)</f>
        <v>29.16</v>
      </c>
      <c r="C2918" s="112">
        <f ca="1">IFERROR(__xludf.DUMMYFUNCTION("""COMPUTED_VALUE"""),44580.7055555555)</f>
        <v>44580.705555555498</v>
      </c>
      <c r="D2918" s="111">
        <f ca="1">IFERROR(__xludf.DUMMYFUNCTION("""COMPUTED_VALUE"""),23.48)</f>
        <v>23.48</v>
      </c>
      <c r="E2918" s="112">
        <f ca="1">IFERROR(__xludf.DUMMYFUNCTION("""COMPUTED_VALUE"""),44581.7055555555)</f>
        <v>44581.705555555498</v>
      </c>
      <c r="F2918" s="111">
        <f ca="1">IFERROR(__xludf.DUMMYFUNCTION("""COMPUTED_VALUE"""),9.61)</f>
        <v>9.61</v>
      </c>
      <c r="G2918" s="112">
        <f ca="1">IFERROR(__xludf.DUMMYFUNCTION("""COMPUTED_VALUE"""),44579.7055555555)</f>
        <v>44579.705555555498</v>
      </c>
      <c r="H2918" s="111">
        <f ca="1">IFERROR(__xludf.DUMMYFUNCTION("""COMPUTED_VALUE"""),31.64)</f>
        <v>31.64</v>
      </c>
      <c r="M2918" s="112">
        <f ca="1">IFERROR(__xludf.DUMMYFUNCTION("""COMPUTED_VALUE"""),44484.7055555555)</f>
        <v>44484.705555555498</v>
      </c>
      <c r="N2918" s="111">
        <f ca="1">IFERROR(__xludf.DUMMYFUNCTION("""COMPUTED_VALUE"""),21.28)</f>
        <v>21.28</v>
      </c>
      <c r="O2918" s="112">
        <f ca="1">IFERROR(__xludf.DUMMYFUNCTION("""COMPUTED_VALUE"""),44564.7055555555)</f>
        <v>44564.705555555498</v>
      </c>
      <c r="P2918" s="111">
        <f ca="1">IFERROR(__xludf.DUMMYFUNCTION("""COMPUTED_VALUE"""),78)</f>
        <v>78</v>
      </c>
      <c r="Q2918" s="112">
        <f ca="1">IFERROR(__xludf.DUMMYFUNCTION("""COMPUTED_VALUE"""),44560.75)</f>
        <v>44560.75</v>
      </c>
      <c r="R2918" s="111">
        <f ca="1">IFERROR(__xludf.DUMMYFUNCTION("""COMPUTED_VALUE"""),28.85)</f>
        <v>28.85</v>
      </c>
      <c r="S2918" s="112">
        <f ca="1">IFERROR(__xludf.DUMMYFUNCTION("""COMPUTED_VALUE"""),44575.7055555555)</f>
        <v>44575.705555555498</v>
      </c>
      <c r="T2918" s="111">
        <f ca="1">IFERROR(__xludf.DUMMYFUNCTION("""COMPUTED_VALUE"""),23.97)</f>
        <v>23.97</v>
      </c>
    </row>
    <row r="2919" spans="1:20" x14ac:dyDescent="0.3">
      <c r="A2919" s="112">
        <f ca="1">IFERROR(__xludf.DUMMYFUNCTION("""COMPUTED_VALUE"""),44572.7055555555)</f>
        <v>44572.705555555498</v>
      </c>
      <c r="B2919" s="111">
        <f ca="1">IFERROR(__xludf.DUMMYFUNCTION("""COMPUTED_VALUE"""),29.52)</f>
        <v>29.52</v>
      </c>
      <c r="C2919" s="112">
        <f ca="1">IFERROR(__xludf.DUMMYFUNCTION("""COMPUTED_VALUE"""),44581.7055555555)</f>
        <v>44581.705555555498</v>
      </c>
      <c r="D2919" s="111">
        <f ca="1">IFERROR(__xludf.DUMMYFUNCTION("""COMPUTED_VALUE"""),23.29)</f>
        <v>23.29</v>
      </c>
      <c r="E2919" s="112">
        <f ca="1">IFERROR(__xludf.DUMMYFUNCTION("""COMPUTED_VALUE"""),44582.7055555555)</f>
        <v>44582.705555555498</v>
      </c>
      <c r="F2919" s="111">
        <f ca="1">IFERROR(__xludf.DUMMYFUNCTION("""COMPUTED_VALUE"""),9.55)</f>
        <v>9.5500000000000007</v>
      </c>
      <c r="G2919" s="112">
        <f ca="1">IFERROR(__xludf.DUMMYFUNCTION("""COMPUTED_VALUE"""),44580.7055555555)</f>
        <v>44580.705555555498</v>
      </c>
      <c r="H2919" s="111">
        <f ca="1">IFERROR(__xludf.DUMMYFUNCTION("""COMPUTED_VALUE"""),31.49)</f>
        <v>31.49</v>
      </c>
      <c r="M2919" s="112">
        <f ca="1">IFERROR(__xludf.DUMMYFUNCTION("""COMPUTED_VALUE"""),44487.7055555555)</f>
        <v>44487.705555555498</v>
      </c>
      <c r="N2919" s="111">
        <f ca="1">IFERROR(__xludf.DUMMYFUNCTION("""COMPUTED_VALUE"""),21.65)</f>
        <v>21.65</v>
      </c>
      <c r="O2919" s="112">
        <f ca="1">IFERROR(__xludf.DUMMYFUNCTION("""COMPUTED_VALUE"""),44565.7055555555)</f>
        <v>44565.705555555498</v>
      </c>
      <c r="P2919" s="111">
        <f ca="1">IFERROR(__xludf.DUMMYFUNCTION("""COMPUTED_VALUE"""),77.08)</f>
        <v>77.08</v>
      </c>
      <c r="Q2919" s="112">
        <f ca="1">IFERROR(__xludf.DUMMYFUNCTION("""COMPUTED_VALUE"""),44564.7055555555)</f>
        <v>44564.705555555498</v>
      </c>
      <c r="R2919" s="111">
        <f ca="1">IFERROR(__xludf.DUMMYFUNCTION("""COMPUTED_VALUE"""),28.82)</f>
        <v>28.82</v>
      </c>
      <c r="S2919" s="112">
        <f ca="1">IFERROR(__xludf.DUMMYFUNCTION("""COMPUTED_VALUE"""),44578.7055555555)</f>
        <v>44578.705555555498</v>
      </c>
      <c r="T2919" s="111">
        <f ca="1">IFERROR(__xludf.DUMMYFUNCTION("""COMPUTED_VALUE"""),23.49)</f>
        <v>23.49</v>
      </c>
    </row>
    <row r="2920" spans="1:20" x14ac:dyDescent="0.3">
      <c r="A2920" s="112">
        <f ca="1">IFERROR(__xludf.DUMMYFUNCTION("""COMPUTED_VALUE"""),44573.7055555555)</f>
        <v>44573.705555555498</v>
      </c>
      <c r="B2920" s="111">
        <f ca="1">IFERROR(__xludf.DUMMYFUNCTION("""COMPUTED_VALUE"""),31.07)</f>
        <v>31.07</v>
      </c>
      <c r="C2920" s="112">
        <f ca="1">IFERROR(__xludf.DUMMYFUNCTION("""COMPUTED_VALUE"""),44582.7055555555)</f>
        <v>44582.705555555498</v>
      </c>
      <c r="D2920" s="111">
        <f ca="1">IFERROR(__xludf.DUMMYFUNCTION("""COMPUTED_VALUE"""),23.3)</f>
        <v>23.3</v>
      </c>
      <c r="E2920" s="112">
        <f ca="1">IFERROR(__xludf.DUMMYFUNCTION("""COMPUTED_VALUE"""),44585.7055555555)</f>
        <v>44585.705555555498</v>
      </c>
      <c r="F2920" s="111">
        <f ca="1">IFERROR(__xludf.DUMMYFUNCTION("""COMPUTED_VALUE"""),9.5)</f>
        <v>9.5</v>
      </c>
      <c r="G2920" s="112">
        <f ca="1">IFERROR(__xludf.DUMMYFUNCTION("""COMPUTED_VALUE"""),44581.7055555555)</f>
        <v>44581.705555555498</v>
      </c>
      <c r="H2920" s="111">
        <f ca="1">IFERROR(__xludf.DUMMYFUNCTION("""COMPUTED_VALUE"""),31.72)</f>
        <v>31.72</v>
      </c>
      <c r="M2920" s="112">
        <f ca="1">IFERROR(__xludf.DUMMYFUNCTION("""COMPUTED_VALUE"""),44488.7055555555)</f>
        <v>44488.705555555498</v>
      </c>
      <c r="N2920" s="111">
        <f ca="1">IFERROR(__xludf.DUMMYFUNCTION("""COMPUTED_VALUE"""),20.98)</f>
        <v>20.98</v>
      </c>
      <c r="O2920" s="112">
        <f ca="1">IFERROR(__xludf.DUMMYFUNCTION("""COMPUTED_VALUE"""),44566.7055555555)</f>
        <v>44566.705555555498</v>
      </c>
      <c r="P2920" s="111">
        <f ca="1">IFERROR(__xludf.DUMMYFUNCTION("""COMPUTED_VALUE"""),77.81)</f>
        <v>77.81</v>
      </c>
      <c r="Q2920" s="112">
        <f ca="1">IFERROR(__xludf.DUMMYFUNCTION("""COMPUTED_VALUE"""),44565.7055555555)</f>
        <v>44565.705555555498</v>
      </c>
      <c r="R2920" s="111">
        <f ca="1">IFERROR(__xludf.DUMMYFUNCTION("""COMPUTED_VALUE"""),28.85)</f>
        <v>28.85</v>
      </c>
      <c r="S2920" s="112">
        <f ca="1">IFERROR(__xludf.DUMMYFUNCTION("""COMPUTED_VALUE"""),44579.7055555555)</f>
        <v>44579.705555555498</v>
      </c>
      <c r="T2920" s="111">
        <f ca="1">IFERROR(__xludf.DUMMYFUNCTION("""COMPUTED_VALUE"""),23.5)</f>
        <v>23.5</v>
      </c>
    </row>
    <row r="2921" spans="1:20" x14ac:dyDescent="0.3">
      <c r="A2921" s="112">
        <f ca="1">IFERROR(__xludf.DUMMYFUNCTION("""COMPUTED_VALUE"""),44574.7055555555)</f>
        <v>44574.705555555498</v>
      </c>
      <c r="B2921" s="111">
        <f ca="1">IFERROR(__xludf.DUMMYFUNCTION("""COMPUTED_VALUE"""),31.08)</f>
        <v>31.08</v>
      </c>
      <c r="C2921" s="112">
        <f ca="1">IFERROR(__xludf.DUMMYFUNCTION("""COMPUTED_VALUE"""),44585.7055555555)</f>
        <v>44585.705555555498</v>
      </c>
      <c r="D2921" s="111">
        <f ca="1">IFERROR(__xludf.DUMMYFUNCTION("""COMPUTED_VALUE"""),23.27)</f>
        <v>23.27</v>
      </c>
      <c r="E2921" s="112">
        <f ca="1">IFERROR(__xludf.DUMMYFUNCTION("""COMPUTED_VALUE"""),44586.7055555555)</f>
        <v>44586.705555555498</v>
      </c>
      <c r="F2921" s="111">
        <f ca="1">IFERROR(__xludf.DUMMYFUNCTION("""COMPUTED_VALUE"""),9.74)</f>
        <v>9.74</v>
      </c>
      <c r="G2921" s="112">
        <f ca="1">IFERROR(__xludf.DUMMYFUNCTION("""COMPUTED_VALUE"""),44582.7055555555)</f>
        <v>44582.705555555498</v>
      </c>
      <c r="H2921" s="111">
        <f ca="1">IFERROR(__xludf.DUMMYFUNCTION("""COMPUTED_VALUE"""),31.77)</f>
        <v>31.77</v>
      </c>
      <c r="M2921" s="112">
        <f ca="1">IFERROR(__xludf.DUMMYFUNCTION("""COMPUTED_VALUE"""),44489.7055555555)</f>
        <v>44489.705555555498</v>
      </c>
      <c r="N2921" s="111">
        <f ca="1">IFERROR(__xludf.DUMMYFUNCTION("""COMPUTED_VALUE"""),21.7)</f>
        <v>21.7</v>
      </c>
      <c r="O2921" s="112">
        <f ca="1">IFERROR(__xludf.DUMMYFUNCTION("""COMPUTED_VALUE"""),44567.7055555555)</f>
        <v>44567.705555555498</v>
      </c>
      <c r="P2921" s="111">
        <f ca="1">IFERROR(__xludf.DUMMYFUNCTION("""COMPUTED_VALUE"""),79.38)</f>
        <v>79.38</v>
      </c>
      <c r="Q2921" s="112">
        <f ca="1">IFERROR(__xludf.DUMMYFUNCTION("""COMPUTED_VALUE"""),44566.7055555555)</f>
        <v>44566.705555555498</v>
      </c>
      <c r="R2921" s="111">
        <f ca="1">IFERROR(__xludf.DUMMYFUNCTION("""COMPUTED_VALUE"""),28.37)</f>
        <v>28.37</v>
      </c>
      <c r="S2921" s="112">
        <f ca="1">IFERROR(__xludf.DUMMYFUNCTION("""COMPUTED_VALUE"""),44580.7055555555)</f>
        <v>44580.705555555498</v>
      </c>
      <c r="T2921" s="111">
        <f ca="1">IFERROR(__xludf.DUMMYFUNCTION("""COMPUTED_VALUE"""),24.85)</f>
        <v>24.85</v>
      </c>
    </row>
    <row r="2922" spans="1:20" x14ac:dyDescent="0.3">
      <c r="A2922" s="112">
        <f ca="1">IFERROR(__xludf.DUMMYFUNCTION("""COMPUTED_VALUE"""),44575.7055555555)</f>
        <v>44575.705555555498</v>
      </c>
      <c r="B2922" s="111">
        <f ca="1">IFERROR(__xludf.DUMMYFUNCTION("""COMPUTED_VALUE"""),31.27)</f>
        <v>31.27</v>
      </c>
      <c r="C2922" s="112">
        <f ca="1">IFERROR(__xludf.DUMMYFUNCTION("""COMPUTED_VALUE"""),44586.7055555555)</f>
        <v>44586.705555555498</v>
      </c>
      <c r="D2922" s="111">
        <f ca="1">IFERROR(__xludf.DUMMYFUNCTION("""COMPUTED_VALUE"""),24.11)</f>
        <v>24.11</v>
      </c>
      <c r="E2922" s="112">
        <f ca="1">IFERROR(__xludf.DUMMYFUNCTION("""COMPUTED_VALUE"""),44587.7055555555)</f>
        <v>44587.705555555498</v>
      </c>
      <c r="F2922" s="111">
        <f ca="1">IFERROR(__xludf.DUMMYFUNCTION("""COMPUTED_VALUE"""),9.84)</f>
        <v>9.84</v>
      </c>
      <c r="G2922" s="112">
        <f ca="1">IFERROR(__xludf.DUMMYFUNCTION("""COMPUTED_VALUE"""),44585.7055555555)</f>
        <v>44585.705555555498</v>
      </c>
      <c r="H2922" s="111">
        <f ca="1">IFERROR(__xludf.DUMMYFUNCTION("""COMPUTED_VALUE"""),31.95)</f>
        <v>31.95</v>
      </c>
      <c r="M2922" s="112">
        <f ca="1">IFERROR(__xludf.DUMMYFUNCTION("""COMPUTED_VALUE"""),44490.7055555555)</f>
        <v>44490.705555555498</v>
      </c>
      <c r="N2922" s="111">
        <f ca="1">IFERROR(__xludf.DUMMYFUNCTION("""COMPUTED_VALUE"""),21.25)</f>
        <v>21.25</v>
      </c>
      <c r="O2922" s="112">
        <f ca="1">IFERROR(__xludf.DUMMYFUNCTION("""COMPUTED_VALUE"""),44568.7055555555)</f>
        <v>44568.705555555498</v>
      </c>
      <c r="P2922" s="111">
        <f ca="1">IFERROR(__xludf.DUMMYFUNCTION("""COMPUTED_VALUE"""),84)</f>
        <v>84</v>
      </c>
      <c r="Q2922" s="112">
        <f ca="1">IFERROR(__xludf.DUMMYFUNCTION("""COMPUTED_VALUE"""),44567.7055555555)</f>
        <v>44567.705555555498</v>
      </c>
      <c r="R2922" s="111">
        <f ca="1">IFERROR(__xludf.DUMMYFUNCTION("""COMPUTED_VALUE"""),28.6)</f>
        <v>28.6</v>
      </c>
      <c r="S2922" s="112">
        <f ca="1">IFERROR(__xludf.DUMMYFUNCTION("""COMPUTED_VALUE"""),44581.7055555555)</f>
        <v>44581.705555555498</v>
      </c>
      <c r="T2922" s="111">
        <f ca="1">IFERROR(__xludf.DUMMYFUNCTION("""COMPUTED_VALUE"""),26.14)</f>
        <v>26.14</v>
      </c>
    </row>
    <row r="2923" spans="1:20" x14ac:dyDescent="0.3">
      <c r="A2923" s="112">
        <f ca="1">IFERROR(__xludf.DUMMYFUNCTION("""COMPUTED_VALUE"""),44578.7055555555)</f>
        <v>44578.705555555498</v>
      </c>
      <c r="B2923" s="111">
        <f ca="1">IFERROR(__xludf.DUMMYFUNCTION("""COMPUTED_VALUE"""),31.35)</f>
        <v>31.35</v>
      </c>
      <c r="C2923" s="112">
        <f ca="1">IFERROR(__xludf.DUMMYFUNCTION("""COMPUTED_VALUE"""),44587.7055555555)</f>
        <v>44587.705555555498</v>
      </c>
      <c r="D2923" s="111">
        <f ca="1">IFERROR(__xludf.DUMMYFUNCTION("""COMPUTED_VALUE"""),24.37)</f>
        <v>24.37</v>
      </c>
      <c r="E2923" s="112">
        <f ca="1">IFERROR(__xludf.DUMMYFUNCTION("""COMPUTED_VALUE"""),44588.7055555555)</f>
        <v>44588.705555555498</v>
      </c>
      <c r="F2923" s="111">
        <f ca="1">IFERROR(__xludf.DUMMYFUNCTION("""COMPUTED_VALUE"""),9.97)</f>
        <v>9.9700000000000006</v>
      </c>
      <c r="G2923" s="112">
        <f ca="1">IFERROR(__xludf.DUMMYFUNCTION("""COMPUTED_VALUE"""),44586.7055555555)</f>
        <v>44586.705555555498</v>
      </c>
      <c r="H2923" s="111">
        <f ca="1">IFERROR(__xludf.DUMMYFUNCTION("""COMPUTED_VALUE"""),32.99)</f>
        <v>32.99</v>
      </c>
      <c r="M2923" s="112">
        <f ca="1">IFERROR(__xludf.DUMMYFUNCTION("""COMPUTED_VALUE"""),44491.7055555555)</f>
        <v>44491.705555555498</v>
      </c>
      <c r="N2923" s="111">
        <f ca="1">IFERROR(__xludf.DUMMYFUNCTION("""COMPUTED_VALUE"""),20.45)</f>
        <v>20.45</v>
      </c>
      <c r="O2923" s="112">
        <f ca="1">IFERROR(__xludf.DUMMYFUNCTION("""COMPUTED_VALUE"""),44571.7055555555)</f>
        <v>44571.705555555498</v>
      </c>
      <c r="P2923" s="111">
        <f ca="1">IFERROR(__xludf.DUMMYFUNCTION("""COMPUTED_VALUE"""),83)</f>
        <v>83</v>
      </c>
      <c r="Q2923" s="112">
        <f ca="1">IFERROR(__xludf.DUMMYFUNCTION("""COMPUTED_VALUE"""),44568.7055555555)</f>
        <v>44568.705555555498</v>
      </c>
      <c r="R2923" s="111">
        <f ca="1">IFERROR(__xludf.DUMMYFUNCTION("""COMPUTED_VALUE"""),28.63)</f>
        <v>28.63</v>
      </c>
      <c r="S2923" s="112">
        <f ca="1">IFERROR(__xludf.DUMMYFUNCTION("""COMPUTED_VALUE"""),44582.7055555555)</f>
        <v>44582.705555555498</v>
      </c>
      <c r="T2923" s="111">
        <f ca="1">IFERROR(__xludf.DUMMYFUNCTION("""COMPUTED_VALUE"""),26.44)</f>
        <v>26.44</v>
      </c>
    </row>
    <row r="2924" spans="1:20" x14ac:dyDescent="0.3">
      <c r="A2924" s="112">
        <f ca="1">IFERROR(__xludf.DUMMYFUNCTION("""COMPUTED_VALUE"""),44579.7055555555)</f>
        <v>44579.705555555498</v>
      </c>
      <c r="B2924" s="111">
        <f ca="1">IFERROR(__xludf.DUMMYFUNCTION("""COMPUTED_VALUE"""),31.36)</f>
        <v>31.36</v>
      </c>
      <c r="C2924" s="112">
        <f ca="1">IFERROR(__xludf.DUMMYFUNCTION("""COMPUTED_VALUE"""),44588.7055555555)</f>
        <v>44588.705555555498</v>
      </c>
      <c r="D2924" s="111">
        <f ca="1">IFERROR(__xludf.DUMMYFUNCTION("""COMPUTED_VALUE"""),24.49)</f>
        <v>24.49</v>
      </c>
      <c r="E2924" s="112">
        <f ca="1">IFERROR(__xludf.DUMMYFUNCTION("""COMPUTED_VALUE"""),44589.7055555555)</f>
        <v>44589.705555555498</v>
      </c>
      <c r="F2924" s="111">
        <f ca="1">IFERROR(__xludf.DUMMYFUNCTION("""COMPUTED_VALUE"""),10.07)</f>
        <v>10.07</v>
      </c>
      <c r="G2924" s="112">
        <f ca="1">IFERROR(__xludf.DUMMYFUNCTION("""COMPUTED_VALUE"""),44587.7055555555)</f>
        <v>44587.705555555498</v>
      </c>
      <c r="H2924" s="111">
        <f ca="1">IFERROR(__xludf.DUMMYFUNCTION("""COMPUTED_VALUE"""),33.87)</f>
        <v>33.869999999999997</v>
      </c>
      <c r="M2924" s="112">
        <f ca="1">IFERROR(__xludf.DUMMYFUNCTION("""COMPUTED_VALUE"""),44494.7055555555)</f>
        <v>44494.705555555498</v>
      </c>
      <c r="N2924" s="111">
        <f ca="1">IFERROR(__xludf.DUMMYFUNCTION("""COMPUTED_VALUE"""),20.76)</f>
        <v>20.76</v>
      </c>
      <c r="O2924" s="112">
        <f ca="1">IFERROR(__xludf.DUMMYFUNCTION("""COMPUTED_VALUE"""),44572.7055555555)</f>
        <v>44572.705555555498</v>
      </c>
      <c r="P2924" s="111">
        <f ca="1">IFERROR(__xludf.DUMMYFUNCTION("""COMPUTED_VALUE"""),84.58)</f>
        <v>84.58</v>
      </c>
      <c r="Q2924" s="112">
        <f ca="1">IFERROR(__xludf.DUMMYFUNCTION("""COMPUTED_VALUE"""),44571.7055555555)</f>
        <v>44571.705555555498</v>
      </c>
      <c r="R2924" s="111">
        <f ca="1">IFERROR(__xludf.DUMMYFUNCTION("""COMPUTED_VALUE"""),28.78)</f>
        <v>28.78</v>
      </c>
      <c r="S2924" s="112">
        <f ca="1">IFERROR(__xludf.DUMMYFUNCTION("""COMPUTED_VALUE"""),44585.7055555555)</f>
        <v>44585.705555555498</v>
      </c>
      <c r="T2924" s="111">
        <f ca="1">IFERROR(__xludf.DUMMYFUNCTION("""COMPUTED_VALUE"""),25.88)</f>
        <v>25.88</v>
      </c>
    </row>
    <row r="2925" spans="1:20" x14ac:dyDescent="0.3">
      <c r="A2925" s="112">
        <f ca="1">IFERROR(__xludf.DUMMYFUNCTION("""COMPUTED_VALUE"""),44580.7055555555)</f>
        <v>44580.705555555498</v>
      </c>
      <c r="B2925" s="111">
        <f ca="1">IFERROR(__xludf.DUMMYFUNCTION("""COMPUTED_VALUE"""),32.69)</f>
        <v>32.69</v>
      </c>
      <c r="C2925" s="112">
        <f ca="1">IFERROR(__xludf.DUMMYFUNCTION("""COMPUTED_VALUE"""),44589.7055555555)</f>
        <v>44589.705555555498</v>
      </c>
      <c r="D2925" s="111">
        <f ca="1">IFERROR(__xludf.DUMMYFUNCTION("""COMPUTED_VALUE"""),24.79)</f>
        <v>24.79</v>
      </c>
      <c r="E2925" s="112">
        <f ca="1">IFERROR(__xludf.DUMMYFUNCTION("""COMPUTED_VALUE"""),44592.7055555555)</f>
        <v>44592.705555555498</v>
      </c>
      <c r="F2925" s="111">
        <f ca="1">IFERROR(__xludf.DUMMYFUNCTION("""COMPUTED_VALUE"""),10.19)</f>
        <v>10.19</v>
      </c>
      <c r="G2925" s="112">
        <f ca="1">IFERROR(__xludf.DUMMYFUNCTION("""COMPUTED_VALUE"""),44588.7055555555)</f>
        <v>44588.705555555498</v>
      </c>
      <c r="H2925" s="111">
        <f ca="1">IFERROR(__xludf.DUMMYFUNCTION("""COMPUTED_VALUE"""),33.88)</f>
        <v>33.880000000000003</v>
      </c>
      <c r="M2925" s="112">
        <f ca="1">IFERROR(__xludf.DUMMYFUNCTION("""COMPUTED_VALUE"""),44495.7055555555)</f>
        <v>44495.705555555498</v>
      </c>
      <c r="N2925" s="111">
        <f ca="1">IFERROR(__xludf.DUMMYFUNCTION("""COMPUTED_VALUE"""),20.29)</f>
        <v>20.29</v>
      </c>
      <c r="O2925" s="112">
        <f ca="1">IFERROR(__xludf.DUMMYFUNCTION("""COMPUTED_VALUE"""),44573.7055555555)</f>
        <v>44573.705555555498</v>
      </c>
      <c r="P2925" s="111">
        <f ca="1">IFERROR(__xludf.DUMMYFUNCTION("""COMPUTED_VALUE"""),85.5)</f>
        <v>85.5</v>
      </c>
      <c r="Q2925" s="112">
        <f ca="1">IFERROR(__xludf.DUMMYFUNCTION("""COMPUTED_VALUE"""),44572.7055555555)</f>
        <v>44572.705555555498</v>
      </c>
      <c r="R2925" s="111">
        <f ca="1">IFERROR(__xludf.DUMMYFUNCTION("""COMPUTED_VALUE"""),28.9)</f>
        <v>28.9</v>
      </c>
      <c r="S2925" s="112">
        <f ca="1">IFERROR(__xludf.DUMMYFUNCTION("""COMPUTED_VALUE"""),44586.7055555555)</f>
        <v>44586.705555555498</v>
      </c>
      <c r="T2925" s="111">
        <f ca="1">IFERROR(__xludf.DUMMYFUNCTION("""COMPUTED_VALUE"""),27.01)</f>
        <v>27.01</v>
      </c>
    </row>
    <row r="2926" spans="1:20" x14ac:dyDescent="0.3">
      <c r="A2926" s="112">
        <f ca="1">IFERROR(__xludf.DUMMYFUNCTION("""COMPUTED_VALUE"""),44581.7055555555)</f>
        <v>44581.705555555498</v>
      </c>
      <c r="B2926" s="111">
        <f ca="1">IFERROR(__xludf.DUMMYFUNCTION("""COMPUTED_VALUE"""),33.09)</f>
        <v>33.090000000000003</v>
      </c>
      <c r="C2926" s="112">
        <f ca="1">IFERROR(__xludf.DUMMYFUNCTION("""COMPUTED_VALUE"""),44592.7055555555)</f>
        <v>44592.705555555498</v>
      </c>
      <c r="D2926" s="111">
        <f ca="1">IFERROR(__xludf.DUMMYFUNCTION("""COMPUTED_VALUE"""),25.33)</f>
        <v>25.33</v>
      </c>
      <c r="E2926" s="112">
        <f ca="1">IFERROR(__xludf.DUMMYFUNCTION("""COMPUTED_VALUE"""),44593.7055555555)</f>
        <v>44593.705555555498</v>
      </c>
      <c r="F2926" s="111">
        <f ca="1">IFERROR(__xludf.DUMMYFUNCTION("""COMPUTED_VALUE"""),10.21)</f>
        <v>10.210000000000001</v>
      </c>
      <c r="G2926" s="112">
        <f ca="1">IFERROR(__xludf.DUMMYFUNCTION("""COMPUTED_VALUE"""),44589.7055555555)</f>
        <v>44589.705555555498</v>
      </c>
      <c r="H2926" s="111">
        <f ca="1">IFERROR(__xludf.DUMMYFUNCTION("""COMPUTED_VALUE"""),32.54)</f>
        <v>32.54</v>
      </c>
      <c r="M2926" s="112">
        <f ca="1">IFERROR(__xludf.DUMMYFUNCTION("""COMPUTED_VALUE"""),44496.7055555555)</f>
        <v>44496.705555555498</v>
      </c>
      <c r="N2926" s="111">
        <f ca="1">IFERROR(__xludf.DUMMYFUNCTION("""COMPUTED_VALUE"""),20.56)</f>
        <v>20.56</v>
      </c>
      <c r="O2926" s="112">
        <f ca="1">IFERROR(__xludf.DUMMYFUNCTION("""COMPUTED_VALUE"""),44574.7055555555)</f>
        <v>44574.705555555498</v>
      </c>
      <c r="P2926" s="111">
        <f ca="1">IFERROR(__xludf.DUMMYFUNCTION("""COMPUTED_VALUE"""),84.2)</f>
        <v>84.2</v>
      </c>
      <c r="Q2926" s="112">
        <f ca="1">IFERROR(__xludf.DUMMYFUNCTION("""COMPUTED_VALUE"""),44573.7055555555)</f>
        <v>44573.705555555498</v>
      </c>
      <c r="R2926" s="111">
        <f ca="1">IFERROR(__xludf.DUMMYFUNCTION("""COMPUTED_VALUE"""),29.18)</f>
        <v>29.18</v>
      </c>
      <c r="S2926" s="112">
        <f ca="1">IFERROR(__xludf.DUMMYFUNCTION("""COMPUTED_VALUE"""),44587.7055555555)</f>
        <v>44587.705555555498</v>
      </c>
      <c r="T2926" s="111">
        <f ca="1">IFERROR(__xludf.DUMMYFUNCTION("""COMPUTED_VALUE"""),27.75)</f>
        <v>27.75</v>
      </c>
    </row>
    <row r="2927" spans="1:20" x14ac:dyDescent="0.3">
      <c r="A2927" s="112">
        <f ca="1">IFERROR(__xludf.DUMMYFUNCTION("""COMPUTED_VALUE"""),44582.7055555555)</f>
        <v>44582.705555555498</v>
      </c>
      <c r="B2927" s="111">
        <f ca="1">IFERROR(__xludf.DUMMYFUNCTION("""COMPUTED_VALUE"""),33.63)</f>
        <v>33.630000000000003</v>
      </c>
      <c r="C2927" s="112">
        <f ca="1">IFERROR(__xludf.DUMMYFUNCTION("""COMPUTED_VALUE"""),44593.7055555555)</f>
        <v>44593.705555555498</v>
      </c>
      <c r="D2927" s="111">
        <f ca="1">IFERROR(__xludf.DUMMYFUNCTION("""COMPUTED_VALUE"""),25.49)</f>
        <v>25.49</v>
      </c>
      <c r="E2927" s="112">
        <f ca="1">IFERROR(__xludf.DUMMYFUNCTION("""COMPUTED_VALUE"""),44594.7055555555)</f>
        <v>44594.705555555498</v>
      </c>
      <c r="F2927" s="111">
        <f ca="1">IFERROR(__xludf.DUMMYFUNCTION("""COMPUTED_VALUE"""),10.04)</f>
        <v>10.039999999999999</v>
      </c>
      <c r="G2927" s="112">
        <f ca="1">IFERROR(__xludf.DUMMYFUNCTION("""COMPUTED_VALUE"""),44592.7055555555)</f>
        <v>44592.705555555498</v>
      </c>
      <c r="H2927" s="111">
        <f ca="1">IFERROR(__xludf.DUMMYFUNCTION("""COMPUTED_VALUE"""),32.35)</f>
        <v>32.35</v>
      </c>
      <c r="M2927" s="112">
        <f ca="1">IFERROR(__xludf.DUMMYFUNCTION("""COMPUTED_VALUE"""),44497.7055555555)</f>
        <v>44497.705555555498</v>
      </c>
      <c r="N2927" s="111">
        <f ca="1">IFERROR(__xludf.DUMMYFUNCTION("""COMPUTED_VALUE"""),20.49)</f>
        <v>20.49</v>
      </c>
      <c r="O2927" s="112">
        <f ca="1">IFERROR(__xludf.DUMMYFUNCTION("""COMPUTED_VALUE"""),44575.7055555555)</f>
        <v>44575.705555555498</v>
      </c>
      <c r="P2927" s="111">
        <f ca="1">IFERROR(__xludf.DUMMYFUNCTION("""COMPUTED_VALUE"""),84.69)</f>
        <v>84.69</v>
      </c>
      <c r="Q2927" s="112">
        <f ca="1">IFERROR(__xludf.DUMMYFUNCTION("""COMPUTED_VALUE"""),44574.7055555555)</f>
        <v>44574.705555555498</v>
      </c>
      <c r="R2927" s="111">
        <f ca="1">IFERROR(__xludf.DUMMYFUNCTION("""COMPUTED_VALUE"""),29.65)</f>
        <v>29.65</v>
      </c>
      <c r="S2927" s="112">
        <f ca="1">IFERROR(__xludf.DUMMYFUNCTION("""COMPUTED_VALUE"""),44588.7055555555)</f>
        <v>44588.705555555498</v>
      </c>
      <c r="T2927" s="111">
        <f ca="1">IFERROR(__xludf.DUMMYFUNCTION("""COMPUTED_VALUE"""),27.93)</f>
        <v>27.93</v>
      </c>
    </row>
    <row r="2928" spans="1:20" x14ac:dyDescent="0.3">
      <c r="A2928" s="112">
        <f ca="1">IFERROR(__xludf.DUMMYFUNCTION("""COMPUTED_VALUE"""),44585.7055555555)</f>
        <v>44585.705555555498</v>
      </c>
      <c r="B2928" s="111">
        <f ca="1">IFERROR(__xludf.DUMMYFUNCTION("""COMPUTED_VALUE"""),32.95)</f>
        <v>32.950000000000003</v>
      </c>
      <c r="C2928" s="112">
        <f ca="1">IFERROR(__xludf.DUMMYFUNCTION("""COMPUTED_VALUE"""),44594.7055555555)</f>
        <v>44594.705555555498</v>
      </c>
      <c r="D2928" s="111">
        <f ca="1">IFERROR(__xludf.DUMMYFUNCTION("""COMPUTED_VALUE"""),25.09)</f>
        <v>25.09</v>
      </c>
      <c r="E2928" s="112">
        <f ca="1">IFERROR(__xludf.DUMMYFUNCTION("""COMPUTED_VALUE"""),44595.7055555555)</f>
        <v>44595.705555555498</v>
      </c>
      <c r="F2928" s="111">
        <f ca="1">IFERROR(__xludf.DUMMYFUNCTION("""COMPUTED_VALUE"""),10.07)</f>
        <v>10.07</v>
      </c>
      <c r="G2928" s="112">
        <f ca="1">IFERROR(__xludf.DUMMYFUNCTION("""COMPUTED_VALUE"""),44593.7055555555)</f>
        <v>44593.705555555498</v>
      </c>
      <c r="H2928" s="111">
        <f ca="1">IFERROR(__xludf.DUMMYFUNCTION("""COMPUTED_VALUE"""),33)</f>
        <v>33</v>
      </c>
      <c r="M2928" s="112">
        <f ca="1">IFERROR(__xludf.DUMMYFUNCTION("""COMPUTED_VALUE"""),44498.7055555555)</f>
        <v>44498.705555555498</v>
      </c>
      <c r="N2928" s="111">
        <f ca="1">IFERROR(__xludf.DUMMYFUNCTION("""COMPUTED_VALUE"""),19.9)</f>
        <v>19.899999999999999</v>
      </c>
      <c r="O2928" s="112">
        <f ca="1">IFERROR(__xludf.DUMMYFUNCTION("""COMPUTED_VALUE"""),44578.7055555555)</f>
        <v>44578.705555555498</v>
      </c>
      <c r="P2928" s="111">
        <f ca="1">IFERROR(__xludf.DUMMYFUNCTION("""COMPUTED_VALUE"""),84.25)</f>
        <v>84.25</v>
      </c>
      <c r="Q2928" s="112">
        <f ca="1">IFERROR(__xludf.DUMMYFUNCTION("""COMPUTED_VALUE"""),44575.7055555555)</f>
        <v>44575.705555555498</v>
      </c>
      <c r="R2928" s="111">
        <f ca="1">IFERROR(__xludf.DUMMYFUNCTION("""COMPUTED_VALUE"""),30.41)</f>
        <v>30.41</v>
      </c>
      <c r="S2928" s="112">
        <f ca="1">IFERROR(__xludf.DUMMYFUNCTION("""COMPUTED_VALUE"""),44589.7055555555)</f>
        <v>44589.705555555498</v>
      </c>
      <c r="T2928" s="111">
        <f ca="1">IFERROR(__xludf.DUMMYFUNCTION("""COMPUTED_VALUE"""),28.15)</f>
        <v>28.15</v>
      </c>
    </row>
    <row r="2929" spans="1:20" x14ac:dyDescent="0.3">
      <c r="A2929" s="112">
        <f ca="1">IFERROR(__xludf.DUMMYFUNCTION("""COMPUTED_VALUE"""),44586.7055555555)</f>
        <v>44586.705555555498</v>
      </c>
      <c r="B2929" s="111">
        <f ca="1">IFERROR(__xludf.DUMMYFUNCTION("""COMPUTED_VALUE"""),33.67)</f>
        <v>33.67</v>
      </c>
      <c r="C2929" s="112">
        <f ca="1">IFERROR(__xludf.DUMMYFUNCTION("""COMPUTED_VALUE"""),44595.7055555555)</f>
        <v>44595.705555555498</v>
      </c>
      <c r="D2929" s="111">
        <f ca="1">IFERROR(__xludf.DUMMYFUNCTION("""COMPUTED_VALUE"""),25.38)</f>
        <v>25.38</v>
      </c>
      <c r="E2929" s="112">
        <f ca="1">IFERROR(__xludf.DUMMYFUNCTION("""COMPUTED_VALUE"""),44596.7055555555)</f>
        <v>44596.705555555498</v>
      </c>
      <c r="F2929" s="111">
        <f ca="1">IFERROR(__xludf.DUMMYFUNCTION("""COMPUTED_VALUE"""),10.27)</f>
        <v>10.27</v>
      </c>
      <c r="G2929" s="112">
        <f ca="1">IFERROR(__xludf.DUMMYFUNCTION("""COMPUTED_VALUE"""),44594.7055555555)</f>
        <v>44594.705555555498</v>
      </c>
      <c r="H2929" s="111">
        <f ca="1">IFERROR(__xludf.DUMMYFUNCTION("""COMPUTED_VALUE"""),32.52)</f>
        <v>32.520000000000003</v>
      </c>
      <c r="M2929" s="112">
        <f ca="1">IFERROR(__xludf.DUMMYFUNCTION("""COMPUTED_VALUE"""),44501.7055555555)</f>
        <v>44501.705555555498</v>
      </c>
      <c r="N2929" s="111">
        <f ca="1">IFERROR(__xludf.DUMMYFUNCTION("""COMPUTED_VALUE"""),20.59)</f>
        <v>20.59</v>
      </c>
      <c r="O2929" s="112">
        <f ca="1">IFERROR(__xludf.DUMMYFUNCTION("""COMPUTED_VALUE"""),44579.7055555555)</f>
        <v>44579.705555555498</v>
      </c>
      <c r="P2929" s="111">
        <f ca="1">IFERROR(__xludf.DUMMYFUNCTION("""COMPUTED_VALUE"""),86.31)</f>
        <v>86.31</v>
      </c>
      <c r="Q2929" s="112">
        <f ca="1">IFERROR(__xludf.DUMMYFUNCTION("""COMPUTED_VALUE"""),44578.7055555555)</f>
        <v>44578.705555555498</v>
      </c>
      <c r="R2929" s="111">
        <f ca="1">IFERROR(__xludf.DUMMYFUNCTION("""COMPUTED_VALUE"""),30.47)</f>
        <v>30.47</v>
      </c>
      <c r="S2929" s="112">
        <f ca="1">IFERROR(__xludf.DUMMYFUNCTION("""COMPUTED_VALUE"""),44592.7055555555)</f>
        <v>44592.705555555498</v>
      </c>
      <c r="T2929" s="111">
        <f ca="1">IFERROR(__xludf.DUMMYFUNCTION("""COMPUTED_VALUE"""),28.12)</f>
        <v>28.12</v>
      </c>
    </row>
    <row r="2930" spans="1:20" x14ac:dyDescent="0.3">
      <c r="A2930" s="112">
        <f ca="1">IFERROR(__xludf.DUMMYFUNCTION("""COMPUTED_VALUE"""),44587.7055555555)</f>
        <v>44587.705555555498</v>
      </c>
      <c r="B2930" s="111">
        <f ca="1">IFERROR(__xludf.DUMMYFUNCTION("""COMPUTED_VALUE"""),34.72)</f>
        <v>34.72</v>
      </c>
      <c r="C2930" s="112">
        <f ca="1">IFERROR(__xludf.DUMMYFUNCTION("""COMPUTED_VALUE"""),44596.7055555555)</f>
        <v>44596.705555555498</v>
      </c>
      <c r="D2930" s="111">
        <f ca="1">IFERROR(__xludf.DUMMYFUNCTION("""COMPUTED_VALUE"""),25.46)</f>
        <v>25.46</v>
      </c>
      <c r="E2930" s="112">
        <f ca="1">IFERROR(__xludf.DUMMYFUNCTION("""COMPUTED_VALUE"""),44599.7055555555)</f>
        <v>44599.705555555498</v>
      </c>
      <c r="F2930" s="111">
        <f ca="1">IFERROR(__xludf.DUMMYFUNCTION("""COMPUTED_VALUE"""),10.13)</f>
        <v>10.130000000000001</v>
      </c>
      <c r="G2930" s="112">
        <f ca="1">IFERROR(__xludf.DUMMYFUNCTION("""COMPUTED_VALUE"""),44595.7055555555)</f>
        <v>44595.705555555498</v>
      </c>
      <c r="H2930" s="111">
        <f ca="1">IFERROR(__xludf.DUMMYFUNCTION("""COMPUTED_VALUE"""),32.07)</f>
        <v>32.07</v>
      </c>
      <c r="M2930" s="112">
        <f ca="1">IFERROR(__xludf.DUMMYFUNCTION("""COMPUTED_VALUE"""),44503.7055555555)</f>
        <v>44503.705555555498</v>
      </c>
      <c r="N2930" s="111">
        <f ca="1">IFERROR(__xludf.DUMMYFUNCTION("""COMPUTED_VALUE"""),20.4)</f>
        <v>20.399999999999999</v>
      </c>
      <c r="O2930" s="112">
        <f ca="1">IFERROR(__xludf.DUMMYFUNCTION("""COMPUTED_VALUE"""),44580.7055555555)</f>
        <v>44580.705555555498</v>
      </c>
      <c r="P2930" s="111">
        <f ca="1">IFERROR(__xludf.DUMMYFUNCTION("""COMPUTED_VALUE"""),88.21)</f>
        <v>88.21</v>
      </c>
      <c r="Q2930" s="112">
        <f ca="1">IFERROR(__xludf.DUMMYFUNCTION("""COMPUTED_VALUE"""),44579.7055555555)</f>
        <v>44579.705555555498</v>
      </c>
      <c r="R2930" s="111">
        <f ca="1">IFERROR(__xludf.DUMMYFUNCTION("""COMPUTED_VALUE"""),30.74)</f>
        <v>30.74</v>
      </c>
      <c r="S2930" s="112">
        <f ca="1">IFERROR(__xludf.DUMMYFUNCTION("""COMPUTED_VALUE"""),44593.7055555555)</f>
        <v>44593.705555555498</v>
      </c>
      <c r="T2930" s="111">
        <f ca="1">IFERROR(__xludf.DUMMYFUNCTION("""COMPUTED_VALUE"""),26.98)</f>
        <v>26.98</v>
      </c>
    </row>
    <row r="2931" spans="1:20" x14ac:dyDescent="0.3">
      <c r="A2931" s="112">
        <f ca="1">IFERROR(__xludf.DUMMYFUNCTION("""COMPUTED_VALUE"""),44588.7055555555)</f>
        <v>44588.705555555498</v>
      </c>
      <c r="B2931" s="111">
        <f ca="1">IFERROR(__xludf.DUMMYFUNCTION("""COMPUTED_VALUE"""),34.53)</f>
        <v>34.53</v>
      </c>
      <c r="C2931" s="112">
        <f ca="1">IFERROR(__xludf.DUMMYFUNCTION("""COMPUTED_VALUE"""),44599.7055555555)</f>
        <v>44599.705555555498</v>
      </c>
      <c r="D2931" s="111">
        <f ca="1">IFERROR(__xludf.DUMMYFUNCTION("""COMPUTED_VALUE"""),25.32)</f>
        <v>25.32</v>
      </c>
      <c r="E2931" s="112">
        <f ca="1">IFERROR(__xludf.DUMMYFUNCTION("""COMPUTED_VALUE"""),44600.7055555555)</f>
        <v>44600.705555555498</v>
      </c>
      <c r="F2931" s="111">
        <f ca="1">IFERROR(__xludf.DUMMYFUNCTION("""COMPUTED_VALUE"""),10.15)</f>
        <v>10.15</v>
      </c>
      <c r="G2931" s="112">
        <f ca="1">IFERROR(__xludf.DUMMYFUNCTION("""COMPUTED_VALUE"""),44596.7055555555)</f>
        <v>44596.705555555498</v>
      </c>
      <c r="H2931" s="111">
        <f ca="1">IFERROR(__xludf.DUMMYFUNCTION("""COMPUTED_VALUE"""),32.63)</f>
        <v>32.630000000000003</v>
      </c>
      <c r="M2931" s="112">
        <f ca="1">IFERROR(__xludf.DUMMYFUNCTION("""COMPUTED_VALUE"""),44504.7055555555)</f>
        <v>44504.705555555498</v>
      </c>
      <c r="N2931" s="111">
        <f ca="1">IFERROR(__xludf.DUMMYFUNCTION("""COMPUTED_VALUE"""),19.05)</f>
        <v>19.05</v>
      </c>
      <c r="O2931" s="112">
        <f ca="1">IFERROR(__xludf.DUMMYFUNCTION("""COMPUTED_VALUE"""),44581.7055555555)</f>
        <v>44581.705555555498</v>
      </c>
      <c r="P2931" s="111">
        <f ca="1">IFERROR(__xludf.DUMMYFUNCTION("""COMPUTED_VALUE"""),86.71)</f>
        <v>86.71</v>
      </c>
      <c r="Q2931" s="112">
        <f ca="1">IFERROR(__xludf.DUMMYFUNCTION("""COMPUTED_VALUE"""),44580.7055555555)</f>
        <v>44580.705555555498</v>
      </c>
      <c r="R2931" s="111">
        <f ca="1">IFERROR(__xludf.DUMMYFUNCTION("""COMPUTED_VALUE"""),31.01)</f>
        <v>31.01</v>
      </c>
      <c r="S2931" s="112">
        <f ca="1">IFERROR(__xludf.DUMMYFUNCTION("""COMPUTED_VALUE"""),44594.7055555555)</f>
        <v>44594.705555555498</v>
      </c>
      <c r="T2931" s="111">
        <f ca="1">IFERROR(__xludf.DUMMYFUNCTION("""COMPUTED_VALUE"""),26.59)</f>
        <v>26.59</v>
      </c>
    </row>
    <row r="2932" spans="1:20" x14ac:dyDescent="0.3">
      <c r="A2932" s="112">
        <f ca="1">IFERROR(__xludf.DUMMYFUNCTION("""COMPUTED_VALUE"""),44589.7055555555)</f>
        <v>44589.705555555498</v>
      </c>
      <c r="B2932" s="111">
        <f ca="1">IFERROR(__xludf.DUMMYFUNCTION("""COMPUTED_VALUE"""),35.05)</f>
        <v>35.049999999999997</v>
      </c>
      <c r="C2932" s="112">
        <f ca="1">IFERROR(__xludf.DUMMYFUNCTION("""COMPUTED_VALUE"""),44600.7055555555)</f>
        <v>44600.705555555498</v>
      </c>
      <c r="D2932" s="111">
        <f ca="1">IFERROR(__xludf.DUMMYFUNCTION("""COMPUTED_VALUE"""),25.6)</f>
        <v>25.6</v>
      </c>
      <c r="E2932" s="112">
        <f ca="1">IFERROR(__xludf.DUMMYFUNCTION("""COMPUTED_VALUE"""),44601.7055555555)</f>
        <v>44601.705555555498</v>
      </c>
      <c r="F2932" s="111">
        <f ca="1">IFERROR(__xludf.DUMMYFUNCTION("""COMPUTED_VALUE"""),9.98)</f>
        <v>9.98</v>
      </c>
      <c r="G2932" s="112">
        <f ca="1">IFERROR(__xludf.DUMMYFUNCTION("""COMPUTED_VALUE"""),44599.7055555555)</f>
        <v>44599.705555555498</v>
      </c>
      <c r="H2932" s="111">
        <f ca="1">IFERROR(__xludf.DUMMYFUNCTION("""COMPUTED_VALUE"""),32.15)</f>
        <v>32.15</v>
      </c>
      <c r="M2932" s="112">
        <f ca="1">IFERROR(__xludf.DUMMYFUNCTION("""COMPUTED_VALUE"""),44505.7055555555)</f>
        <v>44505.705555555498</v>
      </c>
      <c r="N2932" s="111">
        <f ca="1">IFERROR(__xludf.DUMMYFUNCTION("""COMPUTED_VALUE"""),19.99)</f>
        <v>19.989999999999998</v>
      </c>
      <c r="O2932" s="112">
        <f ca="1">IFERROR(__xludf.DUMMYFUNCTION("""COMPUTED_VALUE"""),44582.7055555555)</f>
        <v>44582.705555555498</v>
      </c>
      <c r="P2932" s="111">
        <f ca="1">IFERROR(__xludf.DUMMYFUNCTION("""COMPUTED_VALUE"""),84.91)</f>
        <v>84.91</v>
      </c>
      <c r="Q2932" s="112">
        <f ca="1">IFERROR(__xludf.DUMMYFUNCTION("""COMPUTED_VALUE"""),44581.7055555555)</f>
        <v>44581.705555555498</v>
      </c>
      <c r="R2932" s="111">
        <f ca="1">IFERROR(__xludf.DUMMYFUNCTION("""COMPUTED_VALUE"""),31.2)</f>
        <v>31.2</v>
      </c>
      <c r="S2932" s="112">
        <f ca="1">IFERROR(__xludf.DUMMYFUNCTION("""COMPUTED_VALUE"""),44595.7055555555)</f>
        <v>44595.705555555498</v>
      </c>
      <c r="T2932" s="111">
        <f ca="1">IFERROR(__xludf.DUMMYFUNCTION("""COMPUTED_VALUE"""),26.67)</f>
        <v>26.67</v>
      </c>
    </row>
    <row r="2933" spans="1:20" x14ac:dyDescent="0.3">
      <c r="A2933" s="112">
        <f ca="1">IFERROR(__xludf.DUMMYFUNCTION("""COMPUTED_VALUE"""),44592.7055555555)</f>
        <v>44592.705555555498</v>
      </c>
      <c r="B2933" s="111">
        <f ca="1">IFERROR(__xludf.DUMMYFUNCTION("""COMPUTED_VALUE"""),34.91)</f>
        <v>34.909999999999997</v>
      </c>
      <c r="C2933" s="112">
        <f ca="1">IFERROR(__xludf.DUMMYFUNCTION("""COMPUTED_VALUE"""),44601.7055555555)</f>
        <v>44601.705555555498</v>
      </c>
      <c r="D2933" s="111">
        <f ca="1">IFERROR(__xludf.DUMMYFUNCTION("""COMPUTED_VALUE"""),24.58)</f>
        <v>24.58</v>
      </c>
      <c r="E2933" s="112">
        <f ca="1">IFERROR(__xludf.DUMMYFUNCTION("""COMPUTED_VALUE"""),44602.7055555555)</f>
        <v>44602.705555555498</v>
      </c>
      <c r="F2933" s="111">
        <f ca="1">IFERROR(__xludf.DUMMYFUNCTION("""COMPUTED_VALUE"""),10.09)</f>
        <v>10.09</v>
      </c>
      <c r="G2933" s="112">
        <f ca="1">IFERROR(__xludf.DUMMYFUNCTION("""COMPUTED_VALUE"""),44600.7055555555)</f>
        <v>44600.705555555498</v>
      </c>
      <c r="H2933" s="111">
        <f ca="1">IFERROR(__xludf.DUMMYFUNCTION("""COMPUTED_VALUE"""),31.83)</f>
        <v>31.83</v>
      </c>
      <c r="M2933" s="112">
        <f ca="1">IFERROR(__xludf.DUMMYFUNCTION("""COMPUTED_VALUE"""),44508.7055555555)</f>
        <v>44508.705555555498</v>
      </c>
      <c r="N2933" s="111">
        <f ca="1">IFERROR(__xludf.DUMMYFUNCTION("""COMPUTED_VALUE"""),19.53)</f>
        <v>19.53</v>
      </c>
      <c r="O2933" s="112">
        <f ca="1">IFERROR(__xludf.DUMMYFUNCTION("""COMPUTED_VALUE"""),44585.7055555555)</f>
        <v>44585.705555555498</v>
      </c>
      <c r="P2933" s="111">
        <f ca="1">IFERROR(__xludf.DUMMYFUNCTION("""COMPUTED_VALUE"""),83.87)</f>
        <v>83.87</v>
      </c>
      <c r="Q2933" s="112">
        <f ca="1">IFERROR(__xludf.DUMMYFUNCTION("""COMPUTED_VALUE"""),44582.7055555555)</f>
        <v>44582.705555555498</v>
      </c>
      <c r="R2933" s="111">
        <f ca="1">IFERROR(__xludf.DUMMYFUNCTION("""COMPUTED_VALUE"""),31.2)</f>
        <v>31.2</v>
      </c>
      <c r="S2933" s="112">
        <f ca="1">IFERROR(__xludf.DUMMYFUNCTION("""COMPUTED_VALUE"""),44596.7055555555)</f>
        <v>44596.705555555498</v>
      </c>
      <c r="T2933" s="111">
        <f ca="1">IFERROR(__xludf.DUMMYFUNCTION("""COMPUTED_VALUE"""),26.2)</f>
        <v>26.2</v>
      </c>
    </row>
    <row r="2934" spans="1:20" x14ac:dyDescent="0.3">
      <c r="A2934" s="112">
        <f ca="1">IFERROR(__xludf.DUMMYFUNCTION("""COMPUTED_VALUE"""),44593.7055555555)</f>
        <v>44593.705555555498</v>
      </c>
      <c r="B2934" s="111">
        <f ca="1">IFERROR(__xludf.DUMMYFUNCTION("""COMPUTED_VALUE"""),34.25)</f>
        <v>34.25</v>
      </c>
      <c r="C2934" s="112">
        <f ca="1">IFERROR(__xludf.DUMMYFUNCTION("""COMPUTED_VALUE"""),44602.7055555555)</f>
        <v>44602.705555555498</v>
      </c>
      <c r="D2934" s="111">
        <f ca="1">IFERROR(__xludf.DUMMYFUNCTION("""COMPUTED_VALUE"""),25.05)</f>
        <v>25.05</v>
      </c>
      <c r="E2934" s="112">
        <f ca="1">IFERROR(__xludf.DUMMYFUNCTION("""COMPUTED_VALUE"""),44603.7055555555)</f>
        <v>44603.705555555498</v>
      </c>
      <c r="F2934" s="111">
        <f ca="1">IFERROR(__xludf.DUMMYFUNCTION("""COMPUTED_VALUE"""),10.52)</f>
        <v>10.52</v>
      </c>
      <c r="G2934" s="112">
        <f ca="1">IFERROR(__xludf.DUMMYFUNCTION("""COMPUTED_VALUE"""),44601.7055555555)</f>
        <v>44601.705555555498</v>
      </c>
      <c r="H2934" s="111">
        <f ca="1">IFERROR(__xludf.DUMMYFUNCTION("""COMPUTED_VALUE"""),31.95)</f>
        <v>31.95</v>
      </c>
      <c r="M2934" s="112">
        <f ca="1">IFERROR(__xludf.DUMMYFUNCTION("""COMPUTED_VALUE"""),44509.7055555555)</f>
        <v>44509.705555555498</v>
      </c>
      <c r="N2934" s="111">
        <f ca="1">IFERROR(__xludf.DUMMYFUNCTION("""COMPUTED_VALUE"""),19.31)</f>
        <v>19.309999999999999</v>
      </c>
      <c r="O2934" s="112">
        <f ca="1">IFERROR(__xludf.DUMMYFUNCTION("""COMPUTED_VALUE"""),44586.7055555555)</f>
        <v>44586.705555555498</v>
      </c>
      <c r="P2934" s="111">
        <f ca="1">IFERROR(__xludf.DUMMYFUNCTION("""COMPUTED_VALUE"""),84.06)</f>
        <v>84.06</v>
      </c>
      <c r="Q2934" s="112">
        <f ca="1">IFERROR(__xludf.DUMMYFUNCTION("""COMPUTED_VALUE"""),44585.7055555555)</f>
        <v>44585.705555555498</v>
      </c>
      <c r="R2934" s="111">
        <f ca="1">IFERROR(__xludf.DUMMYFUNCTION("""COMPUTED_VALUE"""),31.35)</f>
        <v>31.35</v>
      </c>
      <c r="S2934" s="112">
        <f ca="1">IFERROR(__xludf.DUMMYFUNCTION("""COMPUTED_VALUE"""),44599.7055555555)</f>
        <v>44599.705555555498</v>
      </c>
      <c r="T2934" s="111">
        <f ca="1">IFERROR(__xludf.DUMMYFUNCTION("""COMPUTED_VALUE"""),25.69)</f>
        <v>25.69</v>
      </c>
    </row>
    <row r="2935" spans="1:20" x14ac:dyDescent="0.3">
      <c r="A2935" s="112">
        <f ca="1">IFERROR(__xludf.DUMMYFUNCTION("""COMPUTED_VALUE"""),44594.7055555555)</f>
        <v>44594.705555555498</v>
      </c>
      <c r="B2935" s="111">
        <f ca="1">IFERROR(__xludf.DUMMYFUNCTION("""COMPUTED_VALUE"""),33.52)</f>
        <v>33.520000000000003</v>
      </c>
      <c r="C2935" s="112">
        <f ca="1">IFERROR(__xludf.DUMMYFUNCTION("""COMPUTED_VALUE"""),44603.7055555555)</f>
        <v>44603.705555555498</v>
      </c>
      <c r="D2935" s="111">
        <f ca="1">IFERROR(__xludf.DUMMYFUNCTION("""COMPUTED_VALUE"""),26.53)</f>
        <v>26.53</v>
      </c>
      <c r="E2935" s="112">
        <f ca="1">IFERROR(__xludf.DUMMYFUNCTION("""COMPUTED_VALUE"""),44606.7055555555)</f>
        <v>44606.705555555498</v>
      </c>
      <c r="F2935" s="111">
        <f ca="1">IFERROR(__xludf.DUMMYFUNCTION("""COMPUTED_VALUE"""),10.48)</f>
        <v>10.48</v>
      </c>
      <c r="G2935" s="112">
        <f ca="1">IFERROR(__xludf.DUMMYFUNCTION("""COMPUTED_VALUE"""),44602.7055555555)</f>
        <v>44602.705555555498</v>
      </c>
      <c r="H2935" s="111">
        <f ca="1">IFERROR(__xludf.DUMMYFUNCTION("""COMPUTED_VALUE"""),32.44)</f>
        <v>32.44</v>
      </c>
      <c r="M2935" s="112">
        <f ca="1">IFERROR(__xludf.DUMMYFUNCTION("""COMPUTED_VALUE"""),44510.7055555555)</f>
        <v>44510.705555555498</v>
      </c>
      <c r="N2935" s="111">
        <f ca="1">IFERROR(__xludf.DUMMYFUNCTION("""COMPUTED_VALUE"""),20.39)</f>
        <v>20.39</v>
      </c>
      <c r="O2935" s="112">
        <f ca="1">IFERROR(__xludf.DUMMYFUNCTION("""COMPUTED_VALUE"""),44587.7055555555)</f>
        <v>44587.705555555498</v>
      </c>
      <c r="P2935" s="111">
        <f ca="1">IFERROR(__xludf.DUMMYFUNCTION("""COMPUTED_VALUE"""),84.3)</f>
        <v>84.3</v>
      </c>
      <c r="Q2935" s="112">
        <f ca="1">IFERROR(__xludf.DUMMYFUNCTION("""COMPUTED_VALUE"""),44586.7055555555)</f>
        <v>44586.705555555498</v>
      </c>
      <c r="R2935" s="111">
        <f ca="1">IFERROR(__xludf.DUMMYFUNCTION("""COMPUTED_VALUE"""),32.16)</f>
        <v>32.159999999999997</v>
      </c>
      <c r="S2935" s="112">
        <f ca="1">IFERROR(__xludf.DUMMYFUNCTION("""COMPUTED_VALUE"""),44600.7055555555)</f>
        <v>44600.705555555498</v>
      </c>
      <c r="T2935" s="111">
        <f ca="1">IFERROR(__xludf.DUMMYFUNCTION("""COMPUTED_VALUE"""),25.58)</f>
        <v>25.58</v>
      </c>
    </row>
    <row r="2936" spans="1:20" x14ac:dyDescent="0.3">
      <c r="A2936" s="112">
        <f ca="1">IFERROR(__xludf.DUMMYFUNCTION("""COMPUTED_VALUE"""),44595.7055555555)</f>
        <v>44595.705555555498</v>
      </c>
      <c r="B2936" s="111">
        <f ca="1">IFERROR(__xludf.DUMMYFUNCTION("""COMPUTED_VALUE"""),33.97)</f>
        <v>33.97</v>
      </c>
      <c r="C2936" s="112">
        <f ca="1">IFERROR(__xludf.DUMMYFUNCTION("""COMPUTED_VALUE"""),44606.7055555555)</f>
        <v>44606.705555555498</v>
      </c>
      <c r="D2936" s="111">
        <f ca="1">IFERROR(__xludf.DUMMYFUNCTION("""COMPUTED_VALUE"""),26.47)</f>
        <v>26.47</v>
      </c>
      <c r="E2936" s="112">
        <f ca="1">IFERROR(__xludf.DUMMYFUNCTION("""COMPUTED_VALUE"""),44607.7055555555)</f>
        <v>44607.705555555498</v>
      </c>
      <c r="F2936" s="111">
        <f ca="1">IFERROR(__xludf.DUMMYFUNCTION("""COMPUTED_VALUE"""),10.61)</f>
        <v>10.61</v>
      </c>
      <c r="G2936" s="112">
        <f ca="1">IFERROR(__xludf.DUMMYFUNCTION("""COMPUTED_VALUE"""),44603.7055555555)</f>
        <v>44603.705555555498</v>
      </c>
      <c r="H2936" s="111">
        <f ca="1">IFERROR(__xludf.DUMMYFUNCTION("""COMPUTED_VALUE"""),33.76)</f>
        <v>33.76</v>
      </c>
      <c r="M2936" s="112">
        <f ca="1">IFERROR(__xludf.DUMMYFUNCTION("""COMPUTED_VALUE"""),44511.7055555555)</f>
        <v>44511.705555555498</v>
      </c>
      <c r="N2936" s="111">
        <f ca="1">IFERROR(__xludf.DUMMYFUNCTION("""COMPUTED_VALUE"""),20.49)</f>
        <v>20.49</v>
      </c>
      <c r="O2936" s="112">
        <f ca="1">IFERROR(__xludf.DUMMYFUNCTION("""COMPUTED_VALUE"""),44588.7055555555)</f>
        <v>44588.705555555498</v>
      </c>
      <c r="P2936" s="111">
        <f ca="1">IFERROR(__xludf.DUMMYFUNCTION("""COMPUTED_VALUE"""),84.49)</f>
        <v>84.49</v>
      </c>
      <c r="Q2936" s="112">
        <f ca="1">IFERROR(__xludf.DUMMYFUNCTION("""COMPUTED_VALUE"""),44587.7055555555)</f>
        <v>44587.705555555498</v>
      </c>
      <c r="R2936" s="111">
        <f ca="1">IFERROR(__xludf.DUMMYFUNCTION("""COMPUTED_VALUE"""),31.85)</f>
        <v>31.85</v>
      </c>
      <c r="S2936" s="112">
        <f ca="1">IFERROR(__xludf.DUMMYFUNCTION("""COMPUTED_VALUE"""),44601.7055555555)</f>
        <v>44601.705555555498</v>
      </c>
      <c r="T2936" s="111">
        <f ca="1">IFERROR(__xludf.DUMMYFUNCTION("""COMPUTED_VALUE"""),25.91)</f>
        <v>25.91</v>
      </c>
    </row>
    <row r="2937" spans="1:20" x14ac:dyDescent="0.3">
      <c r="A2937" s="112">
        <f ca="1">IFERROR(__xludf.DUMMYFUNCTION("""COMPUTED_VALUE"""),44596.7055555555)</f>
        <v>44596.705555555498</v>
      </c>
      <c r="B2937" s="111">
        <f ca="1">IFERROR(__xludf.DUMMYFUNCTION("""COMPUTED_VALUE"""),33.33)</f>
        <v>33.33</v>
      </c>
      <c r="C2937" s="112">
        <f ca="1">IFERROR(__xludf.DUMMYFUNCTION("""COMPUTED_VALUE"""),44607.7055555555)</f>
        <v>44607.705555555498</v>
      </c>
      <c r="D2937" s="111">
        <f ca="1">IFERROR(__xludf.DUMMYFUNCTION("""COMPUTED_VALUE"""),26.72)</f>
        <v>26.72</v>
      </c>
      <c r="E2937" s="112">
        <f ca="1">IFERROR(__xludf.DUMMYFUNCTION("""COMPUTED_VALUE"""),44608.7055555555)</f>
        <v>44608.705555555498</v>
      </c>
      <c r="F2937" s="111">
        <f ca="1">IFERROR(__xludf.DUMMYFUNCTION("""COMPUTED_VALUE"""),10.58)</f>
        <v>10.58</v>
      </c>
      <c r="G2937" s="112">
        <f ca="1">IFERROR(__xludf.DUMMYFUNCTION("""COMPUTED_VALUE"""),44606.7055555555)</f>
        <v>44606.705555555498</v>
      </c>
      <c r="H2937" s="111">
        <f ca="1">IFERROR(__xludf.DUMMYFUNCTION("""COMPUTED_VALUE"""),33)</f>
        <v>33</v>
      </c>
      <c r="M2937" s="112">
        <f ca="1">IFERROR(__xludf.DUMMYFUNCTION("""COMPUTED_VALUE"""),44512.8125)</f>
        <v>44512.8125</v>
      </c>
      <c r="N2937" s="111">
        <f ca="1">IFERROR(__xludf.DUMMYFUNCTION("""COMPUTED_VALUE"""),20.69)</f>
        <v>20.69</v>
      </c>
      <c r="O2937" s="112">
        <f ca="1">IFERROR(__xludf.DUMMYFUNCTION("""COMPUTED_VALUE"""),44589.7055555555)</f>
        <v>44589.705555555498</v>
      </c>
      <c r="P2937" s="111">
        <f ca="1">IFERROR(__xludf.DUMMYFUNCTION("""COMPUTED_VALUE"""),83.66)</f>
        <v>83.66</v>
      </c>
      <c r="Q2937" s="112">
        <f ca="1">IFERROR(__xludf.DUMMYFUNCTION("""COMPUTED_VALUE"""),44588.7055555555)</f>
        <v>44588.705555555498</v>
      </c>
      <c r="R2937" s="111">
        <f ca="1">IFERROR(__xludf.DUMMYFUNCTION("""COMPUTED_VALUE"""),32.29)</f>
        <v>32.29</v>
      </c>
      <c r="S2937" s="112">
        <f ca="1">IFERROR(__xludf.DUMMYFUNCTION("""COMPUTED_VALUE"""),44602.7055555555)</f>
        <v>44602.705555555498</v>
      </c>
      <c r="T2937" s="111">
        <f ca="1">IFERROR(__xludf.DUMMYFUNCTION("""COMPUTED_VALUE"""),25.58)</f>
        <v>25.58</v>
      </c>
    </row>
    <row r="2938" spans="1:20" x14ac:dyDescent="0.3">
      <c r="A2938" s="112">
        <f ca="1">IFERROR(__xludf.DUMMYFUNCTION("""COMPUTED_VALUE"""),44599.7055555555)</f>
        <v>44599.705555555498</v>
      </c>
      <c r="B2938" s="111">
        <f ca="1">IFERROR(__xludf.DUMMYFUNCTION("""COMPUTED_VALUE"""),33.1)</f>
        <v>33.1</v>
      </c>
      <c r="C2938" s="112">
        <f ca="1">IFERROR(__xludf.DUMMYFUNCTION("""COMPUTED_VALUE"""),44608.7055555555)</f>
        <v>44608.705555555498</v>
      </c>
      <c r="D2938" s="111">
        <f ca="1">IFERROR(__xludf.DUMMYFUNCTION("""COMPUTED_VALUE"""),26.44)</f>
        <v>26.44</v>
      </c>
      <c r="E2938" s="112">
        <f ca="1">IFERROR(__xludf.DUMMYFUNCTION("""COMPUTED_VALUE"""),44609.7055555555)</f>
        <v>44609.705555555498</v>
      </c>
      <c r="F2938" s="111">
        <f ca="1">IFERROR(__xludf.DUMMYFUNCTION("""COMPUTED_VALUE"""),10.47)</f>
        <v>10.47</v>
      </c>
      <c r="G2938" s="112">
        <f ca="1">IFERROR(__xludf.DUMMYFUNCTION("""COMPUTED_VALUE"""),44607.7055555555)</f>
        <v>44607.705555555498</v>
      </c>
      <c r="H2938" s="111">
        <f ca="1">IFERROR(__xludf.DUMMYFUNCTION("""COMPUTED_VALUE"""),32.48)</f>
        <v>32.479999999999997</v>
      </c>
      <c r="M2938" s="112">
        <f ca="1">IFERROR(__xludf.DUMMYFUNCTION("""COMPUTED_VALUE"""),44516.7055555555)</f>
        <v>44516.705555555498</v>
      </c>
      <c r="N2938" s="111">
        <f ca="1">IFERROR(__xludf.DUMMYFUNCTION("""COMPUTED_VALUE"""),20.66)</f>
        <v>20.66</v>
      </c>
      <c r="O2938" s="112">
        <f ca="1">IFERROR(__xludf.DUMMYFUNCTION("""COMPUTED_VALUE"""),44592.7055555555)</f>
        <v>44592.705555555498</v>
      </c>
      <c r="P2938" s="111">
        <f ca="1">IFERROR(__xludf.DUMMYFUNCTION("""COMPUTED_VALUE"""),80.87)</f>
        <v>80.87</v>
      </c>
      <c r="Q2938" s="112">
        <f ca="1">IFERROR(__xludf.DUMMYFUNCTION("""COMPUTED_VALUE"""),44589.7055555555)</f>
        <v>44589.705555555498</v>
      </c>
      <c r="R2938" s="111">
        <f ca="1">IFERROR(__xludf.DUMMYFUNCTION("""COMPUTED_VALUE"""),32.49)</f>
        <v>32.49</v>
      </c>
      <c r="S2938" s="112">
        <f ca="1">IFERROR(__xludf.DUMMYFUNCTION("""COMPUTED_VALUE"""),44603.7055555555)</f>
        <v>44603.705555555498</v>
      </c>
      <c r="T2938" s="111">
        <f ca="1">IFERROR(__xludf.DUMMYFUNCTION("""COMPUTED_VALUE"""),25.35)</f>
        <v>25.35</v>
      </c>
    </row>
    <row r="2939" spans="1:20" x14ac:dyDescent="0.3">
      <c r="A2939" s="112">
        <f ca="1">IFERROR(__xludf.DUMMYFUNCTION("""COMPUTED_VALUE"""),44600.7055555555)</f>
        <v>44600.705555555498</v>
      </c>
      <c r="B2939" s="111">
        <f ca="1">IFERROR(__xludf.DUMMYFUNCTION("""COMPUTED_VALUE"""),32.8)</f>
        <v>32.799999999999997</v>
      </c>
      <c r="C2939" s="112">
        <f ca="1">IFERROR(__xludf.DUMMYFUNCTION("""COMPUTED_VALUE"""),44609.7055555555)</f>
        <v>44609.705555555498</v>
      </c>
      <c r="D2939" s="111">
        <f ca="1">IFERROR(__xludf.DUMMYFUNCTION("""COMPUTED_VALUE"""),26.07)</f>
        <v>26.07</v>
      </c>
      <c r="E2939" s="112">
        <f ca="1">IFERROR(__xludf.DUMMYFUNCTION("""COMPUTED_VALUE"""),44610.7055555555)</f>
        <v>44610.705555555498</v>
      </c>
      <c r="F2939" s="111">
        <f ca="1">IFERROR(__xludf.DUMMYFUNCTION("""COMPUTED_VALUE"""),10.52)</f>
        <v>10.52</v>
      </c>
      <c r="G2939" s="112">
        <f ca="1">IFERROR(__xludf.DUMMYFUNCTION("""COMPUTED_VALUE"""),44608.7055555555)</f>
        <v>44608.705555555498</v>
      </c>
      <c r="H2939" s="111">
        <f ca="1">IFERROR(__xludf.DUMMYFUNCTION("""COMPUTED_VALUE"""),32.93)</f>
        <v>32.93</v>
      </c>
      <c r="M2939" s="112">
        <f ca="1">IFERROR(__xludf.DUMMYFUNCTION("""COMPUTED_VALUE"""),44517.7055555555)</f>
        <v>44517.705555555498</v>
      </c>
      <c r="N2939" s="111">
        <f ca="1">IFERROR(__xludf.DUMMYFUNCTION("""COMPUTED_VALUE"""),20.75)</f>
        <v>20.75</v>
      </c>
      <c r="O2939" s="112">
        <f ca="1">IFERROR(__xludf.DUMMYFUNCTION("""COMPUTED_VALUE"""),44593.7055555555)</f>
        <v>44593.705555555498</v>
      </c>
      <c r="P2939" s="111">
        <f ca="1">IFERROR(__xludf.DUMMYFUNCTION("""COMPUTED_VALUE"""),85.31)</f>
        <v>85.31</v>
      </c>
      <c r="Q2939" s="112">
        <f ca="1">IFERROR(__xludf.DUMMYFUNCTION("""COMPUTED_VALUE"""),44592.7055555555)</f>
        <v>44592.705555555498</v>
      </c>
      <c r="R2939" s="111">
        <f ca="1">IFERROR(__xludf.DUMMYFUNCTION("""COMPUTED_VALUE"""),32.66)</f>
        <v>32.659999999999997</v>
      </c>
      <c r="S2939" s="112">
        <f ca="1">IFERROR(__xludf.DUMMYFUNCTION("""COMPUTED_VALUE"""),44606.7055555555)</f>
        <v>44606.705555555498</v>
      </c>
      <c r="T2939" s="111">
        <f ca="1">IFERROR(__xludf.DUMMYFUNCTION("""COMPUTED_VALUE"""),25.91)</f>
        <v>25.91</v>
      </c>
    </row>
    <row r="2940" spans="1:20" x14ac:dyDescent="0.3">
      <c r="A2940" s="112">
        <f ca="1">IFERROR(__xludf.DUMMYFUNCTION("""COMPUTED_VALUE"""),44601.7055555555)</f>
        <v>44601.705555555498</v>
      </c>
      <c r="B2940" s="111">
        <f ca="1">IFERROR(__xludf.DUMMYFUNCTION("""COMPUTED_VALUE"""),33.63)</f>
        <v>33.630000000000003</v>
      </c>
      <c r="C2940" s="112">
        <f ca="1">IFERROR(__xludf.DUMMYFUNCTION("""COMPUTED_VALUE"""),44610.7055555555)</f>
        <v>44610.705555555498</v>
      </c>
      <c r="D2940" s="111">
        <f ca="1">IFERROR(__xludf.DUMMYFUNCTION("""COMPUTED_VALUE"""),26.17)</f>
        <v>26.17</v>
      </c>
      <c r="E2940" s="112">
        <f ca="1">IFERROR(__xludf.DUMMYFUNCTION("""COMPUTED_VALUE"""),44613.7055555555)</f>
        <v>44613.705555555498</v>
      </c>
      <c r="F2940" s="111">
        <f ca="1">IFERROR(__xludf.DUMMYFUNCTION("""COMPUTED_VALUE"""),10.21)</f>
        <v>10.210000000000001</v>
      </c>
      <c r="G2940" s="112">
        <f ca="1">IFERROR(__xludf.DUMMYFUNCTION("""COMPUTED_VALUE"""),44609.7055555555)</f>
        <v>44609.705555555498</v>
      </c>
      <c r="H2940" s="111">
        <f ca="1">IFERROR(__xludf.DUMMYFUNCTION("""COMPUTED_VALUE"""),32.8)</f>
        <v>32.799999999999997</v>
      </c>
      <c r="M2940" s="112">
        <f ca="1">IFERROR(__xludf.DUMMYFUNCTION("""COMPUTED_VALUE"""),44518.7055555555)</f>
        <v>44518.705555555498</v>
      </c>
      <c r="N2940" s="111">
        <f ca="1">IFERROR(__xludf.DUMMYFUNCTION("""COMPUTED_VALUE"""),20.55)</f>
        <v>20.55</v>
      </c>
      <c r="O2940" s="112">
        <f ca="1">IFERROR(__xludf.DUMMYFUNCTION("""COMPUTED_VALUE"""),44594.7055555555)</f>
        <v>44594.705555555498</v>
      </c>
      <c r="P2940" s="111">
        <f ca="1">IFERROR(__xludf.DUMMYFUNCTION("""COMPUTED_VALUE"""),85.79)</f>
        <v>85.79</v>
      </c>
      <c r="Q2940" s="112">
        <f ca="1">IFERROR(__xludf.DUMMYFUNCTION("""COMPUTED_VALUE"""),44593.7055555555)</f>
        <v>44593.705555555498</v>
      </c>
      <c r="R2940" s="111">
        <f ca="1">IFERROR(__xludf.DUMMYFUNCTION("""COMPUTED_VALUE"""),32.61)</f>
        <v>32.61</v>
      </c>
      <c r="S2940" s="112">
        <f ca="1">IFERROR(__xludf.DUMMYFUNCTION("""COMPUTED_VALUE"""),44607.7055555555)</f>
        <v>44607.705555555498</v>
      </c>
      <c r="T2940" s="111">
        <f ca="1">IFERROR(__xludf.DUMMYFUNCTION("""COMPUTED_VALUE"""),27.11)</f>
        <v>27.11</v>
      </c>
    </row>
    <row r="2941" spans="1:20" x14ac:dyDescent="0.3">
      <c r="A2941" s="112">
        <f ca="1">IFERROR(__xludf.DUMMYFUNCTION("""COMPUTED_VALUE"""),44602.7055555555)</f>
        <v>44602.705555555498</v>
      </c>
      <c r="B2941" s="111">
        <f ca="1">IFERROR(__xludf.DUMMYFUNCTION("""COMPUTED_VALUE"""),33.63)</f>
        <v>33.630000000000003</v>
      </c>
      <c r="C2941" s="112">
        <f ca="1">IFERROR(__xludf.DUMMYFUNCTION("""COMPUTED_VALUE"""),44613.7055555555)</f>
        <v>44613.705555555498</v>
      </c>
      <c r="D2941" s="111">
        <f ca="1">IFERROR(__xludf.DUMMYFUNCTION("""COMPUTED_VALUE"""),25.53)</f>
        <v>25.53</v>
      </c>
      <c r="E2941" s="112">
        <f ca="1">IFERROR(__xludf.DUMMYFUNCTION("""COMPUTED_VALUE"""),44614.7055555555)</f>
        <v>44614.705555555498</v>
      </c>
      <c r="F2941" s="111">
        <f ca="1">IFERROR(__xludf.DUMMYFUNCTION("""COMPUTED_VALUE"""),10.23)</f>
        <v>10.23</v>
      </c>
      <c r="G2941" s="112">
        <f ca="1">IFERROR(__xludf.DUMMYFUNCTION("""COMPUTED_VALUE"""),44610.7055555555)</f>
        <v>44610.705555555498</v>
      </c>
      <c r="H2941" s="111">
        <f ca="1">IFERROR(__xludf.DUMMYFUNCTION("""COMPUTED_VALUE"""),33)</f>
        <v>33</v>
      </c>
      <c r="M2941" s="112">
        <f ca="1">IFERROR(__xludf.DUMMYFUNCTION("""COMPUTED_VALUE"""),44519.8125)</f>
        <v>44519.8125</v>
      </c>
      <c r="N2941" s="111">
        <f ca="1">IFERROR(__xludf.DUMMYFUNCTION("""COMPUTED_VALUE"""),20.53)</f>
        <v>20.53</v>
      </c>
      <c r="O2941" s="112">
        <f ca="1">IFERROR(__xludf.DUMMYFUNCTION("""COMPUTED_VALUE"""),44595.7055555555)</f>
        <v>44595.705555555498</v>
      </c>
      <c r="P2941" s="111">
        <f ca="1">IFERROR(__xludf.DUMMYFUNCTION("""COMPUTED_VALUE"""),85.75)</f>
        <v>85.75</v>
      </c>
      <c r="Q2941" s="112">
        <f ca="1">IFERROR(__xludf.DUMMYFUNCTION("""COMPUTED_VALUE"""),44594.7055555555)</f>
        <v>44594.705555555498</v>
      </c>
      <c r="R2941" s="111">
        <f ca="1">IFERROR(__xludf.DUMMYFUNCTION("""COMPUTED_VALUE"""),32.07)</f>
        <v>32.07</v>
      </c>
      <c r="S2941" s="112">
        <f ca="1">IFERROR(__xludf.DUMMYFUNCTION("""COMPUTED_VALUE"""),44608.7055555555)</f>
        <v>44608.705555555498</v>
      </c>
      <c r="T2941" s="111">
        <f ca="1">IFERROR(__xludf.DUMMYFUNCTION("""COMPUTED_VALUE"""),27.51)</f>
        <v>27.51</v>
      </c>
    </row>
    <row r="2942" spans="1:20" x14ac:dyDescent="0.3">
      <c r="A2942" s="112">
        <f ca="1">IFERROR(__xludf.DUMMYFUNCTION("""COMPUTED_VALUE"""),44603.7055555555)</f>
        <v>44603.705555555498</v>
      </c>
      <c r="B2942" s="111">
        <f ca="1">IFERROR(__xludf.DUMMYFUNCTION("""COMPUTED_VALUE"""),32.97)</f>
        <v>32.97</v>
      </c>
      <c r="C2942" s="112">
        <f ca="1">IFERROR(__xludf.DUMMYFUNCTION("""COMPUTED_VALUE"""),44614.7055555555)</f>
        <v>44614.705555555498</v>
      </c>
      <c r="D2942" s="111">
        <f ca="1">IFERROR(__xludf.DUMMYFUNCTION("""COMPUTED_VALUE"""),25.75)</f>
        <v>25.75</v>
      </c>
      <c r="E2942" s="112">
        <f ca="1">IFERROR(__xludf.DUMMYFUNCTION("""COMPUTED_VALUE"""),44615.7055555555)</f>
        <v>44615.705555555498</v>
      </c>
      <c r="F2942" s="111">
        <f ca="1">IFERROR(__xludf.DUMMYFUNCTION("""COMPUTED_VALUE"""),10.08)</f>
        <v>10.08</v>
      </c>
      <c r="G2942" s="112">
        <f ca="1">IFERROR(__xludf.DUMMYFUNCTION("""COMPUTED_VALUE"""),44613.7055555555)</f>
        <v>44613.705555555498</v>
      </c>
      <c r="H2942" s="111">
        <f ca="1">IFERROR(__xludf.DUMMYFUNCTION("""COMPUTED_VALUE"""),33.85)</f>
        <v>33.85</v>
      </c>
      <c r="M2942" s="112">
        <f ca="1">IFERROR(__xludf.DUMMYFUNCTION("""COMPUTED_VALUE"""),44522.8125)</f>
        <v>44522.8125</v>
      </c>
      <c r="N2942" s="111">
        <f ca="1">IFERROR(__xludf.DUMMYFUNCTION("""COMPUTED_VALUE"""),20.18)</f>
        <v>20.18</v>
      </c>
      <c r="O2942" s="112">
        <f ca="1">IFERROR(__xludf.DUMMYFUNCTION("""COMPUTED_VALUE"""),44596.7055555555)</f>
        <v>44596.705555555498</v>
      </c>
      <c r="P2942" s="111">
        <f ca="1">IFERROR(__xludf.DUMMYFUNCTION("""COMPUTED_VALUE"""),88)</f>
        <v>88</v>
      </c>
      <c r="Q2942" s="112">
        <f ca="1">IFERROR(__xludf.DUMMYFUNCTION("""COMPUTED_VALUE"""),44595.7055555555)</f>
        <v>44595.705555555498</v>
      </c>
      <c r="R2942" s="111">
        <f ca="1">IFERROR(__xludf.DUMMYFUNCTION("""COMPUTED_VALUE"""),32.29)</f>
        <v>32.29</v>
      </c>
      <c r="S2942" s="112">
        <f ca="1">IFERROR(__xludf.DUMMYFUNCTION("""COMPUTED_VALUE"""),44609.7055555555)</f>
        <v>44609.705555555498</v>
      </c>
      <c r="T2942" s="111">
        <f ca="1">IFERROR(__xludf.DUMMYFUNCTION("""COMPUTED_VALUE"""),27.23)</f>
        <v>27.23</v>
      </c>
    </row>
    <row r="2943" spans="1:20" x14ac:dyDescent="0.3">
      <c r="A2943" s="112">
        <f ca="1">IFERROR(__xludf.DUMMYFUNCTION("""COMPUTED_VALUE"""),44606.7055555555)</f>
        <v>44606.705555555498</v>
      </c>
      <c r="B2943" s="111">
        <f ca="1">IFERROR(__xludf.DUMMYFUNCTION("""COMPUTED_VALUE"""),33.06)</f>
        <v>33.06</v>
      </c>
      <c r="C2943" s="112">
        <f ca="1">IFERROR(__xludf.DUMMYFUNCTION("""COMPUTED_VALUE"""),44615.7055555555)</f>
        <v>44615.705555555498</v>
      </c>
      <c r="D2943" s="111">
        <f ca="1">IFERROR(__xludf.DUMMYFUNCTION("""COMPUTED_VALUE"""),25.39)</f>
        <v>25.39</v>
      </c>
      <c r="E2943" s="112">
        <f ca="1">IFERROR(__xludf.DUMMYFUNCTION("""COMPUTED_VALUE"""),44616.7055555555)</f>
        <v>44616.705555555498</v>
      </c>
      <c r="F2943" s="111">
        <f ca="1">IFERROR(__xludf.DUMMYFUNCTION("""COMPUTED_VALUE"""),9.92)</f>
        <v>9.92</v>
      </c>
      <c r="G2943" s="112">
        <f ca="1">IFERROR(__xludf.DUMMYFUNCTION("""COMPUTED_VALUE"""),44614.7055555555)</f>
        <v>44614.705555555498</v>
      </c>
      <c r="H2943" s="111">
        <f ca="1">IFERROR(__xludf.DUMMYFUNCTION("""COMPUTED_VALUE"""),33.74)</f>
        <v>33.74</v>
      </c>
      <c r="M2943" s="112">
        <f ca="1">IFERROR(__xludf.DUMMYFUNCTION("""COMPUTED_VALUE"""),44523.8125)</f>
        <v>44523.8125</v>
      </c>
      <c r="N2943" s="111">
        <f ca="1">IFERROR(__xludf.DUMMYFUNCTION("""COMPUTED_VALUE"""),20.57)</f>
        <v>20.57</v>
      </c>
      <c r="O2943" s="112">
        <f ca="1">IFERROR(__xludf.DUMMYFUNCTION("""COMPUTED_VALUE"""),44599.7055555555)</f>
        <v>44599.705555555498</v>
      </c>
      <c r="P2943" s="111">
        <f ca="1">IFERROR(__xludf.DUMMYFUNCTION("""COMPUTED_VALUE"""),90.13)</f>
        <v>90.13</v>
      </c>
      <c r="Q2943" s="112">
        <f ca="1">IFERROR(__xludf.DUMMYFUNCTION("""COMPUTED_VALUE"""),44596.7055555555)</f>
        <v>44596.705555555498</v>
      </c>
      <c r="R2943" s="111">
        <f ca="1">IFERROR(__xludf.DUMMYFUNCTION("""COMPUTED_VALUE"""),32.23)</f>
        <v>32.229999999999997</v>
      </c>
      <c r="S2943" s="112">
        <f ca="1">IFERROR(__xludf.DUMMYFUNCTION("""COMPUTED_VALUE"""),44610.7055555555)</f>
        <v>44610.705555555498</v>
      </c>
      <c r="T2943" s="111">
        <f ca="1">IFERROR(__xludf.DUMMYFUNCTION("""COMPUTED_VALUE"""),27.6)</f>
        <v>27.6</v>
      </c>
    </row>
    <row r="2944" spans="1:20" x14ac:dyDescent="0.3">
      <c r="A2944" s="112">
        <f ca="1">IFERROR(__xludf.DUMMYFUNCTION("""COMPUTED_VALUE"""),44607.7055555555)</f>
        <v>44607.705555555498</v>
      </c>
      <c r="B2944" s="111">
        <f ca="1">IFERROR(__xludf.DUMMYFUNCTION("""COMPUTED_VALUE"""),35.12)</f>
        <v>35.119999999999997</v>
      </c>
      <c r="C2944" s="112">
        <f ca="1">IFERROR(__xludf.DUMMYFUNCTION("""COMPUTED_VALUE"""),44616.7055555555)</f>
        <v>44616.705555555498</v>
      </c>
      <c r="D2944" s="111">
        <f ca="1">IFERROR(__xludf.DUMMYFUNCTION("""COMPUTED_VALUE"""),24.96)</f>
        <v>24.96</v>
      </c>
      <c r="E2944" s="112">
        <f ca="1">IFERROR(__xludf.DUMMYFUNCTION("""COMPUTED_VALUE"""),44617.7055555555)</f>
        <v>44617.705555555498</v>
      </c>
      <c r="F2944" s="111">
        <f ca="1">IFERROR(__xludf.DUMMYFUNCTION("""COMPUTED_VALUE"""),10.02)</f>
        <v>10.02</v>
      </c>
      <c r="G2944" s="112">
        <f ca="1">IFERROR(__xludf.DUMMYFUNCTION("""COMPUTED_VALUE"""),44615.7055555555)</f>
        <v>44615.705555555498</v>
      </c>
      <c r="H2944" s="111">
        <f ca="1">IFERROR(__xludf.DUMMYFUNCTION("""COMPUTED_VALUE"""),34.22)</f>
        <v>34.22</v>
      </c>
      <c r="M2944" s="112">
        <f ca="1">IFERROR(__xludf.DUMMYFUNCTION("""COMPUTED_VALUE"""),44524.8125)</f>
        <v>44524.8125</v>
      </c>
      <c r="N2944" s="111">
        <f ca="1">IFERROR(__xludf.DUMMYFUNCTION("""COMPUTED_VALUE"""),21.1)</f>
        <v>21.1</v>
      </c>
      <c r="O2944" s="112">
        <f ca="1">IFERROR(__xludf.DUMMYFUNCTION("""COMPUTED_VALUE"""),44600.7055555555)</f>
        <v>44600.705555555498</v>
      </c>
      <c r="P2944" s="111">
        <f ca="1">IFERROR(__xludf.DUMMYFUNCTION("""COMPUTED_VALUE"""),91.39)</f>
        <v>91.39</v>
      </c>
      <c r="Q2944" s="112">
        <f ca="1">IFERROR(__xludf.DUMMYFUNCTION("""COMPUTED_VALUE"""),44599.7055555555)</f>
        <v>44599.705555555498</v>
      </c>
      <c r="R2944" s="111">
        <f ca="1">IFERROR(__xludf.DUMMYFUNCTION("""COMPUTED_VALUE"""),31.86)</f>
        <v>31.86</v>
      </c>
      <c r="S2944" s="112">
        <f ca="1">IFERROR(__xludf.DUMMYFUNCTION("""COMPUTED_VALUE"""),44613.7055555555)</f>
        <v>44613.705555555498</v>
      </c>
      <c r="T2944" s="111">
        <f ca="1">IFERROR(__xludf.DUMMYFUNCTION("""COMPUTED_VALUE"""),26.37)</f>
        <v>26.37</v>
      </c>
    </row>
    <row r="2945" spans="1:20" x14ac:dyDescent="0.3">
      <c r="A2945" s="112">
        <f ca="1">IFERROR(__xludf.DUMMYFUNCTION("""COMPUTED_VALUE"""),44608.7055555555)</f>
        <v>44608.705555555498</v>
      </c>
      <c r="B2945" s="111">
        <f ca="1">IFERROR(__xludf.DUMMYFUNCTION("""COMPUTED_VALUE"""),34.79)</f>
        <v>34.79</v>
      </c>
      <c r="C2945" s="112">
        <f ca="1">IFERROR(__xludf.DUMMYFUNCTION("""COMPUTED_VALUE"""),44617.7055555555)</f>
        <v>44617.705555555498</v>
      </c>
      <c r="D2945" s="111">
        <f ca="1">IFERROR(__xludf.DUMMYFUNCTION("""COMPUTED_VALUE"""),25.47)</f>
        <v>25.47</v>
      </c>
      <c r="E2945" s="112">
        <f ca="1">IFERROR(__xludf.DUMMYFUNCTION("""COMPUTED_VALUE"""),44622.7055555555)</f>
        <v>44622.705555555498</v>
      </c>
      <c r="F2945" s="111">
        <f ca="1">IFERROR(__xludf.DUMMYFUNCTION("""COMPUTED_VALUE"""),9.95)</f>
        <v>9.9499999999999993</v>
      </c>
      <c r="G2945" s="112">
        <f ca="1">IFERROR(__xludf.DUMMYFUNCTION("""COMPUTED_VALUE"""),44616.7055555555)</f>
        <v>44616.705555555498</v>
      </c>
      <c r="H2945" s="111">
        <f ca="1">IFERROR(__xludf.DUMMYFUNCTION("""COMPUTED_VALUE"""),33.39)</f>
        <v>33.39</v>
      </c>
      <c r="M2945" s="112">
        <f ca="1">IFERROR(__xludf.DUMMYFUNCTION("""COMPUTED_VALUE"""),44525.8125)</f>
        <v>44525.8125</v>
      </c>
      <c r="N2945" s="111">
        <f ca="1">IFERROR(__xludf.DUMMYFUNCTION("""COMPUTED_VALUE"""),21.27)</f>
        <v>21.27</v>
      </c>
      <c r="O2945" s="112">
        <f ca="1">IFERROR(__xludf.DUMMYFUNCTION("""COMPUTED_VALUE"""),44601.7055555555)</f>
        <v>44601.705555555498</v>
      </c>
      <c r="P2945" s="111">
        <f ca="1">IFERROR(__xludf.DUMMYFUNCTION("""COMPUTED_VALUE"""),91.41)</f>
        <v>91.41</v>
      </c>
      <c r="Q2945" s="112">
        <f ca="1">IFERROR(__xludf.DUMMYFUNCTION("""COMPUTED_VALUE"""),44600.7055555555)</f>
        <v>44600.705555555498</v>
      </c>
      <c r="R2945" s="111">
        <f ca="1">IFERROR(__xludf.DUMMYFUNCTION("""COMPUTED_VALUE"""),32.2)</f>
        <v>32.200000000000003</v>
      </c>
      <c r="S2945" s="112">
        <f ca="1">IFERROR(__xludf.DUMMYFUNCTION("""COMPUTED_VALUE"""),44614.7055555555)</f>
        <v>44614.705555555498</v>
      </c>
      <c r="T2945" s="111">
        <f ca="1">IFERROR(__xludf.DUMMYFUNCTION("""COMPUTED_VALUE"""),25.93)</f>
        <v>25.93</v>
      </c>
    </row>
    <row r="2946" spans="1:20" x14ac:dyDescent="0.3">
      <c r="A2946" s="112">
        <f ca="1">IFERROR(__xludf.DUMMYFUNCTION("""COMPUTED_VALUE"""),44609.7055555555)</f>
        <v>44609.705555555498</v>
      </c>
      <c r="B2946" s="111">
        <f ca="1">IFERROR(__xludf.DUMMYFUNCTION("""COMPUTED_VALUE"""),34.8)</f>
        <v>34.799999999999997</v>
      </c>
      <c r="C2946" s="112">
        <f ca="1">IFERROR(__xludf.DUMMYFUNCTION("""COMPUTED_VALUE"""),44622.7055555555)</f>
        <v>44622.705555555498</v>
      </c>
      <c r="D2946" s="111">
        <f ca="1">IFERROR(__xludf.DUMMYFUNCTION("""COMPUTED_VALUE"""),25.03)</f>
        <v>25.03</v>
      </c>
      <c r="E2946" s="112">
        <f ca="1">IFERROR(__xludf.DUMMYFUNCTION("""COMPUTED_VALUE"""),44623.7055555555)</f>
        <v>44623.705555555498</v>
      </c>
      <c r="F2946" s="111">
        <f ca="1">IFERROR(__xludf.DUMMYFUNCTION("""COMPUTED_VALUE"""),9.98)</f>
        <v>9.98</v>
      </c>
      <c r="G2946" s="112">
        <f ca="1">IFERROR(__xludf.DUMMYFUNCTION("""COMPUTED_VALUE"""),44617.7055555555)</f>
        <v>44617.705555555498</v>
      </c>
      <c r="H2946" s="111">
        <f ca="1">IFERROR(__xludf.DUMMYFUNCTION("""COMPUTED_VALUE"""),34)</f>
        <v>34</v>
      </c>
      <c r="M2946" s="112">
        <f ca="1">IFERROR(__xludf.DUMMYFUNCTION("""COMPUTED_VALUE"""),44526.8125)</f>
        <v>44526.8125</v>
      </c>
      <c r="N2946" s="111">
        <f ca="1">IFERROR(__xludf.DUMMYFUNCTION("""COMPUTED_VALUE"""),20.42)</f>
        <v>20.420000000000002</v>
      </c>
      <c r="O2946" s="112">
        <f ca="1">IFERROR(__xludf.DUMMYFUNCTION("""COMPUTED_VALUE"""),44602.7055555555)</f>
        <v>44602.705555555498</v>
      </c>
      <c r="P2946" s="111">
        <f ca="1">IFERROR(__xludf.DUMMYFUNCTION("""COMPUTED_VALUE"""),93.87)</f>
        <v>93.87</v>
      </c>
      <c r="Q2946" s="112">
        <f ca="1">IFERROR(__xludf.DUMMYFUNCTION("""COMPUTED_VALUE"""),44601.7055555555)</f>
        <v>44601.705555555498</v>
      </c>
      <c r="R2946" s="111">
        <f ca="1">IFERROR(__xludf.DUMMYFUNCTION("""COMPUTED_VALUE"""),31.92)</f>
        <v>31.92</v>
      </c>
      <c r="S2946" s="112">
        <f ca="1">IFERROR(__xludf.DUMMYFUNCTION("""COMPUTED_VALUE"""),44615.7055555555)</f>
        <v>44615.705555555498</v>
      </c>
      <c r="T2946" s="111">
        <f ca="1">IFERROR(__xludf.DUMMYFUNCTION("""COMPUTED_VALUE"""),25.7)</f>
        <v>25.7</v>
      </c>
    </row>
    <row r="2947" spans="1:20" x14ac:dyDescent="0.3">
      <c r="A2947" s="112">
        <f ca="1">IFERROR(__xludf.DUMMYFUNCTION("""COMPUTED_VALUE"""),44610.7055555555)</f>
        <v>44610.705555555498</v>
      </c>
      <c r="B2947" s="111">
        <f ca="1">IFERROR(__xludf.DUMMYFUNCTION("""COMPUTED_VALUE"""),34.28)</f>
        <v>34.28</v>
      </c>
      <c r="C2947" s="112">
        <f ca="1">IFERROR(__xludf.DUMMYFUNCTION("""COMPUTED_VALUE"""),44623.7055555555)</f>
        <v>44623.705555555498</v>
      </c>
      <c r="D2947" s="111">
        <f ca="1">IFERROR(__xludf.DUMMYFUNCTION("""COMPUTED_VALUE"""),25.05)</f>
        <v>25.05</v>
      </c>
      <c r="E2947" s="112">
        <f ca="1">IFERROR(__xludf.DUMMYFUNCTION("""COMPUTED_VALUE"""),44624.7055555555)</f>
        <v>44624.705555555498</v>
      </c>
      <c r="F2947" s="111">
        <f ca="1">IFERROR(__xludf.DUMMYFUNCTION("""COMPUTED_VALUE"""),9.87)</f>
        <v>9.8699999999999992</v>
      </c>
      <c r="G2947" s="112">
        <f ca="1">IFERROR(__xludf.DUMMYFUNCTION("""COMPUTED_VALUE"""),44622.7055555555)</f>
        <v>44622.705555555498</v>
      </c>
      <c r="H2947" s="111">
        <f ca="1">IFERROR(__xludf.DUMMYFUNCTION("""COMPUTED_VALUE"""),34.67)</f>
        <v>34.67</v>
      </c>
      <c r="M2947" s="112">
        <f ca="1">IFERROR(__xludf.DUMMYFUNCTION("""COMPUTED_VALUE"""),44529.8125)</f>
        <v>44529.8125</v>
      </c>
      <c r="N2947" s="111">
        <f ca="1">IFERROR(__xludf.DUMMYFUNCTION("""COMPUTED_VALUE"""),20.27)</f>
        <v>20.27</v>
      </c>
      <c r="O2947" s="112">
        <f ca="1">IFERROR(__xludf.DUMMYFUNCTION("""COMPUTED_VALUE"""),44603.7055555555)</f>
        <v>44603.705555555498</v>
      </c>
      <c r="P2947" s="111">
        <f ca="1">IFERROR(__xludf.DUMMYFUNCTION("""COMPUTED_VALUE"""),91.97)</f>
        <v>91.97</v>
      </c>
      <c r="Q2947" s="112">
        <f ca="1">IFERROR(__xludf.DUMMYFUNCTION("""COMPUTED_VALUE"""),44602.7055555555)</f>
        <v>44602.705555555498</v>
      </c>
      <c r="R2947" s="111">
        <f ca="1">IFERROR(__xludf.DUMMYFUNCTION("""COMPUTED_VALUE"""),32.27)</f>
        <v>32.270000000000003</v>
      </c>
      <c r="S2947" s="112">
        <f ca="1">IFERROR(__xludf.DUMMYFUNCTION("""COMPUTED_VALUE"""),44616.7055555555)</f>
        <v>44616.705555555498</v>
      </c>
      <c r="T2947" s="111">
        <f ca="1">IFERROR(__xludf.DUMMYFUNCTION("""COMPUTED_VALUE"""),25.51)</f>
        <v>25.51</v>
      </c>
    </row>
    <row r="2948" spans="1:20" x14ac:dyDescent="0.3">
      <c r="A2948" s="112">
        <f ca="1">IFERROR(__xludf.DUMMYFUNCTION("""COMPUTED_VALUE"""),44613.7055555555)</f>
        <v>44613.705555555498</v>
      </c>
      <c r="B2948" s="111">
        <f ca="1">IFERROR(__xludf.DUMMYFUNCTION("""COMPUTED_VALUE"""),33.5)</f>
        <v>33.5</v>
      </c>
      <c r="C2948" s="112">
        <f ca="1">IFERROR(__xludf.DUMMYFUNCTION("""COMPUTED_VALUE"""),44624.7055555555)</f>
        <v>44624.705555555498</v>
      </c>
      <c r="D2948" s="111">
        <f ca="1">IFERROR(__xludf.DUMMYFUNCTION("""COMPUTED_VALUE"""),24.67)</f>
        <v>24.67</v>
      </c>
      <c r="E2948" s="112">
        <f ca="1">IFERROR(__xludf.DUMMYFUNCTION("""COMPUTED_VALUE"""),44627.7055555555)</f>
        <v>44627.705555555498</v>
      </c>
      <c r="F2948" s="111">
        <f ca="1">IFERROR(__xludf.DUMMYFUNCTION("""COMPUTED_VALUE"""),9.55)</f>
        <v>9.5500000000000007</v>
      </c>
      <c r="G2948" s="112">
        <f ca="1">IFERROR(__xludf.DUMMYFUNCTION("""COMPUTED_VALUE"""),44623.7055555555)</f>
        <v>44623.705555555498</v>
      </c>
      <c r="H2948" s="111">
        <f ca="1">IFERROR(__xludf.DUMMYFUNCTION("""COMPUTED_VALUE"""),34.24)</f>
        <v>34.24</v>
      </c>
      <c r="M2948" s="112">
        <f ca="1">IFERROR(__xludf.DUMMYFUNCTION("""COMPUTED_VALUE"""),44530.75)</f>
        <v>44530.75</v>
      </c>
      <c r="N2948" s="111">
        <f ca="1">IFERROR(__xludf.DUMMYFUNCTION("""COMPUTED_VALUE"""),19.91)</f>
        <v>19.91</v>
      </c>
      <c r="O2948" s="112">
        <f ca="1">IFERROR(__xludf.DUMMYFUNCTION("""COMPUTED_VALUE"""),44606.7055555555)</f>
        <v>44606.705555555498</v>
      </c>
      <c r="P2948" s="111">
        <f ca="1">IFERROR(__xludf.DUMMYFUNCTION("""COMPUTED_VALUE"""),91.57)</f>
        <v>91.57</v>
      </c>
      <c r="Q2948" s="112">
        <f ca="1">IFERROR(__xludf.DUMMYFUNCTION("""COMPUTED_VALUE"""),44603.7055555555)</f>
        <v>44603.705555555498</v>
      </c>
      <c r="R2948" s="111">
        <f ca="1">IFERROR(__xludf.DUMMYFUNCTION("""COMPUTED_VALUE"""),33.4)</f>
        <v>33.4</v>
      </c>
      <c r="S2948" s="112">
        <f ca="1">IFERROR(__xludf.DUMMYFUNCTION("""COMPUTED_VALUE"""),44617.7055555555)</f>
        <v>44617.705555555498</v>
      </c>
      <c r="T2948" s="111">
        <f ca="1">IFERROR(__xludf.DUMMYFUNCTION("""COMPUTED_VALUE"""),25.32)</f>
        <v>25.32</v>
      </c>
    </row>
    <row r="2949" spans="1:20" x14ac:dyDescent="0.3">
      <c r="A2949" s="112">
        <f ca="1">IFERROR(__xludf.DUMMYFUNCTION("""COMPUTED_VALUE"""),44614.7055555555)</f>
        <v>44614.705555555498</v>
      </c>
      <c r="B2949" s="111">
        <f ca="1">IFERROR(__xludf.DUMMYFUNCTION("""COMPUTED_VALUE"""),33.75)</f>
        <v>33.75</v>
      </c>
      <c r="C2949" s="112">
        <f ca="1">IFERROR(__xludf.DUMMYFUNCTION("""COMPUTED_VALUE"""),44627.7055555555)</f>
        <v>44627.705555555498</v>
      </c>
      <c r="D2949" s="111">
        <f ca="1">IFERROR(__xludf.DUMMYFUNCTION("""COMPUTED_VALUE"""),24.14)</f>
        <v>24.14</v>
      </c>
      <c r="E2949" s="112">
        <f ca="1">IFERROR(__xludf.DUMMYFUNCTION("""COMPUTED_VALUE"""),44628.7055555555)</f>
        <v>44628.705555555498</v>
      </c>
      <c r="F2949" s="111">
        <f ca="1">IFERROR(__xludf.DUMMYFUNCTION("""COMPUTED_VALUE"""),9.53)</f>
        <v>9.5299999999999994</v>
      </c>
      <c r="G2949" s="112">
        <f ca="1">IFERROR(__xludf.DUMMYFUNCTION("""COMPUTED_VALUE"""),44624.7055555555)</f>
        <v>44624.705555555498</v>
      </c>
      <c r="H2949" s="111">
        <f ca="1">IFERROR(__xludf.DUMMYFUNCTION("""COMPUTED_VALUE"""),34.23)</f>
        <v>34.229999999999997</v>
      </c>
      <c r="M2949" s="112">
        <f ca="1">IFERROR(__xludf.DUMMYFUNCTION("""COMPUTED_VALUE"""),44531.7055555555)</f>
        <v>44531.705555555498</v>
      </c>
      <c r="N2949" s="111">
        <f ca="1">IFERROR(__xludf.DUMMYFUNCTION("""COMPUTED_VALUE"""),19.83)</f>
        <v>19.829999999999998</v>
      </c>
      <c r="O2949" s="112">
        <f ca="1">IFERROR(__xludf.DUMMYFUNCTION("""COMPUTED_VALUE"""),44607.7055555555)</f>
        <v>44607.705555555498</v>
      </c>
      <c r="P2949" s="111">
        <f ca="1">IFERROR(__xludf.DUMMYFUNCTION("""COMPUTED_VALUE"""),88.85)</f>
        <v>88.85</v>
      </c>
      <c r="Q2949" s="112">
        <f ca="1">IFERROR(__xludf.DUMMYFUNCTION("""COMPUTED_VALUE"""),44606.7055555555)</f>
        <v>44606.705555555498</v>
      </c>
      <c r="R2949" s="111">
        <f ca="1">IFERROR(__xludf.DUMMYFUNCTION("""COMPUTED_VALUE"""),33.54)</f>
        <v>33.54</v>
      </c>
      <c r="S2949" s="112">
        <f ca="1">IFERROR(__xludf.DUMMYFUNCTION("""COMPUTED_VALUE"""),44622.7055555555)</f>
        <v>44622.705555555498</v>
      </c>
      <c r="T2949" s="111">
        <f ca="1">IFERROR(__xludf.DUMMYFUNCTION("""COMPUTED_VALUE"""),25.24)</f>
        <v>25.24</v>
      </c>
    </row>
    <row r="2950" spans="1:20" x14ac:dyDescent="0.3">
      <c r="A2950" s="112">
        <f ca="1">IFERROR(__xludf.DUMMYFUNCTION("""COMPUTED_VALUE"""),44615.7055555555)</f>
        <v>44615.705555555498</v>
      </c>
      <c r="B2950" s="111">
        <f ca="1">IFERROR(__xludf.DUMMYFUNCTION("""COMPUTED_VALUE"""),34.47)</f>
        <v>34.47</v>
      </c>
      <c r="C2950" s="112">
        <f ca="1">IFERROR(__xludf.DUMMYFUNCTION("""COMPUTED_VALUE"""),44628.7055555555)</f>
        <v>44628.705555555498</v>
      </c>
      <c r="D2950" s="111">
        <f ca="1">IFERROR(__xludf.DUMMYFUNCTION("""COMPUTED_VALUE"""),23.91)</f>
        <v>23.91</v>
      </c>
      <c r="E2950" s="112">
        <f ca="1">IFERROR(__xludf.DUMMYFUNCTION("""COMPUTED_VALUE"""),44629.7055555555)</f>
        <v>44629.705555555498</v>
      </c>
      <c r="F2950" s="111">
        <f ca="1">IFERROR(__xludf.DUMMYFUNCTION("""COMPUTED_VALUE"""),10.04)</f>
        <v>10.039999999999999</v>
      </c>
      <c r="G2950" s="112">
        <f ca="1">IFERROR(__xludf.DUMMYFUNCTION("""COMPUTED_VALUE"""),44627.7055555555)</f>
        <v>44627.705555555498</v>
      </c>
      <c r="H2950" s="111">
        <f ca="1">IFERROR(__xludf.DUMMYFUNCTION("""COMPUTED_VALUE"""),31.8)</f>
        <v>31.8</v>
      </c>
      <c r="M2950" s="112">
        <f ca="1">IFERROR(__xludf.DUMMYFUNCTION("""COMPUTED_VALUE"""),44532.7055555555)</f>
        <v>44532.705555555498</v>
      </c>
      <c r="N2950" s="111">
        <f ca="1">IFERROR(__xludf.DUMMYFUNCTION("""COMPUTED_VALUE"""),20.82)</f>
        <v>20.82</v>
      </c>
      <c r="O2950" s="112">
        <f ca="1">IFERROR(__xludf.DUMMYFUNCTION("""COMPUTED_VALUE"""),44608.7055555555)</f>
        <v>44608.705555555498</v>
      </c>
      <c r="P2950" s="111">
        <f ca="1">IFERROR(__xludf.DUMMYFUNCTION("""COMPUTED_VALUE"""),89.5)</f>
        <v>89.5</v>
      </c>
      <c r="Q2950" s="112">
        <f ca="1">IFERROR(__xludf.DUMMYFUNCTION("""COMPUTED_VALUE"""),44607.7055555555)</f>
        <v>44607.705555555498</v>
      </c>
      <c r="R2950" s="111">
        <f ca="1">IFERROR(__xludf.DUMMYFUNCTION("""COMPUTED_VALUE"""),35.13)</f>
        <v>35.130000000000003</v>
      </c>
      <c r="S2950" s="112">
        <f ca="1">IFERROR(__xludf.DUMMYFUNCTION("""COMPUTED_VALUE"""),44623.7055555555)</f>
        <v>44623.705555555498</v>
      </c>
      <c r="T2950" s="111">
        <f ca="1">IFERROR(__xludf.DUMMYFUNCTION("""COMPUTED_VALUE"""),24.76)</f>
        <v>24.76</v>
      </c>
    </row>
    <row r="2951" spans="1:20" x14ac:dyDescent="0.3">
      <c r="A2951" s="112">
        <f ca="1">IFERROR(__xludf.DUMMYFUNCTION("""COMPUTED_VALUE"""),44616.7055555555)</f>
        <v>44616.705555555498</v>
      </c>
      <c r="B2951" s="111">
        <f ca="1">IFERROR(__xludf.DUMMYFUNCTION("""COMPUTED_VALUE"""),33.44)</f>
        <v>33.44</v>
      </c>
      <c r="C2951" s="112">
        <f ca="1">IFERROR(__xludf.DUMMYFUNCTION("""COMPUTED_VALUE"""),44629.7055555555)</f>
        <v>44629.705555555498</v>
      </c>
      <c r="D2951" s="111">
        <f ca="1">IFERROR(__xludf.DUMMYFUNCTION("""COMPUTED_VALUE"""),25.1)</f>
        <v>25.1</v>
      </c>
      <c r="E2951" s="112">
        <f ca="1">IFERROR(__xludf.DUMMYFUNCTION("""COMPUTED_VALUE"""),44630.7055555555)</f>
        <v>44630.705555555498</v>
      </c>
      <c r="F2951" s="111">
        <f ca="1">IFERROR(__xludf.DUMMYFUNCTION("""COMPUTED_VALUE"""),9.92)</f>
        <v>9.92</v>
      </c>
      <c r="G2951" s="112">
        <f ca="1">IFERROR(__xludf.DUMMYFUNCTION("""COMPUTED_VALUE"""),44628.7055555555)</f>
        <v>44628.705555555498</v>
      </c>
      <c r="H2951" s="111">
        <f ca="1">IFERROR(__xludf.DUMMYFUNCTION("""COMPUTED_VALUE"""),32.46)</f>
        <v>32.46</v>
      </c>
      <c r="M2951" s="112">
        <f ca="1">IFERROR(__xludf.DUMMYFUNCTION("""COMPUTED_VALUE"""),44533.7055555555)</f>
        <v>44533.705555555498</v>
      </c>
      <c r="N2951" s="111">
        <f ca="1">IFERROR(__xludf.DUMMYFUNCTION("""COMPUTED_VALUE"""),20.76)</f>
        <v>20.76</v>
      </c>
      <c r="O2951" s="112">
        <f ca="1">IFERROR(__xludf.DUMMYFUNCTION("""COMPUTED_VALUE"""),44609.7055555555)</f>
        <v>44609.705555555498</v>
      </c>
      <c r="P2951" s="111">
        <f ca="1">IFERROR(__xludf.DUMMYFUNCTION("""COMPUTED_VALUE"""),85.65)</f>
        <v>85.65</v>
      </c>
      <c r="Q2951" s="112">
        <f ca="1">IFERROR(__xludf.DUMMYFUNCTION("""COMPUTED_VALUE"""),44608.7055555555)</f>
        <v>44608.705555555498</v>
      </c>
      <c r="R2951" s="111">
        <f ca="1">IFERROR(__xludf.DUMMYFUNCTION("""COMPUTED_VALUE"""),35.33)</f>
        <v>35.33</v>
      </c>
      <c r="S2951" s="112">
        <f ca="1">IFERROR(__xludf.DUMMYFUNCTION("""COMPUTED_VALUE"""),44624.7055555555)</f>
        <v>44624.705555555498</v>
      </c>
      <c r="T2951" s="111">
        <f ca="1">IFERROR(__xludf.DUMMYFUNCTION("""COMPUTED_VALUE"""),24.13)</f>
        <v>24.13</v>
      </c>
    </row>
    <row r="2952" spans="1:20" x14ac:dyDescent="0.3">
      <c r="A2952" s="112">
        <f ca="1">IFERROR(__xludf.DUMMYFUNCTION("""COMPUTED_VALUE"""),44617.7055555555)</f>
        <v>44617.705555555498</v>
      </c>
      <c r="B2952" s="111">
        <f ca="1">IFERROR(__xludf.DUMMYFUNCTION("""COMPUTED_VALUE"""),34.4)</f>
        <v>34.4</v>
      </c>
      <c r="C2952" s="112">
        <f ca="1">IFERROR(__xludf.DUMMYFUNCTION("""COMPUTED_VALUE"""),44630.7055555555)</f>
        <v>44630.705555555498</v>
      </c>
      <c r="D2952" s="111">
        <f ca="1">IFERROR(__xludf.DUMMYFUNCTION("""COMPUTED_VALUE"""),25.12)</f>
        <v>25.12</v>
      </c>
      <c r="E2952" s="112">
        <f ca="1">IFERROR(__xludf.DUMMYFUNCTION("""COMPUTED_VALUE"""),44631.7055555555)</f>
        <v>44631.705555555498</v>
      </c>
      <c r="F2952" s="111">
        <f ca="1">IFERROR(__xludf.DUMMYFUNCTION("""COMPUTED_VALUE"""),9.82)</f>
        <v>9.82</v>
      </c>
      <c r="G2952" s="112">
        <f ca="1">IFERROR(__xludf.DUMMYFUNCTION("""COMPUTED_VALUE"""),44629.7055555555)</f>
        <v>44629.705555555498</v>
      </c>
      <c r="H2952" s="111">
        <f ca="1">IFERROR(__xludf.DUMMYFUNCTION("""COMPUTED_VALUE"""),32.56)</f>
        <v>32.56</v>
      </c>
      <c r="M2952" s="112">
        <f ca="1">IFERROR(__xludf.DUMMYFUNCTION("""COMPUTED_VALUE"""),44536.7055555555)</f>
        <v>44536.705555555498</v>
      </c>
      <c r="N2952" s="111">
        <f ca="1">IFERROR(__xludf.DUMMYFUNCTION("""COMPUTED_VALUE"""),21.2)</f>
        <v>21.2</v>
      </c>
      <c r="O2952" s="112">
        <f ca="1">IFERROR(__xludf.DUMMYFUNCTION("""COMPUTED_VALUE"""),44610.7055555555)</f>
        <v>44610.705555555498</v>
      </c>
      <c r="P2952" s="111">
        <f ca="1">IFERROR(__xludf.DUMMYFUNCTION("""COMPUTED_VALUE"""),85.83)</f>
        <v>85.83</v>
      </c>
      <c r="Q2952" s="112">
        <f ca="1">IFERROR(__xludf.DUMMYFUNCTION("""COMPUTED_VALUE"""),44609.7055555555)</f>
        <v>44609.705555555498</v>
      </c>
      <c r="R2952" s="111">
        <f ca="1">IFERROR(__xludf.DUMMYFUNCTION("""COMPUTED_VALUE"""),35.33)</f>
        <v>35.33</v>
      </c>
      <c r="S2952" s="112">
        <f ca="1">IFERROR(__xludf.DUMMYFUNCTION("""COMPUTED_VALUE"""),44627.7055555555)</f>
        <v>44627.705555555498</v>
      </c>
      <c r="T2952" s="111">
        <f ca="1">IFERROR(__xludf.DUMMYFUNCTION("""COMPUTED_VALUE"""),21.98)</f>
        <v>21.98</v>
      </c>
    </row>
    <row r="2953" spans="1:20" x14ac:dyDescent="0.3">
      <c r="A2953" s="112">
        <f ca="1">IFERROR(__xludf.DUMMYFUNCTION("""COMPUTED_VALUE"""),44622.7055555555)</f>
        <v>44622.705555555498</v>
      </c>
      <c r="B2953" s="111">
        <f ca="1">IFERROR(__xludf.DUMMYFUNCTION("""COMPUTED_VALUE"""),34.13)</f>
        <v>34.130000000000003</v>
      </c>
      <c r="C2953" s="112">
        <f ca="1">IFERROR(__xludf.DUMMYFUNCTION("""COMPUTED_VALUE"""),44631.7055555555)</f>
        <v>44631.705555555498</v>
      </c>
      <c r="D2953" s="111">
        <f ca="1">IFERROR(__xludf.DUMMYFUNCTION("""COMPUTED_VALUE"""),24.84)</f>
        <v>24.84</v>
      </c>
      <c r="E2953" s="112">
        <f ca="1">IFERROR(__xludf.DUMMYFUNCTION("""COMPUTED_VALUE"""),44634.7055555555)</f>
        <v>44634.705555555498</v>
      </c>
      <c r="F2953" s="111">
        <f ca="1">IFERROR(__xludf.DUMMYFUNCTION("""COMPUTED_VALUE"""),9.9)</f>
        <v>9.9</v>
      </c>
      <c r="G2953" s="112">
        <f ca="1">IFERROR(__xludf.DUMMYFUNCTION("""COMPUTED_VALUE"""),44630.7055555555)</f>
        <v>44630.705555555498</v>
      </c>
      <c r="H2953" s="111">
        <f ca="1">IFERROR(__xludf.DUMMYFUNCTION("""COMPUTED_VALUE"""),33.7)</f>
        <v>33.700000000000003</v>
      </c>
      <c r="M2953" s="112">
        <f ca="1">IFERROR(__xludf.DUMMYFUNCTION("""COMPUTED_VALUE"""),44537.7055555555)</f>
        <v>44537.705555555498</v>
      </c>
      <c r="N2953" s="111">
        <f ca="1">IFERROR(__xludf.DUMMYFUNCTION("""COMPUTED_VALUE"""),20.95)</f>
        <v>20.95</v>
      </c>
      <c r="O2953" s="112">
        <f ca="1">IFERROR(__xludf.DUMMYFUNCTION("""COMPUTED_VALUE"""),44613.7055555555)</f>
        <v>44613.705555555498</v>
      </c>
      <c r="P2953" s="111">
        <f ca="1">IFERROR(__xludf.DUMMYFUNCTION("""COMPUTED_VALUE"""),85.9)</f>
        <v>85.9</v>
      </c>
      <c r="Q2953" s="112">
        <f ca="1">IFERROR(__xludf.DUMMYFUNCTION("""COMPUTED_VALUE"""),44610.7055555555)</f>
        <v>44610.705555555498</v>
      </c>
      <c r="R2953" s="111">
        <f ca="1">IFERROR(__xludf.DUMMYFUNCTION("""COMPUTED_VALUE"""),36.05)</f>
        <v>36.049999999999997</v>
      </c>
      <c r="S2953" s="112">
        <f ca="1">IFERROR(__xludf.DUMMYFUNCTION("""COMPUTED_VALUE"""),44628.7055555555)</f>
        <v>44628.705555555498</v>
      </c>
      <c r="T2953" s="111">
        <f ca="1">IFERROR(__xludf.DUMMYFUNCTION("""COMPUTED_VALUE"""),23.38)</f>
        <v>23.38</v>
      </c>
    </row>
    <row r="2954" spans="1:20" x14ac:dyDescent="0.3">
      <c r="A2954" s="112">
        <f ca="1">IFERROR(__xludf.DUMMYFUNCTION("""COMPUTED_VALUE"""),44623.7055555555)</f>
        <v>44623.705555555498</v>
      </c>
      <c r="B2954" s="111">
        <f ca="1">IFERROR(__xludf.DUMMYFUNCTION("""COMPUTED_VALUE"""),34.71)</f>
        <v>34.71</v>
      </c>
      <c r="C2954" s="112">
        <f ca="1">IFERROR(__xludf.DUMMYFUNCTION("""COMPUTED_VALUE"""),44634.7055555555)</f>
        <v>44634.705555555498</v>
      </c>
      <c r="D2954" s="111">
        <f ca="1">IFERROR(__xludf.DUMMYFUNCTION("""COMPUTED_VALUE"""),25.19)</f>
        <v>25.19</v>
      </c>
      <c r="E2954" s="112">
        <f ca="1">IFERROR(__xludf.DUMMYFUNCTION("""COMPUTED_VALUE"""),44635.7055555555)</f>
        <v>44635.705555555498</v>
      </c>
      <c r="F2954" s="111">
        <f ca="1">IFERROR(__xludf.DUMMYFUNCTION("""COMPUTED_VALUE"""),9.81)</f>
        <v>9.81</v>
      </c>
      <c r="G2954" s="112">
        <f ca="1">IFERROR(__xludf.DUMMYFUNCTION("""COMPUTED_VALUE"""),44631.7055555555)</f>
        <v>44631.705555555498</v>
      </c>
      <c r="H2954" s="111">
        <f ca="1">IFERROR(__xludf.DUMMYFUNCTION("""COMPUTED_VALUE"""),32.49)</f>
        <v>32.49</v>
      </c>
      <c r="M2954" s="112">
        <f ca="1">IFERROR(__xludf.DUMMYFUNCTION("""COMPUTED_VALUE"""),44538.7055555555)</f>
        <v>44538.705555555498</v>
      </c>
      <c r="N2954" s="111">
        <f ca="1">IFERROR(__xludf.DUMMYFUNCTION("""COMPUTED_VALUE"""),20.82)</f>
        <v>20.82</v>
      </c>
      <c r="O2954" s="112">
        <f ca="1">IFERROR(__xludf.DUMMYFUNCTION("""COMPUTED_VALUE"""),44614.7055555555)</f>
        <v>44614.705555555498</v>
      </c>
      <c r="P2954" s="111">
        <f ca="1">IFERROR(__xludf.DUMMYFUNCTION("""COMPUTED_VALUE"""),87.39)</f>
        <v>87.39</v>
      </c>
      <c r="Q2954" s="112">
        <f ca="1">IFERROR(__xludf.DUMMYFUNCTION("""COMPUTED_VALUE"""),44613.7055555555)</f>
        <v>44613.705555555498</v>
      </c>
      <c r="R2954" s="111">
        <f ca="1">IFERROR(__xludf.DUMMYFUNCTION("""COMPUTED_VALUE"""),35.28)</f>
        <v>35.28</v>
      </c>
      <c r="S2954" s="112">
        <f ca="1">IFERROR(__xludf.DUMMYFUNCTION("""COMPUTED_VALUE"""),44629.7055555555)</f>
        <v>44629.705555555498</v>
      </c>
      <c r="T2954" s="111">
        <f ca="1">IFERROR(__xludf.DUMMYFUNCTION("""COMPUTED_VALUE"""),24.46)</f>
        <v>24.46</v>
      </c>
    </row>
    <row r="2955" spans="1:20" x14ac:dyDescent="0.3">
      <c r="A2955" s="112">
        <f ca="1">IFERROR(__xludf.DUMMYFUNCTION("""COMPUTED_VALUE"""),44624.7055555555)</f>
        <v>44624.705555555498</v>
      </c>
      <c r="B2955" s="111">
        <f ca="1">IFERROR(__xludf.DUMMYFUNCTION("""COMPUTED_VALUE"""),34.32)</f>
        <v>34.32</v>
      </c>
      <c r="C2955" s="112">
        <f ca="1">IFERROR(__xludf.DUMMYFUNCTION("""COMPUTED_VALUE"""),44635.7055555555)</f>
        <v>44635.705555555498</v>
      </c>
      <c r="D2955" s="111">
        <f ca="1">IFERROR(__xludf.DUMMYFUNCTION("""COMPUTED_VALUE"""),25.1)</f>
        <v>25.1</v>
      </c>
      <c r="E2955" s="112">
        <f ca="1">IFERROR(__xludf.DUMMYFUNCTION("""COMPUTED_VALUE"""),44636.7055555555)</f>
        <v>44636.705555555498</v>
      </c>
      <c r="F2955" s="111">
        <f ca="1">IFERROR(__xludf.DUMMYFUNCTION("""COMPUTED_VALUE"""),9.99)</f>
        <v>9.99</v>
      </c>
      <c r="G2955" s="112">
        <f ca="1">IFERROR(__xludf.DUMMYFUNCTION("""COMPUTED_VALUE"""),44634.7055555555)</f>
        <v>44634.705555555498</v>
      </c>
      <c r="H2955" s="111">
        <f ca="1">IFERROR(__xludf.DUMMYFUNCTION("""COMPUTED_VALUE"""),31.87)</f>
        <v>31.87</v>
      </c>
      <c r="M2955" s="112">
        <f ca="1">IFERROR(__xludf.DUMMYFUNCTION("""COMPUTED_VALUE"""),44539.7055555555)</f>
        <v>44539.705555555498</v>
      </c>
      <c r="N2955" s="111">
        <f ca="1">IFERROR(__xludf.DUMMYFUNCTION("""COMPUTED_VALUE"""),20.29)</f>
        <v>20.29</v>
      </c>
      <c r="O2955" s="112">
        <f ca="1">IFERROR(__xludf.DUMMYFUNCTION("""COMPUTED_VALUE"""),44615.7055555555)</f>
        <v>44615.705555555498</v>
      </c>
      <c r="P2955" s="111">
        <f ca="1">IFERROR(__xludf.DUMMYFUNCTION("""COMPUTED_VALUE"""),86.47)</f>
        <v>86.47</v>
      </c>
      <c r="Q2955" s="112">
        <f ca="1">IFERROR(__xludf.DUMMYFUNCTION("""COMPUTED_VALUE"""),44614.7055555555)</f>
        <v>44614.705555555498</v>
      </c>
      <c r="R2955" s="111">
        <f ca="1">IFERROR(__xludf.DUMMYFUNCTION("""COMPUTED_VALUE"""),35.61)</f>
        <v>35.61</v>
      </c>
      <c r="S2955" s="112">
        <f ca="1">IFERROR(__xludf.DUMMYFUNCTION("""COMPUTED_VALUE"""),44630.7055555555)</f>
        <v>44630.705555555498</v>
      </c>
      <c r="T2955" s="111">
        <f ca="1">IFERROR(__xludf.DUMMYFUNCTION("""COMPUTED_VALUE"""),23.74)</f>
        <v>23.74</v>
      </c>
    </row>
    <row r="2956" spans="1:20" x14ac:dyDescent="0.3">
      <c r="A2956" s="112">
        <f ca="1">IFERROR(__xludf.DUMMYFUNCTION("""COMPUTED_VALUE"""),44627.7055555555)</f>
        <v>44627.705555555498</v>
      </c>
      <c r="B2956" s="111">
        <f ca="1">IFERROR(__xludf.DUMMYFUNCTION("""COMPUTED_VALUE"""),32.53)</f>
        <v>32.53</v>
      </c>
      <c r="C2956" s="112">
        <f ca="1">IFERROR(__xludf.DUMMYFUNCTION("""COMPUTED_VALUE"""),44636.7055555555)</f>
        <v>44636.705555555498</v>
      </c>
      <c r="D2956" s="111">
        <f ca="1">IFERROR(__xludf.DUMMYFUNCTION("""COMPUTED_VALUE"""),25.59)</f>
        <v>25.59</v>
      </c>
      <c r="E2956" s="112">
        <f ca="1">IFERROR(__xludf.DUMMYFUNCTION("""COMPUTED_VALUE"""),44637.7055555555)</f>
        <v>44637.705555555498</v>
      </c>
      <c r="F2956" s="111">
        <f ca="1">IFERROR(__xludf.DUMMYFUNCTION("""COMPUTED_VALUE"""),10.26)</f>
        <v>10.26</v>
      </c>
      <c r="G2956" s="112">
        <f ca="1">IFERROR(__xludf.DUMMYFUNCTION("""COMPUTED_VALUE"""),44635.7055555555)</f>
        <v>44635.705555555498</v>
      </c>
      <c r="H2956" s="111">
        <f ca="1">IFERROR(__xludf.DUMMYFUNCTION("""COMPUTED_VALUE"""),31.1)</f>
        <v>31.1</v>
      </c>
      <c r="M2956" s="112">
        <f ca="1">IFERROR(__xludf.DUMMYFUNCTION("""COMPUTED_VALUE"""),44540.7055555555)</f>
        <v>44540.705555555498</v>
      </c>
      <c r="N2956" s="111">
        <f ca="1">IFERROR(__xludf.DUMMYFUNCTION("""COMPUTED_VALUE"""),20.21)</f>
        <v>20.21</v>
      </c>
      <c r="O2956" s="112">
        <f ca="1">IFERROR(__xludf.DUMMYFUNCTION("""COMPUTED_VALUE"""),44616.7055555555)</f>
        <v>44616.705555555498</v>
      </c>
      <c r="P2956" s="111">
        <f ca="1">IFERROR(__xludf.DUMMYFUNCTION("""COMPUTED_VALUE"""),87.54)</f>
        <v>87.54</v>
      </c>
      <c r="Q2956" s="112">
        <f ca="1">IFERROR(__xludf.DUMMYFUNCTION("""COMPUTED_VALUE"""),44615.7055555555)</f>
        <v>44615.705555555498</v>
      </c>
      <c r="R2956" s="111">
        <f ca="1">IFERROR(__xludf.DUMMYFUNCTION("""COMPUTED_VALUE"""),35.79)</f>
        <v>35.79</v>
      </c>
      <c r="S2956" s="112">
        <f ca="1">IFERROR(__xludf.DUMMYFUNCTION("""COMPUTED_VALUE"""),44631.7055555555)</f>
        <v>44631.705555555498</v>
      </c>
      <c r="T2956" s="111">
        <f ca="1">IFERROR(__xludf.DUMMYFUNCTION("""COMPUTED_VALUE"""),22.85)</f>
        <v>22.85</v>
      </c>
    </row>
    <row r="2957" spans="1:20" x14ac:dyDescent="0.3">
      <c r="A2957" s="112">
        <f ca="1">IFERROR(__xludf.DUMMYFUNCTION("""COMPUTED_VALUE"""),44628.7055555555)</f>
        <v>44628.705555555498</v>
      </c>
      <c r="B2957" s="111">
        <f ca="1">IFERROR(__xludf.DUMMYFUNCTION("""COMPUTED_VALUE"""),32.95)</f>
        <v>32.950000000000003</v>
      </c>
      <c r="C2957" s="112">
        <f ca="1">IFERROR(__xludf.DUMMYFUNCTION("""COMPUTED_VALUE"""),44637.7055555555)</f>
        <v>44637.705555555498</v>
      </c>
      <c r="D2957" s="111">
        <f ca="1">IFERROR(__xludf.DUMMYFUNCTION("""COMPUTED_VALUE"""),26.15)</f>
        <v>26.15</v>
      </c>
      <c r="E2957" s="112">
        <f ca="1">IFERROR(__xludf.DUMMYFUNCTION("""COMPUTED_VALUE"""),44638.7055555555)</f>
        <v>44638.705555555498</v>
      </c>
      <c r="F2957" s="111">
        <f ca="1">IFERROR(__xludf.DUMMYFUNCTION("""COMPUTED_VALUE"""),10.41)</f>
        <v>10.41</v>
      </c>
      <c r="G2957" s="112">
        <f ca="1">IFERROR(__xludf.DUMMYFUNCTION("""COMPUTED_VALUE"""),44636.7055555555)</f>
        <v>44636.705555555498</v>
      </c>
      <c r="H2957" s="111">
        <f ca="1">IFERROR(__xludf.DUMMYFUNCTION("""COMPUTED_VALUE"""),30.83)</f>
        <v>30.83</v>
      </c>
      <c r="M2957" s="112">
        <f ca="1">IFERROR(__xludf.DUMMYFUNCTION("""COMPUTED_VALUE"""),44543.75)</f>
        <v>44543.75</v>
      </c>
      <c r="N2957" s="111">
        <f ca="1">IFERROR(__xludf.DUMMYFUNCTION("""COMPUTED_VALUE"""),19.84)</f>
        <v>19.84</v>
      </c>
      <c r="O2957" s="112">
        <f ca="1">IFERROR(__xludf.DUMMYFUNCTION("""COMPUTED_VALUE"""),44617.7055555555)</f>
        <v>44617.705555555498</v>
      </c>
      <c r="P2957" s="111">
        <f ca="1">IFERROR(__xludf.DUMMYFUNCTION("""COMPUTED_VALUE"""),92.28)</f>
        <v>92.28</v>
      </c>
      <c r="Q2957" s="112">
        <f ca="1">IFERROR(__xludf.DUMMYFUNCTION("""COMPUTED_VALUE"""),44616.7055555555)</f>
        <v>44616.705555555498</v>
      </c>
      <c r="R2957" s="111">
        <f ca="1">IFERROR(__xludf.DUMMYFUNCTION("""COMPUTED_VALUE"""),34.65)</f>
        <v>34.65</v>
      </c>
      <c r="S2957" s="112">
        <f ca="1">IFERROR(__xludf.DUMMYFUNCTION("""COMPUTED_VALUE"""),44634.7055555555)</f>
        <v>44634.705555555498</v>
      </c>
      <c r="T2957" s="111">
        <f ca="1">IFERROR(__xludf.DUMMYFUNCTION("""COMPUTED_VALUE"""),22.3)</f>
        <v>22.3</v>
      </c>
    </row>
    <row r="2958" spans="1:20" x14ac:dyDescent="0.3">
      <c r="A2958" s="112">
        <f ca="1">IFERROR(__xludf.DUMMYFUNCTION("""COMPUTED_VALUE"""),44629.7055555555)</f>
        <v>44629.705555555498</v>
      </c>
      <c r="B2958" s="111">
        <f ca="1">IFERROR(__xludf.DUMMYFUNCTION("""COMPUTED_VALUE"""),34.57)</f>
        <v>34.57</v>
      </c>
      <c r="C2958" s="112">
        <f ca="1">IFERROR(__xludf.DUMMYFUNCTION("""COMPUTED_VALUE"""),44638.7055555555)</f>
        <v>44638.705555555498</v>
      </c>
      <c r="D2958" s="111">
        <f ca="1">IFERROR(__xludf.DUMMYFUNCTION("""COMPUTED_VALUE"""),26.34)</f>
        <v>26.34</v>
      </c>
      <c r="E2958" s="112">
        <f ca="1">IFERROR(__xludf.DUMMYFUNCTION("""COMPUTED_VALUE"""),44641.7055555555)</f>
        <v>44641.705555555498</v>
      </c>
      <c r="F2958" s="111">
        <f ca="1">IFERROR(__xludf.DUMMYFUNCTION("""COMPUTED_VALUE"""),10.68)</f>
        <v>10.68</v>
      </c>
      <c r="G2958" s="112">
        <f ca="1">IFERROR(__xludf.DUMMYFUNCTION("""COMPUTED_VALUE"""),44637.7055555555)</f>
        <v>44637.705555555498</v>
      </c>
      <c r="H2958" s="111">
        <f ca="1">IFERROR(__xludf.DUMMYFUNCTION("""COMPUTED_VALUE"""),30.01)</f>
        <v>30.01</v>
      </c>
      <c r="M2958" s="112">
        <f ca="1">IFERROR(__xludf.DUMMYFUNCTION("""COMPUTED_VALUE"""),44544.75)</f>
        <v>44544.75</v>
      </c>
      <c r="N2958" s="111">
        <f ca="1">IFERROR(__xludf.DUMMYFUNCTION("""COMPUTED_VALUE"""),20.14)</f>
        <v>20.14</v>
      </c>
      <c r="O2958" s="112">
        <f ca="1">IFERROR(__xludf.DUMMYFUNCTION("""COMPUTED_VALUE"""),44622.7055555555)</f>
        <v>44622.705555555498</v>
      </c>
      <c r="P2958" s="111">
        <f ca="1">IFERROR(__xludf.DUMMYFUNCTION("""COMPUTED_VALUE"""),99.65)</f>
        <v>99.65</v>
      </c>
      <c r="Q2958" s="112">
        <f ca="1">IFERROR(__xludf.DUMMYFUNCTION("""COMPUTED_VALUE"""),44617.7055555555)</f>
        <v>44617.705555555498</v>
      </c>
      <c r="R2958" s="111">
        <f ca="1">IFERROR(__xludf.DUMMYFUNCTION("""COMPUTED_VALUE"""),35.21)</f>
        <v>35.21</v>
      </c>
      <c r="S2958" s="112">
        <f ca="1">IFERROR(__xludf.DUMMYFUNCTION("""COMPUTED_VALUE"""),44635.7055555555)</f>
        <v>44635.705555555498</v>
      </c>
      <c r="T2958" s="111">
        <f ca="1">IFERROR(__xludf.DUMMYFUNCTION("""COMPUTED_VALUE"""),22.38)</f>
        <v>22.38</v>
      </c>
    </row>
    <row r="2959" spans="1:20" x14ac:dyDescent="0.3">
      <c r="A2959" s="112">
        <f ca="1">IFERROR(__xludf.DUMMYFUNCTION("""COMPUTED_VALUE"""),44630.7055555555)</f>
        <v>44630.705555555498</v>
      </c>
      <c r="B2959" s="111">
        <f ca="1">IFERROR(__xludf.DUMMYFUNCTION("""COMPUTED_VALUE"""),34.31)</f>
        <v>34.31</v>
      </c>
      <c r="C2959" s="112">
        <f ca="1">IFERROR(__xludf.DUMMYFUNCTION("""COMPUTED_VALUE"""),44641.7055555555)</f>
        <v>44641.705555555498</v>
      </c>
      <c r="D2959" s="111">
        <f ca="1">IFERROR(__xludf.DUMMYFUNCTION("""COMPUTED_VALUE"""),26.99)</f>
        <v>26.99</v>
      </c>
      <c r="E2959" s="112">
        <f ca="1">IFERROR(__xludf.DUMMYFUNCTION("""COMPUTED_VALUE"""),44642.7055555555)</f>
        <v>44642.705555555498</v>
      </c>
      <c r="F2959" s="111">
        <f ca="1">IFERROR(__xludf.DUMMYFUNCTION("""COMPUTED_VALUE"""),10.84)</f>
        <v>10.84</v>
      </c>
      <c r="G2959" s="112">
        <f ca="1">IFERROR(__xludf.DUMMYFUNCTION("""COMPUTED_VALUE"""),44638.7055555555)</f>
        <v>44638.705555555498</v>
      </c>
      <c r="H2959" s="111">
        <f ca="1">IFERROR(__xludf.DUMMYFUNCTION("""COMPUTED_VALUE"""),30.61)</f>
        <v>30.61</v>
      </c>
      <c r="M2959" s="112">
        <f ca="1">IFERROR(__xludf.DUMMYFUNCTION("""COMPUTED_VALUE"""),44545.75)</f>
        <v>44545.75</v>
      </c>
      <c r="N2959" s="111">
        <f ca="1">IFERROR(__xludf.DUMMYFUNCTION("""COMPUTED_VALUE"""),20.14)</f>
        <v>20.14</v>
      </c>
      <c r="O2959" s="112">
        <f ca="1">IFERROR(__xludf.DUMMYFUNCTION("""COMPUTED_VALUE"""),44623.7055555555)</f>
        <v>44623.705555555498</v>
      </c>
      <c r="P2959" s="111">
        <f ca="1">IFERROR(__xludf.DUMMYFUNCTION("""COMPUTED_VALUE"""),99.7)</f>
        <v>99.7</v>
      </c>
      <c r="Q2959" s="112">
        <f ca="1">IFERROR(__xludf.DUMMYFUNCTION("""COMPUTED_VALUE"""),44622.7055555555)</f>
        <v>44622.705555555498</v>
      </c>
      <c r="R2959" s="111">
        <f ca="1">IFERROR(__xludf.DUMMYFUNCTION("""COMPUTED_VALUE"""),35.6)</f>
        <v>35.6</v>
      </c>
      <c r="S2959" s="112">
        <f ca="1">IFERROR(__xludf.DUMMYFUNCTION("""COMPUTED_VALUE"""),44636.7055555555)</f>
        <v>44636.705555555498</v>
      </c>
      <c r="T2959" s="111">
        <f ca="1">IFERROR(__xludf.DUMMYFUNCTION("""COMPUTED_VALUE"""),22.8)</f>
        <v>22.8</v>
      </c>
    </row>
    <row r="2960" spans="1:20" x14ac:dyDescent="0.3">
      <c r="A2960" s="112">
        <f ca="1">IFERROR(__xludf.DUMMYFUNCTION("""COMPUTED_VALUE"""),44631.7055555555)</f>
        <v>44631.705555555498</v>
      </c>
      <c r="B2960" s="111">
        <f ca="1">IFERROR(__xludf.DUMMYFUNCTION("""COMPUTED_VALUE"""),33.67)</f>
        <v>33.67</v>
      </c>
      <c r="C2960" s="112">
        <f ca="1">IFERROR(__xludf.DUMMYFUNCTION("""COMPUTED_VALUE"""),44642.7055555555)</f>
        <v>44642.705555555498</v>
      </c>
      <c r="D2960" s="111">
        <f ca="1">IFERROR(__xludf.DUMMYFUNCTION("""COMPUTED_VALUE"""),27.36)</f>
        <v>27.36</v>
      </c>
      <c r="E2960" s="112">
        <f ca="1">IFERROR(__xludf.DUMMYFUNCTION("""COMPUTED_VALUE"""),44643.7055555555)</f>
        <v>44643.705555555498</v>
      </c>
      <c r="F2960" s="111">
        <f ca="1">IFERROR(__xludf.DUMMYFUNCTION("""COMPUTED_VALUE"""),10.8)</f>
        <v>10.8</v>
      </c>
      <c r="G2960" s="112">
        <f ca="1">IFERROR(__xludf.DUMMYFUNCTION("""COMPUTED_VALUE"""),44641.7055555555)</f>
        <v>44641.705555555498</v>
      </c>
      <c r="H2960" s="111">
        <f ca="1">IFERROR(__xludf.DUMMYFUNCTION("""COMPUTED_VALUE"""),31.76)</f>
        <v>31.76</v>
      </c>
      <c r="M2960" s="112">
        <f ca="1">IFERROR(__xludf.DUMMYFUNCTION("""COMPUTED_VALUE"""),44546.75)</f>
        <v>44546.75</v>
      </c>
      <c r="N2960" s="111">
        <f ca="1">IFERROR(__xludf.DUMMYFUNCTION("""COMPUTED_VALUE"""),20.39)</f>
        <v>20.39</v>
      </c>
      <c r="O2960" s="112">
        <f ca="1">IFERROR(__xludf.DUMMYFUNCTION("""COMPUTED_VALUE"""),44624.7055555555)</f>
        <v>44624.705555555498</v>
      </c>
      <c r="P2960" s="111">
        <f ca="1">IFERROR(__xludf.DUMMYFUNCTION("""COMPUTED_VALUE"""),101.97)</f>
        <v>101.97</v>
      </c>
      <c r="Q2960" s="112">
        <f ca="1">IFERROR(__xludf.DUMMYFUNCTION("""COMPUTED_VALUE"""),44623.7055555555)</f>
        <v>44623.705555555498</v>
      </c>
      <c r="R2960" s="111">
        <f ca="1">IFERROR(__xludf.DUMMYFUNCTION("""COMPUTED_VALUE"""),34.77)</f>
        <v>34.770000000000003</v>
      </c>
      <c r="S2960" s="112">
        <f ca="1">IFERROR(__xludf.DUMMYFUNCTION("""COMPUTED_VALUE"""),44637.7055555555)</f>
        <v>44637.705555555498</v>
      </c>
      <c r="T2960" s="111">
        <f ca="1">IFERROR(__xludf.DUMMYFUNCTION("""COMPUTED_VALUE"""),22.9)</f>
        <v>22.9</v>
      </c>
    </row>
    <row r="2961" spans="1:20" x14ac:dyDescent="0.3">
      <c r="A2961" s="112">
        <f ca="1">IFERROR(__xludf.DUMMYFUNCTION("""COMPUTED_VALUE"""),44634.7055555555)</f>
        <v>44634.705555555498</v>
      </c>
      <c r="B2961" s="111">
        <f ca="1">IFERROR(__xludf.DUMMYFUNCTION("""COMPUTED_VALUE"""),33.33)</f>
        <v>33.33</v>
      </c>
      <c r="C2961" s="112">
        <f ca="1">IFERROR(__xludf.DUMMYFUNCTION("""COMPUTED_VALUE"""),44643.7055555555)</f>
        <v>44643.705555555498</v>
      </c>
      <c r="D2961" s="111">
        <f ca="1">IFERROR(__xludf.DUMMYFUNCTION("""COMPUTED_VALUE"""),27.24)</f>
        <v>27.24</v>
      </c>
      <c r="E2961" s="112">
        <f ca="1">IFERROR(__xludf.DUMMYFUNCTION("""COMPUTED_VALUE"""),44644.7055555555)</f>
        <v>44644.705555555498</v>
      </c>
      <c r="F2961" s="111">
        <f ca="1">IFERROR(__xludf.DUMMYFUNCTION("""COMPUTED_VALUE"""),10.92)</f>
        <v>10.92</v>
      </c>
      <c r="G2961" s="112">
        <f ca="1">IFERROR(__xludf.DUMMYFUNCTION("""COMPUTED_VALUE"""),44642.7055555555)</f>
        <v>44642.705555555498</v>
      </c>
      <c r="H2961" s="111">
        <f ca="1">IFERROR(__xludf.DUMMYFUNCTION("""COMPUTED_VALUE"""),31.62)</f>
        <v>31.62</v>
      </c>
      <c r="M2961" s="112">
        <f ca="1">IFERROR(__xludf.DUMMYFUNCTION("""COMPUTED_VALUE"""),44547.75)</f>
        <v>44547.75</v>
      </c>
      <c r="N2961" s="111">
        <f ca="1">IFERROR(__xludf.DUMMYFUNCTION("""COMPUTED_VALUE"""),19.82)</f>
        <v>19.82</v>
      </c>
      <c r="O2961" s="112">
        <f ca="1">IFERROR(__xludf.DUMMYFUNCTION("""COMPUTED_VALUE"""),44627.7055555555)</f>
        <v>44627.705555555498</v>
      </c>
      <c r="P2961" s="111">
        <f ca="1">IFERROR(__xludf.DUMMYFUNCTION("""COMPUTED_VALUE"""),105.07)</f>
        <v>105.07</v>
      </c>
      <c r="Q2961" s="112">
        <f ca="1">IFERROR(__xludf.DUMMYFUNCTION("""COMPUTED_VALUE"""),44624.7055555555)</f>
        <v>44624.705555555498</v>
      </c>
      <c r="R2961" s="111">
        <f ca="1">IFERROR(__xludf.DUMMYFUNCTION("""COMPUTED_VALUE"""),33.9)</f>
        <v>33.9</v>
      </c>
      <c r="S2961" s="112">
        <f ca="1">IFERROR(__xludf.DUMMYFUNCTION("""COMPUTED_VALUE"""),44638.7055555555)</f>
        <v>44638.705555555498</v>
      </c>
      <c r="T2961" s="111">
        <f ca="1">IFERROR(__xludf.DUMMYFUNCTION("""COMPUTED_VALUE"""),24.15)</f>
        <v>24.15</v>
      </c>
    </row>
    <row r="2962" spans="1:20" x14ac:dyDescent="0.3">
      <c r="A2962" s="112">
        <f ca="1">IFERROR(__xludf.DUMMYFUNCTION("""COMPUTED_VALUE"""),44635.7055555555)</f>
        <v>44635.705555555498</v>
      </c>
      <c r="B2962" s="111">
        <f ca="1">IFERROR(__xludf.DUMMYFUNCTION("""COMPUTED_VALUE"""),33.39)</f>
        <v>33.39</v>
      </c>
      <c r="C2962" s="112">
        <f ca="1">IFERROR(__xludf.DUMMYFUNCTION("""COMPUTED_VALUE"""),44644.7055555555)</f>
        <v>44644.705555555498</v>
      </c>
      <c r="D2962" s="111">
        <f ca="1">IFERROR(__xludf.DUMMYFUNCTION("""COMPUTED_VALUE"""),27.42)</f>
        <v>27.42</v>
      </c>
      <c r="E2962" s="112">
        <f ca="1">IFERROR(__xludf.DUMMYFUNCTION("""COMPUTED_VALUE"""),44645.7055555555)</f>
        <v>44645.705555555498</v>
      </c>
      <c r="F2962" s="111">
        <f ca="1">IFERROR(__xludf.DUMMYFUNCTION("""COMPUTED_VALUE"""),10.8)</f>
        <v>10.8</v>
      </c>
      <c r="G2962" s="112">
        <f ca="1">IFERROR(__xludf.DUMMYFUNCTION("""COMPUTED_VALUE"""),44643.7055555555)</f>
        <v>44643.705555555498</v>
      </c>
      <c r="H2962" s="111">
        <f ca="1">IFERROR(__xludf.DUMMYFUNCTION("""COMPUTED_VALUE"""),32.05)</f>
        <v>32.049999999999997</v>
      </c>
      <c r="M2962" s="112">
        <f ca="1">IFERROR(__xludf.DUMMYFUNCTION("""COMPUTED_VALUE"""),44550.75)</f>
        <v>44550.75</v>
      </c>
      <c r="N2962" s="111">
        <f ca="1">IFERROR(__xludf.DUMMYFUNCTION("""COMPUTED_VALUE"""),19.41)</f>
        <v>19.41</v>
      </c>
      <c r="O2962" s="112">
        <f ca="1">IFERROR(__xludf.DUMMYFUNCTION("""COMPUTED_VALUE"""),44628.7055555555)</f>
        <v>44628.705555555498</v>
      </c>
      <c r="P2962" s="111">
        <f ca="1">IFERROR(__xludf.DUMMYFUNCTION("""COMPUTED_VALUE"""),100.46)</f>
        <v>100.46</v>
      </c>
      <c r="Q2962" s="112">
        <f ca="1">IFERROR(__xludf.DUMMYFUNCTION("""COMPUTED_VALUE"""),44627.7055555555)</f>
        <v>44627.705555555498</v>
      </c>
      <c r="R2962" s="111">
        <f ca="1">IFERROR(__xludf.DUMMYFUNCTION("""COMPUTED_VALUE"""),32.45)</f>
        <v>32.450000000000003</v>
      </c>
      <c r="S2962" s="112">
        <f ca="1">IFERROR(__xludf.DUMMYFUNCTION("""COMPUTED_VALUE"""),44641.7055555555)</f>
        <v>44641.705555555498</v>
      </c>
      <c r="T2962" s="111">
        <f ca="1">IFERROR(__xludf.DUMMYFUNCTION("""COMPUTED_VALUE"""),24.04)</f>
        <v>24.04</v>
      </c>
    </row>
    <row r="2963" spans="1:20" x14ac:dyDescent="0.3">
      <c r="A2963" s="112">
        <f ca="1">IFERROR(__xludf.DUMMYFUNCTION("""COMPUTED_VALUE"""),44636.7055555555)</f>
        <v>44636.705555555498</v>
      </c>
      <c r="B2963" s="111">
        <f ca="1">IFERROR(__xludf.DUMMYFUNCTION("""COMPUTED_VALUE"""),33.1)</f>
        <v>33.1</v>
      </c>
      <c r="C2963" s="112">
        <f ca="1">IFERROR(__xludf.DUMMYFUNCTION("""COMPUTED_VALUE"""),44645.7055555555)</f>
        <v>44645.705555555498</v>
      </c>
      <c r="D2963" s="111">
        <f ca="1">IFERROR(__xludf.DUMMYFUNCTION("""COMPUTED_VALUE"""),27.47)</f>
        <v>27.47</v>
      </c>
      <c r="E2963" s="112">
        <f ca="1">IFERROR(__xludf.DUMMYFUNCTION("""COMPUTED_VALUE"""),44648.7055555555)</f>
        <v>44648.705555555498</v>
      </c>
      <c r="F2963" s="111">
        <f ca="1">IFERROR(__xludf.DUMMYFUNCTION("""COMPUTED_VALUE"""),10.77)</f>
        <v>10.77</v>
      </c>
      <c r="G2963" s="112">
        <f ca="1">IFERROR(__xludf.DUMMYFUNCTION("""COMPUTED_VALUE"""),44644.7055555555)</f>
        <v>44644.705555555498</v>
      </c>
      <c r="H2963" s="111">
        <f ca="1">IFERROR(__xludf.DUMMYFUNCTION("""COMPUTED_VALUE"""),32.42)</f>
        <v>32.42</v>
      </c>
      <c r="M2963" s="112">
        <f ca="1">IFERROR(__xludf.DUMMYFUNCTION("""COMPUTED_VALUE"""),44551.75)</f>
        <v>44551.75</v>
      </c>
      <c r="N2963" s="111">
        <f ca="1">IFERROR(__xludf.DUMMYFUNCTION("""COMPUTED_VALUE"""),19.09)</f>
        <v>19.09</v>
      </c>
      <c r="O2963" s="112">
        <f ca="1">IFERROR(__xludf.DUMMYFUNCTION("""COMPUTED_VALUE"""),44629.7055555555)</f>
        <v>44629.705555555498</v>
      </c>
      <c r="P2963" s="111">
        <f ca="1">IFERROR(__xludf.DUMMYFUNCTION("""COMPUTED_VALUE"""),94.19)</f>
        <v>94.19</v>
      </c>
      <c r="Q2963" s="112">
        <f ca="1">IFERROR(__xludf.DUMMYFUNCTION("""COMPUTED_VALUE"""),44628.7055555555)</f>
        <v>44628.705555555498</v>
      </c>
      <c r="R2963" s="111">
        <f ca="1">IFERROR(__xludf.DUMMYFUNCTION("""COMPUTED_VALUE"""),32.7)</f>
        <v>32.700000000000003</v>
      </c>
      <c r="S2963" s="112">
        <f ca="1">IFERROR(__xludf.DUMMYFUNCTION("""COMPUTED_VALUE"""),44642.7055555555)</f>
        <v>44642.705555555498</v>
      </c>
      <c r="T2963" s="111">
        <f ca="1">IFERROR(__xludf.DUMMYFUNCTION("""COMPUTED_VALUE"""),24.9)</f>
        <v>24.9</v>
      </c>
    </row>
    <row r="2964" spans="1:20" x14ac:dyDescent="0.3">
      <c r="A2964" s="112">
        <f ca="1">IFERROR(__xludf.DUMMYFUNCTION("""COMPUTED_VALUE"""),44637.7055555555)</f>
        <v>44637.705555555498</v>
      </c>
      <c r="B2964" s="111">
        <f ca="1">IFERROR(__xludf.DUMMYFUNCTION("""COMPUTED_VALUE"""),33.74)</f>
        <v>33.74</v>
      </c>
      <c r="C2964" s="112">
        <f ca="1">IFERROR(__xludf.DUMMYFUNCTION("""COMPUTED_VALUE"""),44648.7055555555)</f>
        <v>44648.705555555498</v>
      </c>
      <c r="D2964" s="111">
        <f ca="1">IFERROR(__xludf.DUMMYFUNCTION("""COMPUTED_VALUE"""),27.45)</f>
        <v>27.45</v>
      </c>
      <c r="E2964" s="112">
        <f ca="1">IFERROR(__xludf.DUMMYFUNCTION("""COMPUTED_VALUE"""),44649.7055555555)</f>
        <v>44649.705555555498</v>
      </c>
      <c r="F2964" s="111">
        <f ca="1">IFERROR(__xludf.DUMMYFUNCTION("""COMPUTED_VALUE"""),10.85)</f>
        <v>10.85</v>
      </c>
      <c r="G2964" s="112">
        <f ca="1">IFERROR(__xludf.DUMMYFUNCTION("""COMPUTED_VALUE"""),44645.7055555555)</f>
        <v>44645.705555555498</v>
      </c>
      <c r="H2964" s="111">
        <f ca="1">IFERROR(__xludf.DUMMYFUNCTION("""COMPUTED_VALUE"""),32.3)</f>
        <v>32.299999999999997</v>
      </c>
      <c r="M2964" s="112">
        <f ca="1">IFERROR(__xludf.DUMMYFUNCTION("""COMPUTED_VALUE"""),44552.75)</f>
        <v>44552.75</v>
      </c>
      <c r="N2964" s="111">
        <f ca="1">IFERROR(__xludf.DUMMYFUNCTION("""COMPUTED_VALUE"""),19.18)</f>
        <v>19.18</v>
      </c>
      <c r="O2964" s="112">
        <f ca="1">IFERROR(__xludf.DUMMYFUNCTION("""COMPUTED_VALUE"""),44630.7055555555)</f>
        <v>44630.705555555498</v>
      </c>
      <c r="P2964" s="111">
        <f ca="1">IFERROR(__xludf.DUMMYFUNCTION("""COMPUTED_VALUE"""),97.3)</f>
        <v>97.3</v>
      </c>
      <c r="Q2964" s="112">
        <f ca="1">IFERROR(__xludf.DUMMYFUNCTION("""COMPUTED_VALUE"""),44629.7055555555)</f>
        <v>44629.705555555498</v>
      </c>
      <c r="R2964" s="111">
        <f ca="1">IFERROR(__xludf.DUMMYFUNCTION("""COMPUTED_VALUE"""),34.55)</f>
        <v>34.549999999999997</v>
      </c>
      <c r="S2964" s="112">
        <f ca="1">IFERROR(__xludf.DUMMYFUNCTION("""COMPUTED_VALUE"""),44643.7055555555)</f>
        <v>44643.705555555498</v>
      </c>
      <c r="T2964" s="111">
        <f ca="1">IFERROR(__xludf.DUMMYFUNCTION("""COMPUTED_VALUE"""),26.15)</f>
        <v>26.15</v>
      </c>
    </row>
    <row r="2965" spans="1:20" x14ac:dyDescent="0.3">
      <c r="A2965" s="112">
        <f ca="1">IFERROR(__xludf.DUMMYFUNCTION("""COMPUTED_VALUE"""),44638.7055555555)</f>
        <v>44638.705555555498</v>
      </c>
      <c r="B2965" s="111">
        <f ca="1">IFERROR(__xludf.DUMMYFUNCTION("""COMPUTED_VALUE"""),34.69)</f>
        <v>34.69</v>
      </c>
      <c r="C2965" s="112">
        <f ca="1">IFERROR(__xludf.DUMMYFUNCTION("""COMPUTED_VALUE"""),44649.7055555555)</f>
        <v>44649.705555555498</v>
      </c>
      <c r="D2965" s="111">
        <f ca="1">IFERROR(__xludf.DUMMYFUNCTION("""COMPUTED_VALUE"""),27.77)</f>
        <v>27.77</v>
      </c>
      <c r="E2965" s="112">
        <f ca="1">IFERROR(__xludf.DUMMYFUNCTION("""COMPUTED_VALUE"""),44650.7055555555)</f>
        <v>44650.705555555498</v>
      </c>
      <c r="F2965" s="111">
        <f ca="1">IFERROR(__xludf.DUMMYFUNCTION("""COMPUTED_VALUE"""),10.84)</f>
        <v>10.84</v>
      </c>
      <c r="G2965" s="112">
        <f ca="1">IFERROR(__xludf.DUMMYFUNCTION("""COMPUTED_VALUE"""),44648.7055555555)</f>
        <v>44648.705555555498</v>
      </c>
      <c r="H2965" s="111">
        <f ca="1">IFERROR(__xludf.DUMMYFUNCTION("""COMPUTED_VALUE"""),31.6)</f>
        <v>31.6</v>
      </c>
      <c r="M2965" s="112">
        <f ca="1">IFERROR(__xludf.DUMMYFUNCTION("""COMPUTED_VALUE"""),44553.75)</f>
        <v>44553.75</v>
      </c>
      <c r="N2965" s="111">
        <f ca="1">IFERROR(__xludf.DUMMYFUNCTION("""COMPUTED_VALUE"""),19.24)</f>
        <v>19.239999999999998</v>
      </c>
      <c r="O2965" s="112">
        <f ca="1">IFERROR(__xludf.DUMMYFUNCTION("""COMPUTED_VALUE"""),44631.7055555555)</f>
        <v>44631.705555555498</v>
      </c>
      <c r="P2965" s="111">
        <f ca="1">IFERROR(__xludf.DUMMYFUNCTION("""COMPUTED_VALUE"""),96.79)</f>
        <v>96.79</v>
      </c>
      <c r="Q2965" s="112">
        <f ca="1">IFERROR(__xludf.DUMMYFUNCTION("""COMPUTED_VALUE"""),44630.7055555555)</f>
        <v>44630.705555555498</v>
      </c>
      <c r="R2965" s="111">
        <f ca="1">IFERROR(__xludf.DUMMYFUNCTION("""COMPUTED_VALUE"""),34.1)</f>
        <v>34.1</v>
      </c>
      <c r="S2965" s="112">
        <f ca="1">IFERROR(__xludf.DUMMYFUNCTION("""COMPUTED_VALUE"""),44644.7055555555)</f>
        <v>44644.705555555498</v>
      </c>
      <c r="T2965" s="111">
        <f ca="1">IFERROR(__xludf.DUMMYFUNCTION("""COMPUTED_VALUE"""),27.65)</f>
        <v>27.65</v>
      </c>
    </row>
    <row r="2966" spans="1:20" x14ac:dyDescent="0.3">
      <c r="A2966" s="112">
        <f ca="1">IFERROR(__xludf.DUMMYFUNCTION("""COMPUTED_VALUE"""),44641.7055555555)</f>
        <v>44641.705555555498</v>
      </c>
      <c r="B2966" s="111">
        <f ca="1">IFERROR(__xludf.DUMMYFUNCTION("""COMPUTED_VALUE"""),34.28)</f>
        <v>34.28</v>
      </c>
      <c r="C2966" s="112">
        <f ca="1">IFERROR(__xludf.DUMMYFUNCTION("""COMPUTED_VALUE"""),44650.7055555555)</f>
        <v>44650.705555555498</v>
      </c>
      <c r="D2966" s="111">
        <f ca="1">IFERROR(__xludf.DUMMYFUNCTION("""COMPUTED_VALUE"""),27.83)</f>
        <v>27.83</v>
      </c>
      <c r="E2966" s="112">
        <f ca="1">IFERROR(__xludf.DUMMYFUNCTION("""COMPUTED_VALUE"""),44651.7055555555)</f>
        <v>44651.705555555498</v>
      </c>
      <c r="F2966" s="111">
        <f ca="1">IFERROR(__xludf.DUMMYFUNCTION("""COMPUTED_VALUE"""),10.75)</f>
        <v>10.75</v>
      </c>
      <c r="G2966" s="112">
        <f ca="1">IFERROR(__xludf.DUMMYFUNCTION("""COMPUTED_VALUE"""),44649.7055555555)</f>
        <v>44649.705555555498</v>
      </c>
      <c r="H2966" s="111">
        <f ca="1">IFERROR(__xludf.DUMMYFUNCTION("""COMPUTED_VALUE"""),32.3)</f>
        <v>32.299999999999997</v>
      </c>
      <c r="M2966" s="112">
        <f ca="1">IFERROR(__xludf.DUMMYFUNCTION("""COMPUTED_VALUE"""),44557.75)</f>
        <v>44557.75</v>
      </c>
      <c r="N2966" s="111">
        <f ca="1">IFERROR(__xludf.DUMMYFUNCTION("""COMPUTED_VALUE"""),19.46)</f>
        <v>19.46</v>
      </c>
      <c r="O2966" s="112">
        <f ca="1">IFERROR(__xludf.DUMMYFUNCTION("""COMPUTED_VALUE"""),44634.7055555555)</f>
        <v>44634.705555555498</v>
      </c>
      <c r="P2966" s="111">
        <f ca="1">IFERROR(__xludf.DUMMYFUNCTION("""COMPUTED_VALUE"""),91.6)</f>
        <v>91.6</v>
      </c>
      <c r="Q2966" s="112">
        <f ca="1">IFERROR(__xludf.DUMMYFUNCTION("""COMPUTED_VALUE"""),44631.7055555555)</f>
        <v>44631.705555555498</v>
      </c>
      <c r="R2966" s="111">
        <f ca="1">IFERROR(__xludf.DUMMYFUNCTION("""COMPUTED_VALUE"""),33.42)</f>
        <v>33.42</v>
      </c>
      <c r="S2966" s="112">
        <f ca="1">IFERROR(__xludf.DUMMYFUNCTION("""COMPUTED_VALUE"""),44645.7055555555)</f>
        <v>44645.705555555498</v>
      </c>
      <c r="T2966" s="111">
        <f ca="1">IFERROR(__xludf.DUMMYFUNCTION("""COMPUTED_VALUE"""),27.58)</f>
        <v>27.58</v>
      </c>
    </row>
    <row r="2967" spans="1:20" x14ac:dyDescent="0.3">
      <c r="A2967" s="112">
        <f ca="1">IFERROR(__xludf.DUMMYFUNCTION("""COMPUTED_VALUE"""),44642.7055555555)</f>
        <v>44642.705555555498</v>
      </c>
      <c r="B2967" s="111">
        <f ca="1">IFERROR(__xludf.DUMMYFUNCTION("""COMPUTED_VALUE"""),35.47)</f>
        <v>35.47</v>
      </c>
      <c r="C2967" s="112">
        <f ca="1">IFERROR(__xludf.DUMMYFUNCTION("""COMPUTED_VALUE"""),44651.7055555555)</f>
        <v>44651.705555555498</v>
      </c>
      <c r="D2967" s="111">
        <f ca="1">IFERROR(__xludf.DUMMYFUNCTION("""COMPUTED_VALUE"""),27.48)</f>
        <v>27.48</v>
      </c>
      <c r="E2967" s="112">
        <f ca="1">IFERROR(__xludf.DUMMYFUNCTION("""COMPUTED_VALUE"""),44652.7055555555)</f>
        <v>44652.705555555498</v>
      </c>
      <c r="F2967" s="111">
        <f ca="1">IFERROR(__xludf.DUMMYFUNCTION("""COMPUTED_VALUE"""),10.79)</f>
        <v>10.79</v>
      </c>
      <c r="G2967" s="112">
        <f ca="1">IFERROR(__xludf.DUMMYFUNCTION("""COMPUTED_VALUE"""),44650.7055555555)</f>
        <v>44650.705555555498</v>
      </c>
      <c r="H2967" s="111">
        <f ca="1">IFERROR(__xludf.DUMMYFUNCTION("""COMPUTED_VALUE"""),32.99)</f>
        <v>32.99</v>
      </c>
      <c r="M2967" s="112">
        <f ca="1">IFERROR(__xludf.DUMMYFUNCTION("""COMPUTED_VALUE"""),44558.75)</f>
        <v>44558.75</v>
      </c>
      <c r="N2967" s="111">
        <f ca="1">IFERROR(__xludf.DUMMYFUNCTION("""COMPUTED_VALUE"""),19.39)</f>
        <v>19.39</v>
      </c>
      <c r="O2967" s="112">
        <f ca="1">IFERROR(__xludf.DUMMYFUNCTION("""COMPUTED_VALUE"""),44635.7055555555)</f>
        <v>44635.705555555498</v>
      </c>
      <c r="P2967" s="111">
        <f ca="1">IFERROR(__xludf.DUMMYFUNCTION("""COMPUTED_VALUE"""),88.97)</f>
        <v>88.97</v>
      </c>
      <c r="Q2967" s="112">
        <f ca="1">IFERROR(__xludf.DUMMYFUNCTION("""COMPUTED_VALUE"""),44634.7055555555)</f>
        <v>44634.705555555498</v>
      </c>
      <c r="R2967" s="111">
        <f ca="1">IFERROR(__xludf.DUMMYFUNCTION("""COMPUTED_VALUE"""),33.63)</f>
        <v>33.630000000000003</v>
      </c>
      <c r="S2967" s="112">
        <f ca="1">IFERROR(__xludf.DUMMYFUNCTION("""COMPUTED_VALUE"""),44648.7055555555)</f>
        <v>44648.705555555498</v>
      </c>
      <c r="T2967" s="111">
        <f ca="1">IFERROR(__xludf.DUMMYFUNCTION("""COMPUTED_VALUE"""),26.92)</f>
        <v>26.92</v>
      </c>
    </row>
    <row r="2968" spans="1:20" x14ac:dyDescent="0.3">
      <c r="A2968" s="112">
        <f ca="1">IFERROR(__xludf.DUMMYFUNCTION("""COMPUTED_VALUE"""),44643.7055555555)</f>
        <v>44643.705555555498</v>
      </c>
      <c r="B2968" s="111">
        <f ca="1">IFERROR(__xludf.DUMMYFUNCTION("""COMPUTED_VALUE"""),35.44)</f>
        <v>35.44</v>
      </c>
      <c r="C2968" s="112">
        <f ca="1">IFERROR(__xludf.DUMMYFUNCTION("""COMPUTED_VALUE"""),44652.7055555555)</f>
        <v>44652.705555555498</v>
      </c>
      <c r="D2968" s="111">
        <f ca="1">IFERROR(__xludf.DUMMYFUNCTION("""COMPUTED_VALUE"""),27.54)</f>
        <v>27.54</v>
      </c>
      <c r="E2968" s="112">
        <f ca="1">IFERROR(__xludf.DUMMYFUNCTION("""COMPUTED_VALUE"""),44655.7055555555)</f>
        <v>44655.705555555498</v>
      </c>
      <c r="F2968" s="111">
        <f ca="1">IFERROR(__xludf.DUMMYFUNCTION("""COMPUTED_VALUE"""),10.72)</f>
        <v>10.72</v>
      </c>
      <c r="G2968" s="112">
        <f ca="1">IFERROR(__xludf.DUMMYFUNCTION("""COMPUTED_VALUE"""),44651.7055555555)</f>
        <v>44651.705555555498</v>
      </c>
      <c r="H2968" s="111">
        <f ca="1">IFERROR(__xludf.DUMMYFUNCTION("""COMPUTED_VALUE"""),33.45)</f>
        <v>33.450000000000003</v>
      </c>
      <c r="M2968" s="112">
        <f ca="1">IFERROR(__xludf.DUMMYFUNCTION("""COMPUTED_VALUE"""),44559.75)</f>
        <v>44559.75</v>
      </c>
      <c r="N2968" s="111">
        <f ca="1">IFERROR(__xludf.DUMMYFUNCTION("""COMPUTED_VALUE"""),19.3)</f>
        <v>19.3</v>
      </c>
      <c r="O2968" s="112">
        <f ca="1">IFERROR(__xludf.DUMMYFUNCTION("""COMPUTED_VALUE"""),44636.7055555555)</f>
        <v>44636.705555555498</v>
      </c>
      <c r="P2968" s="111">
        <f ca="1">IFERROR(__xludf.DUMMYFUNCTION("""COMPUTED_VALUE"""),91.13)</f>
        <v>91.13</v>
      </c>
      <c r="Q2968" s="112">
        <f ca="1">IFERROR(__xludf.DUMMYFUNCTION("""COMPUTED_VALUE"""),44635.7055555555)</f>
        <v>44635.705555555498</v>
      </c>
      <c r="R2968" s="111">
        <f ca="1">IFERROR(__xludf.DUMMYFUNCTION("""COMPUTED_VALUE"""),33.04)</f>
        <v>33.04</v>
      </c>
      <c r="S2968" s="112">
        <f ca="1">IFERROR(__xludf.DUMMYFUNCTION("""COMPUTED_VALUE"""),44649.7055555555)</f>
        <v>44649.705555555498</v>
      </c>
      <c r="T2968" s="111">
        <f ca="1">IFERROR(__xludf.DUMMYFUNCTION("""COMPUTED_VALUE"""),27.49)</f>
        <v>27.49</v>
      </c>
    </row>
    <row r="2969" spans="1:20" x14ac:dyDescent="0.3">
      <c r="A2969" s="112">
        <f ca="1">IFERROR(__xludf.DUMMYFUNCTION("""COMPUTED_VALUE"""),44644.7055555555)</f>
        <v>44644.705555555498</v>
      </c>
      <c r="B2969" s="111">
        <f ca="1">IFERROR(__xludf.DUMMYFUNCTION("""COMPUTED_VALUE"""),35.79)</f>
        <v>35.79</v>
      </c>
      <c r="C2969" s="112">
        <f ca="1">IFERROR(__xludf.DUMMYFUNCTION("""COMPUTED_VALUE"""),44655.7055555555)</f>
        <v>44655.705555555498</v>
      </c>
      <c r="D2969" s="111">
        <f ca="1">IFERROR(__xludf.DUMMYFUNCTION("""COMPUTED_VALUE"""),27.29)</f>
        <v>27.29</v>
      </c>
      <c r="E2969" s="112">
        <f ca="1">IFERROR(__xludf.DUMMYFUNCTION("""COMPUTED_VALUE"""),44656.7055555555)</f>
        <v>44656.705555555498</v>
      </c>
      <c r="F2969" s="111">
        <f ca="1">IFERROR(__xludf.DUMMYFUNCTION("""COMPUTED_VALUE"""),10.44)</f>
        <v>10.44</v>
      </c>
      <c r="G2969" s="112">
        <f ca="1">IFERROR(__xludf.DUMMYFUNCTION("""COMPUTED_VALUE"""),44652.7055555555)</f>
        <v>44652.705555555498</v>
      </c>
      <c r="H2969" s="111">
        <f ca="1">IFERROR(__xludf.DUMMYFUNCTION("""COMPUTED_VALUE"""),33.01)</f>
        <v>33.01</v>
      </c>
      <c r="M2969" s="112">
        <f ca="1">IFERROR(__xludf.DUMMYFUNCTION("""COMPUTED_VALUE"""),44560.75)</f>
        <v>44560.75</v>
      </c>
      <c r="N2969" s="111">
        <f ca="1">IFERROR(__xludf.DUMMYFUNCTION("""COMPUTED_VALUE"""),19.21)</f>
        <v>19.21</v>
      </c>
      <c r="O2969" s="112">
        <f ca="1">IFERROR(__xludf.DUMMYFUNCTION("""COMPUTED_VALUE"""),44637.7055555555)</f>
        <v>44637.705555555498</v>
      </c>
      <c r="P2969" s="111">
        <f ca="1">IFERROR(__xludf.DUMMYFUNCTION("""COMPUTED_VALUE"""),94.3)</f>
        <v>94.3</v>
      </c>
      <c r="Q2969" s="112">
        <f ca="1">IFERROR(__xludf.DUMMYFUNCTION("""COMPUTED_VALUE"""),44636.7055555555)</f>
        <v>44636.705555555498</v>
      </c>
      <c r="R2969" s="111">
        <f ca="1">IFERROR(__xludf.DUMMYFUNCTION("""COMPUTED_VALUE"""),33.48)</f>
        <v>33.479999999999997</v>
      </c>
      <c r="S2969" s="112">
        <f ca="1">IFERROR(__xludf.DUMMYFUNCTION("""COMPUTED_VALUE"""),44650.7055555555)</f>
        <v>44650.705555555498</v>
      </c>
      <c r="T2969" s="111">
        <f ca="1">IFERROR(__xludf.DUMMYFUNCTION("""COMPUTED_VALUE"""),27.34)</f>
        <v>27.34</v>
      </c>
    </row>
    <row r="2970" spans="1:20" x14ac:dyDescent="0.3">
      <c r="A2970" s="112">
        <f ca="1">IFERROR(__xludf.DUMMYFUNCTION("""COMPUTED_VALUE"""),44645.7055555555)</f>
        <v>44645.705555555498</v>
      </c>
      <c r="B2970" s="111">
        <f ca="1">IFERROR(__xludf.DUMMYFUNCTION("""COMPUTED_VALUE"""),36.14)</f>
        <v>36.14</v>
      </c>
      <c r="C2970" s="112">
        <f ca="1">IFERROR(__xludf.DUMMYFUNCTION("""COMPUTED_VALUE"""),44656.7055555555)</f>
        <v>44656.705555555498</v>
      </c>
      <c r="D2970" s="111">
        <f ca="1">IFERROR(__xludf.DUMMYFUNCTION("""COMPUTED_VALUE"""),26.74)</f>
        <v>26.74</v>
      </c>
      <c r="E2970" s="112">
        <f ca="1">IFERROR(__xludf.DUMMYFUNCTION("""COMPUTED_VALUE"""),44657.7055555555)</f>
        <v>44657.705555555498</v>
      </c>
      <c r="F2970" s="111">
        <f ca="1">IFERROR(__xludf.DUMMYFUNCTION("""COMPUTED_VALUE"""),10.36)</f>
        <v>10.36</v>
      </c>
      <c r="G2970" s="112">
        <f ca="1">IFERROR(__xludf.DUMMYFUNCTION("""COMPUTED_VALUE"""),44655.7055555555)</f>
        <v>44655.705555555498</v>
      </c>
      <c r="H2970" s="111">
        <f ca="1">IFERROR(__xludf.DUMMYFUNCTION("""COMPUTED_VALUE"""),32.7)</f>
        <v>32.700000000000003</v>
      </c>
      <c r="M2970" s="112">
        <f ca="1">IFERROR(__xludf.DUMMYFUNCTION("""COMPUTED_VALUE"""),44564.7055555555)</f>
        <v>44564.705555555498</v>
      </c>
      <c r="N2970" s="111">
        <f ca="1">IFERROR(__xludf.DUMMYFUNCTION("""COMPUTED_VALUE"""),19.69)</f>
        <v>19.690000000000001</v>
      </c>
      <c r="O2970" s="112">
        <f ca="1">IFERROR(__xludf.DUMMYFUNCTION("""COMPUTED_VALUE"""),44638.7055555555)</f>
        <v>44638.705555555498</v>
      </c>
      <c r="P2970" s="111">
        <f ca="1">IFERROR(__xludf.DUMMYFUNCTION("""COMPUTED_VALUE"""),96.09)</f>
        <v>96.09</v>
      </c>
      <c r="Q2970" s="112">
        <f ca="1">IFERROR(__xludf.DUMMYFUNCTION("""COMPUTED_VALUE"""),44637.7055555555)</f>
        <v>44637.705555555498</v>
      </c>
      <c r="R2970" s="111">
        <f ca="1">IFERROR(__xludf.DUMMYFUNCTION("""COMPUTED_VALUE"""),33.79)</f>
        <v>33.79</v>
      </c>
      <c r="S2970" s="112">
        <f ca="1">IFERROR(__xludf.DUMMYFUNCTION("""COMPUTED_VALUE"""),44651.7055555555)</f>
        <v>44651.705555555498</v>
      </c>
      <c r="T2970" s="111">
        <f ca="1">IFERROR(__xludf.DUMMYFUNCTION("""COMPUTED_VALUE"""),27.5)</f>
        <v>27.5</v>
      </c>
    </row>
    <row r="2971" spans="1:20" x14ac:dyDescent="0.3">
      <c r="A2971" s="112">
        <f ca="1">IFERROR(__xludf.DUMMYFUNCTION("""COMPUTED_VALUE"""),44648.7055555555)</f>
        <v>44648.705555555498</v>
      </c>
      <c r="B2971" s="111">
        <f ca="1">IFERROR(__xludf.DUMMYFUNCTION("""COMPUTED_VALUE"""),36.19)</f>
        <v>36.19</v>
      </c>
      <c r="C2971" s="112">
        <f ca="1">IFERROR(__xludf.DUMMYFUNCTION("""COMPUTED_VALUE"""),44657.7055555555)</f>
        <v>44657.705555555498</v>
      </c>
      <c r="D2971" s="111">
        <f ca="1">IFERROR(__xludf.DUMMYFUNCTION("""COMPUTED_VALUE"""),26.73)</f>
        <v>26.73</v>
      </c>
      <c r="E2971" s="112">
        <f ca="1">IFERROR(__xludf.DUMMYFUNCTION("""COMPUTED_VALUE"""),44658.7055555555)</f>
        <v>44658.705555555498</v>
      </c>
      <c r="F2971" s="111">
        <f ca="1">IFERROR(__xludf.DUMMYFUNCTION("""COMPUTED_VALUE"""),10.27)</f>
        <v>10.27</v>
      </c>
      <c r="G2971" s="112">
        <f ca="1">IFERROR(__xludf.DUMMYFUNCTION("""COMPUTED_VALUE"""),44656.7055555555)</f>
        <v>44656.705555555498</v>
      </c>
      <c r="H2971" s="111">
        <f ca="1">IFERROR(__xludf.DUMMYFUNCTION("""COMPUTED_VALUE"""),32.39)</f>
        <v>32.39</v>
      </c>
      <c r="M2971" s="112">
        <f ca="1">IFERROR(__xludf.DUMMYFUNCTION("""COMPUTED_VALUE"""),44565.7055555555)</f>
        <v>44565.705555555498</v>
      </c>
      <c r="N2971" s="111">
        <f ca="1">IFERROR(__xludf.DUMMYFUNCTION("""COMPUTED_VALUE"""),19.8)</f>
        <v>19.8</v>
      </c>
      <c r="O2971" s="112">
        <f ca="1">IFERROR(__xludf.DUMMYFUNCTION("""COMPUTED_VALUE"""),44641.7055555555)</f>
        <v>44641.705555555498</v>
      </c>
      <c r="P2971" s="111">
        <f ca="1">IFERROR(__xludf.DUMMYFUNCTION("""COMPUTED_VALUE"""),98.81)</f>
        <v>98.81</v>
      </c>
      <c r="Q2971" s="112">
        <f ca="1">IFERROR(__xludf.DUMMYFUNCTION("""COMPUTED_VALUE"""),44638.7055555555)</f>
        <v>44638.705555555498</v>
      </c>
      <c r="R2971" s="111">
        <f ca="1">IFERROR(__xludf.DUMMYFUNCTION("""COMPUTED_VALUE"""),33.72)</f>
        <v>33.72</v>
      </c>
      <c r="S2971" s="112">
        <f ca="1">IFERROR(__xludf.DUMMYFUNCTION("""COMPUTED_VALUE"""),44652.7055555555)</f>
        <v>44652.705555555498</v>
      </c>
      <c r="T2971" s="111">
        <f ca="1">IFERROR(__xludf.DUMMYFUNCTION("""COMPUTED_VALUE"""),29.06)</f>
        <v>29.06</v>
      </c>
    </row>
    <row r="2972" spans="1:20" x14ac:dyDescent="0.3">
      <c r="A2972" s="112">
        <f ca="1">IFERROR(__xludf.DUMMYFUNCTION("""COMPUTED_VALUE"""),44649.7055555555)</f>
        <v>44649.705555555498</v>
      </c>
      <c r="B2972" s="111">
        <f ca="1">IFERROR(__xludf.DUMMYFUNCTION("""COMPUTED_VALUE"""),36.64)</f>
        <v>36.64</v>
      </c>
      <c r="C2972" s="112">
        <f ca="1">IFERROR(__xludf.DUMMYFUNCTION("""COMPUTED_VALUE"""),44658.7055555555)</f>
        <v>44658.705555555498</v>
      </c>
      <c r="D2972" s="111">
        <f ca="1">IFERROR(__xludf.DUMMYFUNCTION("""COMPUTED_VALUE"""),26.71)</f>
        <v>26.71</v>
      </c>
      <c r="E2972" s="112">
        <f ca="1">IFERROR(__xludf.DUMMYFUNCTION("""COMPUTED_VALUE"""),44659.7055555555)</f>
        <v>44659.705555555498</v>
      </c>
      <c r="F2972" s="111">
        <f ca="1">IFERROR(__xludf.DUMMYFUNCTION("""COMPUTED_VALUE"""),10.27)</f>
        <v>10.27</v>
      </c>
      <c r="G2972" s="112">
        <f ca="1">IFERROR(__xludf.DUMMYFUNCTION("""COMPUTED_VALUE"""),44657.7055555555)</f>
        <v>44657.705555555498</v>
      </c>
      <c r="H2972" s="111">
        <f ca="1">IFERROR(__xludf.DUMMYFUNCTION("""COMPUTED_VALUE"""),32.36)</f>
        <v>32.36</v>
      </c>
      <c r="M2972" s="112">
        <f ca="1">IFERROR(__xludf.DUMMYFUNCTION("""COMPUTED_VALUE"""),44566.7055555555)</f>
        <v>44566.705555555498</v>
      </c>
      <c r="N2972" s="111">
        <f ca="1">IFERROR(__xludf.DUMMYFUNCTION("""COMPUTED_VALUE"""),19.66)</f>
        <v>19.66</v>
      </c>
      <c r="O2972" s="112">
        <f ca="1">IFERROR(__xludf.DUMMYFUNCTION("""COMPUTED_VALUE"""),44642.7055555555)</f>
        <v>44642.705555555498</v>
      </c>
      <c r="P2972" s="111">
        <f ca="1">IFERROR(__xludf.DUMMYFUNCTION("""COMPUTED_VALUE"""),96.6)</f>
        <v>96.6</v>
      </c>
      <c r="Q2972" s="112">
        <f ca="1">IFERROR(__xludf.DUMMYFUNCTION("""COMPUTED_VALUE"""),44641.7055555555)</f>
        <v>44641.705555555498</v>
      </c>
      <c r="R2972" s="111">
        <f ca="1">IFERROR(__xludf.DUMMYFUNCTION("""COMPUTED_VALUE"""),34.41)</f>
        <v>34.409999999999997</v>
      </c>
      <c r="S2972" s="112">
        <f ca="1">IFERROR(__xludf.DUMMYFUNCTION("""COMPUTED_VALUE"""),44655.7055555555)</f>
        <v>44655.705555555498</v>
      </c>
      <c r="T2972" s="111">
        <f ca="1">IFERROR(__xludf.DUMMYFUNCTION("""COMPUTED_VALUE"""),29.39)</f>
        <v>29.39</v>
      </c>
    </row>
    <row r="2973" spans="1:20" x14ac:dyDescent="0.3">
      <c r="A2973" s="112">
        <f ca="1">IFERROR(__xludf.DUMMYFUNCTION("""COMPUTED_VALUE"""),44650.7055555555)</f>
        <v>44650.705555555498</v>
      </c>
      <c r="B2973" s="111">
        <f ca="1">IFERROR(__xludf.DUMMYFUNCTION("""COMPUTED_VALUE"""),36.55)</f>
        <v>36.549999999999997</v>
      </c>
      <c r="C2973" s="112">
        <f ca="1">IFERROR(__xludf.DUMMYFUNCTION("""COMPUTED_VALUE"""),44659.7055555555)</f>
        <v>44659.705555555498</v>
      </c>
      <c r="D2973" s="111">
        <f ca="1">IFERROR(__xludf.DUMMYFUNCTION("""COMPUTED_VALUE"""),26.66)</f>
        <v>26.66</v>
      </c>
      <c r="E2973" s="112">
        <f ca="1">IFERROR(__xludf.DUMMYFUNCTION("""COMPUTED_VALUE"""),44662.7055555555)</f>
        <v>44662.705555555498</v>
      </c>
      <c r="F2973" s="111">
        <f ca="1">IFERROR(__xludf.DUMMYFUNCTION("""COMPUTED_VALUE"""),10.18)</f>
        <v>10.18</v>
      </c>
      <c r="G2973" s="112">
        <f ca="1">IFERROR(__xludf.DUMMYFUNCTION("""COMPUTED_VALUE"""),44658.7055555555)</f>
        <v>44658.705555555498</v>
      </c>
      <c r="H2973" s="111">
        <f ca="1">IFERROR(__xludf.DUMMYFUNCTION("""COMPUTED_VALUE"""),34.04)</f>
        <v>34.04</v>
      </c>
      <c r="M2973" s="112">
        <f ca="1">IFERROR(__xludf.DUMMYFUNCTION("""COMPUTED_VALUE"""),44567.7055555555)</f>
        <v>44567.705555555498</v>
      </c>
      <c r="N2973" s="111">
        <f ca="1">IFERROR(__xludf.DUMMYFUNCTION("""COMPUTED_VALUE"""),19.94)</f>
        <v>19.940000000000001</v>
      </c>
      <c r="O2973" s="112">
        <f ca="1">IFERROR(__xludf.DUMMYFUNCTION("""COMPUTED_VALUE"""),44643.7055555555)</f>
        <v>44643.705555555498</v>
      </c>
      <c r="P2973" s="111">
        <f ca="1">IFERROR(__xludf.DUMMYFUNCTION("""COMPUTED_VALUE"""),96.45)</f>
        <v>96.45</v>
      </c>
      <c r="Q2973" s="112">
        <f ca="1">IFERROR(__xludf.DUMMYFUNCTION("""COMPUTED_VALUE"""),44642.7055555555)</f>
        <v>44642.705555555498</v>
      </c>
      <c r="R2973" s="111">
        <f ca="1">IFERROR(__xludf.DUMMYFUNCTION("""COMPUTED_VALUE"""),35.1)</f>
        <v>35.1</v>
      </c>
      <c r="S2973" s="112">
        <f ca="1">IFERROR(__xludf.DUMMYFUNCTION("""COMPUTED_VALUE"""),44656.7055555555)</f>
        <v>44656.705555555498</v>
      </c>
      <c r="T2973" s="111">
        <f ca="1">IFERROR(__xludf.DUMMYFUNCTION("""COMPUTED_VALUE"""),27.96)</f>
        <v>27.96</v>
      </c>
    </row>
    <row r="2974" spans="1:20" x14ac:dyDescent="0.3">
      <c r="A2974" s="112">
        <f ca="1">IFERROR(__xludf.DUMMYFUNCTION("""COMPUTED_VALUE"""),44651.7055555555)</f>
        <v>44651.705555555498</v>
      </c>
      <c r="B2974" s="111">
        <f ca="1">IFERROR(__xludf.DUMMYFUNCTION("""COMPUTED_VALUE"""),37.57)</f>
        <v>37.57</v>
      </c>
      <c r="C2974" s="112">
        <f ca="1">IFERROR(__xludf.DUMMYFUNCTION("""COMPUTED_VALUE"""),44662.7055555555)</f>
        <v>44662.705555555498</v>
      </c>
      <c r="D2974" s="111">
        <f ca="1">IFERROR(__xludf.DUMMYFUNCTION("""COMPUTED_VALUE"""),26.56)</f>
        <v>26.56</v>
      </c>
      <c r="E2974" s="112">
        <f ca="1">IFERROR(__xludf.DUMMYFUNCTION("""COMPUTED_VALUE"""),44663.7055555555)</f>
        <v>44663.705555555498</v>
      </c>
      <c r="F2974" s="111">
        <f ca="1">IFERROR(__xludf.DUMMYFUNCTION("""COMPUTED_VALUE"""),10.08)</f>
        <v>10.08</v>
      </c>
      <c r="G2974" s="112">
        <f ca="1">IFERROR(__xludf.DUMMYFUNCTION("""COMPUTED_VALUE"""),44659.7055555555)</f>
        <v>44659.705555555498</v>
      </c>
      <c r="H2974" s="111">
        <f ca="1">IFERROR(__xludf.DUMMYFUNCTION("""COMPUTED_VALUE"""),34.21)</f>
        <v>34.21</v>
      </c>
      <c r="M2974" s="112">
        <f ca="1">IFERROR(__xludf.DUMMYFUNCTION("""COMPUTED_VALUE"""),44568.7055555555)</f>
        <v>44568.705555555498</v>
      </c>
      <c r="N2974" s="111">
        <f ca="1">IFERROR(__xludf.DUMMYFUNCTION("""COMPUTED_VALUE"""),20.23)</f>
        <v>20.23</v>
      </c>
      <c r="O2974" s="112">
        <f ca="1">IFERROR(__xludf.DUMMYFUNCTION("""COMPUTED_VALUE"""),44644.7055555555)</f>
        <v>44644.705555555498</v>
      </c>
      <c r="P2974" s="111">
        <f ca="1">IFERROR(__xludf.DUMMYFUNCTION("""COMPUTED_VALUE"""),96.91)</f>
        <v>96.91</v>
      </c>
      <c r="Q2974" s="112">
        <f ca="1">IFERROR(__xludf.DUMMYFUNCTION("""COMPUTED_VALUE"""),44643.7055555555)</f>
        <v>44643.705555555498</v>
      </c>
      <c r="R2974" s="111">
        <f ca="1">IFERROR(__xludf.DUMMYFUNCTION("""COMPUTED_VALUE"""),34.92)</f>
        <v>34.92</v>
      </c>
      <c r="S2974" s="112">
        <f ca="1">IFERROR(__xludf.DUMMYFUNCTION("""COMPUTED_VALUE"""),44657.7055555555)</f>
        <v>44657.705555555498</v>
      </c>
      <c r="T2974" s="111">
        <f ca="1">IFERROR(__xludf.DUMMYFUNCTION("""COMPUTED_VALUE"""),27.05)</f>
        <v>27.05</v>
      </c>
    </row>
    <row r="2975" spans="1:20" x14ac:dyDescent="0.3">
      <c r="A2975" s="112">
        <f ca="1">IFERROR(__xludf.DUMMYFUNCTION("""COMPUTED_VALUE"""),44652.7055555555)</f>
        <v>44652.705555555498</v>
      </c>
      <c r="B2975" s="111">
        <f ca="1">IFERROR(__xludf.DUMMYFUNCTION("""COMPUTED_VALUE"""),38.88)</f>
        <v>38.880000000000003</v>
      </c>
      <c r="C2975" s="112">
        <f ca="1">IFERROR(__xludf.DUMMYFUNCTION("""COMPUTED_VALUE"""),44663.7055555555)</f>
        <v>44663.705555555498</v>
      </c>
      <c r="D2975" s="111">
        <f ca="1">IFERROR(__xludf.DUMMYFUNCTION("""COMPUTED_VALUE"""),26.09)</f>
        <v>26.09</v>
      </c>
      <c r="E2975" s="112">
        <f ca="1">IFERROR(__xludf.DUMMYFUNCTION("""COMPUTED_VALUE"""),44664.7055555555)</f>
        <v>44664.705555555498</v>
      </c>
      <c r="F2975" s="111">
        <f ca="1">IFERROR(__xludf.DUMMYFUNCTION("""COMPUTED_VALUE"""),10.09)</f>
        <v>10.09</v>
      </c>
      <c r="G2975" s="112">
        <f ca="1">IFERROR(__xludf.DUMMYFUNCTION("""COMPUTED_VALUE"""),44662.7055555555)</f>
        <v>44662.705555555498</v>
      </c>
      <c r="H2975" s="111">
        <f ca="1">IFERROR(__xludf.DUMMYFUNCTION("""COMPUTED_VALUE"""),33.95)</f>
        <v>33.950000000000003</v>
      </c>
      <c r="M2975" s="112">
        <f ca="1">IFERROR(__xludf.DUMMYFUNCTION("""COMPUTED_VALUE"""),44571.7055555555)</f>
        <v>44571.705555555498</v>
      </c>
      <c r="N2975" s="111">
        <f ca="1">IFERROR(__xludf.DUMMYFUNCTION("""COMPUTED_VALUE"""),20.3)</f>
        <v>20.3</v>
      </c>
      <c r="O2975" s="112">
        <f ca="1">IFERROR(__xludf.DUMMYFUNCTION("""COMPUTED_VALUE"""),44645.7055555555)</f>
        <v>44645.705555555498</v>
      </c>
      <c r="P2975" s="111">
        <f ca="1">IFERROR(__xludf.DUMMYFUNCTION("""COMPUTED_VALUE"""),95.23)</f>
        <v>95.23</v>
      </c>
      <c r="Q2975" s="112">
        <f ca="1">IFERROR(__xludf.DUMMYFUNCTION("""COMPUTED_VALUE"""),44644.7055555555)</f>
        <v>44644.705555555498</v>
      </c>
      <c r="R2975" s="111">
        <f ca="1">IFERROR(__xludf.DUMMYFUNCTION("""COMPUTED_VALUE"""),35.32)</f>
        <v>35.32</v>
      </c>
      <c r="S2975" s="112">
        <f ca="1">IFERROR(__xludf.DUMMYFUNCTION("""COMPUTED_VALUE"""),44658.7055555555)</f>
        <v>44658.705555555498</v>
      </c>
      <c r="T2975" s="111">
        <f ca="1">IFERROR(__xludf.DUMMYFUNCTION("""COMPUTED_VALUE"""),26.82)</f>
        <v>26.82</v>
      </c>
    </row>
    <row r="2976" spans="1:20" x14ac:dyDescent="0.3">
      <c r="A2976" s="112">
        <f ca="1">IFERROR(__xludf.DUMMYFUNCTION("""COMPUTED_VALUE"""),44655.7055555555)</f>
        <v>44655.705555555498</v>
      </c>
      <c r="B2976" s="111">
        <f ca="1">IFERROR(__xludf.DUMMYFUNCTION("""COMPUTED_VALUE"""),39.18)</f>
        <v>39.18</v>
      </c>
      <c r="C2976" s="112">
        <f ca="1">IFERROR(__xludf.DUMMYFUNCTION("""COMPUTED_VALUE"""),44664.7055555555)</f>
        <v>44664.705555555498</v>
      </c>
      <c r="D2976" s="111">
        <f ca="1">IFERROR(__xludf.DUMMYFUNCTION("""COMPUTED_VALUE"""),26.16)</f>
        <v>26.16</v>
      </c>
      <c r="E2976" s="112">
        <f ca="1">IFERROR(__xludf.DUMMYFUNCTION("""COMPUTED_VALUE"""),44665.7055555555)</f>
        <v>44665.705555555498</v>
      </c>
      <c r="F2976" s="111">
        <f ca="1">IFERROR(__xludf.DUMMYFUNCTION("""COMPUTED_VALUE"""),10.1)</f>
        <v>10.1</v>
      </c>
      <c r="G2976" s="112">
        <f ca="1">IFERROR(__xludf.DUMMYFUNCTION("""COMPUTED_VALUE"""),44663.7055555555)</f>
        <v>44663.705555555498</v>
      </c>
      <c r="H2976" s="111">
        <f ca="1">IFERROR(__xludf.DUMMYFUNCTION("""COMPUTED_VALUE"""),33.85)</f>
        <v>33.85</v>
      </c>
      <c r="M2976" s="112">
        <f ca="1">IFERROR(__xludf.DUMMYFUNCTION("""COMPUTED_VALUE"""),44572.7055555555)</f>
        <v>44572.705555555498</v>
      </c>
      <c r="N2976" s="111">
        <f ca="1">IFERROR(__xludf.DUMMYFUNCTION("""COMPUTED_VALUE"""),20.33)</f>
        <v>20.329999999999998</v>
      </c>
      <c r="O2976" s="112">
        <f ca="1">IFERROR(__xludf.DUMMYFUNCTION("""COMPUTED_VALUE"""),44648.7055555555)</f>
        <v>44648.705555555498</v>
      </c>
      <c r="P2976" s="111">
        <f ca="1">IFERROR(__xludf.DUMMYFUNCTION("""COMPUTED_VALUE"""),95.34)</f>
        <v>95.34</v>
      </c>
      <c r="Q2976" s="112">
        <f ca="1">IFERROR(__xludf.DUMMYFUNCTION("""COMPUTED_VALUE"""),44645.7055555555)</f>
        <v>44645.705555555498</v>
      </c>
      <c r="R2976" s="111">
        <f ca="1">IFERROR(__xludf.DUMMYFUNCTION("""COMPUTED_VALUE"""),35.3)</f>
        <v>35.299999999999997</v>
      </c>
      <c r="S2976" s="112">
        <f ca="1">IFERROR(__xludf.DUMMYFUNCTION("""COMPUTED_VALUE"""),44659.7055555555)</f>
        <v>44659.705555555498</v>
      </c>
      <c r="T2976" s="111">
        <f ca="1">IFERROR(__xludf.DUMMYFUNCTION("""COMPUTED_VALUE"""),26.73)</f>
        <v>26.73</v>
      </c>
    </row>
    <row r="2977" spans="1:20" x14ac:dyDescent="0.3">
      <c r="A2977" s="112">
        <f ca="1">IFERROR(__xludf.DUMMYFUNCTION("""COMPUTED_VALUE"""),44656.7055555555)</f>
        <v>44656.705555555498</v>
      </c>
      <c r="B2977" s="111">
        <f ca="1">IFERROR(__xludf.DUMMYFUNCTION("""COMPUTED_VALUE"""),37.66)</f>
        <v>37.659999999999997</v>
      </c>
      <c r="C2977" s="112">
        <f ca="1">IFERROR(__xludf.DUMMYFUNCTION("""COMPUTED_VALUE"""),44665.7055555555)</f>
        <v>44665.705555555498</v>
      </c>
      <c r="D2977" s="111">
        <f ca="1">IFERROR(__xludf.DUMMYFUNCTION("""COMPUTED_VALUE"""),26.33)</f>
        <v>26.33</v>
      </c>
      <c r="E2977" s="112">
        <f ca="1">IFERROR(__xludf.DUMMYFUNCTION("""COMPUTED_VALUE"""),44669.7055555555)</f>
        <v>44669.705555555498</v>
      </c>
      <c r="F2977" s="111">
        <f ca="1">IFERROR(__xludf.DUMMYFUNCTION("""COMPUTED_VALUE"""),10.16)</f>
        <v>10.16</v>
      </c>
      <c r="G2977" s="112">
        <f ca="1">IFERROR(__xludf.DUMMYFUNCTION("""COMPUTED_VALUE"""),44664.7055555555)</f>
        <v>44664.705555555498</v>
      </c>
      <c r="H2977" s="111">
        <f ca="1">IFERROR(__xludf.DUMMYFUNCTION("""COMPUTED_VALUE"""),34.57)</f>
        <v>34.57</v>
      </c>
      <c r="M2977" s="112">
        <f ca="1">IFERROR(__xludf.DUMMYFUNCTION("""COMPUTED_VALUE"""),44573.7055555555)</f>
        <v>44573.705555555498</v>
      </c>
      <c r="N2977" s="111">
        <f ca="1">IFERROR(__xludf.DUMMYFUNCTION("""COMPUTED_VALUE"""),20.18)</f>
        <v>20.18</v>
      </c>
      <c r="O2977" s="112">
        <f ca="1">IFERROR(__xludf.DUMMYFUNCTION("""COMPUTED_VALUE"""),44649.7055555555)</f>
        <v>44649.705555555498</v>
      </c>
      <c r="P2977" s="111">
        <f ca="1">IFERROR(__xludf.DUMMYFUNCTION("""COMPUTED_VALUE"""),94.52)</f>
        <v>94.52</v>
      </c>
      <c r="Q2977" s="112">
        <f ca="1">IFERROR(__xludf.DUMMYFUNCTION("""COMPUTED_VALUE"""),44648.7055555555)</f>
        <v>44648.705555555498</v>
      </c>
      <c r="R2977" s="111">
        <f ca="1">IFERROR(__xludf.DUMMYFUNCTION("""COMPUTED_VALUE"""),34.96)</f>
        <v>34.96</v>
      </c>
      <c r="S2977" s="112">
        <f ca="1">IFERROR(__xludf.DUMMYFUNCTION("""COMPUTED_VALUE"""),44662.7055555555)</f>
        <v>44662.705555555498</v>
      </c>
      <c r="T2977" s="111">
        <f ca="1">IFERROR(__xludf.DUMMYFUNCTION("""COMPUTED_VALUE"""),26.75)</f>
        <v>26.75</v>
      </c>
    </row>
    <row r="2978" spans="1:20" x14ac:dyDescent="0.3">
      <c r="A2978" s="112">
        <f ca="1">IFERROR(__xludf.DUMMYFUNCTION("""COMPUTED_VALUE"""),44657.7055555555)</f>
        <v>44657.705555555498</v>
      </c>
      <c r="B2978" s="111">
        <f ca="1">IFERROR(__xludf.DUMMYFUNCTION("""COMPUTED_VALUE"""),39.08)</f>
        <v>39.08</v>
      </c>
      <c r="C2978" s="112">
        <f ca="1">IFERROR(__xludf.DUMMYFUNCTION("""COMPUTED_VALUE"""),44669.7055555555)</f>
        <v>44669.705555555498</v>
      </c>
      <c r="D2978" s="111">
        <f ca="1">IFERROR(__xludf.DUMMYFUNCTION("""COMPUTED_VALUE"""),26.48)</f>
        <v>26.48</v>
      </c>
      <c r="E2978" s="112">
        <f ca="1">IFERROR(__xludf.DUMMYFUNCTION("""COMPUTED_VALUE"""),44670.7055555555)</f>
        <v>44670.705555555498</v>
      </c>
      <c r="F2978" s="111">
        <f ca="1">IFERROR(__xludf.DUMMYFUNCTION("""COMPUTED_VALUE"""),10.05)</f>
        <v>10.050000000000001</v>
      </c>
      <c r="G2978" s="112">
        <f ca="1">IFERROR(__xludf.DUMMYFUNCTION("""COMPUTED_VALUE"""),44665.7055555555)</f>
        <v>44665.705555555498</v>
      </c>
      <c r="H2978" s="111">
        <f ca="1">IFERROR(__xludf.DUMMYFUNCTION("""COMPUTED_VALUE"""),31.27)</f>
        <v>31.27</v>
      </c>
      <c r="M2978" s="112">
        <f ca="1">IFERROR(__xludf.DUMMYFUNCTION("""COMPUTED_VALUE"""),44574.7055555555)</f>
        <v>44574.705555555498</v>
      </c>
      <c r="N2978" s="111">
        <f ca="1">IFERROR(__xludf.DUMMYFUNCTION("""COMPUTED_VALUE"""),20.54)</f>
        <v>20.54</v>
      </c>
      <c r="O2978" s="112">
        <f ca="1">IFERROR(__xludf.DUMMYFUNCTION("""COMPUTED_VALUE"""),44650.7055555555)</f>
        <v>44650.705555555498</v>
      </c>
      <c r="P2978" s="111">
        <f ca="1">IFERROR(__xludf.DUMMYFUNCTION("""COMPUTED_VALUE"""),95.87)</f>
        <v>95.87</v>
      </c>
      <c r="Q2978" s="112">
        <f ca="1">IFERROR(__xludf.DUMMYFUNCTION("""COMPUTED_VALUE"""),44649.7055555555)</f>
        <v>44649.705555555498</v>
      </c>
      <c r="R2978" s="111">
        <f ca="1">IFERROR(__xludf.DUMMYFUNCTION("""COMPUTED_VALUE"""),35.11)</f>
        <v>35.11</v>
      </c>
      <c r="S2978" s="112">
        <f ca="1">IFERROR(__xludf.DUMMYFUNCTION("""COMPUTED_VALUE"""),44663.7055555555)</f>
        <v>44663.705555555498</v>
      </c>
      <c r="T2978" s="111">
        <f ca="1">IFERROR(__xludf.DUMMYFUNCTION("""COMPUTED_VALUE"""),26.2)</f>
        <v>26.2</v>
      </c>
    </row>
    <row r="2979" spans="1:20" x14ac:dyDescent="0.3">
      <c r="A2979" s="112">
        <f ca="1">IFERROR(__xludf.DUMMYFUNCTION("""COMPUTED_VALUE"""),44658.7055555555)</f>
        <v>44658.705555555498</v>
      </c>
      <c r="B2979" s="111">
        <f ca="1">IFERROR(__xludf.DUMMYFUNCTION("""COMPUTED_VALUE"""),40.3)</f>
        <v>40.299999999999997</v>
      </c>
      <c r="C2979" s="112">
        <f ca="1">IFERROR(__xludf.DUMMYFUNCTION("""COMPUTED_VALUE"""),44670.7055555555)</f>
        <v>44670.705555555498</v>
      </c>
      <c r="D2979" s="111">
        <f ca="1">IFERROR(__xludf.DUMMYFUNCTION("""COMPUTED_VALUE"""),26.01)</f>
        <v>26.01</v>
      </c>
      <c r="E2979" s="112">
        <f ca="1">IFERROR(__xludf.DUMMYFUNCTION("""COMPUTED_VALUE"""),44671.7055555555)</f>
        <v>44671.705555555498</v>
      </c>
      <c r="F2979" s="111">
        <f ca="1">IFERROR(__xludf.DUMMYFUNCTION("""COMPUTED_VALUE"""),10.06)</f>
        <v>10.06</v>
      </c>
      <c r="G2979" s="112">
        <f ca="1">IFERROR(__xludf.DUMMYFUNCTION("""COMPUTED_VALUE"""),44669.7055555555)</f>
        <v>44669.705555555498</v>
      </c>
      <c r="H2979" s="111">
        <f ca="1">IFERROR(__xludf.DUMMYFUNCTION("""COMPUTED_VALUE"""),30.72)</f>
        <v>30.72</v>
      </c>
      <c r="M2979" s="112">
        <f ca="1">IFERROR(__xludf.DUMMYFUNCTION("""COMPUTED_VALUE"""),44575.7055555555)</f>
        <v>44575.705555555498</v>
      </c>
      <c r="N2979" s="111">
        <f ca="1">IFERROR(__xludf.DUMMYFUNCTION("""COMPUTED_VALUE"""),20.87)</f>
        <v>20.87</v>
      </c>
      <c r="O2979" s="112">
        <f ca="1">IFERROR(__xludf.DUMMYFUNCTION("""COMPUTED_VALUE"""),44651.7055555555)</f>
        <v>44651.705555555498</v>
      </c>
      <c r="P2979" s="111">
        <f ca="1">IFERROR(__xludf.DUMMYFUNCTION("""COMPUTED_VALUE"""),95.6)</f>
        <v>95.6</v>
      </c>
      <c r="Q2979" s="112">
        <f ca="1">IFERROR(__xludf.DUMMYFUNCTION("""COMPUTED_VALUE"""),44650.7055555555)</f>
        <v>44650.705555555498</v>
      </c>
      <c r="R2979" s="111">
        <f ca="1">IFERROR(__xludf.DUMMYFUNCTION("""COMPUTED_VALUE"""),34.9)</f>
        <v>34.9</v>
      </c>
      <c r="S2979" s="112">
        <f ca="1">IFERROR(__xludf.DUMMYFUNCTION("""COMPUTED_VALUE"""),44664.7055555555)</f>
        <v>44664.705555555498</v>
      </c>
      <c r="T2979" s="111">
        <f ca="1">IFERROR(__xludf.DUMMYFUNCTION("""COMPUTED_VALUE"""),26.67)</f>
        <v>26.67</v>
      </c>
    </row>
    <row r="2980" spans="1:20" x14ac:dyDescent="0.3">
      <c r="A2980" s="112">
        <f ca="1">IFERROR(__xludf.DUMMYFUNCTION("""COMPUTED_VALUE"""),44659.7055555555)</f>
        <v>44659.705555555498</v>
      </c>
      <c r="B2980" s="111">
        <f ca="1">IFERROR(__xludf.DUMMYFUNCTION("""COMPUTED_VALUE"""),42.44)</f>
        <v>42.44</v>
      </c>
      <c r="C2980" s="112">
        <f ca="1">IFERROR(__xludf.DUMMYFUNCTION("""COMPUTED_VALUE"""),44671.7055555555)</f>
        <v>44671.705555555498</v>
      </c>
      <c r="D2980" s="111">
        <f ca="1">IFERROR(__xludf.DUMMYFUNCTION("""COMPUTED_VALUE"""),26.18)</f>
        <v>26.18</v>
      </c>
      <c r="E2980" s="112">
        <f ca="1">IFERROR(__xludf.DUMMYFUNCTION("""COMPUTED_VALUE"""),44673.7055555555)</f>
        <v>44673.705555555498</v>
      </c>
      <c r="F2980" s="111">
        <f ca="1">IFERROR(__xludf.DUMMYFUNCTION("""COMPUTED_VALUE"""),9.91)</f>
        <v>9.91</v>
      </c>
      <c r="G2980" s="112">
        <f ca="1">IFERROR(__xludf.DUMMYFUNCTION("""COMPUTED_VALUE"""),44670.7055555555)</f>
        <v>44670.705555555498</v>
      </c>
      <c r="H2980" s="111">
        <f ca="1">IFERROR(__xludf.DUMMYFUNCTION("""COMPUTED_VALUE"""),31.65)</f>
        <v>31.65</v>
      </c>
      <c r="M2980" s="112">
        <f ca="1">IFERROR(__xludf.DUMMYFUNCTION("""COMPUTED_VALUE"""),44578.7055555555)</f>
        <v>44578.705555555498</v>
      </c>
      <c r="N2980" s="111">
        <f ca="1">IFERROR(__xludf.DUMMYFUNCTION("""COMPUTED_VALUE"""),20.99)</f>
        <v>20.99</v>
      </c>
      <c r="O2980" s="112">
        <f ca="1">IFERROR(__xludf.DUMMYFUNCTION("""COMPUTED_VALUE"""),44652.7055555555)</f>
        <v>44652.705555555498</v>
      </c>
      <c r="P2980" s="111">
        <f ca="1">IFERROR(__xludf.DUMMYFUNCTION("""COMPUTED_VALUE"""),96.96)</f>
        <v>96.96</v>
      </c>
      <c r="Q2980" s="112">
        <f ca="1">IFERROR(__xludf.DUMMYFUNCTION("""COMPUTED_VALUE"""),44651.7055555555)</f>
        <v>44651.705555555498</v>
      </c>
      <c r="R2980" s="111">
        <f ca="1">IFERROR(__xludf.DUMMYFUNCTION("""COMPUTED_VALUE"""),34.7)</f>
        <v>34.700000000000003</v>
      </c>
      <c r="S2980" s="112">
        <f ca="1">IFERROR(__xludf.DUMMYFUNCTION("""COMPUTED_VALUE"""),44665.7055555555)</f>
        <v>44665.705555555498</v>
      </c>
      <c r="T2980" s="111">
        <f ca="1">IFERROR(__xludf.DUMMYFUNCTION("""COMPUTED_VALUE"""),26.74)</f>
        <v>26.74</v>
      </c>
    </row>
    <row r="2981" spans="1:20" x14ac:dyDescent="0.3">
      <c r="A2981" s="112">
        <f ca="1">IFERROR(__xludf.DUMMYFUNCTION("""COMPUTED_VALUE"""),44662.7055555555)</f>
        <v>44662.705555555498</v>
      </c>
      <c r="B2981" s="111">
        <f ca="1">IFERROR(__xludf.DUMMYFUNCTION("""COMPUTED_VALUE"""),41.28)</f>
        <v>41.28</v>
      </c>
      <c r="C2981" s="112">
        <f ca="1">IFERROR(__xludf.DUMMYFUNCTION("""COMPUTED_VALUE"""),44673.7055555555)</f>
        <v>44673.705555555498</v>
      </c>
      <c r="D2981" s="111">
        <f ca="1">IFERROR(__xludf.DUMMYFUNCTION("""COMPUTED_VALUE"""),25.67)</f>
        <v>25.67</v>
      </c>
      <c r="E2981" s="112">
        <f ca="1">IFERROR(__xludf.DUMMYFUNCTION("""COMPUTED_VALUE"""),44676.7055555555)</f>
        <v>44676.705555555498</v>
      </c>
      <c r="F2981" s="111">
        <f ca="1">IFERROR(__xludf.DUMMYFUNCTION("""COMPUTED_VALUE"""),9.88)</f>
        <v>9.8800000000000008</v>
      </c>
      <c r="G2981" s="112">
        <f ca="1">IFERROR(__xludf.DUMMYFUNCTION("""COMPUTED_VALUE"""),44671.7055555555)</f>
        <v>44671.705555555498</v>
      </c>
      <c r="H2981" s="111">
        <f ca="1">IFERROR(__xludf.DUMMYFUNCTION("""COMPUTED_VALUE"""),31.8)</f>
        <v>31.8</v>
      </c>
      <c r="M2981" s="112">
        <f ca="1">IFERROR(__xludf.DUMMYFUNCTION("""COMPUTED_VALUE"""),44579.7055555555)</f>
        <v>44579.705555555498</v>
      </c>
      <c r="N2981" s="111">
        <f ca="1">IFERROR(__xludf.DUMMYFUNCTION("""COMPUTED_VALUE"""),21.37)</f>
        <v>21.37</v>
      </c>
      <c r="O2981" s="112">
        <f ca="1">IFERROR(__xludf.DUMMYFUNCTION("""COMPUTED_VALUE"""),44655.7055555555)</f>
        <v>44655.705555555498</v>
      </c>
      <c r="P2981" s="111">
        <f ca="1">IFERROR(__xludf.DUMMYFUNCTION("""COMPUTED_VALUE"""),97.94)</f>
        <v>97.94</v>
      </c>
      <c r="Q2981" s="112">
        <f ca="1">IFERROR(__xludf.DUMMYFUNCTION("""COMPUTED_VALUE"""),44652.7055555555)</f>
        <v>44652.705555555498</v>
      </c>
      <c r="R2981" s="111">
        <f ca="1">IFERROR(__xludf.DUMMYFUNCTION("""COMPUTED_VALUE"""),34.68)</f>
        <v>34.68</v>
      </c>
      <c r="S2981" s="112">
        <f ca="1">IFERROR(__xludf.DUMMYFUNCTION("""COMPUTED_VALUE"""),44669.7055555555)</f>
        <v>44669.705555555498</v>
      </c>
      <c r="T2981" s="111">
        <f ca="1">IFERROR(__xludf.DUMMYFUNCTION("""COMPUTED_VALUE"""),26.43)</f>
        <v>26.43</v>
      </c>
    </row>
    <row r="2982" spans="1:20" x14ac:dyDescent="0.3">
      <c r="A2982" s="112">
        <f ca="1">IFERROR(__xludf.DUMMYFUNCTION("""COMPUTED_VALUE"""),44663.7055555555)</f>
        <v>44663.705555555498</v>
      </c>
      <c r="B2982" s="111">
        <f ca="1">IFERROR(__xludf.DUMMYFUNCTION("""COMPUTED_VALUE"""),41.8)</f>
        <v>41.8</v>
      </c>
      <c r="C2982" s="112">
        <f ca="1">IFERROR(__xludf.DUMMYFUNCTION("""COMPUTED_VALUE"""),44676.7055555555)</f>
        <v>44676.705555555498</v>
      </c>
      <c r="D2982" s="111">
        <f ca="1">IFERROR(__xludf.DUMMYFUNCTION("""COMPUTED_VALUE"""),25.57)</f>
        <v>25.57</v>
      </c>
      <c r="E2982" s="112">
        <f ca="1">IFERROR(__xludf.DUMMYFUNCTION("""COMPUTED_VALUE"""),44677.7055555555)</f>
        <v>44677.705555555498</v>
      </c>
      <c r="F2982" s="111">
        <f ca="1">IFERROR(__xludf.DUMMYFUNCTION("""COMPUTED_VALUE"""),9.46)</f>
        <v>9.4600000000000009</v>
      </c>
      <c r="G2982" s="112">
        <f ca="1">IFERROR(__xludf.DUMMYFUNCTION("""COMPUTED_VALUE"""),44673.7055555555)</f>
        <v>44673.705555555498</v>
      </c>
      <c r="H2982" s="111">
        <f ca="1">IFERROR(__xludf.DUMMYFUNCTION("""COMPUTED_VALUE"""),30.56)</f>
        <v>30.56</v>
      </c>
      <c r="M2982" s="112">
        <f ca="1">IFERROR(__xludf.DUMMYFUNCTION("""COMPUTED_VALUE"""),44580.7055555555)</f>
        <v>44580.705555555498</v>
      </c>
      <c r="N2982" s="111">
        <f ca="1">IFERROR(__xludf.DUMMYFUNCTION("""COMPUTED_VALUE"""),21.1)</f>
        <v>21.1</v>
      </c>
      <c r="O2982" s="112">
        <f ca="1">IFERROR(__xludf.DUMMYFUNCTION("""COMPUTED_VALUE"""),44656.7055555555)</f>
        <v>44656.705555555498</v>
      </c>
      <c r="P2982" s="111">
        <f ca="1">IFERROR(__xludf.DUMMYFUNCTION("""COMPUTED_VALUE"""),95.11)</f>
        <v>95.11</v>
      </c>
      <c r="Q2982" s="112">
        <f ca="1">IFERROR(__xludf.DUMMYFUNCTION("""COMPUTED_VALUE"""),44655.7055555555)</f>
        <v>44655.705555555498</v>
      </c>
      <c r="R2982" s="111">
        <f ca="1">IFERROR(__xludf.DUMMYFUNCTION("""COMPUTED_VALUE"""),34.36)</f>
        <v>34.36</v>
      </c>
      <c r="S2982" s="112">
        <f ca="1">IFERROR(__xludf.DUMMYFUNCTION("""COMPUTED_VALUE"""),44670.7055555555)</f>
        <v>44670.705555555498</v>
      </c>
      <c r="T2982" s="111">
        <f ca="1">IFERROR(__xludf.DUMMYFUNCTION("""COMPUTED_VALUE"""),26.25)</f>
        <v>26.25</v>
      </c>
    </row>
    <row r="2983" spans="1:20" x14ac:dyDescent="0.3">
      <c r="A2983" s="112">
        <f ca="1">IFERROR(__xludf.DUMMYFUNCTION("""COMPUTED_VALUE"""),44664.7055555555)</f>
        <v>44664.705555555498</v>
      </c>
      <c r="B2983" s="111">
        <f ca="1">IFERROR(__xludf.DUMMYFUNCTION("""COMPUTED_VALUE"""),42.94)</f>
        <v>42.94</v>
      </c>
      <c r="C2983" s="112">
        <f ca="1">IFERROR(__xludf.DUMMYFUNCTION("""COMPUTED_VALUE"""),44677.7055555555)</f>
        <v>44677.705555555498</v>
      </c>
      <c r="D2983" s="111">
        <f ca="1">IFERROR(__xludf.DUMMYFUNCTION("""COMPUTED_VALUE"""),24.7)</f>
        <v>24.7</v>
      </c>
      <c r="E2983" s="112">
        <f ca="1">IFERROR(__xludf.DUMMYFUNCTION("""COMPUTED_VALUE"""),44678.7055555555)</f>
        <v>44678.705555555498</v>
      </c>
      <c r="F2983" s="111">
        <f ca="1">IFERROR(__xludf.DUMMYFUNCTION("""COMPUTED_VALUE"""),9.4)</f>
        <v>9.4</v>
      </c>
      <c r="G2983" s="112">
        <f ca="1">IFERROR(__xludf.DUMMYFUNCTION("""COMPUTED_VALUE"""),44676.7055555555)</f>
        <v>44676.705555555498</v>
      </c>
      <c r="H2983" s="111">
        <f ca="1">IFERROR(__xludf.DUMMYFUNCTION("""COMPUTED_VALUE"""),30.11)</f>
        <v>30.11</v>
      </c>
      <c r="M2983" s="112">
        <f ca="1">IFERROR(__xludf.DUMMYFUNCTION("""COMPUTED_VALUE"""),44581.7055555555)</f>
        <v>44581.705555555498</v>
      </c>
      <c r="N2983" s="111">
        <f ca="1">IFERROR(__xludf.DUMMYFUNCTION("""COMPUTED_VALUE"""),21.08)</f>
        <v>21.08</v>
      </c>
      <c r="O2983" s="112">
        <f ca="1">IFERROR(__xludf.DUMMYFUNCTION("""COMPUTED_VALUE"""),44657.7055555555)</f>
        <v>44657.705555555498</v>
      </c>
      <c r="P2983" s="111">
        <f ca="1">IFERROR(__xludf.DUMMYFUNCTION("""COMPUTED_VALUE"""),96.55)</f>
        <v>96.55</v>
      </c>
      <c r="Q2983" s="112">
        <f ca="1">IFERROR(__xludf.DUMMYFUNCTION("""COMPUTED_VALUE"""),44656.7055555555)</f>
        <v>44656.705555555498</v>
      </c>
      <c r="R2983" s="111">
        <f ca="1">IFERROR(__xludf.DUMMYFUNCTION("""COMPUTED_VALUE"""),33.45)</f>
        <v>33.450000000000003</v>
      </c>
      <c r="S2983" s="112">
        <f ca="1">IFERROR(__xludf.DUMMYFUNCTION("""COMPUTED_VALUE"""),44671.7055555555)</f>
        <v>44671.705555555498</v>
      </c>
      <c r="T2983" s="111">
        <f ca="1">IFERROR(__xludf.DUMMYFUNCTION("""COMPUTED_VALUE"""),25.98)</f>
        <v>25.98</v>
      </c>
    </row>
    <row r="2984" spans="1:20" x14ac:dyDescent="0.3">
      <c r="A2984" s="112">
        <f ca="1">IFERROR(__xludf.DUMMYFUNCTION("""COMPUTED_VALUE"""),44665.7055555555)</f>
        <v>44665.705555555498</v>
      </c>
      <c r="B2984" s="111">
        <f ca="1">IFERROR(__xludf.DUMMYFUNCTION("""COMPUTED_VALUE"""),42.94)</f>
        <v>42.94</v>
      </c>
      <c r="C2984" s="112">
        <f ca="1">IFERROR(__xludf.DUMMYFUNCTION("""COMPUTED_VALUE"""),44678.7055555555)</f>
        <v>44678.705555555498</v>
      </c>
      <c r="D2984" s="111">
        <f ca="1">IFERROR(__xludf.DUMMYFUNCTION("""COMPUTED_VALUE"""),24.5)</f>
        <v>24.5</v>
      </c>
      <c r="E2984" s="112">
        <f ca="1">IFERROR(__xludf.DUMMYFUNCTION("""COMPUTED_VALUE"""),44679.7055555555)</f>
        <v>44679.705555555498</v>
      </c>
      <c r="F2984" s="111">
        <f ca="1">IFERROR(__xludf.DUMMYFUNCTION("""COMPUTED_VALUE"""),9.35)</f>
        <v>9.35</v>
      </c>
      <c r="G2984" s="112">
        <f ca="1">IFERROR(__xludf.DUMMYFUNCTION("""COMPUTED_VALUE"""),44677.7055555555)</f>
        <v>44677.705555555498</v>
      </c>
      <c r="H2984" s="111">
        <f ca="1">IFERROR(__xludf.DUMMYFUNCTION("""COMPUTED_VALUE"""),30.06)</f>
        <v>30.06</v>
      </c>
      <c r="M2984" s="112">
        <f ca="1">IFERROR(__xludf.DUMMYFUNCTION("""COMPUTED_VALUE"""),44582.7055555555)</f>
        <v>44582.705555555498</v>
      </c>
      <c r="N2984" s="111">
        <f ca="1">IFERROR(__xludf.DUMMYFUNCTION("""COMPUTED_VALUE"""),20.86)</f>
        <v>20.86</v>
      </c>
      <c r="O2984" s="112">
        <f ca="1">IFERROR(__xludf.DUMMYFUNCTION("""COMPUTED_VALUE"""),44658.7055555555)</f>
        <v>44658.705555555498</v>
      </c>
      <c r="P2984" s="111">
        <f ca="1">IFERROR(__xludf.DUMMYFUNCTION("""COMPUTED_VALUE"""),97.13)</f>
        <v>97.13</v>
      </c>
      <c r="Q2984" s="112">
        <f ca="1">IFERROR(__xludf.DUMMYFUNCTION("""COMPUTED_VALUE"""),44657.7055555555)</f>
        <v>44657.705555555498</v>
      </c>
      <c r="R2984" s="111">
        <f ca="1">IFERROR(__xludf.DUMMYFUNCTION("""COMPUTED_VALUE"""),33.62)</f>
        <v>33.619999999999997</v>
      </c>
      <c r="S2984" s="112">
        <f ca="1">IFERROR(__xludf.DUMMYFUNCTION("""COMPUTED_VALUE"""),44673.7055555555)</f>
        <v>44673.705555555498</v>
      </c>
      <c r="T2984" s="111">
        <f ca="1">IFERROR(__xludf.DUMMYFUNCTION("""COMPUTED_VALUE"""),25.02)</f>
        <v>25.02</v>
      </c>
    </row>
    <row r="2985" spans="1:20" x14ac:dyDescent="0.3">
      <c r="A2985" s="112">
        <f ca="1">IFERROR(__xludf.DUMMYFUNCTION("""COMPUTED_VALUE"""),44669.7055555555)</f>
        <v>44669.705555555498</v>
      </c>
      <c r="B2985" s="111">
        <f ca="1">IFERROR(__xludf.DUMMYFUNCTION("""COMPUTED_VALUE"""),42.02)</f>
        <v>42.02</v>
      </c>
      <c r="C2985" s="112">
        <f ca="1">IFERROR(__xludf.DUMMYFUNCTION("""COMPUTED_VALUE"""),44679.7055555555)</f>
        <v>44679.705555555498</v>
      </c>
      <c r="D2985" s="111">
        <f ca="1">IFERROR(__xludf.DUMMYFUNCTION("""COMPUTED_VALUE"""),24.3)</f>
        <v>24.3</v>
      </c>
      <c r="E2985" s="112">
        <f ca="1">IFERROR(__xludf.DUMMYFUNCTION("""COMPUTED_VALUE"""),44680.7055555555)</f>
        <v>44680.705555555498</v>
      </c>
      <c r="F2985" s="111">
        <f ca="1">IFERROR(__xludf.DUMMYFUNCTION("""COMPUTED_VALUE"""),9.21)</f>
        <v>9.2100000000000009</v>
      </c>
      <c r="G2985" s="112">
        <f ca="1">IFERROR(__xludf.DUMMYFUNCTION("""COMPUTED_VALUE"""),44678.7055555555)</f>
        <v>44678.705555555498</v>
      </c>
      <c r="H2985" s="111">
        <f ca="1">IFERROR(__xludf.DUMMYFUNCTION("""COMPUTED_VALUE"""),30.06)</f>
        <v>30.06</v>
      </c>
      <c r="M2985" s="112">
        <f ca="1">IFERROR(__xludf.DUMMYFUNCTION("""COMPUTED_VALUE"""),44585.7055555555)</f>
        <v>44585.705555555498</v>
      </c>
      <c r="N2985" s="111">
        <f ca="1">IFERROR(__xludf.DUMMYFUNCTION("""COMPUTED_VALUE"""),21.3)</f>
        <v>21.3</v>
      </c>
      <c r="O2985" s="112">
        <f ca="1">IFERROR(__xludf.DUMMYFUNCTION("""COMPUTED_VALUE"""),44659.7055555555)</f>
        <v>44659.705555555498</v>
      </c>
      <c r="P2985" s="111">
        <f ca="1">IFERROR(__xludf.DUMMYFUNCTION("""COMPUTED_VALUE"""),95.15)</f>
        <v>95.15</v>
      </c>
      <c r="Q2985" s="112">
        <f ca="1">IFERROR(__xludf.DUMMYFUNCTION("""COMPUTED_VALUE"""),44658.7055555555)</f>
        <v>44658.705555555498</v>
      </c>
      <c r="R2985" s="111">
        <f ca="1">IFERROR(__xludf.DUMMYFUNCTION("""COMPUTED_VALUE"""),34.24)</f>
        <v>34.24</v>
      </c>
      <c r="S2985" s="112">
        <f ca="1">IFERROR(__xludf.DUMMYFUNCTION("""COMPUTED_VALUE"""),44676.7055555555)</f>
        <v>44676.705555555498</v>
      </c>
      <c r="T2985" s="111">
        <f ca="1">IFERROR(__xludf.DUMMYFUNCTION("""COMPUTED_VALUE"""),25)</f>
        <v>25</v>
      </c>
    </row>
    <row r="2986" spans="1:20" x14ac:dyDescent="0.3">
      <c r="A2986" s="112">
        <f ca="1">IFERROR(__xludf.DUMMYFUNCTION("""COMPUTED_VALUE"""),44670.7055555555)</f>
        <v>44670.705555555498</v>
      </c>
      <c r="B2986" s="111">
        <f ca="1">IFERROR(__xludf.DUMMYFUNCTION("""COMPUTED_VALUE"""),40.17)</f>
        <v>40.17</v>
      </c>
      <c r="C2986" s="112">
        <f ca="1">IFERROR(__xludf.DUMMYFUNCTION("""COMPUTED_VALUE"""),44680.7055555555)</f>
        <v>44680.705555555498</v>
      </c>
      <c r="D2986" s="111">
        <f ca="1">IFERROR(__xludf.DUMMYFUNCTION("""COMPUTED_VALUE"""),23.87)</f>
        <v>23.87</v>
      </c>
      <c r="E2986" s="112">
        <f ca="1">IFERROR(__xludf.DUMMYFUNCTION("""COMPUTED_VALUE"""),44683.7055555555)</f>
        <v>44683.705555555498</v>
      </c>
      <c r="F2986" s="111">
        <f ca="1">IFERROR(__xludf.DUMMYFUNCTION("""COMPUTED_VALUE"""),9.15)</f>
        <v>9.15</v>
      </c>
      <c r="G2986" s="112">
        <f ca="1">IFERROR(__xludf.DUMMYFUNCTION("""COMPUTED_VALUE"""),44679.7055555555)</f>
        <v>44679.705555555498</v>
      </c>
      <c r="H2986" s="111">
        <f ca="1">IFERROR(__xludf.DUMMYFUNCTION("""COMPUTED_VALUE"""),30.26)</f>
        <v>30.26</v>
      </c>
      <c r="M2986" s="112">
        <f ca="1">IFERROR(__xludf.DUMMYFUNCTION("""COMPUTED_VALUE"""),44586.7055555555)</f>
        <v>44586.705555555498</v>
      </c>
      <c r="N2986" s="111">
        <f ca="1">IFERROR(__xludf.DUMMYFUNCTION("""COMPUTED_VALUE"""),22.15)</f>
        <v>22.15</v>
      </c>
      <c r="O2986" s="112">
        <f ca="1">IFERROR(__xludf.DUMMYFUNCTION("""COMPUTED_VALUE"""),44662.7055555555)</f>
        <v>44662.705555555498</v>
      </c>
      <c r="P2986" s="111">
        <f ca="1">IFERROR(__xludf.DUMMYFUNCTION("""COMPUTED_VALUE"""),94)</f>
        <v>94</v>
      </c>
      <c r="Q2986" s="112">
        <f ca="1">IFERROR(__xludf.DUMMYFUNCTION("""COMPUTED_VALUE"""),44659.7055555555)</f>
        <v>44659.705555555498</v>
      </c>
      <c r="R2986" s="111">
        <f ca="1">IFERROR(__xludf.DUMMYFUNCTION("""COMPUTED_VALUE"""),34.85)</f>
        <v>34.85</v>
      </c>
      <c r="S2986" s="112">
        <f ca="1">IFERROR(__xludf.DUMMYFUNCTION("""COMPUTED_VALUE"""),44677.7055555555)</f>
        <v>44677.705555555498</v>
      </c>
      <c r="T2986" s="111">
        <f ca="1">IFERROR(__xludf.DUMMYFUNCTION("""COMPUTED_VALUE"""),24.46)</f>
        <v>24.46</v>
      </c>
    </row>
    <row r="2987" spans="1:20" x14ac:dyDescent="0.3">
      <c r="A2987" s="112">
        <f ca="1">IFERROR(__xludf.DUMMYFUNCTION("""COMPUTED_VALUE"""),44671.7055555555)</f>
        <v>44671.705555555498</v>
      </c>
      <c r="B2987" s="111">
        <f ca="1">IFERROR(__xludf.DUMMYFUNCTION("""COMPUTED_VALUE"""),41.75)</f>
        <v>41.75</v>
      </c>
      <c r="C2987" s="112">
        <f ca="1">IFERROR(__xludf.DUMMYFUNCTION("""COMPUTED_VALUE"""),44683.7055555555)</f>
        <v>44683.705555555498</v>
      </c>
      <c r="D2987" s="111">
        <f ca="1">IFERROR(__xludf.DUMMYFUNCTION("""COMPUTED_VALUE"""),23.75)</f>
        <v>23.75</v>
      </c>
      <c r="E2987" s="112">
        <f ca="1">IFERROR(__xludf.DUMMYFUNCTION("""COMPUTED_VALUE"""),44684.7055555555)</f>
        <v>44684.705555555498</v>
      </c>
      <c r="F2987" s="111">
        <f ca="1">IFERROR(__xludf.DUMMYFUNCTION("""COMPUTED_VALUE"""),9.13)</f>
        <v>9.1300000000000008</v>
      </c>
      <c r="G2987" s="112">
        <f ca="1">IFERROR(__xludf.DUMMYFUNCTION("""COMPUTED_VALUE"""),44680.7055555555)</f>
        <v>44680.705555555498</v>
      </c>
      <c r="H2987" s="111">
        <f ca="1">IFERROR(__xludf.DUMMYFUNCTION("""COMPUTED_VALUE"""),30.28)</f>
        <v>30.28</v>
      </c>
      <c r="M2987" s="112">
        <f ca="1">IFERROR(__xludf.DUMMYFUNCTION("""COMPUTED_VALUE"""),44587.7055555555)</f>
        <v>44587.705555555498</v>
      </c>
      <c r="N2987" s="111">
        <f ca="1">IFERROR(__xludf.DUMMYFUNCTION("""COMPUTED_VALUE"""),22.17)</f>
        <v>22.17</v>
      </c>
      <c r="O2987" s="112">
        <f ca="1">IFERROR(__xludf.DUMMYFUNCTION("""COMPUTED_VALUE"""),44663.7055555555)</f>
        <v>44663.705555555498</v>
      </c>
      <c r="P2987" s="111">
        <f ca="1">IFERROR(__xludf.DUMMYFUNCTION("""COMPUTED_VALUE"""),93.37)</f>
        <v>93.37</v>
      </c>
      <c r="Q2987" s="112">
        <f ca="1">IFERROR(__xludf.DUMMYFUNCTION("""COMPUTED_VALUE"""),44662.7055555555)</f>
        <v>44662.705555555498</v>
      </c>
      <c r="R2987" s="111">
        <f ca="1">IFERROR(__xludf.DUMMYFUNCTION("""COMPUTED_VALUE"""),35.07)</f>
        <v>35.07</v>
      </c>
      <c r="S2987" s="112">
        <f ca="1">IFERROR(__xludf.DUMMYFUNCTION("""COMPUTED_VALUE"""),44678.7055555555)</f>
        <v>44678.705555555498</v>
      </c>
      <c r="T2987" s="111">
        <f ca="1">IFERROR(__xludf.DUMMYFUNCTION("""COMPUTED_VALUE"""),24.53)</f>
        <v>24.53</v>
      </c>
    </row>
    <row r="2988" spans="1:20" x14ac:dyDescent="0.3">
      <c r="A2988" s="112">
        <f ca="1">IFERROR(__xludf.DUMMYFUNCTION("""COMPUTED_VALUE"""),44673.7055555555)</f>
        <v>44673.705555555498</v>
      </c>
      <c r="B2988" s="111">
        <f ca="1">IFERROR(__xludf.DUMMYFUNCTION("""COMPUTED_VALUE"""),39.68)</f>
        <v>39.68</v>
      </c>
      <c r="C2988" s="112">
        <f ca="1">IFERROR(__xludf.DUMMYFUNCTION("""COMPUTED_VALUE"""),44684.7055555555)</f>
        <v>44684.705555555498</v>
      </c>
      <c r="D2988" s="111">
        <f ca="1">IFERROR(__xludf.DUMMYFUNCTION("""COMPUTED_VALUE"""),23.87)</f>
        <v>23.87</v>
      </c>
      <c r="E2988" s="112">
        <f ca="1">IFERROR(__xludf.DUMMYFUNCTION("""COMPUTED_VALUE"""),44685.7055555555)</f>
        <v>44685.705555555498</v>
      </c>
      <c r="F2988" s="111">
        <f ca="1">IFERROR(__xludf.DUMMYFUNCTION("""COMPUTED_VALUE"""),9.1)</f>
        <v>9.1</v>
      </c>
      <c r="G2988" s="112">
        <f ca="1">IFERROR(__xludf.DUMMYFUNCTION("""COMPUTED_VALUE"""),44683.7055555555)</f>
        <v>44683.705555555498</v>
      </c>
      <c r="H2988" s="111">
        <f ca="1">IFERROR(__xludf.DUMMYFUNCTION("""COMPUTED_VALUE"""),29.98)</f>
        <v>29.98</v>
      </c>
      <c r="M2988" s="112">
        <f ca="1">IFERROR(__xludf.DUMMYFUNCTION("""COMPUTED_VALUE"""),44588.7055555555)</f>
        <v>44588.705555555498</v>
      </c>
      <c r="N2988" s="111">
        <f ca="1">IFERROR(__xludf.DUMMYFUNCTION("""COMPUTED_VALUE"""),22.28)</f>
        <v>22.28</v>
      </c>
      <c r="O2988" s="112">
        <f ca="1">IFERROR(__xludf.DUMMYFUNCTION("""COMPUTED_VALUE"""),44664.7055555555)</f>
        <v>44664.705555555498</v>
      </c>
      <c r="P2988" s="111">
        <f ca="1">IFERROR(__xludf.DUMMYFUNCTION("""COMPUTED_VALUE"""),93.4)</f>
        <v>93.4</v>
      </c>
      <c r="Q2988" s="112">
        <f ca="1">IFERROR(__xludf.DUMMYFUNCTION("""COMPUTED_VALUE"""),44663.7055555555)</f>
        <v>44663.705555555498</v>
      </c>
      <c r="R2988" s="111">
        <f ca="1">IFERROR(__xludf.DUMMYFUNCTION("""COMPUTED_VALUE"""),35)</f>
        <v>35</v>
      </c>
      <c r="S2988" s="112">
        <f ca="1">IFERROR(__xludf.DUMMYFUNCTION("""COMPUTED_VALUE"""),44679.7055555555)</f>
        <v>44679.705555555498</v>
      </c>
      <c r="T2988" s="111">
        <f ca="1">IFERROR(__xludf.DUMMYFUNCTION("""COMPUTED_VALUE"""),24.39)</f>
        <v>24.39</v>
      </c>
    </row>
    <row r="2989" spans="1:20" x14ac:dyDescent="0.3">
      <c r="A2989" s="112">
        <f ca="1">IFERROR(__xludf.DUMMYFUNCTION("""COMPUTED_VALUE"""),44677.7055555555)</f>
        <v>44677.705555555498</v>
      </c>
      <c r="B2989" s="111">
        <f ca="1">IFERROR(__xludf.DUMMYFUNCTION("""COMPUTED_VALUE"""),39.12)</f>
        <v>39.119999999999997</v>
      </c>
      <c r="C2989" s="112">
        <f ca="1">IFERROR(__xludf.DUMMYFUNCTION("""COMPUTED_VALUE"""),44685.7055555555)</f>
        <v>44685.705555555498</v>
      </c>
      <c r="D2989" s="111">
        <f ca="1">IFERROR(__xludf.DUMMYFUNCTION("""COMPUTED_VALUE"""),23.84)</f>
        <v>23.84</v>
      </c>
      <c r="E2989" s="112">
        <f ca="1">IFERROR(__xludf.DUMMYFUNCTION("""COMPUTED_VALUE"""),44686.7055555555)</f>
        <v>44686.705555555498</v>
      </c>
      <c r="F2989" s="111">
        <f ca="1">IFERROR(__xludf.DUMMYFUNCTION("""COMPUTED_VALUE"""),8.87)</f>
        <v>8.8699999999999992</v>
      </c>
      <c r="G2989" s="112">
        <f ca="1">IFERROR(__xludf.DUMMYFUNCTION("""COMPUTED_VALUE"""),44684.7055555555)</f>
        <v>44684.705555555498</v>
      </c>
      <c r="H2989" s="111">
        <f ca="1">IFERROR(__xludf.DUMMYFUNCTION("""COMPUTED_VALUE"""),30.25)</f>
        <v>30.25</v>
      </c>
      <c r="M2989" s="112">
        <f ca="1">IFERROR(__xludf.DUMMYFUNCTION("""COMPUTED_VALUE"""),44589.7055555555)</f>
        <v>44589.705555555498</v>
      </c>
      <c r="N2989" s="111">
        <f ca="1">IFERROR(__xludf.DUMMYFUNCTION("""COMPUTED_VALUE"""),22.6)</f>
        <v>22.6</v>
      </c>
      <c r="O2989" s="112">
        <f ca="1">IFERROR(__xludf.DUMMYFUNCTION("""COMPUTED_VALUE"""),44665.7055555555)</f>
        <v>44665.705555555498</v>
      </c>
      <c r="P2989" s="111">
        <f ca="1">IFERROR(__xludf.DUMMYFUNCTION("""COMPUTED_VALUE"""),92.09)</f>
        <v>92.09</v>
      </c>
      <c r="Q2989" s="112">
        <f ca="1">IFERROR(__xludf.DUMMYFUNCTION("""COMPUTED_VALUE"""),44664.7055555555)</f>
        <v>44664.705555555498</v>
      </c>
      <c r="R2989" s="111">
        <f ca="1">IFERROR(__xludf.DUMMYFUNCTION("""COMPUTED_VALUE"""),35.17)</f>
        <v>35.17</v>
      </c>
      <c r="S2989" s="112">
        <f ca="1">IFERROR(__xludf.DUMMYFUNCTION("""COMPUTED_VALUE"""),44680.7055555555)</f>
        <v>44680.705555555498</v>
      </c>
      <c r="T2989" s="111">
        <f ca="1">IFERROR(__xludf.DUMMYFUNCTION("""COMPUTED_VALUE"""),23.75)</f>
        <v>23.75</v>
      </c>
    </row>
    <row r="2990" spans="1:20" x14ac:dyDescent="0.3">
      <c r="A2990" s="112">
        <f ca="1">IFERROR(__xludf.DUMMYFUNCTION("""COMPUTED_VALUE"""),44678.7055555555)</f>
        <v>44678.705555555498</v>
      </c>
      <c r="B2990" s="111">
        <f ca="1">IFERROR(__xludf.DUMMYFUNCTION("""COMPUTED_VALUE"""),39.75)</f>
        <v>39.75</v>
      </c>
      <c r="C2990" s="112">
        <f ca="1">IFERROR(__xludf.DUMMYFUNCTION("""COMPUTED_VALUE"""),44686.7055555555)</f>
        <v>44686.705555555498</v>
      </c>
      <c r="D2990" s="111">
        <f ca="1">IFERROR(__xludf.DUMMYFUNCTION("""COMPUTED_VALUE"""),23.29)</f>
        <v>23.29</v>
      </c>
      <c r="E2990" s="112">
        <f ca="1">IFERROR(__xludf.DUMMYFUNCTION("""COMPUTED_VALUE"""),44687.7055555555)</f>
        <v>44687.705555555498</v>
      </c>
      <c r="F2990" s="111">
        <f ca="1">IFERROR(__xludf.DUMMYFUNCTION("""COMPUTED_VALUE"""),8.9)</f>
        <v>8.9</v>
      </c>
      <c r="G2990" s="112">
        <f ca="1">IFERROR(__xludf.DUMMYFUNCTION("""COMPUTED_VALUE"""),44685.7055555555)</f>
        <v>44685.705555555498</v>
      </c>
      <c r="H2990" s="111">
        <f ca="1">IFERROR(__xludf.DUMMYFUNCTION("""COMPUTED_VALUE"""),32.07)</f>
        <v>32.07</v>
      </c>
      <c r="M2990" s="112">
        <f ca="1">IFERROR(__xludf.DUMMYFUNCTION("""COMPUTED_VALUE"""),44592.7055555555)</f>
        <v>44592.705555555498</v>
      </c>
      <c r="N2990" s="111">
        <f ca="1">IFERROR(__xludf.DUMMYFUNCTION("""COMPUTED_VALUE"""),22.8)</f>
        <v>22.8</v>
      </c>
      <c r="O2990" s="112">
        <f ca="1">IFERROR(__xludf.DUMMYFUNCTION("""COMPUTED_VALUE"""),44669.7055555555)</f>
        <v>44669.705555555498</v>
      </c>
      <c r="P2990" s="111">
        <f ca="1">IFERROR(__xludf.DUMMYFUNCTION("""COMPUTED_VALUE"""),90.57)</f>
        <v>90.57</v>
      </c>
      <c r="Q2990" s="112">
        <f ca="1">IFERROR(__xludf.DUMMYFUNCTION("""COMPUTED_VALUE"""),44665.7055555555)</f>
        <v>44665.705555555498</v>
      </c>
      <c r="R2990" s="111">
        <f ca="1">IFERROR(__xludf.DUMMYFUNCTION("""COMPUTED_VALUE"""),35.2)</f>
        <v>35.200000000000003</v>
      </c>
      <c r="S2990" s="112">
        <f ca="1">IFERROR(__xludf.DUMMYFUNCTION("""COMPUTED_VALUE"""),44683.7055555555)</f>
        <v>44683.705555555498</v>
      </c>
      <c r="T2990" s="111">
        <f ca="1">IFERROR(__xludf.DUMMYFUNCTION("""COMPUTED_VALUE"""),23.9)</f>
        <v>23.9</v>
      </c>
    </row>
    <row r="2991" spans="1:20" x14ac:dyDescent="0.3">
      <c r="A2991" s="112">
        <f ca="1">IFERROR(__xludf.DUMMYFUNCTION("""COMPUTED_VALUE"""),44679.7055555555)</f>
        <v>44679.705555555498</v>
      </c>
      <c r="B2991" s="111">
        <f ca="1">IFERROR(__xludf.DUMMYFUNCTION("""COMPUTED_VALUE"""),40.23)</f>
        <v>40.229999999999997</v>
      </c>
      <c r="C2991" s="112">
        <f ca="1">IFERROR(__xludf.DUMMYFUNCTION("""COMPUTED_VALUE"""),44687.7055555555)</f>
        <v>44687.705555555498</v>
      </c>
      <c r="D2991" s="111">
        <f ca="1">IFERROR(__xludf.DUMMYFUNCTION("""COMPUTED_VALUE"""),23.79)</f>
        <v>23.79</v>
      </c>
      <c r="E2991" s="112">
        <f ca="1">IFERROR(__xludf.DUMMYFUNCTION("""COMPUTED_VALUE"""),44690.7055555555)</f>
        <v>44690.705555555498</v>
      </c>
      <c r="F2991" s="111">
        <f ca="1">IFERROR(__xludf.DUMMYFUNCTION("""COMPUTED_VALUE"""),8.78)</f>
        <v>8.7799999999999994</v>
      </c>
      <c r="G2991" s="112">
        <f ca="1">IFERROR(__xludf.DUMMYFUNCTION("""COMPUTED_VALUE"""),44686.7055555555)</f>
        <v>44686.705555555498</v>
      </c>
      <c r="H2991" s="111">
        <f ca="1">IFERROR(__xludf.DUMMYFUNCTION("""COMPUTED_VALUE"""),32.01)</f>
        <v>32.01</v>
      </c>
      <c r="M2991" s="112">
        <f ca="1">IFERROR(__xludf.DUMMYFUNCTION("""COMPUTED_VALUE"""),44593.7055555555)</f>
        <v>44593.705555555498</v>
      </c>
      <c r="N2991" s="111">
        <f ca="1">IFERROR(__xludf.DUMMYFUNCTION("""COMPUTED_VALUE"""),22.88)</f>
        <v>22.88</v>
      </c>
      <c r="O2991" s="112">
        <f ca="1">IFERROR(__xludf.DUMMYFUNCTION("""COMPUTED_VALUE"""),44670.7055555555)</f>
        <v>44670.705555555498</v>
      </c>
      <c r="P2991" s="111">
        <f ca="1">IFERROR(__xludf.DUMMYFUNCTION("""COMPUTED_VALUE"""),87.68)</f>
        <v>87.68</v>
      </c>
      <c r="Q2991" s="112">
        <f ca="1">IFERROR(__xludf.DUMMYFUNCTION("""COMPUTED_VALUE"""),44669.7055555555)</f>
        <v>44669.705555555498</v>
      </c>
      <c r="R2991" s="111">
        <f ca="1">IFERROR(__xludf.DUMMYFUNCTION("""COMPUTED_VALUE"""),36.5)</f>
        <v>36.5</v>
      </c>
      <c r="S2991" s="112">
        <f ca="1">IFERROR(__xludf.DUMMYFUNCTION("""COMPUTED_VALUE"""),44684.7055555555)</f>
        <v>44684.705555555498</v>
      </c>
      <c r="T2991" s="111">
        <f ca="1">IFERROR(__xludf.DUMMYFUNCTION("""COMPUTED_VALUE"""),23.52)</f>
        <v>23.52</v>
      </c>
    </row>
    <row r="2992" spans="1:20" x14ac:dyDescent="0.3">
      <c r="A2992" s="112">
        <f ca="1">IFERROR(__xludf.DUMMYFUNCTION("""COMPUTED_VALUE"""),44680.7055555555)</f>
        <v>44680.705555555498</v>
      </c>
      <c r="B2992" s="111">
        <f ca="1">IFERROR(__xludf.DUMMYFUNCTION("""COMPUTED_VALUE"""),40.05)</f>
        <v>40.049999999999997</v>
      </c>
      <c r="C2992" s="112">
        <f ca="1">IFERROR(__xludf.DUMMYFUNCTION("""COMPUTED_VALUE"""),44690.7055555555)</f>
        <v>44690.705555555498</v>
      </c>
      <c r="D2992" s="111">
        <f ca="1">IFERROR(__xludf.DUMMYFUNCTION("""COMPUTED_VALUE"""),23.45)</f>
        <v>23.45</v>
      </c>
      <c r="E2992" s="112">
        <f ca="1">IFERROR(__xludf.DUMMYFUNCTION("""COMPUTED_VALUE"""),44691.7055555555)</f>
        <v>44691.705555555498</v>
      </c>
      <c r="F2992" s="111">
        <f ca="1">IFERROR(__xludf.DUMMYFUNCTION("""COMPUTED_VALUE"""),8.72)</f>
        <v>8.7200000000000006</v>
      </c>
      <c r="G2992" s="112">
        <f ca="1">IFERROR(__xludf.DUMMYFUNCTION("""COMPUTED_VALUE"""),44687.7055555555)</f>
        <v>44687.705555555498</v>
      </c>
      <c r="H2992" s="111">
        <f ca="1">IFERROR(__xludf.DUMMYFUNCTION("""COMPUTED_VALUE"""),33.06)</f>
        <v>33.06</v>
      </c>
      <c r="M2992" s="112">
        <f ca="1">IFERROR(__xludf.DUMMYFUNCTION("""COMPUTED_VALUE"""),44594.7055555555)</f>
        <v>44594.705555555498</v>
      </c>
      <c r="N2992" s="111">
        <f ca="1">IFERROR(__xludf.DUMMYFUNCTION("""COMPUTED_VALUE"""),22.45)</f>
        <v>22.45</v>
      </c>
      <c r="O2992" s="112">
        <f ca="1">IFERROR(__xludf.DUMMYFUNCTION("""COMPUTED_VALUE"""),44671.7055555555)</f>
        <v>44671.705555555498</v>
      </c>
      <c r="P2992" s="111">
        <f ca="1">IFERROR(__xludf.DUMMYFUNCTION("""COMPUTED_VALUE"""),85.4)</f>
        <v>85.4</v>
      </c>
      <c r="Q2992" s="112">
        <f ca="1">IFERROR(__xludf.DUMMYFUNCTION("""COMPUTED_VALUE"""),44670.7055555555)</f>
        <v>44670.705555555498</v>
      </c>
      <c r="R2992" s="111">
        <f ca="1">IFERROR(__xludf.DUMMYFUNCTION("""COMPUTED_VALUE"""),35.21)</f>
        <v>35.21</v>
      </c>
      <c r="S2992" s="112">
        <f ca="1">IFERROR(__xludf.DUMMYFUNCTION("""COMPUTED_VALUE"""),44685.7055555555)</f>
        <v>44685.705555555498</v>
      </c>
      <c r="T2992" s="111">
        <f ca="1">IFERROR(__xludf.DUMMYFUNCTION("""COMPUTED_VALUE"""),24.26)</f>
        <v>24.26</v>
      </c>
    </row>
    <row r="2993" spans="1:20" x14ac:dyDescent="0.3">
      <c r="A2993" s="112">
        <f ca="1">IFERROR(__xludf.DUMMYFUNCTION("""COMPUTED_VALUE"""),44683.7055555555)</f>
        <v>44683.705555555498</v>
      </c>
      <c r="B2993" s="111">
        <f ca="1">IFERROR(__xludf.DUMMYFUNCTION("""COMPUTED_VALUE"""),38.65)</f>
        <v>38.65</v>
      </c>
      <c r="C2993" s="112">
        <f ca="1">IFERROR(__xludf.DUMMYFUNCTION("""COMPUTED_VALUE"""),44691.7055555555)</f>
        <v>44691.705555555498</v>
      </c>
      <c r="D2993" s="111">
        <f ca="1">IFERROR(__xludf.DUMMYFUNCTION("""COMPUTED_VALUE"""),23.33)</f>
        <v>23.33</v>
      </c>
      <c r="E2993" s="112">
        <f ca="1">IFERROR(__xludf.DUMMYFUNCTION("""COMPUTED_VALUE"""),44692.7055555555)</f>
        <v>44692.705555555498</v>
      </c>
      <c r="F2993" s="111">
        <f ca="1">IFERROR(__xludf.DUMMYFUNCTION("""COMPUTED_VALUE"""),8.91)</f>
        <v>8.91</v>
      </c>
      <c r="G2993" s="112">
        <f ca="1">IFERROR(__xludf.DUMMYFUNCTION("""COMPUTED_VALUE"""),44690.7055555555)</f>
        <v>44690.705555555498</v>
      </c>
      <c r="H2993" s="111">
        <f ca="1">IFERROR(__xludf.DUMMYFUNCTION("""COMPUTED_VALUE"""),32.16)</f>
        <v>32.159999999999997</v>
      </c>
      <c r="M2993" s="112">
        <f ca="1">IFERROR(__xludf.DUMMYFUNCTION("""COMPUTED_VALUE"""),44595.7055555555)</f>
        <v>44595.705555555498</v>
      </c>
      <c r="N2993" s="111">
        <f ca="1">IFERROR(__xludf.DUMMYFUNCTION("""COMPUTED_VALUE"""),22.78)</f>
        <v>22.78</v>
      </c>
      <c r="O2993" s="112">
        <f ca="1">IFERROR(__xludf.DUMMYFUNCTION("""COMPUTED_VALUE"""),44673.7055555555)</f>
        <v>44673.705555555498</v>
      </c>
      <c r="P2993" s="111">
        <f ca="1">IFERROR(__xludf.DUMMYFUNCTION("""COMPUTED_VALUE"""),80.45)</f>
        <v>80.45</v>
      </c>
      <c r="Q2993" s="112">
        <f ca="1">IFERROR(__xludf.DUMMYFUNCTION("""COMPUTED_VALUE"""),44671.7055555555)</f>
        <v>44671.705555555498</v>
      </c>
      <c r="R2993" s="111">
        <f ca="1">IFERROR(__xludf.DUMMYFUNCTION("""COMPUTED_VALUE"""),35.16)</f>
        <v>35.159999999999997</v>
      </c>
      <c r="S2993" s="112">
        <f ca="1">IFERROR(__xludf.DUMMYFUNCTION("""COMPUTED_VALUE"""),44686.7055555555)</f>
        <v>44686.705555555498</v>
      </c>
      <c r="T2993" s="111">
        <f ca="1">IFERROR(__xludf.DUMMYFUNCTION("""COMPUTED_VALUE"""),22.87)</f>
        <v>22.87</v>
      </c>
    </row>
    <row r="2994" spans="1:20" x14ac:dyDescent="0.3">
      <c r="A2994" s="112">
        <f ca="1">IFERROR(__xludf.DUMMYFUNCTION("""COMPUTED_VALUE"""),44684.7055555555)</f>
        <v>44684.705555555498</v>
      </c>
      <c r="B2994" s="111">
        <f ca="1">IFERROR(__xludf.DUMMYFUNCTION("""COMPUTED_VALUE"""),38.43)</f>
        <v>38.43</v>
      </c>
      <c r="C2994" s="112">
        <f ca="1">IFERROR(__xludf.DUMMYFUNCTION("""COMPUTED_VALUE"""),44692.7055555555)</f>
        <v>44692.705555555498</v>
      </c>
      <c r="D2994" s="111">
        <f ca="1">IFERROR(__xludf.DUMMYFUNCTION("""COMPUTED_VALUE"""),24.11)</f>
        <v>24.11</v>
      </c>
      <c r="E2994" s="112">
        <f ca="1">IFERROR(__xludf.DUMMYFUNCTION("""COMPUTED_VALUE"""),44693.7055555555)</f>
        <v>44693.705555555498</v>
      </c>
      <c r="F2994" s="111">
        <f ca="1">IFERROR(__xludf.DUMMYFUNCTION("""COMPUTED_VALUE"""),9.06)</f>
        <v>9.06</v>
      </c>
      <c r="G2994" s="112">
        <f ca="1">IFERROR(__xludf.DUMMYFUNCTION("""COMPUTED_VALUE"""),44691.7055555555)</f>
        <v>44691.705555555498</v>
      </c>
      <c r="H2994" s="111">
        <f ca="1">IFERROR(__xludf.DUMMYFUNCTION("""COMPUTED_VALUE"""),32.44)</f>
        <v>32.44</v>
      </c>
      <c r="M2994" s="112">
        <f ca="1">IFERROR(__xludf.DUMMYFUNCTION("""COMPUTED_VALUE"""),44596.7055555555)</f>
        <v>44596.705555555498</v>
      </c>
      <c r="N2994" s="111">
        <f ca="1">IFERROR(__xludf.DUMMYFUNCTION("""COMPUTED_VALUE"""),22.93)</f>
        <v>22.93</v>
      </c>
      <c r="O2994" s="112">
        <f ca="1">IFERROR(__xludf.DUMMYFUNCTION("""COMPUTED_VALUE"""),44676.7055555555)</f>
        <v>44676.705555555498</v>
      </c>
      <c r="P2994" s="111">
        <f ca="1">IFERROR(__xludf.DUMMYFUNCTION("""COMPUTED_VALUE"""),79.08)</f>
        <v>79.08</v>
      </c>
      <c r="Q2994" s="112">
        <f ca="1">IFERROR(__xludf.DUMMYFUNCTION("""COMPUTED_VALUE"""),44673.7055555555)</f>
        <v>44673.705555555498</v>
      </c>
      <c r="R2994" s="111">
        <f ca="1">IFERROR(__xludf.DUMMYFUNCTION("""COMPUTED_VALUE"""),34.43)</f>
        <v>34.43</v>
      </c>
      <c r="S2994" s="112">
        <f ca="1">IFERROR(__xludf.DUMMYFUNCTION("""COMPUTED_VALUE"""),44687.7055555555)</f>
        <v>44687.705555555498</v>
      </c>
      <c r="T2994" s="111">
        <f ca="1">IFERROR(__xludf.DUMMYFUNCTION("""COMPUTED_VALUE"""),24.24)</f>
        <v>24.24</v>
      </c>
    </row>
    <row r="2995" spans="1:20" x14ac:dyDescent="0.3">
      <c r="A2995" s="112">
        <f ca="1">IFERROR(__xludf.DUMMYFUNCTION("""COMPUTED_VALUE"""),44685.7055555555)</f>
        <v>44685.705555555498</v>
      </c>
      <c r="B2995" s="111">
        <f ca="1">IFERROR(__xludf.DUMMYFUNCTION("""COMPUTED_VALUE"""),39.33)</f>
        <v>39.33</v>
      </c>
      <c r="C2995" s="112">
        <f ca="1">IFERROR(__xludf.DUMMYFUNCTION("""COMPUTED_VALUE"""),44693.7055555555)</f>
        <v>44693.705555555498</v>
      </c>
      <c r="D2995" s="111">
        <f ca="1">IFERROR(__xludf.DUMMYFUNCTION("""COMPUTED_VALUE"""),24.49)</f>
        <v>24.49</v>
      </c>
      <c r="E2995" s="112">
        <f ca="1">IFERROR(__xludf.DUMMYFUNCTION("""COMPUTED_VALUE"""),44694.7055555555)</f>
        <v>44694.705555555498</v>
      </c>
      <c r="F2995" s="111">
        <f ca="1">IFERROR(__xludf.DUMMYFUNCTION("""COMPUTED_VALUE"""),9.14)</f>
        <v>9.14</v>
      </c>
      <c r="G2995" s="112">
        <f ca="1">IFERROR(__xludf.DUMMYFUNCTION("""COMPUTED_VALUE"""),44692.7055555555)</f>
        <v>44692.705555555498</v>
      </c>
      <c r="H2995" s="111">
        <f ca="1">IFERROR(__xludf.DUMMYFUNCTION("""COMPUTED_VALUE"""),33.57)</f>
        <v>33.57</v>
      </c>
      <c r="M2995" s="112">
        <f ca="1">IFERROR(__xludf.DUMMYFUNCTION("""COMPUTED_VALUE"""),44599.7055555555)</f>
        <v>44599.705555555498</v>
      </c>
      <c r="N2995" s="111">
        <f ca="1">IFERROR(__xludf.DUMMYFUNCTION("""COMPUTED_VALUE"""),22.85)</f>
        <v>22.85</v>
      </c>
      <c r="O2995" s="112">
        <f ca="1">IFERROR(__xludf.DUMMYFUNCTION("""COMPUTED_VALUE"""),44677.7055555555)</f>
        <v>44677.705555555498</v>
      </c>
      <c r="P2995" s="111">
        <f ca="1">IFERROR(__xludf.DUMMYFUNCTION("""COMPUTED_VALUE"""),78)</f>
        <v>78</v>
      </c>
      <c r="Q2995" s="112">
        <f ca="1">IFERROR(__xludf.DUMMYFUNCTION("""COMPUTED_VALUE"""),44676.7055555555)</f>
        <v>44676.705555555498</v>
      </c>
      <c r="R2995" s="111">
        <f ca="1">IFERROR(__xludf.DUMMYFUNCTION("""COMPUTED_VALUE"""),34.7)</f>
        <v>34.700000000000003</v>
      </c>
      <c r="S2995" s="112">
        <f ca="1">IFERROR(__xludf.DUMMYFUNCTION("""COMPUTED_VALUE"""),44690.7055555555)</f>
        <v>44690.705555555498</v>
      </c>
      <c r="T2995" s="111">
        <f ca="1">IFERROR(__xludf.DUMMYFUNCTION("""COMPUTED_VALUE"""),23.89)</f>
        <v>23.89</v>
      </c>
    </row>
    <row r="2996" spans="1:20" x14ac:dyDescent="0.3">
      <c r="A2996" s="112">
        <f ca="1">IFERROR(__xludf.DUMMYFUNCTION("""COMPUTED_VALUE"""),44686.7055555555)</f>
        <v>44686.705555555498</v>
      </c>
      <c r="B2996" s="111">
        <f ca="1">IFERROR(__xludf.DUMMYFUNCTION("""COMPUTED_VALUE"""),38.69)</f>
        <v>38.69</v>
      </c>
      <c r="C2996" s="112">
        <f ca="1">IFERROR(__xludf.DUMMYFUNCTION("""COMPUTED_VALUE"""),44694.7055555555)</f>
        <v>44694.705555555498</v>
      </c>
      <c r="D2996" s="111">
        <f ca="1">IFERROR(__xludf.DUMMYFUNCTION("""COMPUTED_VALUE"""),24.78)</f>
        <v>24.78</v>
      </c>
      <c r="E2996" s="112">
        <f ca="1">IFERROR(__xludf.DUMMYFUNCTION("""COMPUTED_VALUE"""),44697.7055555555)</f>
        <v>44697.705555555498</v>
      </c>
      <c r="F2996" s="111">
        <f ca="1">IFERROR(__xludf.DUMMYFUNCTION("""COMPUTED_VALUE"""),9.24)</f>
        <v>9.24</v>
      </c>
      <c r="G2996" s="112">
        <f ca="1">IFERROR(__xludf.DUMMYFUNCTION("""COMPUTED_VALUE"""),44693.7055555555)</f>
        <v>44693.705555555498</v>
      </c>
      <c r="H2996" s="111">
        <f ca="1">IFERROR(__xludf.DUMMYFUNCTION("""COMPUTED_VALUE"""),33.83)</f>
        <v>33.83</v>
      </c>
      <c r="M2996" s="112">
        <f ca="1">IFERROR(__xludf.DUMMYFUNCTION("""COMPUTED_VALUE"""),44600.7055555555)</f>
        <v>44600.705555555498</v>
      </c>
      <c r="N2996" s="111">
        <f ca="1">IFERROR(__xludf.DUMMYFUNCTION("""COMPUTED_VALUE"""),22.72)</f>
        <v>22.72</v>
      </c>
      <c r="O2996" s="112">
        <f ca="1">IFERROR(__xludf.DUMMYFUNCTION("""COMPUTED_VALUE"""),44678.7055555555)</f>
        <v>44678.705555555498</v>
      </c>
      <c r="P2996" s="111">
        <f ca="1">IFERROR(__xludf.DUMMYFUNCTION("""COMPUTED_VALUE"""),82.17)</f>
        <v>82.17</v>
      </c>
      <c r="Q2996" s="112">
        <f ca="1">IFERROR(__xludf.DUMMYFUNCTION("""COMPUTED_VALUE"""),44677.7055555555)</f>
        <v>44677.705555555498</v>
      </c>
      <c r="R2996" s="111">
        <f ca="1">IFERROR(__xludf.DUMMYFUNCTION("""COMPUTED_VALUE"""),33.92)</f>
        <v>33.92</v>
      </c>
      <c r="S2996" s="112">
        <f ca="1">IFERROR(__xludf.DUMMYFUNCTION("""COMPUTED_VALUE"""),44691.7055555555)</f>
        <v>44691.705555555498</v>
      </c>
      <c r="T2996" s="111">
        <f ca="1">IFERROR(__xludf.DUMMYFUNCTION("""COMPUTED_VALUE"""),24.74)</f>
        <v>24.74</v>
      </c>
    </row>
    <row r="2997" spans="1:20" x14ac:dyDescent="0.3">
      <c r="A2997" s="112">
        <f ca="1">IFERROR(__xludf.DUMMYFUNCTION("""COMPUTED_VALUE"""),44687.7055555555)</f>
        <v>44687.705555555498</v>
      </c>
      <c r="B2997" s="111">
        <f ca="1">IFERROR(__xludf.DUMMYFUNCTION("""COMPUTED_VALUE"""),38.26)</f>
        <v>38.26</v>
      </c>
      <c r="C2997" s="112">
        <f ca="1">IFERROR(__xludf.DUMMYFUNCTION("""COMPUTED_VALUE"""),44697.7055555555)</f>
        <v>44697.705555555498</v>
      </c>
      <c r="D2997" s="111">
        <f ca="1">IFERROR(__xludf.DUMMYFUNCTION("""COMPUTED_VALUE"""),25.04)</f>
        <v>25.04</v>
      </c>
      <c r="E2997" s="112">
        <f ca="1">IFERROR(__xludf.DUMMYFUNCTION("""COMPUTED_VALUE"""),44698.7055555555)</f>
        <v>44698.705555555498</v>
      </c>
      <c r="F2997" s="111">
        <f ca="1">IFERROR(__xludf.DUMMYFUNCTION("""COMPUTED_VALUE"""),9.32)</f>
        <v>9.32</v>
      </c>
      <c r="G2997" s="112">
        <f ca="1">IFERROR(__xludf.DUMMYFUNCTION("""COMPUTED_VALUE"""),44694.7055555555)</f>
        <v>44694.705555555498</v>
      </c>
      <c r="H2997" s="111">
        <f ca="1">IFERROR(__xludf.DUMMYFUNCTION("""COMPUTED_VALUE"""),34.27)</f>
        <v>34.270000000000003</v>
      </c>
      <c r="M2997" s="112">
        <f ca="1">IFERROR(__xludf.DUMMYFUNCTION("""COMPUTED_VALUE"""),44601.7055555555)</f>
        <v>44601.705555555498</v>
      </c>
      <c r="N2997" s="111">
        <f ca="1">IFERROR(__xludf.DUMMYFUNCTION("""COMPUTED_VALUE"""),20.77)</f>
        <v>20.77</v>
      </c>
      <c r="O2997" s="112">
        <f ca="1">IFERROR(__xludf.DUMMYFUNCTION("""COMPUTED_VALUE"""),44679.7055555555)</f>
        <v>44679.705555555498</v>
      </c>
      <c r="P2997" s="111">
        <f ca="1">IFERROR(__xludf.DUMMYFUNCTION("""COMPUTED_VALUE"""),84.2)</f>
        <v>84.2</v>
      </c>
      <c r="Q2997" s="112">
        <f ca="1">IFERROR(__xludf.DUMMYFUNCTION("""COMPUTED_VALUE"""),44678.7055555555)</f>
        <v>44678.705555555498</v>
      </c>
      <c r="R2997" s="111">
        <f ca="1">IFERROR(__xludf.DUMMYFUNCTION("""COMPUTED_VALUE"""),34.07)</f>
        <v>34.07</v>
      </c>
      <c r="S2997" s="112">
        <f ca="1">IFERROR(__xludf.DUMMYFUNCTION("""COMPUTED_VALUE"""),44692.7055555555)</f>
        <v>44692.705555555498</v>
      </c>
      <c r="T2997" s="111">
        <f ca="1">IFERROR(__xludf.DUMMYFUNCTION("""COMPUTED_VALUE"""),24.53)</f>
        <v>24.53</v>
      </c>
    </row>
    <row r="2998" spans="1:20" x14ac:dyDescent="0.3">
      <c r="A2998" s="112">
        <f ca="1">IFERROR(__xludf.DUMMYFUNCTION("""COMPUTED_VALUE"""),44690.7055555555)</f>
        <v>44690.705555555498</v>
      </c>
      <c r="B2998" s="111">
        <f ca="1">IFERROR(__xludf.DUMMYFUNCTION("""COMPUTED_VALUE"""),38.53)</f>
        <v>38.53</v>
      </c>
      <c r="C2998" s="112">
        <f ca="1">IFERROR(__xludf.DUMMYFUNCTION("""COMPUTED_VALUE"""),44698.7055555555)</f>
        <v>44698.705555555498</v>
      </c>
      <c r="D2998" s="111">
        <f ca="1">IFERROR(__xludf.DUMMYFUNCTION("""COMPUTED_VALUE"""),25.26)</f>
        <v>25.26</v>
      </c>
      <c r="E2998" s="112">
        <f ca="1">IFERROR(__xludf.DUMMYFUNCTION("""COMPUTED_VALUE"""),44699.7055555555)</f>
        <v>44699.705555555498</v>
      </c>
      <c r="F2998" s="111">
        <f ca="1">IFERROR(__xludf.DUMMYFUNCTION("""COMPUTED_VALUE"""),9.18)</f>
        <v>9.18</v>
      </c>
      <c r="G2998" s="112">
        <f ca="1">IFERROR(__xludf.DUMMYFUNCTION("""COMPUTED_VALUE"""),44697.7055555555)</f>
        <v>44697.705555555498</v>
      </c>
      <c r="H2998" s="111">
        <f ca="1">IFERROR(__xludf.DUMMYFUNCTION("""COMPUTED_VALUE"""),34.61)</f>
        <v>34.61</v>
      </c>
      <c r="M2998" s="112">
        <f ca="1">IFERROR(__xludf.DUMMYFUNCTION("""COMPUTED_VALUE"""),44602.7055555555)</f>
        <v>44602.705555555498</v>
      </c>
      <c r="N2998" s="111">
        <f ca="1">IFERROR(__xludf.DUMMYFUNCTION("""COMPUTED_VALUE"""),21.07)</f>
        <v>21.07</v>
      </c>
      <c r="O2998" s="112">
        <f ca="1">IFERROR(__xludf.DUMMYFUNCTION("""COMPUTED_VALUE"""),44680.7055555555)</f>
        <v>44680.705555555498</v>
      </c>
      <c r="P2998" s="111">
        <f ca="1">IFERROR(__xludf.DUMMYFUNCTION("""COMPUTED_VALUE"""),83.29)</f>
        <v>83.29</v>
      </c>
      <c r="Q2998" s="112">
        <f ca="1">IFERROR(__xludf.DUMMYFUNCTION("""COMPUTED_VALUE"""),44679.7055555555)</f>
        <v>44679.705555555498</v>
      </c>
      <c r="R2998" s="111">
        <f ca="1">IFERROR(__xludf.DUMMYFUNCTION("""COMPUTED_VALUE"""),34.01)</f>
        <v>34.01</v>
      </c>
      <c r="S2998" s="112">
        <f ca="1">IFERROR(__xludf.DUMMYFUNCTION("""COMPUTED_VALUE"""),44693.7055555555)</f>
        <v>44693.705555555498</v>
      </c>
      <c r="T2998" s="111">
        <f ca="1">IFERROR(__xludf.DUMMYFUNCTION("""COMPUTED_VALUE"""),25.28)</f>
        <v>25.28</v>
      </c>
    </row>
    <row r="2999" spans="1:20" x14ac:dyDescent="0.3">
      <c r="A2999" s="112">
        <f ca="1">IFERROR(__xludf.DUMMYFUNCTION("""COMPUTED_VALUE"""),44691.7055555555)</f>
        <v>44691.705555555498</v>
      </c>
      <c r="B2999" s="111">
        <f ca="1">IFERROR(__xludf.DUMMYFUNCTION("""COMPUTED_VALUE"""),39.45)</f>
        <v>39.450000000000003</v>
      </c>
      <c r="C2999" s="112">
        <f ca="1">IFERROR(__xludf.DUMMYFUNCTION("""COMPUTED_VALUE"""),44699.7055555555)</f>
        <v>44699.705555555498</v>
      </c>
      <c r="D2999" s="111">
        <f ca="1">IFERROR(__xludf.DUMMYFUNCTION("""COMPUTED_VALUE"""),24.9)</f>
        <v>24.9</v>
      </c>
      <c r="E2999" s="112">
        <f ca="1">IFERROR(__xludf.DUMMYFUNCTION("""COMPUTED_VALUE"""),44700.7055555555)</f>
        <v>44700.705555555498</v>
      </c>
      <c r="F2999" s="111">
        <f ca="1">IFERROR(__xludf.DUMMYFUNCTION("""COMPUTED_VALUE"""),9.25)</f>
        <v>9.25</v>
      </c>
      <c r="G2999" s="112">
        <f ca="1">IFERROR(__xludf.DUMMYFUNCTION("""COMPUTED_VALUE"""),44698.7055555555)</f>
        <v>44698.705555555498</v>
      </c>
      <c r="H2999" s="111">
        <f ca="1">IFERROR(__xludf.DUMMYFUNCTION("""COMPUTED_VALUE"""),34.16)</f>
        <v>34.159999999999997</v>
      </c>
      <c r="M2999" s="112">
        <f ca="1">IFERROR(__xludf.DUMMYFUNCTION("""COMPUTED_VALUE"""),44603.7055555555)</f>
        <v>44603.705555555498</v>
      </c>
      <c r="N2999" s="111">
        <f ca="1">IFERROR(__xludf.DUMMYFUNCTION("""COMPUTED_VALUE"""),21.14)</f>
        <v>21.14</v>
      </c>
      <c r="O2999" s="112">
        <f ca="1">IFERROR(__xludf.DUMMYFUNCTION("""COMPUTED_VALUE"""),44683.7055555555)</f>
        <v>44683.705555555498</v>
      </c>
      <c r="P2999" s="111">
        <f ca="1">IFERROR(__xludf.DUMMYFUNCTION("""COMPUTED_VALUE"""),82.92)</f>
        <v>82.92</v>
      </c>
      <c r="Q2999" s="112">
        <f ca="1">IFERROR(__xludf.DUMMYFUNCTION("""COMPUTED_VALUE"""),44680.7055555555)</f>
        <v>44680.705555555498</v>
      </c>
      <c r="R2999" s="111">
        <f ca="1">IFERROR(__xludf.DUMMYFUNCTION("""COMPUTED_VALUE"""),33.22)</f>
        <v>33.22</v>
      </c>
      <c r="S2999" s="112">
        <f ca="1">IFERROR(__xludf.DUMMYFUNCTION("""COMPUTED_VALUE"""),44694.7055555555)</f>
        <v>44694.705555555498</v>
      </c>
      <c r="T2999" s="111">
        <f ca="1">IFERROR(__xludf.DUMMYFUNCTION("""COMPUTED_VALUE"""),25.47)</f>
        <v>25.47</v>
      </c>
    </row>
    <row r="3000" spans="1:20" x14ac:dyDescent="0.3">
      <c r="A3000" s="112">
        <f ca="1">IFERROR(__xludf.DUMMYFUNCTION("""COMPUTED_VALUE"""),44692.7055555555)</f>
        <v>44692.705555555498</v>
      </c>
      <c r="B3000" s="111">
        <f ca="1">IFERROR(__xludf.DUMMYFUNCTION("""COMPUTED_VALUE"""),39.33)</f>
        <v>39.33</v>
      </c>
      <c r="C3000" s="112">
        <f ca="1">IFERROR(__xludf.DUMMYFUNCTION("""COMPUTED_VALUE"""),44700.7055555555)</f>
        <v>44700.705555555498</v>
      </c>
      <c r="D3000" s="111">
        <f ca="1">IFERROR(__xludf.DUMMYFUNCTION("""COMPUTED_VALUE"""),24.82)</f>
        <v>24.82</v>
      </c>
      <c r="E3000" s="112">
        <f ca="1">IFERROR(__xludf.DUMMYFUNCTION("""COMPUTED_VALUE"""),44701.7055555555)</f>
        <v>44701.705555555498</v>
      </c>
      <c r="F3000" s="111">
        <f ca="1">IFERROR(__xludf.DUMMYFUNCTION("""COMPUTED_VALUE"""),9.37)</f>
        <v>9.3699999999999992</v>
      </c>
      <c r="G3000" s="112">
        <f ca="1">IFERROR(__xludf.DUMMYFUNCTION("""COMPUTED_VALUE"""),44699.7055555555)</f>
        <v>44699.705555555498</v>
      </c>
      <c r="H3000" s="111">
        <f ca="1">IFERROR(__xludf.DUMMYFUNCTION("""COMPUTED_VALUE"""),33.6)</f>
        <v>33.6</v>
      </c>
      <c r="M3000" s="112">
        <f ca="1">IFERROR(__xludf.DUMMYFUNCTION("""COMPUTED_VALUE"""),44606.7055555555)</f>
        <v>44606.705555555498</v>
      </c>
      <c r="N3000" s="111">
        <f ca="1">IFERROR(__xludf.DUMMYFUNCTION("""COMPUTED_VALUE"""),21.17)</f>
        <v>21.17</v>
      </c>
      <c r="O3000" s="112">
        <f ca="1">IFERROR(__xludf.DUMMYFUNCTION("""COMPUTED_VALUE"""),44684.7055555555)</f>
        <v>44684.705555555498</v>
      </c>
      <c r="P3000" s="111">
        <f ca="1">IFERROR(__xludf.DUMMYFUNCTION("""COMPUTED_VALUE"""),82.5)</f>
        <v>82.5</v>
      </c>
      <c r="Q3000" s="112">
        <f ca="1">IFERROR(__xludf.DUMMYFUNCTION("""COMPUTED_VALUE"""),44683.7055555555)</f>
        <v>44683.705555555498</v>
      </c>
      <c r="R3000" s="111">
        <f ca="1">IFERROR(__xludf.DUMMYFUNCTION("""COMPUTED_VALUE"""),32.98)</f>
        <v>32.979999999999997</v>
      </c>
      <c r="S3000" s="112">
        <f ca="1">IFERROR(__xludf.DUMMYFUNCTION("""COMPUTED_VALUE"""),44698.7055555555)</f>
        <v>44698.705555555498</v>
      </c>
      <c r="T3000" s="111">
        <f ca="1">IFERROR(__xludf.DUMMYFUNCTION("""COMPUTED_VALUE"""),26.03)</f>
        <v>26.03</v>
      </c>
    </row>
    <row r="3001" spans="1:20" x14ac:dyDescent="0.3">
      <c r="A3001" s="112">
        <f ca="1">IFERROR(__xludf.DUMMYFUNCTION("""COMPUTED_VALUE"""),44693.7055555555)</f>
        <v>44693.705555555498</v>
      </c>
      <c r="B3001" s="111">
        <f ca="1">IFERROR(__xludf.DUMMYFUNCTION("""COMPUTED_VALUE"""),39.73)</f>
        <v>39.729999999999997</v>
      </c>
      <c r="C3001" s="112">
        <f ca="1">IFERROR(__xludf.DUMMYFUNCTION("""COMPUTED_VALUE"""),44701.7055555555)</f>
        <v>44701.705555555498</v>
      </c>
      <c r="D3001" s="111">
        <f ca="1">IFERROR(__xludf.DUMMYFUNCTION("""COMPUTED_VALUE"""),25.13)</f>
        <v>25.13</v>
      </c>
      <c r="E3001" s="112">
        <f ca="1">IFERROR(__xludf.DUMMYFUNCTION("""COMPUTED_VALUE"""),44704.7055555555)</f>
        <v>44704.705555555498</v>
      </c>
      <c r="F3001" s="111">
        <f ca="1">IFERROR(__xludf.DUMMYFUNCTION("""COMPUTED_VALUE"""),9.49)</f>
        <v>9.49</v>
      </c>
      <c r="G3001" s="112">
        <f ca="1">IFERROR(__xludf.DUMMYFUNCTION("""COMPUTED_VALUE"""),44700.7055555555)</f>
        <v>44700.705555555498</v>
      </c>
      <c r="H3001" s="111">
        <f ca="1">IFERROR(__xludf.DUMMYFUNCTION("""COMPUTED_VALUE"""),34.17)</f>
        <v>34.17</v>
      </c>
      <c r="M3001" s="112">
        <f ca="1">IFERROR(__xludf.DUMMYFUNCTION("""COMPUTED_VALUE"""),44607.7055555555)</f>
        <v>44607.705555555498</v>
      </c>
      <c r="N3001" s="111">
        <f ca="1">IFERROR(__xludf.DUMMYFUNCTION("""COMPUTED_VALUE"""),21.19)</f>
        <v>21.19</v>
      </c>
      <c r="O3001" s="112">
        <f ca="1">IFERROR(__xludf.DUMMYFUNCTION("""COMPUTED_VALUE"""),44685.7055555555)</f>
        <v>44685.705555555498</v>
      </c>
      <c r="P3001" s="111">
        <f ca="1">IFERROR(__xludf.DUMMYFUNCTION("""COMPUTED_VALUE"""),81.81)</f>
        <v>81.81</v>
      </c>
      <c r="Q3001" s="112">
        <f ca="1">IFERROR(__xludf.DUMMYFUNCTION("""COMPUTED_VALUE"""),44684.7055555555)</f>
        <v>44684.705555555498</v>
      </c>
      <c r="R3001" s="111">
        <f ca="1">IFERROR(__xludf.DUMMYFUNCTION("""COMPUTED_VALUE"""),33.66)</f>
        <v>33.659999999999997</v>
      </c>
      <c r="S3001" s="112">
        <f ca="1">IFERROR(__xludf.DUMMYFUNCTION("""COMPUTED_VALUE"""),44699.7055555555)</f>
        <v>44699.705555555498</v>
      </c>
      <c r="T3001" s="111">
        <f ca="1">IFERROR(__xludf.DUMMYFUNCTION("""COMPUTED_VALUE"""),25.5)</f>
        <v>25.5</v>
      </c>
    </row>
    <row r="3002" spans="1:20" x14ac:dyDescent="0.3">
      <c r="A3002" s="112">
        <f ca="1">IFERROR(__xludf.DUMMYFUNCTION("""COMPUTED_VALUE"""),44694.7055555555)</f>
        <v>44694.705555555498</v>
      </c>
      <c r="B3002" s="111">
        <f ca="1">IFERROR(__xludf.DUMMYFUNCTION("""COMPUTED_VALUE"""),40.86)</f>
        <v>40.86</v>
      </c>
      <c r="C3002" s="112">
        <f ca="1">IFERROR(__xludf.DUMMYFUNCTION("""COMPUTED_VALUE"""),44704.7055555555)</f>
        <v>44704.705555555498</v>
      </c>
      <c r="D3002" s="111">
        <f ca="1">IFERROR(__xludf.DUMMYFUNCTION("""COMPUTED_VALUE"""),25.78)</f>
        <v>25.78</v>
      </c>
      <c r="E3002" s="112">
        <f ca="1">IFERROR(__xludf.DUMMYFUNCTION("""COMPUTED_VALUE"""),44705.7055555555)</f>
        <v>44705.705555555498</v>
      </c>
      <c r="F3002" s="111">
        <f ca="1">IFERROR(__xludf.DUMMYFUNCTION("""COMPUTED_VALUE"""),9.58)</f>
        <v>9.58</v>
      </c>
      <c r="G3002" s="112">
        <f ca="1">IFERROR(__xludf.DUMMYFUNCTION("""COMPUTED_VALUE"""),44701.7055555555)</f>
        <v>44701.705555555498</v>
      </c>
      <c r="H3002" s="111">
        <f ca="1">IFERROR(__xludf.DUMMYFUNCTION("""COMPUTED_VALUE"""),34.83)</f>
        <v>34.83</v>
      </c>
      <c r="M3002" s="112">
        <f ca="1">IFERROR(__xludf.DUMMYFUNCTION("""COMPUTED_VALUE"""),44608.7055555555)</f>
        <v>44608.705555555498</v>
      </c>
      <c r="N3002" s="111">
        <f ca="1">IFERROR(__xludf.DUMMYFUNCTION("""COMPUTED_VALUE"""),21.44)</f>
        <v>21.44</v>
      </c>
      <c r="O3002" s="112">
        <f ca="1">IFERROR(__xludf.DUMMYFUNCTION("""COMPUTED_VALUE"""),44686.7055555555)</f>
        <v>44686.705555555498</v>
      </c>
      <c r="P3002" s="111">
        <f ca="1">IFERROR(__xludf.DUMMYFUNCTION("""COMPUTED_VALUE"""),80.33)</f>
        <v>80.33</v>
      </c>
      <c r="Q3002" s="112">
        <f ca="1">IFERROR(__xludf.DUMMYFUNCTION("""COMPUTED_VALUE"""),44685.7055555555)</f>
        <v>44685.705555555498</v>
      </c>
      <c r="R3002" s="111">
        <f ca="1">IFERROR(__xludf.DUMMYFUNCTION("""COMPUTED_VALUE"""),34.64)</f>
        <v>34.64</v>
      </c>
      <c r="S3002" s="112">
        <f ca="1">IFERROR(__xludf.DUMMYFUNCTION("""COMPUTED_VALUE"""),44700.7055555555)</f>
        <v>44700.705555555498</v>
      </c>
      <c r="T3002" s="111">
        <f ca="1">IFERROR(__xludf.DUMMYFUNCTION("""COMPUTED_VALUE"""),25.67)</f>
        <v>25.67</v>
      </c>
    </row>
    <row r="3003" spans="1:20" x14ac:dyDescent="0.3">
      <c r="A3003" s="112">
        <f ca="1">IFERROR(__xludf.DUMMYFUNCTION("""COMPUTED_VALUE"""),44697.7055555555)</f>
        <v>44697.705555555498</v>
      </c>
      <c r="B3003" s="111">
        <f ca="1">IFERROR(__xludf.DUMMYFUNCTION("""COMPUTED_VALUE"""),41.47)</f>
        <v>41.47</v>
      </c>
      <c r="C3003" s="112">
        <f ca="1">IFERROR(__xludf.DUMMYFUNCTION("""COMPUTED_VALUE"""),44705.7055555555)</f>
        <v>44705.705555555498</v>
      </c>
      <c r="D3003" s="111">
        <f ca="1">IFERROR(__xludf.DUMMYFUNCTION("""COMPUTED_VALUE"""),26.17)</f>
        <v>26.17</v>
      </c>
      <c r="E3003" s="112">
        <f ca="1">IFERROR(__xludf.DUMMYFUNCTION("""COMPUTED_VALUE"""),44706.7055555555)</f>
        <v>44706.705555555498</v>
      </c>
      <c r="F3003" s="111">
        <f ca="1">IFERROR(__xludf.DUMMYFUNCTION("""COMPUTED_VALUE"""),9.42)</f>
        <v>9.42</v>
      </c>
      <c r="G3003" s="112">
        <f ca="1">IFERROR(__xludf.DUMMYFUNCTION("""COMPUTED_VALUE"""),44704.7055555555)</f>
        <v>44704.705555555498</v>
      </c>
      <c r="H3003" s="111">
        <f ca="1">IFERROR(__xludf.DUMMYFUNCTION("""COMPUTED_VALUE"""),36.2)</f>
        <v>36.200000000000003</v>
      </c>
      <c r="M3003" s="112">
        <f ca="1">IFERROR(__xludf.DUMMYFUNCTION("""COMPUTED_VALUE"""),44609.7055555555)</f>
        <v>44609.705555555498</v>
      </c>
      <c r="N3003" s="111">
        <f ca="1">IFERROR(__xludf.DUMMYFUNCTION("""COMPUTED_VALUE"""),21.19)</f>
        <v>21.19</v>
      </c>
      <c r="O3003" s="112">
        <f ca="1">IFERROR(__xludf.DUMMYFUNCTION("""COMPUTED_VALUE"""),44687.7055555555)</f>
        <v>44687.705555555498</v>
      </c>
      <c r="P3003" s="111">
        <f ca="1">IFERROR(__xludf.DUMMYFUNCTION("""COMPUTED_VALUE"""),79.76)</f>
        <v>79.760000000000005</v>
      </c>
      <c r="Q3003" s="112">
        <f ca="1">IFERROR(__xludf.DUMMYFUNCTION("""COMPUTED_VALUE"""),44686.7055555555)</f>
        <v>44686.705555555498</v>
      </c>
      <c r="R3003" s="111">
        <f ca="1">IFERROR(__xludf.DUMMYFUNCTION("""COMPUTED_VALUE"""),33.74)</f>
        <v>33.74</v>
      </c>
      <c r="S3003" s="112">
        <f ca="1">IFERROR(__xludf.DUMMYFUNCTION("""COMPUTED_VALUE"""),44701.7055555555)</f>
        <v>44701.705555555498</v>
      </c>
      <c r="T3003" s="111">
        <f ca="1">IFERROR(__xludf.DUMMYFUNCTION("""COMPUTED_VALUE"""),25.65)</f>
        <v>25.65</v>
      </c>
    </row>
    <row r="3004" spans="1:20" x14ac:dyDescent="0.3">
      <c r="A3004" s="112">
        <f ca="1">IFERROR(__xludf.DUMMYFUNCTION("""COMPUTED_VALUE"""),44698.7055555555)</f>
        <v>44698.705555555498</v>
      </c>
      <c r="B3004" s="111">
        <f ca="1">IFERROR(__xludf.DUMMYFUNCTION("""COMPUTED_VALUE"""),43.06)</f>
        <v>43.06</v>
      </c>
      <c r="C3004" s="112">
        <f ca="1">IFERROR(__xludf.DUMMYFUNCTION("""COMPUTED_VALUE"""),44706.7055555555)</f>
        <v>44706.705555555498</v>
      </c>
      <c r="D3004" s="111">
        <f ca="1">IFERROR(__xludf.DUMMYFUNCTION("""COMPUTED_VALUE"""),25.7)</f>
        <v>25.7</v>
      </c>
      <c r="E3004" s="112">
        <f ca="1">IFERROR(__xludf.DUMMYFUNCTION("""COMPUTED_VALUE"""),44707.7055555555)</f>
        <v>44707.705555555498</v>
      </c>
      <c r="F3004" s="111">
        <f ca="1">IFERROR(__xludf.DUMMYFUNCTION("""COMPUTED_VALUE"""),9.46)</f>
        <v>9.4600000000000009</v>
      </c>
      <c r="G3004" s="112">
        <f ca="1">IFERROR(__xludf.DUMMYFUNCTION("""COMPUTED_VALUE"""),44705.7055555555)</f>
        <v>44705.705555555498</v>
      </c>
      <c r="H3004" s="111">
        <f ca="1">IFERROR(__xludf.DUMMYFUNCTION("""COMPUTED_VALUE"""),31.6)</f>
        <v>31.6</v>
      </c>
      <c r="M3004" s="112">
        <f ca="1">IFERROR(__xludf.DUMMYFUNCTION("""COMPUTED_VALUE"""),44610.7055555555)</f>
        <v>44610.705555555498</v>
      </c>
      <c r="N3004" s="111">
        <f ca="1">IFERROR(__xludf.DUMMYFUNCTION("""COMPUTED_VALUE"""),21.31)</f>
        <v>21.31</v>
      </c>
      <c r="O3004" s="112">
        <f ca="1">IFERROR(__xludf.DUMMYFUNCTION("""COMPUTED_VALUE"""),44690.7055555555)</f>
        <v>44690.705555555498</v>
      </c>
      <c r="P3004" s="111">
        <f ca="1">IFERROR(__xludf.DUMMYFUNCTION("""COMPUTED_VALUE"""),76.49)</f>
        <v>76.489999999999995</v>
      </c>
      <c r="Q3004" s="112">
        <f ca="1">IFERROR(__xludf.DUMMYFUNCTION("""COMPUTED_VALUE"""),44687.7055555555)</f>
        <v>44687.705555555498</v>
      </c>
      <c r="R3004" s="111">
        <f ca="1">IFERROR(__xludf.DUMMYFUNCTION("""COMPUTED_VALUE"""),33.85)</f>
        <v>33.85</v>
      </c>
      <c r="S3004" s="112">
        <f ca="1">IFERROR(__xludf.DUMMYFUNCTION("""COMPUTED_VALUE"""),44704.7055555555)</f>
        <v>44704.705555555498</v>
      </c>
      <c r="T3004" s="111">
        <f ca="1">IFERROR(__xludf.DUMMYFUNCTION("""COMPUTED_VALUE"""),25.39)</f>
        <v>25.39</v>
      </c>
    </row>
    <row r="3005" spans="1:20" x14ac:dyDescent="0.3">
      <c r="A3005" s="112">
        <f ca="1">IFERROR(__xludf.DUMMYFUNCTION("""COMPUTED_VALUE"""),44699.7055555555)</f>
        <v>44699.705555555498</v>
      </c>
      <c r="B3005" s="111">
        <f ca="1">IFERROR(__xludf.DUMMYFUNCTION("""COMPUTED_VALUE"""),42.13)</f>
        <v>42.13</v>
      </c>
      <c r="C3005" s="112">
        <f ca="1">IFERROR(__xludf.DUMMYFUNCTION("""COMPUTED_VALUE"""),44707.7055555555)</f>
        <v>44707.705555555498</v>
      </c>
      <c r="D3005" s="111">
        <f ca="1">IFERROR(__xludf.DUMMYFUNCTION("""COMPUTED_VALUE"""),26.02)</f>
        <v>26.02</v>
      </c>
      <c r="E3005" s="112">
        <f ca="1">IFERROR(__xludf.DUMMYFUNCTION("""COMPUTED_VALUE"""),44708.7055555555)</f>
        <v>44708.705555555498</v>
      </c>
      <c r="F3005" s="111">
        <f ca="1">IFERROR(__xludf.DUMMYFUNCTION("""COMPUTED_VALUE"""),9.46)</f>
        <v>9.4600000000000009</v>
      </c>
      <c r="G3005" s="112">
        <f ca="1">IFERROR(__xludf.DUMMYFUNCTION("""COMPUTED_VALUE"""),44706.7055555555)</f>
        <v>44706.705555555498</v>
      </c>
      <c r="H3005" s="111">
        <f ca="1">IFERROR(__xludf.DUMMYFUNCTION("""COMPUTED_VALUE"""),32.05)</f>
        <v>32.049999999999997</v>
      </c>
      <c r="M3005" s="112">
        <f ca="1">IFERROR(__xludf.DUMMYFUNCTION("""COMPUTED_VALUE"""),44613.7055555555)</f>
        <v>44613.705555555498</v>
      </c>
      <c r="N3005" s="111">
        <f ca="1">IFERROR(__xludf.DUMMYFUNCTION("""COMPUTED_VALUE"""),21.06)</f>
        <v>21.06</v>
      </c>
      <c r="O3005" s="112">
        <f ca="1">IFERROR(__xludf.DUMMYFUNCTION("""COMPUTED_VALUE"""),44691.7055555555)</f>
        <v>44691.705555555498</v>
      </c>
      <c r="P3005" s="111">
        <f ca="1">IFERROR(__xludf.DUMMYFUNCTION("""COMPUTED_VALUE"""),75.54)</f>
        <v>75.540000000000006</v>
      </c>
      <c r="Q3005" s="112">
        <f ca="1">IFERROR(__xludf.DUMMYFUNCTION("""COMPUTED_VALUE"""),44690.7055555555)</f>
        <v>44690.705555555498</v>
      </c>
      <c r="R3005" s="111">
        <f ca="1">IFERROR(__xludf.DUMMYFUNCTION("""COMPUTED_VALUE"""),33.94)</f>
        <v>33.94</v>
      </c>
      <c r="S3005" s="112">
        <f ca="1">IFERROR(__xludf.DUMMYFUNCTION("""COMPUTED_VALUE"""),44705.7055555555)</f>
        <v>44705.705555555498</v>
      </c>
      <c r="T3005" s="111">
        <f ca="1">IFERROR(__xludf.DUMMYFUNCTION("""COMPUTED_VALUE"""),25.17)</f>
        <v>25.17</v>
      </c>
    </row>
    <row r="3006" spans="1:20" x14ac:dyDescent="0.3">
      <c r="A3006" s="112">
        <f ca="1">IFERROR(__xludf.DUMMYFUNCTION("""COMPUTED_VALUE"""),44700.7055555555)</f>
        <v>44700.705555555498</v>
      </c>
      <c r="B3006" s="111">
        <f ca="1">IFERROR(__xludf.DUMMYFUNCTION("""COMPUTED_VALUE"""),43.41)</f>
        <v>43.41</v>
      </c>
      <c r="C3006" s="112">
        <f ca="1">IFERROR(__xludf.DUMMYFUNCTION("""COMPUTED_VALUE"""),44708.7055555555)</f>
        <v>44708.705555555498</v>
      </c>
      <c r="D3006" s="111">
        <f ca="1">IFERROR(__xludf.DUMMYFUNCTION("""COMPUTED_VALUE"""),26.16)</f>
        <v>26.16</v>
      </c>
      <c r="E3006" s="112">
        <f ca="1">IFERROR(__xludf.DUMMYFUNCTION("""COMPUTED_VALUE"""),44711.7055555555)</f>
        <v>44711.705555555498</v>
      </c>
      <c r="F3006" s="111">
        <f ca="1">IFERROR(__xludf.DUMMYFUNCTION("""COMPUTED_VALUE"""),9.44)</f>
        <v>9.44</v>
      </c>
      <c r="G3006" s="112">
        <f ca="1">IFERROR(__xludf.DUMMYFUNCTION("""COMPUTED_VALUE"""),44707.7055555555)</f>
        <v>44707.705555555498</v>
      </c>
      <c r="H3006" s="111">
        <f ca="1">IFERROR(__xludf.DUMMYFUNCTION("""COMPUTED_VALUE"""),32.13)</f>
        <v>32.130000000000003</v>
      </c>
      <c r="M3006" s="112">
        <f ca="1">IFERROR(__xludf.DUMMYFUNCTION("""COMPUTED_VALUE"""),44614.7055555555)</f>
        <v>44614.705555555498</v>
      </c>
      <c r="N3006" s="111">
        <f ca="1">IFERROR(__xludf.DUMMYFUNCTION("""COMPUTED_VALUE"""),20.98)</f>
        <v>20.98</v>
      </c>
      <c r="O3006" s="112">
        <f ca="1">IFERROR(__xludf.DUMMYFUNCTION("""COMPUTED_VALUE"""),44692.7055555555)</f>
        <v>44692.705555555498</v>
      </c>
      <c r="P3006" s="111">
        <f ca="1">IFERROR(__xludf.DUMMYFUNCTION("""COMPUTED_VALUE"""),78.69)</f>
        <v>78.69</v>
      </c>
      <c r="Q3006" s="112">
        <f ca="1">IFERROR(__xludf.DUMMYFUNCTION("""COMPUTED_VALUE"""),44691.7055555555)</f>
        <v>44691.705555555498</v>
      </c>
      <c r="R3006" s="111">
        <f ca="1">IFERROR(__xludf.DUMMYFUNCTION("""COMPUTED_VALUE"""),33.55)</f>
        <v>33.549999999999997</v>
      </c>
      <c r="S3006" s="112">
        <f ca="1">IFERROR(__xludf.DUMMYFUNCTION("""COMPUTED_VALUE"""),44706.7055555555)</f>
        <v>44706.705555555498</v>
      </c>
      <c r="T3006" s="111">
        <f ca="1">IFERROR(__xludf.DUMMYFUNCTION("""COMPUTED_VALUE"""),25.56)</f>
        <v>25.56</v>
      </c>
    </row>
    <row r="3007" spans="1:20" x14ac:dyDescent="0.3">
      <c r="A3007" s="112">
        <f ca="1">IFERROR(__xludf.DUMMYFUNCTION("""COMPUTED_VALUE"""),44701.7055555555)</f>
        <v>44701.705555555498</v>
      </c>
      <c r="B3007" s="111">
        <f ca="1">IFERROR(__xludf.DUMMYFUNCTION("""COMPUTED_VALUE"""),43.5)</f>
        <v>43.5</v>
      </c>
      <c r="C3007" s="112">
        <f ca="1">IFERROR(__xludf.DUMMYFUNCTION("""COMPUTED_VALUE"""),44711.7055555555)</f>
        <v>44711.705555555498</v>
      </c>
      <c r="D3007" s="111">
        <f ca="1">IFERROR(__xludf.DUMMYFUNCTION("""COMPUTED_VALUE"""),25.92)</f>
        <v>25.92</v>
      </c>
      <c r="E3007" s="112">
        <f ca="1">IFERROR(__xludf.DUMMYFUNCTION("""COMPUTED_VALUE"""),44712.7055555555)</f>
        <v>44712.705555555498</v>
      </c>
      <c r="F3007" s="111">
        <f ca="1">IFERROR(__xludf.DUMMYFUNCTION("""COMPUTED_VALUE"""),9.59)</f>
        <v>9.59</v>
      </c>
      <c r="G3007" s="112">
        <f ca="1">IFERROR(__xludf.DUMMYFUNCTION("""COMPUTED_VALUE"""),44708.7055555555)</f>
        <v>44708.705555555498</v>
      </c>
      <c r="H3007" s="111">
        <f ca="1">IFERROR(__xludf.DUMMYFUNCTION("""COMPUTED_VALUE"""),30.6)</f>
        <v>30.6</v>
      </c>
      <c r="M3007" s="112">
        <f ca="1">IFERROR(__xludf.DUMMYFUNCTION("""COMPUTED_VALUE"""),44615.7055555555)</f>
        <v>44615.705555555498</v>
      </c>
      <c r="N3007" s="111">
        <f ca="1">IFERROR(__xludf.DUMMYFUNCTION("""COMPUTED_VALUE"""),20.88)</f>
        <v>20.88</v>
      </c>
      <c r="O3007" s="112">
        <f ca="1">IFERROR(__xludf.DUMMYFUNCTION("""COMPUTED_VALUE"""),44693.7055555555)</f>
        <v>44693.705555555498</v>
      </c>
      <c r="P3007" s="111">
        <f ca="1">IFERROR(__xludf.DUMMYFUNCTION("""COMPUTED_VALUE"""),77.9)</f>
        <v>77.900000000000006</v>
      </c>
      <c r="Q3007" s="112">
        <f ca="1">IFERROR(__xludf.DUMMYFUNCTION("""COMPUTED_VALUE"""),44692.7055555555)</f>
        <v>44692.705555555498</v>
      </c>
      <c r="R3007" s="111">
        <f ca="1">IFERROR(__xludf.DUMMYFUNCTION("""COMPUTED_VALUE"""),34.29)</f>
        <v>34.29</v>
      </c>
      <c r="S3007" s="112">
        <f ca="1">IFERROR(__xludf.DUMMYFUNCTION("""COMPUTED_VALUE"""),44707.7055555555)</f>
        <v>44707.705555555498</v>
      </c>
      <c r="T3007" s="111">
        <f ca="1">IFERROR(__xludf.DUMMYFUNCTION("""COMPUTED_VALUE"""),26.24)</f>
        <v>26.24</v>
      </c>
    </row>
    <row r="3008" spans="1:20" x14ac:dyDescent="0.3">
      <c r="A3008" s="112">
        <f ca="1">IFERROR(__xludf.DUMMYFUNCTION("""COMPUTED_VALUE"""),44704.7055555555)</f>
        <v>44704.705555555498</v>
      </c>
      <c r="B3008" s="111">
        <f ca="1">IFERROR(__xludf.DUMMYFUNCTION("""COMPUTED_VALUE"""),43.35)</f>
        <v>43.35</v>
      </c>
      <c r="C3008" s="112">
        <f ca="1">IFERROR(__xludf.DUMMYFUNCTION("""COMPUTED_VALUE"""),44712.7055555555)</f>
        <v>44712.705555555498</v>
      </c>
      <c r="D3008" s="111">
        <f ca="1">IFERROR(__xludf.DUMMYFUNCTION("""COMPUTED_VALUE"""),26.16)</f>
        <v>26.16</v>
      </c>
      <c r="E3008" s="112">
        <f ca="1">IFERROR(__xludf.DUMMYFUNCTION("""COMPUTED_VALUE"""),44713.7055555555)</f>
        <v>44713.705555555498</v>
      </c>
      <c r="F3008" s="111">
        <f ca="1">IFERROR(__xludf.DUMMYFUNCTION("""COMPUTED_VALUE"""),9.49)</f>
        <v>9.49</v>
      </c>
      <c r="G3008" s="112">
        <f ca="1">IFERROR(__xludf.DUMMYFUNCTION("""COMPUTED_VALUE"""),44711.7055555555)</f>
        <v>44711.705555555498</v>
      </c>
      <c r="H3008" s="111">
        <f ca="1">IFERROR(__xludf.DUMMYFUNCTION("""COMPUTED_VALUE"""),29.99)</f>
        <v>29.99</v>
      </c>
      <c r="M3008" s="112">
        <f ca="1">IFERROR(__xludf.DUMMYFUNCTION("""COMPUTED_VALUE"""),44616.7055555555)</f>
        <v>44616.705555555498</v>
      </c>
      <c r="N3008" s="111">
        <f ca="1">IFERROR(__xludf.DUMMYFUNCTION("""COMPUTED_VALUE"""),20.25)</f>
        <v>20.25</v>
      </c>
      <c r="O3008" s="112">
        <f ca="1">IFERROR(__xludf.DUMMYFUNCTION("""COMPUTED_VALUE"""),44694.7055555555)</f>
        <v>44694.705555555498</v>
      </c>
      <c r="P3008" s="111">
        <f ca="1">IFERROR(__xludf.DUMMYFUNCTION("""COMPUTED_VALUE"""),77.81)</f>
        <v>77.81</v>
      </c>
      <c r="Q3008" s="112">
        <f ca="1">IFERROR(__xludf.DUMMYFUNCTION("""COMPUTED_VALUE"""),44693.7055555555)</f>
        <v>44693.705555555498</v>
      </c>
      <c r="R3008" s="111">
        <f ca="1">IFERROR(__xludf.DUMMYFUNCTION("""COMPUTED_VALUE"""),35.16)</f>
        <v>35.159999999999997</v>
      </c>
      <c r="S3008" s="112">
        <f ca="1">IFERROR(__xludf.DUMMYFUNCTION("""COMPUTED_VALUE"""),44708.7055555555)</f>
        <v>44708.705555555498</v>
      </c>
      <c r="T3008" s="111">
        <f ca="1">IFERROR(__xludf.DUMMYFUNCTION("""COMPUTED_VALUE"""),26.09)</f>
        <v>26.09</v>
      </c>
    </row>
    <row r="3009" spans="1:20" x14ac:dyDescent="0.3">
      <c r="A3009" s="112">
        <f ca="1">IFERROR(__xludf.DUMMYFUNCTION("""COMPUTED_VALUE"""),44705.7055555555)</f>
        <v>44705.705555555498</v>
      </c>
      <c r="B3009" s="111">
        <f ca="1">IFERROR(__xludf.DUMMYFUNCTION("""COMPUTED_VALUE"""),44.21)</f>
        <v>44.21</v>
      </c>
      <c r="C3009" s="112">
        <f ca="1">IFERROR(__xludf.DUMMYFUNCTION("""COMPUTED_VALUE"""),44713.7055555555)</f>
        <v>44713.705555555498</v>
      </c>
      <c r="D3009" s="111">
        <f ca="1">IFERROR(__xludf.DUMMYFUNCTION("""COMPUTED_VALUE"""),25.78)</f>
        <v>25.78</v>
      </c>
      <c r="E3009" s="112">
        <f ca="1">IFERROR(__xludf.DUMMYFUNCTION("""COMPUTED_VALUE"""),44714.7055555555)</f>
        <v>44714.705555555498</v>
      </c>
      <c r="F3009" s="111">
        <f ca="1">IFERROR(__xludf.DUMMYFUNCTION("""COMPUTED_VALUE"""),9.53)</f>
        <v>9.5299999999999994</v>
      </c>
      <c r="G3009" s="112">
        <f ca="1">IFERROR(__xludf.DUMMYFUNCTION("""COMPUTED_VALUE"""),44712.7055555555)</f>
        <v>44712.705555555498</v>
      </c>
      <c r="H3009" s="111">
        <f ca="1">IFERROR(__xludf.DUMMYFUNCTION("""COMPUTED_VALUE"""),30.06)</f>
        <v>30.06</v>
      </c>
      <c r="M3009" s="112">
        <f ca="1">IFERROR(__xludf.DUMMYFUNCTION("""COMPUTED_VALUE"""),44617.7055555555)</f>
        <v>44617.705555555498</v>
      </c>
      <c r="N3009" s="111">
        <f ca="1">IFERROR(__xludf.DUMMYFUNCTION("""COMPUTED_VALUE"""),20.35)</f>
        <v>20.350000000000001</v>
      </c>
      <c r="O3009" s="112">
        <f ca="1">IFERROR(__xludf.DUMMYFUNCTION("""COMPUTED_VALUE"""),44697.7055555555)</f>
        <v>44697.705555555498</v>
      </c>
      <c r="P3009" s="111">
        <f ca="1">IFERROR(__xludf.DUMMYFUNCTION("""COMPUTED_VALUE"""),80.14)</f>
        <v>80.14</v>
      </c>
      <c r="Q3009" s="112">
        <f ca="1">IFERROR(__xludf.DUMMYFUNCTION("""COMPUTED_VALUE"""),44694.7055555555)</f>
        <v>44694.705555555498</v>
      </c>
      <c r="R3009" s="111">
        <f ca="1">IFERROR(__xludf.DUMMYFUNCTION("""COMPUTED_VALUE"""),35.11)</f>
        <v>35.11</v>
      </c>
      <c r="S3009" s="112">
        <f ca="1">IFERROR(__xludf.DUMMYFUNCTION("""COMPUTED_VALUE"""),44711.7055555555)</f>
        <v>44711.705555555498</v>
      </c>
      <c r="T3009" s="111">
        <f ca="1">IFERROR(__xludf.DUMMYFUNCTION("""COMPUTED_VALUE"""),25.87)</f>
        <v>25.87</v>
      </c>
    </row>
    <row r="3010" spans="1:20" x14ac:dyDescent="0.3">
      <c r="A3010" s="112">
        <f ca="1">IFERROR(__xludf.DUMMYFUNCTION("""COMPUTED_VALUE"""),44706.7055555555)</f>
        <v>44706.705555555498</v>
      </c>
      <c r="B3010" s="111">
        <f ca="1">IFERROR(__xludf.DUMMYFUNCTION("""COMPUTED_VALUE"""),44.44)</f>
        <v>44.44</v>
      </c>
      <c r="C3010" s="112">
        <f ca="1">IFERROR(__xludf.DUMMYFUNCTION("""COMPUTED_VALUE"""),44714.7055555555)</f>
        <v>44714.705555555498</v>
      </c>
      <c r="D3010" s="111">
        <f ca="1">IFERROR(__xludf.DUMMYFUNCTION("""COMPUTED_VALUE"""),25.89)</f>
        <v>25.89</v>
      </c>
      <c r="E3010" s="112">
        <f ca="1">IFERROR(__xludf.DUMMYFUNCTION("""COMPUTED_VALUE"""),44715.7055555555)</f>
        <v>44715.705555555498</v>
      </c>
      <c r="F3010" s="111">
        <f ca="1">IFERROR(__xludf.DUMMYFUNCTION("""COMPUTED_VALUE"""),9.39)</f>
        <v>9.39</v>
      </c>
      <c r="G3010" s="112">
        <f ca="1">IFERROR(__xludf.DUMMYFUNCTION("""COMPUTED_VALUE"""),44713.7055555555)</f>
        <v>44713.705555555498</v>
      </c>
      <c r="H3010" s="111">
        <f ca="1">IFERROR(__xludf.DUMMYFUNCTION("""COMPUTED_VALUE"""),30.02)</f>
        <v>30.02</v>
      </c>
      <c r="M3010" s="112">
        <f ca="1">IFERROR(__xludf.DUMMYFUNCTION("""COMPUTED_VALUE"""),44622.7055555555)</f>
        <v>44622.705555555498</v>
      </c>
      <c r="N3010" s="111">
        <f ca="1">IFERROR(__xludf.DUMMYFUNCTION("""COMPUTED_VALUE"""),20.14)</f>
        <v>20.14</v>
      </c>
      <c r="O3010" s="112">
        <f ca="1">IFERROR(__xludf.DUMMYFUNCTION("""COMPUTED_VALUE"""),44698.7055555555)</f>
        <v>44698.705555555498</v>
      </c>
      <c r="P3010" s="111">
        <f ca="1">IFERROR(__xludf.DUMMYFUNCTION("""COMPUTED_VALUE"""),79.8)</f>
        <v>79.8</v>
      </c>
      <c r="Q3010" s="112">
        <f ca="1">IFERROR(__xludf.DUMMYFUNCTION("""COMPUTED_VALUE"""),44697.7055555555)</f>
        <v>44697.705555555498</v>
      </c>
      <c r="R3010" s="111">
        <f ca="1">IFERROR(__xludf.DUMMYFUNCTION("""COMPUTED_VALUE"""),35.42)</f>
        <v>35.42</v>
      </c>
      <c r="S3010" s="112">
        <f ca="1">IFERROR(__xludf.DUMMYFUNCTION("""COMPUTED_VALUE"""),44712.7055555555)</f>
        <v>44712.705555555498</v>
      </c>
      <c r="T3010" s="111">
        <f ca="1">IFERROR(__xludf.DUMMYFUNCTION("""COMPUTED_VALUE"""),26.6)</f>
        <v>26.6</v>
      </c>
    </row>
    <row r="3011" spans="1:20" x14ac:dyDescent="0.3">
      <c r="A3011" s="112">
        <f ca="1">IFERROR(__xludf.DUMMYFUNCTION("""COMPUTED_VALUE"""),44707.7055555555)</f>
        <v>44707.705555555498</v>
      </c>
      <c r="B3011" s="111">
        <f ca="1">IFERROR(__xludf.DUMMYFUNCTION("""COMPUTED_VALUE"""),43.53)</f>
        <v>43.53</v>
      </c>
      <c r="C3011" s="112">
        <f ca="1">IFERROR(__xludf.DUMMYFUNCTION("""COMPUTED_VALUE"""),44715.7055555555)</f>
        <v>44715.705555555498</v>
      </c>
      <c r="D3011" s="111">
        <f ca="1">IFERROR(__xludf.DUMMYFUNCTION("""COMPUTED_VALUE"""),25.65)</f>
        <v>25.65</v>
      </c>
      <c r="E3011" s="112">
        <f ca="1">IFERROR(__xludf.DUMMYFUNCTION("""COMPUTED_VALUE"""),44718.7055555555)</f>
        <v>44718.705555555498</v>
      </c>
      <c r="F3011" s="111">
        <f ca="1">IFERROR(__xludf.DUMMYFUNCTION("""COMPUTED_VALUE"""),9.43)</f>
        <v>9.43</v>
      </c>
      <c r="G3011" s="112">
        <f ca="1">IFERROR(__xludf.DUMMYFUNCTION("""COMPUTED_VALUE"""),44714.7055555555)</f>
        <v>44714.705555555498</v>
      </c>
      <c r="H3011" s="111">
        <f ca="1">IFERROR(__xludf.DUMMYFUNCTION("""COMPUTED_VALUE"""),29.76)</f>
        <v>29.76</v>
      </c>
      <c r="M3011" s="112">
        <f ca="1">IFERROR(__xludf.DUMMYFUNCTION("""COMPUTED_VALUE"""),44623.7055555555)</f>
        <v>44623.705555555498</v>
      </c>
      <c r="N3011" s="111">
        <f ca="1">IFERROR(__xludf.DUMMYFUNCTION("""COMPUTED_VALUE"""),20.51)</f>
        <v>20.51</v>
      </c>
      <c r="O3011" s="112">
        <f ca="1">IFERROR(__xludf.DUMMYFUNCTION("""COMPUTED_VALUE"""),44699.7055555555)</f>
        <v>44699.705555555498</v>
      </c>
      <c r="P3011" s="111">
        <f ca="1">IFERROR(__xludf.DUMMYFUNCTION("""COMPUTED_VALUE"""),77.78)</f>
        <v>77.78</v>
      </c>
      <c r="Q3011" s="112">
        <f ca="1">IFERROR(__xludf.DUMMYFUNCTION("""COMPUTED_VALUE"""),44698.7055555555)</f>
        <v>44698.705555555498</v>
      </c>
      <c r="R3011" s="111">
        <f ca="1">IFERROR(__xludf.DUMMYFUNCTION("""COMPUTED_VALUE"""),36.43)</f>
        <v>36.43</v>
      </c>
      <c r="S3011" s="112">
        <f ca="1">IFERROR(__xludf.DUMMYFUNCTION("""COMPUTED_VALUE"""),44713.7055555555)</f>
        <v>44713.705555555498</v>
      </c>
      <c r="T3011" s="111">
        <f ca="1">IFERROR(__xludf.DUMMYFUNCTION("""COMPUTED_VALUE"""),26.94)</f>
        <v>26.94</v>
      </c>
    </row>
    <row r="3012" spans="1:20" x14ac:dyDescent="0.3">
      <c r="A3012" s="112">
        <f ca="1">IFERROR(__xludf.DUMMYFUNCTION("""COMPUTED_VALUE"""),44708.7055555555)</f>
        <v>44708.705555555498</v>
      </c>
      <c r="B3012" s="111">
        <f ca="1">IFERROR(__xludf.DUMMYFUNCTION("""COMPUTED_VALUE"""),43)</f>
        <v>43</v>
      </c>
      <c r="C3012" s="112">
        <f ca="1">IFERROR(__xludf.DUMMYFUNCTION("""COMPUTED_VALUE"""),44718.7055555555)</f>
        <v>44718.705555555498</v>
      </c>
      <c r="D3012" s="111">
        <f ca="1">IFERROR(__xludf.DUMMYFUNCTION("""COMPUTED_VALUE"""),25.56)</f>
        <v>25.56</v>
      </c>
      <c r="E3012" s="112">
        <f ca="1">IFERROR(__xludf.DUMMYFUNCTION("""COMPUTED_VALUE"""),44719.7055555555)</f>
        <v>44719.705555555498</v>
      </c>
      <c r="F3012" s="111">
        <f ca="1">IFERROR(__xludf.DUMMYFUNCTION("""COMPUTED_VALUE"""),9.33)</f>
        <v>9.33</v>
      </c>
      <c r="G3012" s="112">
        <f ca="1">IFERROR(__xludf.DUMMYFUNCTION("""COMPUTED_VALUE"""),44715.7055555555)</f>
        <v>44715.705555555498</v>
      </c>
      <c r="H3012" s="111">
        <f ca="1">IFERROR(__xludf.DUMMYFUNCTION("""COMPUTED_VALUE"""),30.28)</f>
        <v>30.28</v>
      </c>
      <c r="M3012" s="112">
        <f ca="1">IFERROR(__xludf.DUMMYFUNCTION("""COMPUTED_VALUE"""),44624.7055555555)</f>
        <v>44624.705555555498</v>
      </c>
      <c r="N3012" s="111">
        <f ca="1">IFERROR(__xludf.DUMMYFUNCTION("""COMPUTED_VALUE"""),19.92)</f>
        <v>19.920000000000002</v>
      </c>
      <c r="O3012" s="112">
        <f ca="1">IFERROR(__xludf.DUMMYFUNCTION("""COMPUTED_VALUE"""),44700.7055555555)</f>
        <v>44700.705555555498</v>
      </c>
      <c r="P3012" s="111">
        <f ca="1">IFERROR(__xludf.DUMMYFUNCTION("""COMPUTED_VALUE"""),79.85)</f>
        <v>79.849999999999994</v>
      </c>
      <c r="Q3012" s="112">
        <f ca="1">IFERROR(__xludf.DUMMYFUNCTION("""COMPUTED_VALUE"""),44699.7055555555)</f>
        <v>44699.705555555498</v>
      </c>
      <c r="R3012" s="111">
        <f ca="1">IFERROR(__xludf.DUMMYFUNCTION("""COMPUTED_VALUE"""),35.91)</f>
        <v>35.909999999999997</v>
      </c>
      <c r="S3012" s="112">
        <f ca="1">IFERROR(__xludf.DUMMYFUNCTION("""COMPUTED_VALUE"""),44714.7055555555)</f>
        <v>44714.705555555498</v>
      </c>
      <c r="T3012" s="111">
        <f ca="1">IFERROR(__xludf.DUMMYFUNCTION("""COMPUTED_VALUE"""),28.03)</f>
        <v>28.03</v>
      </c>
    </row>
    <row r="3013" spans="1:20" x14ac:dyDescent="0.3">
      <c r="A3013" s="112">
        <f ca="1">IFERROR(__xludf.DUMMYFUNCTION("""COMPUTED_VALUE"""),44711.7055555555)</f>
        <v>44711.705555555498</v>
      </c>
      <c r="B3013" s="111">
        <f ca="1">IFERROR(__xludf.DUMMYFUNCTION("""COMPUTED_VALUE"""),42)</f>
        <v>42</v>
      </c>
      <c r="C3013" s="112">
        <f ca="1">IFERROR(__xludf.DUMMYFUNCTION("""COMPUTED_VALUE"""),44719.7055555555)</f>
        <v>44719.705555555498</v>
      </c>
      <c r="D3013" s="111">
        <f ca="1">IFERROR(__xludf.DUMMYFUNCTION("""COMPUTED_VALUE"""),25.56)</f>
        <v>25.56</v>
      </c>
      <c r="E3013" s="112">
        <f ca="1">IFERROR(__xludf.DUMMYFUNCTION("""COMPUTED_VALUE"""),44720.7055555555)</f>
        <v>44720.705555555498</v>
      </c>
      <c r="F3013" s="111">
        <f ca="1">IFERROR(__xludf.DUMMYFUNCTION("""COMPUTED_VALUE"""),9.2)</f>
        <v>9.1999999999999993</v>
      </c>
      <c r="G3013" s="112">
        <f ca="1">IFERROR(__xludf.DUMMYFUNCTION("""COMPUTED_VALUE"""),44718.7055555555)</f>
        <v>44718.705555555498</v>
      </c>
      <c r="H3013" s="111">
        <f ca="1">IFERROR(__xludf.DUMMYFUNCTION("""COMPUTED_VALUE"""),30.3)</f>
        <v>30.3</v>
      </c>
      <c r="M3013" s="112">
        <f ca="1">IFERROR(__xludf.DUMMYFUNCTION("""COMPUTED_VALUE"""),44627.7055555555)</f>
        <v>44627.705555555498</v>
      </c>
      <c r="N3013" s="111">
        <f ca="1">IFERROR(__xludf.DUMMYFUNCTION("""COMPUTED_VALUE"""),19.41)</f>
        <v>19.41</v>
      </c>
      <c r="O3013" s="112">
        <f ca="1">IFERROR(__xludf.DUMMYFUNCTION("""COMPUTED_VALUE"""),44701.7055555555)</f>
        <v>44701.705555555498</v>
      </c>
      <c r="P3013" s="111">
        <f ca="1">IFERROR(__xludf.DUMMYFUNCTION("""COMPUTED_VALUE"""),81.26)</f>
        <v>81.260000000000005</v>
      </c>
      <c r="Q3013" s="112">
        <f ca="1">IFERROR(__xludf.DUMMYFUNCTION("""COMPUTED_VALUE"""),44700.7055555555)</f>
        <v>44700.705555555498</v>
      </c>
      <c r="R3013" s="111">
        <f ca="1">IFERROR(__xludf.DUMMYFUNCTION("""COMPUTED_VALUE"""),35.7)</f>
        <v>35.700000000000003</v>
      </c>
      <c r="S3013" s="112">
        <f ca="1">IFERROR(__xludf.DUMMYFUNCTION("""COMPUTED_VALUE"""),44715.7055555555)</f>
        <v>44715.705555555498</v>
      </c>
      <c r="T3013" s="111">
        <f ca="1">IFERROR(__xludf.DUMMYFUNCTION("""COMPUTED_VALUE"""),28.19)</f>
        <v>28.19</v>
      </c>
    </row>
    <row r="3014" spans="1:20" x14ac:dyDescent="0.3">
      <c r="A3014" s="112">
        <f ca="1">IFERROR(__xludf.DUMMYFUNCTION("""COMPUTED_VALUE"""),44712.7055555555)</f>
        <v>44712.705555555498</v>
      </c>
      <c r="B3014" s="111">
        <f ca="1">IFERROR(__xludf.DUMMYFUNCTION("""COMPUTED_VALUE"""),42.14)</f>
        <v>42.14</v>
      </c>
      <c r="C3014" s="112">
        <f ca="1">IFERROR(__xludf.DUMMYFUNCTION("""COMPUTED_VALUE"""),44720.7055555555)</f>
        <v>44720.705555555498</v>
      </c>
      <c r="D3014" s="111">
        <f ca="1">IFERROR(__xludf.DUMMYFUNCTION("""COMPUTED_VALUE"""),25.07)</f>
        <v>25.07</v>
      </c>
      <c r="E3014" s="112">
        <f ca="1">IFERROR(__xludf.DUMMYFUNCTION("""COMPUTED_VALUE"""),44721.7055555555)</f>
        <v>44721.705555555498</v>
      </c>
      <c r="F3014" s="111">
        <f ca="1">IFERROR(__xludf.DUMMYFUNCTION("""COMPUTED_VALUE"""),9.07)</f>
        <v>9.07</v>
      </c>
      <c r="G3014" s="112">
        <f ca="1">IFERROR(__xludf.DUMMYFUNCTION("""COMPUTED_VALUE"""),44719.7055555555)</f>
        <v>44719.705555555498</v>
      </c>
      <c r="H3014" s="111">
        <f ca="1">IFERROR(__xludf.DUMMYFUNCTION("""COMPUTED_VALUE"""),30.66)</f>
        <v>30.66</v>
      </c>
      <c r="M3014" s="112">
        <f ca="1">IFERROR(__xludf.DUMMYFUNCTION("""COMPUTED_VALUE"""),44628.7055555555)</f>
        <v>44628.705555555498</v>
      </c>
      <c r="N3014" s="111">
        <f ca="1">IFERROR(__xludf.DUMMYFUNCTION("""COMPUTED_VALUE"""),19.66)</f>
        <v>19.66</v>
      </c>
      <c r="O3014" s="112">
        <f ca="1">IFERROR(__xludf.DUMMYFUNCTION("""COMPUTED_VALUE"""),44704.7055555555)</f>
        <v>44704.705555555498</v>
      </c>
      <c r="P3014" s="111">
        <f ca="1">IFERROR(__xludf.DUMMYFUNCTION("""COMPUTED_VALUE"""),82.92)</f>
        <v>82.92</v>
      </c>
      <c r="Q3014" s="112">
        <f ca="1">IFERROR(__xludf.DUMMYFUNCTION("""COMPUTED_VALUE"""),44701.7055555555)</f>
        <v>44701.705555555498</v>
      </c>
      <c r="R3014" s="111">
        <f ca="1">IFERROR(__xludf.DUMMYFUNCTION("""COMPUTED_VALUE"""),37)</f>
        <v>37</v>
      </c>
      <c r="S3014" s="112">
        <f ca="1">IFERROR(__xludf.DUMMYFUNCTION("""COMPUTED_VALUE"""),44718.7055555555)</f>
        <v>44718.705555555498</v>
      </c>
      <c r="T3014" s="111">
        <f ca="1">IFERROR(__xludf.DUMMYFUNCTION("""COMPUTED_VALUE"""),26.98)</f>
        <v>26.98</v>
      </c>
    </row>
    <row r="3015" spans="1:20" x14ac:dyDescent="0.3">
      <c r="A3015" s="112">
        <f ca="1">IFERROR(__xludf.DUMMYFUNCTION("""COMPUTED_VALUE"""),44713.7055555555)</f>
        <v>44713.705555555498</v>
      </c>
      <c r="B3015" s="111">
        <f ca="1">IFERROR(__xludf.DUMMYFUNCTION("""COMPUTED_VALUE"""),43)</f>
        <v>43</v>
      </c>
      <c r="C3015" s="112">
        <f ca="1">IFERROR(__xludf.DUMMYFUNCTION("""COMPUTED_VALUE"""),44721.7055555555)</f>
        <v>44721.705555555498</v>
      </c>
      <c r="D3015" s="111">
        <f ca="1">IFERROR(__xludf.DUMMYFUNCTION("""COMPUTED_VALUE"""),24.64)</f>
        <v>24.64</v>
      </c>
      <c r="E3015" s="112">
        <f ca="1">IFERROR(__xludf.DUMMYFUNCTION("""COMPUTED_VALUE"""),44722.7055555555)</f>
        <v>44722.705555555498</v>
      </c>
      <c r="F3015" s="111">
        <f ca="1">IFERROR(__xludf.DUMMYFUNCTION("""COMPUTED_VALUE"""),8.89)</f>
        <v>8.89</v>
      </c>
      <c r="G3015" s="112">
        <f ca="1">IFERROR(__xludf.DUMMYFUNCTION("""COMPUTED_VALUE"""),44720.7055555555)</f>
        <v>44720.705555555498</v>
      </c>
      <c r="H3015" s="111">
        <f ca="1">IFERROR(__xludf.DUMMYFUNCTION("""COMPUTED_VALUE"""),30.51)</f>
        <v>30.51</v>
      </c>
      <c r="M3015" s="112">
        <f ca="1">IFERROR(__xludf.DUMMYFUNCTION("""COMPUTED_VALUE"""),44629.7055555555)</f>
        <v>44629.705555555498</v>
      </c>
      <c r="N3015" s="111">
        <f ca="1">IFERROR(__xludf.DUMMYFUNCTION("""COMPUTED_VALUE"""),20.92)</f>
        <v>20.92</v>
      </c>
      <c r="O3015" s="112">
        <f ca="1">IFERROR(__xludf.DUMMYFUNCTION("""COMPUTED_VALUE"""),44705.7055555555)</f>
        <v>44705.705555555498</v>
      </c>
      <c r="P3015" s="111">
        <f ca="1">IFERROR(__xludf.DUMMYFUNCTION("""COMPUTED_VALUE"""),84.04)</f>
        <v>84.04</v>
      </c>
      <c r="Q3015" s="112">
        <f ca="1">IFERROR(__xludf.DUMMYFUNCTION("""COMPUTED_VALUE"""),44704.7055555555)</f>
        <v>44704.705555555498</v>
      </c>
      <c r="R3015" s="111">
        <f ca="1">IFERROR(__xludf.DUMMYFUNCTION("""COMPUTED_VALUE"""),38.56)</f>
        <v>38.56</v>
      </c>
      <c r="S3015" s="112">
        <f ca="1">IFERROR(__xludf.DUMMYFUNCTION("""COMPUTED_VALUE"""),44719.7055555555)</f>
        <v>44719.705555555498</v>
      </c>
      <c r="T3015" s="111">
        <f ca="1">IFERROR(__xludf.DUMMYFUNCTION("""COMPUTED_VALUE"""),26.68)</f>
        <v>26.68</v>
      </c>
    </row>
    <row r="3016" spans="1:20" x14ac:dyDescent="0.3">
      <c r="A3016" s="112">
        <f ca="1">IFERROR(__xludf.DUMMYFUNCTION("""COMPUTED_VALUE"""),44714.7055555555)</f>
        <v>44714.705555555498</v>
      </c>
      <c r="B3016" s="111">
        <f ca="1">IFERROR(__xludf.DUMMYFUNCTION("""COMPUTED_VALUE"""),43.33)</f>
        <v>43.33</v>
      </c>
      <c r="C3016" s="112">
        <f ca="1">IFERROR(__xludf.DUMMYFUNCTION("""COMPUTED_VALUE"""),44722.7055555555)</f>
        <v>44722.705555555498</v>
      </c>
      <c r="D3016" s="111">
        <f ca="1">IFERROR(__xludf.DUMMYFUNCTION("""COMPUTED_VALUE"""),24.1)</f>
        <v>24.1</v>
      </c>
      <c r="E3016" s="112">
        <f ca="1">IFERROR(__xludf.DUMMYFUNCTION("""COMPUTED_VALUE"""),44725.7055555555)</f>
        <v>44725.705555555498</v>
      </c>
      <c r="F3016" s="111">
        <f ca="1">IFERROR(__xludf.DUMMYFUNCTION("""COMPUTED_VALUE"""),8.75)</f>
        <v>8.75</v>
      </c>
      <c r="G3016" s="112">
        <f ca="1">IFERROR(__xludf.DUMMYFUNCTION("""COMPUTED_VALUE"""),44721.7055555555)</f>
        <v>44721.705555555498</v>
      </c>
      <c r="H3016" s="111">
        <f ca="1">IFERROR(__xludf.DUMMYFUNCTION("""COMPUTED_VALUE"""),30.07)</f>
        <v>30.07</v>
      </c>
      <c r="M3016" s="112">
        <f ca="1">IFERROR(__xludf.DUMMYFUNCTION("""COMPUTED_VALUE"""),44630.7055555555)</f>
        <v>44630.705555555498</v>
      </c>
      <c r="N3016" s="111">
        <f ca="1">IFERROR(__xludf.DUMMYFUNCTION("""COMPUTED_VALUE"""),20.79)</f>
        <v>20.79</v>
      </c>
      <c r="O3016" s="112">
        <f ca="1">IFERROR(__xludf.DUMMYFUNCTION("""COMPUTED_VALUE"""),44706.7055555555)</f>
        <v>44706.705555555498</v>
      </c>
      <c r="P3016" s="111">
        <f ca="1">IFERROR(__xludf.DUMMYFUNCTION("""COMPUTED_VALUE"""),84.3)</f>
        <v>84.3</v>
      </c>
      <c r="Q3016" s="112">
        <f ca="1">IFERROR(__xludf.DUMMYFUNCTION("""COMPUTED_VALUE"""),44705.7055555555)</f>
        <v>44705.705555555498</v>
      </c>
      <c r="R3016" s="111">
        <f ca="1">IFERROR(__xludf.DUMMYFUNCTION("""COMPUTED_VALUE"""),37.8)</f>
        <v>37.799999999999997</v>
      </c>
      <c r="S3016" s="112">
        <f ca="1">IFERROR(__xludf.DUMMYFUNCTION("""COMPUTED_VALUE"""),44720.7055555555)</f>
        <v>44720.705555555498</v>
      </c>
      <c r="T3016" s="111">
        <f ca="1">IFERROR(__xludf.DUMMYFUNCTION("""COMPUTED_VALUE"""),26.35)</f>
        <v>26.35</v>
      </c>
    </row>
    <row r="3017" spans="1:20" x14ac:dyDescent="0.3">
      <c r="A3017" s="112">
        <f ca="1">IFERROR(__xludf.DUMMYFUNCTION("""COMPUTED_VALUE"""),44715.7055555555)</f>
        <v>44715.705555555498</v>
      </c>
      <c r="B3017" s="111">
        <f ca="1">IFERROR(__xludf.DUMMYFUNCTION("""COMPUTED_VALUE"""),41.96)</f>
        <v>41.96</v>
      </c>
      <c r="C3017" s="112">
        <f ca="1">IFERROR(__xludf.DUMMYFUNCTION("""COMPUTED_VALUE"""),44725.7055555555)</f>
        <v>44725.705555555498</v>
      </c>
      <c r="D3017" s="111">
        <f ca="1">IFERROR(__xludf.DUMMYFUNCTION("""COMPUTED_VALUE"""),23.81)</f>
        <v>23.81</v>
      </c>
      <c r="E3017" s="112">
        <f ca="1">IFERROR(__xludf.DUMMYFUNCTION("""COMPUTED_VALUE"""),44726.7055555555)</f>
        <v>44726.705555555498</v>
      </c>
      <c r="F3017" s="111">
        <f ca="1">IFERROR(__xludf.DUMMYFUNCTION("""COMPUTED_VALUE"""),8.72)</f>
        <v>8.7200000000000006</v>
      </c>
      <c r="G3017" s="112">
        <f ca="1">IFERROR(__xludf.DUMMYFUNCTION("""COMPUTED_VALUE"""),44722.7055555555)</f>
        <v>44722.705555555498</v>
      </c>
      <c r="H3017" s="111">
        <f ca="1">IFERROR(__xludf.DUMMYFUNCTION("""COMPUTED_VALUE"""),29.65)</f>
        <v>29.65</v>
      </c>
      <c r="M3017" s="112">
        <f ca="1">IFERROR(__xludf.DUMMYFUNCTION("""COMPUTED_VALUE"""),44631.7055555555)</f>
        <v>44631.705555555498</v>
      </c>
      <c r="N3017" s="111">
        <f ca="1">IFERROR(__xludf.DUMMYFUNCTION("""COMPUTED_VALUE"""),20.7)</f>
        <v>20.7</v>
      </c>
      <c r="O3017" s="112">
        <f ca="1">IFERROR(__xludf.DUMMYFUNCTION("""COMPUTED_VALUE"""),44707.7055555555)</f>
        <v>44707.705555555498</v>
      </c>
      <c r="P3017" s="111">
        <f ca="1">IFERROR(__xludf.DUMMYFUNCTION("""COMPUTED_VALUE"""),84.25)</f>
        <v>84.25</v>
      </c>
      <c r="Q3017" s="112">
        <f ca="1">IFERROR(__xludf.DUMMYFUNCTION("""COMPUTED_VALUE"""),44706.7055555555)</f>
        <v>44706.705555555498</v>
      </c>
      <c r="R3017" s="111">
        <f ca="1">IFERROR(__xludf.DUMMYFUNCTION("""COMPUTED_VALUE"""),37.57)</f>
        <v>37.57</v>
      </c>
      <c r="S3017" s="112">
        <f ca="1">IFERROR(__xludf.DUMMYFUNCTION("""COMPUTED_VALUE"""),44721.7055555555)</f>
        <v>44721.705555555498</v>
      </c>
      <c r="T3017" s="111">
        <f ca="1">IFERROR(__xludf.DUMMYFUNCTION("""COMPUTED_VALUE"""),25.22)</f>
        <v>25.22</v>
      </c>
    </row>
    <row r="3018" spans="1:20" x14ac:dyDescent="0.3">
      <c r="A3018" s="112">
        <f ca="1">IFERROR(__xludf.DUMMYFUNCTION("""COMPUTED_VALUE"""),44718.7055555555)</f>
        <v>44718.705555555498</v>
      </c>
      <c r="B3018" s="111">
        <f ca="1">IFERROR(__xludf.DUMMYFUNCTION("""COMPUTED_VALUE"""),41.9)</f>
        <v>41.9</v>
      </c>
      <c r="C3018" s="112">
        <f ca="1">IFERROR(__xludf.DUMMYFUNCTION("""COMPUTED_VALUE"""),44726.7055555555)</f>
        <v>44726.705555555498</v>
      </c>
      <c r="D3018" s="111">
        <f ca="1">IFERROR(__xludf.DUMMYFUNCTION("""COMPUTED_VALUE"""),23.65)</f>
        <v>23.65</v>
      </c>
      <c r="E3018" s="112">
        <f ca="1">IFERROR(__xludf.DUMMYFUNCTION("""COMPUTED_VALUE"""),44727.7055555555)</f>
        <v>44727.705555555498</v>
      </c>
      <c r="F3018" s="111">
        <f ca="1">IFERROR(__xludf.DUMMYFUNCTION("""COMPUTED_VALUE"""),8.79)</f>
        <v>8.7899999999999991</v>
      </c>
      <c r="G3018" s="112">
        <f ca="1">IFERROR(__xludf.DUMMYFUNCTION("""COMPUTED_VALUE"""),44725.7055555555)</f>
        <v>44725.705555555498</v>
      </c>
      <c r="H3018" s="111">
        <f ca="1">IFERROR(__xludf.DUMMYFUNCTION("""COMPUTED_VALUE"""),29.27)</f>
        <v>29.27</v>
      </c>
      <c r="M3018" s="112">
        <f ca="1">IFERROR(__xludf.DUMMYFUNCTION("""COMPUTED_VALUE"""),44634.7055555555)</f>
        <v>44634.705555555498</v>
      </c>
      <c r="N3018" s="111">
        <f ca="1">IFERROR(__xludf.DUMMYFUNCTION("""COMPUTED_VALUE"""),20.85)</f>
        <v>20.85</v>
      </c>
      <c r="O3018" s="112">
        <f ca="1">IFERROR(__xludf.DUMMYFUNCTION("""COMPUTED_VALUE"""),44708.7055555555)</f>
        <v>44708.705555555498</v>
      </c>
      <c r="P3018" s="111">
        <f ca="1">IFERROR(__xludf.DUMMYFUNCTION("""COMPUTED_VALUE"""),85.72)</f>
        <v>85.72</v>
      </c>
      <c r="Q3018" s="112">
        <f ca="1">IFERROR(__xludf.DUMMYFUNCTION("""COMPUTED_VALUE"""),44707.7055555555)</f>
        <v>44707.705555555498</v>
      </c>
      <c r="R3018" s="111">
        <f ca="1">IFERROR(__xludf.DUMMYFUNCTION("""COMPUTED_VALUE"""),37.46)</f>
        <v>37.46</v>
      </c>
      <c r="S3018" s="112">
        <f ca="1">IFERROR(__xludf.DUMMYFUNCTION("""COMPUTED_VALUE"""),44722.7055555555)</f>
        <v>44722.705555555498</v>
      </c>
      <c r="T3018" s="111">
        <f ca="1">IFERROR(__xludf.DUMMYFUNCTION("""COMPUTED_VALUE"""),24.08)</f>
        <v>24.08</v>
      </c>
    </row>
    <row r="3019" spans="1:20" x14ac:dyDescent="0.3">
      <c r="A3019" s="112">
        <f ca="1">IFERROR(__xludf.DUMMYFUNCTION("""COMPUTED_VALUE"""),44719.7055555555)</f>
        <v>44719.705555555498</v>
      </c>
      <c r="B3019" s="111">
        <f ca="1">IFERROR(__xludf.DUMMYFUNCTION("""COMPUTED_VALUE"""),41.8)</f>
        <v>41.8</v>
      </c>
      <c r="C3019" s="112">
        <f ca="1">IFERROR(__xludf.DUMMYFUNCTION("""COMPUTED_VALUE"""),44727.7055555555)</f>
        <v>44727.705555555498</v>
      </c>
      <c r="D3019" s="111">
        <f ca="1">IFERROR(__xludf.DUMMYFUNCTION("""COMPUTED_VALUE"""),23.75)</f>
        <v>23.75</v>
      </c>
      <c r="E3019" s="112">
        <f ca="1">IFERROR(__xludf.DUMMYFUNCTION("""COMPUTED_VALUE"""),44729.7055555555)</f>
        <v>44729.705555555498</v>
      </c>
      <c r="F3019" s="111">
        <f ca="1">IFERROR(__xludf.DUMMYFUNCTION("""COMPUTED_VALUE"""),8.63)</f>
        <v>8.6300000000000008</v>
      </c>
      <c r="G3019" s="112">
        <f ca="1">IFERROR(__xludf.DUMMYFUNCTION("""COMPUTED_VALUE"""),44726.7055555555)</f>
        <v>44726.705555555498</v>
      </c>
      <c r="H3019" s="111">
        <f ca="1">IFERROR(__xludf.DUMMYFUNCTION("""COMPUTED_VALUE"""),29.6)</f>
        <v>29.6</v>
      </c>
      <c r="M3019" s="112">
        <f ca="1">IFERROR(__xludf.DUMMYFUNCTION("""COMPUTED_VALUE"""),44635.7055555555)</f>
        <v>44635.705555555498</v>
      </c>
      <c r="N3019" s="111">
        <f ca="1">IFERROR(__xludf.DUMMYFUNCTION("""COMPUTED_VALUE"""),20.8)</f>
        <v>20.8</v>
      </c>
      <c r="O3019" s="112">
        <f ca="1">IFERROR(__xludf.DUMMYFUNCTION("""COMPUTED_VALUE"""),44711.7055555555)</f>
        <v>44711.705555555498</v>
      </c>
      <c r="P3019" s="111">
        <f ca="1">IFERROR(__xludf.DUMMYFUNCTION("""COMPUTED_VALUE"""),86.65)</f>
        <v>86.65</v>
      </c>
      <c r="Q3019" s="112">
        <f ca="1">IFERROR(__xludf.DUMMYFUNCTION("""COMPUTED_VALUE"""),44708.7055555555)</f>
        <v>44708.705555555498</v>
      </c>
      <c r="R3019" s="111">
        <f ca="1">IFERROR(__xludf.DUMMYFUNCTION("""COMPUTED_VALUE"""),37.05)</f>
        <v>37.049999999999997</v>
      </c>
      <c r="S3019" s="112">
        <f ca="1">IFERROR(__xludf.DUMMYFUNCTION("""COMPUTED_VALUE"""),44725.7055555555)</f>
        <v>44725.705555555498</v>
      </c>
      <c r="T3019" s="111">
        <f ca="1">IFERROR(__xludf.DUMMYFUNCTION("""COMPUTED_VALUE"""),23.15)</f>
        <v>23.15</v>
      </c>
    </row>
    <row r="3020" spans="1:20" x14ac:dyDescent="0.3">
      <c r="A3020" s="112">
        <f ca="1">IFERROR(__xludf.DUMMYFUNCTION("""COMPUTED_VALUE"""),44720.7055555555)</f>
        <v>44720.705555555498</v>
      </c>
      <c r="B3020" s="111">
        <f ca="1">IFERROR(__xludf.DUMMYFUNCTION("""COMPUTED_VALUE"""),42.14)</f>
        <v>42.14</v>
      </c>
      <c r="C3020" s="112">
        <f ca="1">IFERROR(__xludf.DUMMYFUNCTION("""COMPUTED_VALUE"""),44729.7055555555)</f>
        <v>44729.705555555498</v>
      </c>
      <c r="D3020" s="111">
        <f ca="1">IFERROR(__xludf.DUMMYFUNCTION("""COMPUTED_VALUE"""),23.45)</f>
        <v>23.45</v>
      </c>
      <c r="E3020" s="112">
        <f ca="1">IFERROR(__xludf.DUMMYFUNCTION("""COMPUTED_VALUE"""),44732.7055555555)</f>
        <v>44732.705555555498</v>
      </c>
      <c r="F3020" s="111">
        <f ca="1">IFERROR(__xludf.DUMMYFUNCTION("""COMPUTED_VALUE"""),8.9)</f>
        <v>8.9</v>
      </c>
      <c r="G3020" s="112">
        <f ca="1">IFERROR(__xludf.DUMMYFUNCTION("""COMPUTED_VALUE"""),44727.7055555555)</f>
        <v>44727.705555555498</v>
      </c>
      <c r="H3020" s="111">
        <f ca="1">IFERROR(__xludf.DUMMYFUNCTION("""COMPUTED_VALUE"""),29.08)</f>
        <v>29.08</v>
      </c>
      <c r="M3020" s="112">
        <f ca="1">IFERROR(__xludf.DUMMYFUNCTION("""COMPUTED_VALUE"""),44636.7055555555)</f>
        <v>44636.705555555498</v>
      </c>
      <c r="N3020" s="111">
        <f ca="1">IFERROR(__xludf.DUMMYFUNCTION("""COMPUTED_VALUE"""),21.1)</f>
        <v>21.1</v>
      </c>
      <c r="O3020" s="112">
        <f ca="1">IFERROR(__xludf.DUMMYFUNCTION("""COMPUTED_VALUE"""),44712.7055555555)</f>
        <v>44712.705555555498</v>
      </c>
      <c r="P3020" s="111">
        <f ca="1">IFERROR(__xludf.DUMMYFUNCTION("""COMPUTED_VALUE"""),86.21)</f>
        <v>86.21</v>
      </c>
      <c r="Q3020" s="112">
        <f ca="1">IFERROR(__xludf.DUMMYFUNCTION("""COMPUTED_VALUE"""),44711.7055555555)</f>
        <v>44711.705555555498</v>
      </c>
      <c r="R3020" s="111">
        <f ca="1">IFERROR(__xludf.DUMMYFUNCTION("""COMPUTED_VALUE"""),36.07)</f>
        <v>36.07</v>
      </c>
      <c r="S3020" s="112">
        <f ca="1">IFERROR(__xludf.DUMMYFUNCTION("""COMPUTED_VALUE"""),44726.7055555555)</f>
        <v>44726.705555555498</v>
      </c>
      <c r="T3020" s="111">
        <f ca="1">IFERROR(__xludf.DUMMYFUNCTION("""COMPUTED_VALUE"""),22.93)</f>
        <v>22.93</v>
      </c>
    </row>
    <row r="3021" spans="1:20" x14ac:dyDescent="0.3">
      <c r="A3021" s="112">
        <f ca="1">IFERROR(__xludf.DUMMYFUNCTION("""COMPUTED_VALUE"""),44721.7055555555)</f>
        <v>44721.705555555498</v>
      </c>
      <c r="B3021" s="111">
        <f ca="1">IFERROR(__xludf.DUMMYFUNCTION("""COMPUTED_VALUE"""),43.04)</f>
        <v>43.04</v>
      </c>
      <c r="C3021" s="112">
        <f ca="1">IFERROR(__xludf.DUMMYFUNCTION("""COMPUTED_VALUE"""),44732.7055555555)</f>
        <v>44732.705555555498</v>
      </c>
      <c r="D3021" s="111">
        <f ca="1">IFERROR(__xludf.DUMMYFUNCTION("""COMPUTED_VALUE"""),24.47)</f>
        <v>24.47</v>
      </c>
      <c r="E3021" s="112">
        <f ca="1">IFERROR(__xludf.DUMMYFUNCTION("""COMPUTED_VALUE"""),44733.7055555555)</f>
        <v>44733.705555555498</v>
      </c>
      <c r="F3021" s="111">
        <f ca="1">IFERROR(__xludf.DUMMYFUNCTION("""COMPUTED_VALUE"""),8.82)</f>
        <v>8.82</v>
      </c>
      <c r="G3021" s="112">
        <f ca="1">IFERROR(__xludf.DUMMYFUNCTION("""COMPUTED_VALUE"""),44729.7055555555)</f>
        <v>44729.705555555498</v>
      </c>
      <c r="H3021" s="111">
        <f ca="1">IFERROR(__xludf.DUMMYFUNCTION("""COMPUTED_VALUE"""),27.31)</f>
        <v>27.31</v>
      </c>
      <c r="M3021" s="112">
        <f ca="1">IFERROR(__xludf.DUMMYFUNCTION("""COMPUTED_VALUE"""),44637.7055555555)</f>
        <v>44637.705555555498</v>
      </c>
      <c r="N3021" s="111">
        <f ca="1">IFERROR(__xludf.DUMMYFUNCTION("""COMPUTED_VALUE"""),21.18)</f>
        <v>21.18</v>
      </c>
      <c r="O3021" s="112">
        <f ca="1">IFERROR(__xludf.DUMMYFUNCTION("""COMPUTED_VALUE"""),44713.7055555555)</f>
        <v>44713.705555555498</v>
      </c>
      <c r="P3021" s="111">
        <f ca="1">IFERROR(__xludf.DUMMYFUNCTION("""COMPUTED_VALUE"""),88.24)</f>
        <v>88.24</v>
      </c>
      <c r="Q3021" s="112">
        <f ca="1">IFERROR(__xludf.DUMMYFUNCTION("""COMPUTED_VALUE"""),44712.7055555555)</f>
        <v>44712.705555555498</v>
      </c>
      <c r="R3021" s="111">
        <f ca="1">IFERROR(__xludf.DUMMYFUNCTION("""COMPUTED_VALUE"""),36.62)</f>
        <v>36.619999999999997</v>
      </c>
      <c r="S3021" s="112">
        <f ca="1">IFERROR(__xludf.DUMMYFUNCTION("""COMPUTED_VALUE"""),44727.7055555555)</f>
        <v>44727.705555555498</v>
      </c>
      <c r="T3021" s="111">
        <f ca="1">IFERROR(__xludf.DUMMYFUNCTION("""COMPUTED_VALUE"""),23.9)</f>
        <v>23.9</v>
      </c>
    </row>
    <row r="3022" spans="1:20" x14ac:dyDescent="0.3">
      <c r="A3022" s="112">
        <f ca="1">IFERROR(__xludf.DUMMYFUNCTION("""COMPUTED_VALUE"""),44722.7055555555)</f>
        <v>44722.705555555498</v>
      </c>
      <c r="B3022" s="111">
        <f ca="1">IFERROR(__xludf.DUMMYFUNCTION("""COMPUTED_VALUE"""),41)</f>
        <v>41</v>
      </c>
      <c r="C3022" s="112">
        <f ca="1">IFERROR(__xludf.DUMMYFUNCTION("""COMPUTED_VALUE"""),44733.7055555555)</f>
        <v>44733.705555555498</v>
      </c>
      <c r="D3022" s="111">
        <f ca="1">IFERROR(__xludf.DUMMYFUNCTION("""COMPUTED_VALUE"""),24.21)</f>
        <v>24.21</v>
      </c>
      <c r="E3022" s="112">
        <f ca="1">IFERROR(__xludf.DUMMYFUNCTION("""COMPUTED_VALUE"""),44734.7055555555)</f>
        <v>44734.705555555498</v>
      </c>
      <c r="F3022" s="111">
        <f ca="1">IFERROR(__xludf.DUMMYFUNCTION("""COMPUTED_VALUE"""),8.86)</f>
        <v>8.86</v>
      </c>
      <c r="G3022" s="112">
        <f ca="1">IFERROR(__xludf.DUMMYFUNCTION("""COMPUTED_VALUE"""),44732.7055555555)</f>
        <v>44732.705555555498</v>
      </c>
      <c r="H3022" s="111">
        <f ca="1">IFERROR(__xludf.DUMMYFUNCTION("""COMPUTED_VALUE"""),27.62)</f>
        <v>27.62</v>
      </c>
      <c r="M3022" s="112">
        <f ca="1">IFERROR(__xludf.DUMMYFUNCTION("""COMPUTED_VALUE"""),44638.7055555555)</f>
        <v>44638.705555555498</v>
      </c>
      <c r="N3022" s="111">
        <f ca="1">IFERROR(__xludf.DUMMYFUNCTION("""COMPUTED_VALUE"""),21.13)</f>
        <v>21.13</v>
      </c>
      <c r="O3022" s="112">
        <f ca="1">IFERROR(__xludf.DUMMYFUNCTION("""COMPUTED_VALUE"""),44714.7055555555)</f>
        <v>44714.705555555498</v>
      </c>
      <c r="P3022" s="111">
        <f ca="1">IFERROR(__xludf.DUMMYFUNCTION("""COMPUTED_VALUE"""),89.9)</f>
        <v>89.9</v>
      </c>
      <c r="Q3022" s="112">
        <f ca="1">IFERROR(__xludf.DUMMYFUNCTION("""COMPUTED_VALUE"""),44713.7055555555)</f>
        <v>44713.705555555498</v>
      </c>
      <c r="R3022" s="111">
        <f ca="1">IFERROR(__xludf.DUMMYFUNCTION("""COMPUTED_VALUE"""),36.69)</f>
        <v>36.69</v>
      </c>
      <c r="S3022" s="112">
        <f ca="1">IFERROR(__xludf.DUMMYFUNCTION("""COMPUTED_VALUE"""),44729.7055555555)</f>
        <v>44729.705555555498</v>
      </c>
      <c r="T3022" s="111">
        <f ca="1">IFERROR(__xludf.DUMMYFUNCTION("""COMPUTED_VALUE"""),23.74)</f>
        <v>23.74</v>
      </c>
    </row>
    <row r="3023" spans="1:20" x14ac:dyDescent="0.3">
      <c r="A3023" s="112">
        <f ca="1">IFERROR(__xludf.DUMMYFUNCTION("""COMPUTED_VALUE"""),44725.7055555555)</f>
        <v>44725.705555555498</v>
      </c>
      <c r="B3023" s="111">
        <f ca="1">IFERROR(__xludf.DUMMYFUNCTION("""COMPUTED_VALUE"""),40.1)</f>
        <v>40.1</v>
      </c>
      <c r="C3023" s="112">
        <f ca="1">IFERROR(__xludf.DUMMYFUNCTION("""COMPUTED_VALUE"""),44734.7055555555)</f>
        <v>44734.705555555498</v>
      </c>
      <c r="D3023" s="111">
        <f ca="1">IFERROR(__xludf.DUMMYFUNCTION("""COMPUTED_VALUE"""),24.03)</f>
        <v>24.03</v>
      </c>
      <c r="E3023" s="112">
        <f ca="1">IFERROR(__xludf.DUMMYFUNCTION("""COMPUTED_VALUE"""),44735.7055555555)</f>
        <v>44735.705555555498</v>
      </c>
      <c r="F3023" s="111">
        <f ca="1">IFERROR(__xludf.DUMMYFUNCTION("""COMPUTED_VALUE"""),8.67)</f>
        <v>8.67</v>
      </c>
      <c r="G3023" s="112">
        <f ca="1">IFERROR(__xludf.DUMMYFUNCTION("""COMPUTED_VALUE"""),44733.7055555555)</f>
        <v>44733.705555555498</v>
      </c>
      <c r="H3023" s="111">
        <f ca="1">IFERROR(__xludf.DUMMYFUNCTION("""COMPUTED_VALUE"""),27.07)</f>
        <v>27.07</v>
      </c>
      <c r="M3023" s="112">
        <f ca="1">IFERROR(__xludf.DUMMYFUNCTION("""COMPUTED_VALUE"""),44641.7055555555)</f>
        <v>44641.705555555498</v>
      </c>
      <c r="N3023" s="111">
        <f ca="1">IFERROR(__xludf.DUMMYFUNCTION("""COMPUTED_VALUE"""),21.63)</f>
        <v>21.63</v>
      </c>
      <c r="O3023" s="112">
        <f ca="1">IFERROR(__xludf.DUMMYFUNCTION("""COMPUTED_VALUE"""),44715.7055555555)</f>
        <v>44715.705555555498</v>
      </c>
      <c r="P3023" s="111">
        <f ca="1">IFERROR(__xludf.DUMMYFUNCTION("""COMPUTED_VALUE"""),88.46)</f>
        <v>88.46</v>
      </c>
      <c r="Q3023" s="112">
        <f ca="1">IFERROR(__xludf.DUMMYFUNCTION("""COMPUTED_VALUE"""),44714.7055555555)</f>
        <v>44714.705555555498</v>
      </c>
      <c r="R3023" s="111">
        <f ca="1">IFERROR(__xludf.DUMMYFUNCTION("""COMPUTED_VALUE"""),36.72)</f>
        <v>36.72</v>
      </c>
      <c r="S3023" s="112">
        <f ca="1">IFERROR(__xludf.DUMMYFUNCTION("""COMPUTED_VALUE"""),44732.7055555555)</f>
        <v>44732.705555555498</v>
      </c>
      <c r="T3023" s="111">
        <f ca="1">IFERROR(__xludf.DUMMYFUNCTION("""COMPUTED_VALUE"""),23.87)</f>
        <v>23.87</v>
      </c>
    </row>
    <row r="3024" spans="1:20" x14ac:dyDescent="0.3">
      <c r="A3024" s="112">
        <f ca="1">IFERROR(__xludf.DUMMYFUNCTION("""COMPUTED_VALUE"""),44726.7055555555)</f>
        <v>44726.705555555498</v>
      </c>
      <c r="B3024" s="111">
        <f ca="1">IFERROR(__xludf.DUMMYFUNCTION("""COMPUTED_VALUE"""),41.45)</f>
        <v>41.45</v>
      </c>
      <c r="C3024" s="112">
        <f ca="1">IFERROR(__xludf.DUMMYFUNCTION("""COMPUTED_VALUE"""),44735.7055555555)</f>
        <v>44735.705555555498</v>
      </c>
      <c r="D3024" s="111">
        <f ca="1">IFERROR(__xludf.DUMMYFUNCTION("""COMPUTED_VALUE"""),23.48)</f>
        <v>23.48</v>
      </c>
      <c r="E3024" s="112">
        <f ca="1">IFERROR(__xludf.DUMMYFUNCTION("""COMPUTED_VALUE"""),44736.7055555555)</f>
        <v>44736.705555555498</v>
      </c>
      <c r="F3024" s="111">
        <f ca="1">IFERROR(__xludf.DUMMYFUNCTION("""COMPUTED_VALUE"""),8.63)</f>
        <v>8.6300000000000008</v>
      </c>
      <c r="G3024" s="112">
        <f ca="1">IFERROR(__xludf.DUMMYFUNCTION("""COMPUTED_VALUE"""),44734.7055555555)</f>
        <v>44734.705555555498</v>
      </c>
      <c r="H3024" s="111">
        <f ca="1">IFERROR(__xludf.DUMMYFUNCTION("""COMPUTED_VALUE"""),26.99)</f>
        <v>26.99</v>
      </c>
      <c r="M3024" s="112">
        <f ca="1">IFERROR(__xludf.DUMMYFUNCTION("""COMPUTED_VALUE"""),44642.7055555555)</f>
        <v>44642.705555555498</v>
      </c>
      <c r="N3024" s="111">
        <f ca="1">IFERROR(__xludf.DUMMYFUNCTION("""COMPUTED_VALUE"""),21.9)</f>
        <v>21.9</v>
      </c>
      <c r="O3024" s="112">
        <f ca="1">IFERROR(__xludf.DUMMYFUNCTION("""COMPUTED_VALUE"""),44718.7055555555)</f>
        <v>44718.705555555498</v>
      </c>
      <c r="P3024" s="111">
        <f ca="1">IFERROR(__xludf.DUMMYFUNCTION("""COMPUTED_VALUE"""),88.55)</f>
        <v>88.55</v>
      </c>
      <c r="Q3024" s="112">
        <f ca="1">IFERROR(__xludf.DUMMYFUNCTION("""COMPUTED_VALUE"""),44715.7055555555)</f>
        <v>44715.705555555498</v>
      </c>
      <c r="R3024" s="111">
        <f ca="1">IFERROR(__xludf.DUMMYFUNCTION("""COMPUTED_VALUE"""),36.21)</f>
        <v>36.21</v>
      </c>
      <c r="S3024" s="112">
        <f ca="1">IFERROR(__xludf.DUMMYFUNCTION("""COMPUTED_VALUE"""),44733.7055555555)</f>
        <v>44733.705555555498</v>
      </c>
      <c r="T3024" s="111">
        <f ca="1">IFERROR(__xludf.DUMMYFUNCTION("""COMPUTED_VALUE"""),23.11)</f>
        <v>23.11</v>
      </c>
    </row>
    <row r="3025" spans="1:20" x14ac:dyDescent="0.3">
      <c r="A3025" s="112">
        <f ca="1">IFERROR(__xludf.DUMMYFUNCTION("""COMPUTED_VALUE"""),44727.7055555555)</f>
        <v>44727.705555555498</v>
      </c>
      <c r="B3025" s="111">
        <f ca="1">IFERROR(__xludf.DUMMYFUNCTION("""COMPUTED_VALUE"""),42.6)</f>
        <v>42.6</v>
      </c>
      <c r="C3025" s="112">
        <f ca="1">IFERROR(__xludf.DUMMYFUNCTION("""COMPUTED_VALUE"""),44736.7055555555)</f>
        <v>44736.705555555498</v>
      </c>
      <c r="D3025" s="111">
        <f ca="1">IFERROR(__xludf.DUMMYFUNCTION("""COMPUTED_VALUE"""),23.44)</f>
        <v>23.44</v>
      </c>
      <c r="E3025" s="112">
        <f ca="1">IFERROR(__xludf.DUMMYFUNCTION("""COMPUTED_VALUE"""),44739.7055555555)</f>
        <v>44739.705555555498</v>
      </c>
      <c r="F3025" s="111">
        <f ca="1">IFERROR(__xludf.DUMMYFUNCTION("""COMPUTED_VALUE"""),8.74)</f>
        <v>8.74</v>
      </c>
      <c r="G3025" s="112">
        <f ca="1">IFERROR(__xludf.DUMMYFUNCTION("""COMPUTED_VALUE"""),44735.7055555555)</f>
        <v>44735.705555555498</v>
      </c>
      <c r="H3025" s="111">
        <f ca="1">IFERROR(__xludf.DUMMYFUNCTION("""COMPUTED_VALUE"""),26.49)</f>
        <v>26.49</v>
      </c>
      <c r="M3025" s="112">
        <f ca="1">IFERROR(__xludf.DUMMYFUNCTION("""COMPUTED_VALUE"""),44643.7055555555)</f>
        <v>44643.705555555498</v>
      </c>
      <c r="N3025" s="111">
        <f ca="1">IFERROR(__xludf.DUMMYFUNCTION("""COMPUTED_VALUE"""),21.76)</f>
        <v>21.76</v>
      </c>
      <c r="O3025" s="112">
        <f ca="1">IFERROR(__xludf.DUMMYFUNCTION("""COMPUTED_VALUE"""),44719.7055555555)</f>
        <v>44719.705555555498</v>
      </c>
      <c r="P3025" s="111">
        <f ca="1">IFERROR(__xludf.DUMMYFUNCTION("""COMPUTED_VALUE"""),90.62)</f>
        <v>90.62</v>
      </c>
      <c r="Q3025" s="112">
        <f ca="1">IFERROR(__xludf.DUMMYFUNCTION("""COMPUTED_VALUE"""),44718.7055555555)</f>
        <v>44718.705555555498</v>
      </c>
      <c r="R3025" s="111">
        <f ca="1">IFERROR(__xludf.DUMMYFUNCTION("""COMPUTED_VALUE"""),35.76)</f>
        <v>35.76</v>
      </c>
      <c r="S3025" s="112">
        <f ca="1">IFERROR(__xludf.DUMMYFUNCTION("""COMPUTED_VALUE"""),44734.7055555555)</f>
        <v>44734.705555555498</v>
      </c>
      <c r="T3025" s="111">
        <f ca="1">IFERROR(__xludf.DUMMYFUNCTION("""COMPUTED_VALUE"""),23.47)</f>
        <v>23.47</v>
      </c>
    </row>
    <row r="3026" spans="1:20" x14ac:dyDescent="0.3">
      <c r="A3026" s="112">
        <f ca="1">IFERROR(__xludf.DUMMYFUNCTION("""COMPUTED_VALUE"""),44729.7055555555)</f>
        <v>44729.705555555498</v>
      </c>
      <c r="B3026" s="111">
        <f ca="1">IFERROR(__xludf.DUMMYFUNCTION("""COMPUTED_VALUE"""),42.89)</f>
        <v>42.89</v>
      </c>
      <c r="C3026" s="112">
        <f ca="1">IFERROR(__xludf.DUMMYFUNCTION("""COMPUTED_VALUE"""),44739.7055555555)</f>
        <v>44739.705555555498</v>
      </c>
      <c r="D3026" s="111">
        <f ca="1">IFERROR(__xludf.DUMMYFUNCTION("""COMPUTED_VALUE"""),23.58)</f>
        <v>23.58</v>
      </c>
      <c r="E3026" s="112">
        <f ca="1">IFERROR(__xludf.DUMMYFUNCTION("""COMPUTED_VALUE"""),44740.7055555555)</f>
        <v>44740.705555555498</v>
      </c>
      <c r="F3026" s="111">
        <f ca="1">IFERROR(__xludf.DUMMYFUNCTION("""COMPUTED_VALUE"""),8.63)</f>
        <v>8.6300000000000008</v>
      </c>
      <c r="G3026" s="112">
        <f ca="1">IFERROR(__xludf.DUMMYFUNCTION("""COMPUTED_VALUE"""),44736.7055555555)</f>
        <v>44736.705555555498</v>
      </c>
      <c r="H3026" s="111">
        <f ca="1">IFERROR(__xludf.DUMMYFUNCTION("""COMPUTED_VALUE"""),26.29)</f>
        <v>26.29</v>
      </c>
      <c r="M3026" s="112">
        <f ca="1">IFERROR(__xludf.DUMMYFUNCTION("""COMPUTED_VALUE"""),44644.7055555555)</f>
        <v>44644.705555555498</v>
      </c>
      <c r="N3026" s="111">
        <f ca="1">IFERROR(__xludf.DUMMYFUNCTION("""COMPUTED_VALUE"""),22.08)</f>
        <v>22.08</v>
      </c>
      <c r="O3026" s="112">
        <f ca="1">IFERROR(__xludf.DUMMYFUNCTION("""COMPUTED_VALUE"""),44720.7055555555)</f>
        <v>44720.705555555498</v>
      </c>
      <c r="P3026" s="111">
        <f ca="1">IFERROR(__xludf.DUMMYFUNCTION("""COMPUTED_VALUE"""),87.5)</f>
        <v>87.5</v>
      </c>
      <c r="Q3026" s="112">
        <f ca="1">IFERROR(__xludf.DUMMYFUNCTION("""COMPUTED_VALUE"""),44719.7055555555)</f>
        <v>44719.705555555498</v>
      </c>
      <c r="R3026" s="111">
        <f ca="1">IFERROR(__xludf.DUMMYFUNCTION("""COMPUTED_VALUE"""),35.51)</f>
        <v>35.51</v>
      </c>
      <c r="S3026" s="112">
        <f ca="1">IFERROR(__xludf.DUMMYFUNCTION("""COMPUTED_VALUE"""),44735.7055555555)</f>
        <v>44735.705555555498</v>
      </c>
      <c r="T3026" s="111">
        <f ca="1">IFERROR(__xludf.DUMMYFUNCTION("""COMPUTED_VALUE"""),23.85)</f>
        <v>23.85</v>
      </c>
    </row>
    <row r="3027" spans="1:20" x14ac:dyDescent="0.3">
      <c r="A3027" s="112">
        <f ca="1">IFERROR(__xludf.DUMMYFUNCTION("""COMPUTED_VALUE"""),44732.7055555555)</f>
        <v>44732.705555555498</v>
      </c>
      <c r="B3027" s="111">
        <f ca="1">IFERROR(__xludf.DUMMYFUNCTION("""COMPUTED_VALUE"""),43.65)</f>
        <v>43.65</v>
      </c>
      <c r="C3027" s="112">
        <f ca="1">IFERROR(__xludf.DUMMYFUNCTION("""COMPUTED_VALUE"""),44740.7055555555)</f>
        <v>44740.705555555498</v>
      </c>
      <c r="D3027" s="111">
        <f ca="1">IFERROR(__xludf.DUMMYFUNCTION("""COMPUTED_VALUE"""),23.32)</f>
        <v>23.32</v>
      </c>
      <c r="E3027" s="112">
        <f ca="1">IFERROR(__xludf.DUMMYFUNCTION("""COMPUTED_VALUE"""),44741.7055555555)</f>
        <v>44741.705555555498</v>
      </c>
      <c r="F3027" s="111">
        <f ca="1">IFERROR(__xludf.DUMMYFUNCTION("""COMPUTED_VALUE"""),8.54)</f>
        <v>8.5399999999999991</v>
      </c>
      <c r="G3027" s="112">
        <f ca="1">IFERROR(__xludf.DUMMYFUNCTION("""COMPUTED_VALUE"""),44739.7055555555)</f>
        <v>44739.705555555498</v>
      </c>
      <c r="H3027" s="111">
        <f ca="1">IFERROR(__xludf.DUMMYFUNCTION("""COMPUTED_VALUE"""),27.98)</f>
        <v>27.98</v>
      </c>
      <c r="M3027" s="112">
        <f ca="1">IFERROR(__xludf.DUMMYFUNCTION("""COMPUTED_VALUE"""),44645.7055555555)</f>
        <v>44645.705555555498</v>
      </c>
      <c r="N3027" s="111">
        <f ca="1">IFERROR(__xludf.DUMMYFUNCTION("""COMPUTED_VALUE"""),22.28)</f>
        <v>22.28</v>
      </c>
      <c r="O3027" s="112">
        <f ca="1">IFERROR(__xludf.DUMMYFUNCTION("""COMPUTED_VALUE"""),44721.7055555555)</f>
        <v>44721.705555555498</v>
      </c>
      <c r="P3027" s="111">
        <f ca="1">IFERROR(__xludf.DUMMYFUNCTION("""COMPUTED_VALUE"""),84.54)</f>
        <v>84.54</v>
      </c>
      <c r="Q3027" s="112">
        <f ca="1">IFERROR(__xludf.DUMMYFUNCTION("""COMPUTED_VALUE"""),44720.7055555555)</f>
        <v>44720.705555555498</v>
      </c>
      <c r="R3027" s="111">
        <f ca="1">IFERROR(__xludf.DUMMYFUNCTION("""COMPUTED_VALUE"""),35.19)</f>
        <v>35.19</v>
      </c>
      <c r="S3027" s="112">
        <f ca="1">IFERROR(__xludf.DUMMYFUNCTION("""COMPUTED_VALUE"""),44736.7055555555)</f>
        <v>44736.705555555498</v>
      </c>
      <c r="T3027" s="111">
        <f ca="1">IFERROR(__xludf.DUMMYFUNCTION("""COMPUTED_VALUE"""),23.15)</f>
        <v>23.15</v>
      </c>
    </row>
    <row r="3028" spans="1:20" x14ac:dyDescent="0.3">
      <c r="A3028" s="112">
        <f ca="1">IFERROR(__xludf.DUMMYFUNCTION("""COMPUTED_VALUE"""),44733.7055555555)</f>
        <v>44733.705555555498</v>
      </c>
      <c r="B3028" s="111">
        <f ca="1">IFERROR(__xludf.DUMMYFUNCTION("""COMPUTED_VALUE"""),44)</f>
        <v>44</v>
      </c>
      <c r="C3028" s="112">
        <f ca="1">IFERROR(__xludf.DUMMYFUNCTION("""COMPUTED_VALUE"""),44741.7055555555)</f>
        <v>44741.705555555498</v>
      </c>
      <c r="D3028" s="111">
        <f ca="1">IFERROR(__xludf.DUMMYFUNCTION("""COMPUTED_VALUE"""),23.08)</f>
        <v>23.08</v>
      </c>
      <c r="E3028" s="112">
        <f ca="1">IFERROR(__xludf.DUMMYFUNCTION("""COMPUTED_VALUE"""),44742.7055555555)</f>
        <v>44742.705555555498</v>
      </c>
      <c r="F3028" s="111">
        <f ca="1">IFERROR(__xludf.DUMMYFUNCTION("""COMPUTED_VALUE"""),8.34)</f>
        <v>8.34</v>
      </c>
      <c r="G3028" s="112">
        <f ca="1">IFERROR(__xludf.DUMMYFUNCTION("""COMPUTED_VALUE"""),44740.7055555555)</f>
        <v>44740.705555555498</v>
      </c>
      <c r="H3028" s="111">
        <f ca="1">IFERROR(__xludf.DUMMYFUNCTION("""COMPUTED_VALUE"""),28.33)</f>
        <v>28.33</v>
      </c>
      <c r="M3028" s="112">
        <f ca="1">IFERROR(__xludf.DUMMYFUNCTION("""COMPUTED_VALUE"""),44648.7055555555)</f>
        <v>44648.705555555498</v>
      </c>
      <c r="N3028" s="111">
        <f ca="1">IFERROR(__xludf.DUMMYFUNCTION("""COMPUTED_VALUE"""),22.17)</f>
        <v>22.17</v>
      </c>
      <c r="O3028" s="112">
        <f ca="1">IFERROR(__xludf.DUMMYFUNCTION("""COMPUTED_VALUE"""),44722.7055555555)</f>
        <v>44722.705555555498</v>
      </c>
      <c r="P3028" s="111">
        <f ca="1">IFERROR(__xludf.DUMMYFUNCTION("""COMPUTED_VALUE"""),84.56)</f>
        <v>84.56</v>
      </c>
      <c r="Q3028" s="112">
        <f ca="1">IFERROR(__xludf.DUMMYFUNCTION("""COMPUTED_VALUE"""),44721.7055555555)</f>
        <v>44721.705555555498</v>
      </c>
      <c r="R3028" s="111">
        <f ca="1">IFERROR(__xludf.DUMMYFUNCTION("""COMPUTED_VALUE"""),35.14)</f>
        <v>35.14</v>
      </c>
      <c r="S3028" s="112">
        <f ca="1">IFERROR(__xludf.DUMMYFUNCTION("""COMPUTED_VALUE"""),44739.7055555555)</f>
        <v>44739.705555555498</v>
      </c>
      <c r="T3028" s="111">
        <f ca="1">IFERROR(__xludf.DUMMYFUNCTION("""COMPUTED_VALUE"""),23.19)</f>
        <v>23.19</v>
      </c>
    </row>
    <row r="3029" spans="1:20" x14ac:dyDescent="0.3">
      <c r="A3029" s="112">
        <f ca="1">IFERROR(__xludf.DUMMYFUNCTION("""COMPUTED_VALUE"""),44734.7055555555)</f>
        <v>44734.705555555498</v>
      </c>
      <c r="B3029" s="111">
        <f ca="1">IFERROR(__xludf.DUMMYFUNCTION("""COMPUTED_VALUE"""),44.48)</f>
        <v>44.48</v>
      </c>
      <c r="C3029" s="112">
        <f ca="1">IFERROR(__xludf.DUMMYFUNCTION("""COMPUTED_VALUE"""),44742.7055555555)</f>
        <v>44742.705555555498</v>
      </c>
      <c r="D3029" s="111">
        <f ca="1">IFERROR(__xludf.DUMMYFUNCTION("""COMPUTED_VALUE"""),22.67)</f>
        <v>22.67</v>
      </c>
      <c r="E3029" s="112">
        <f ca="1">IFERROR(__xludf.DUMMYFUNCTION("""COMPUTED_VALUE"""),44743.7055555555)</f>
        <v>44743.705555555498</v>
      </c>
      <c r="F3029" s="111">
        <f ca="1">IFERROR(__xludf.DUMMYFUNCTION("""COMPUTED_VALUE"""),8.32)</f>
        <v>8.32</v>
      </c>
      <c r="G3029" s="112">
        <f ca="1">IFERROR(__xludf.DUMMYFUNCTION("""COMPUTED_VALUE"""),44741.7055555555)</f>
        <v>44741.705555555498</v>
      </c>
      <c r="H3029" s="111">
        <f ca="1">IFERROR(__xludf.DUMMYFUNCTION("""COMPUTED_VALUE"""),28.08)</f>
        <v>28.08</v>
      </c>
      <c r="M3029" s="112">
        <f ca="1">IFERROR(__xludf.DUMMYFUNCTION("""COMPUTED_VALUE"""),44649.7055555555)</f>
        <v>44649.705555555498</v>
      </c>
      <c r="N3029" s="111">
        <f ca="1">IFERROR(__xludf.DUMMYFUNCTION("""COMPUTED_VALUE"""),22.57)</f>
        <v>22.57</v>
      </c>
      <c r="O3029" s="112">
        <f ca="1">IFERROR(__xludf.DUMMYFUNCTION("""COMPUTED_VALUE"""),44725.7055555555)</f>
        <v>44725.705555555498</v>
      </c>
      <c r="P3029" s="111">
        <f ca="1">IFERROR(__xludf.DUMMYFUNCTION("""COMPUTED_VALUE"""),81.88)</f>
        <v>81.88</v>
      </c>
      <c r="Q3029" s="112">
        <f ca="1">IFERROR(__xludf.DUMMYFUNCTION("""COMPUTED_VALUE"""),44722.7055555555)</f>
        <v>44722.705555555498</v>
      </c>
      <c r="R3029" s="111">
        <f ca="1">IFERROR(__xludf.DUMMYFUNCTION("""COMPUTED_VALUE"""),34.55)</f>
        <v>34.549999999999997</v>
      </c>
      <c r="S3029" s="112">
        <f ca="1">IFERROR(__xludf.DUMMYFUNCTION("""COMPUTED_VALUE"""),44740.7055555555)</f>
        <v>44740.705555555498</v>
      </c>
      <c r="T3029" s="111">
        <f ca="1">IFERROR(__xludf.DUMMYFUNCTION("""COMPUTED_VALUE"""),22.72)</f>
        <v>22.72</v>
      </c>
    </row>
    <row r="3030" spans="1:20" x14ac:dyDescent="0.3">
      <c r="A3030" s="112">
        <f ca="1">IFERROR(__xludf.DUMMYFUNCTION("""COMPUTED_VALUE"""),44735.7055555555)</f>
        <v>44735.705555555498</v>
      </c>
      <c r="B3030" s="111">
        <f ca="1">IFERROR(__xludf.DUMMYFUNCTION("""COMPUTED_VALUE"""),43.83)</f>
        <v>43.83</v>
      </c>
      <c r="C3030" s="112">
        <f ca="1">IFERROR(__xludf.DUMMYFUNCTION("""COMPUTED_VALUE"""),44743.7055555555)</f>
        <v>44743.705555555498</v>
      </c>
      <c r="D3030" s="111">
        <f ca="1">IFERROR(__xludf.DUMMYFUNCTION("""COMPUTED_VALUE"""),22.85)</f>
        <v>22.85</v>
      </c>
      <c r="E3030" s="112">
        <f ca="1">IFERROR(__xludf.DUMMYFUNCTION("""COMPUTED_VALUE"""),44746.7055555555)</f>
        <v>44746.705555555498</v>
      </c>
      <c r="F3030" s="111">
        <f ca="1">IFERROR(__xludf.DUMMYFUNCTION("""COMPUTED_VALUE"""),8.25)</f>
        <v>8.25</v>
      </c>
      <c r="G3030" s="112">
        <f ca="1">IFERROR(__xludf.DUMMYFUNCTION("""COMPUTED_VALUE"""),44742.7055555555)</f>
        <v>44742.705555555498</v>
      </c>
      <c r="H3030" s="111">
        <f ca="1">IFERROR(__xludf.DUMMYFUNCTION("""COMPUTED_VALUE"""),27.93)</f>
        <v>27.93</v>
      </c>
      <c r="M3030" s="112">
        <f ca="1">IFERROR(__xludf.DUMMYFUNCTION("""COMPUTED_VALUE"""),44650.7055555555)</f>
        <v>44650.705555555498</v>
      </c>
      <c r="N3030" s="111">
        <f ca="1">IFERROR(__xludf.DUMMYFUNCTION("""COMPUTED_VALUE"""),22.43)</f>
        <v>22.43</v>
      </c>
      <c r="O3030" s="112">
        <f ca="1">IFERROR(__xludf.DUMMYFUNCTION("""COMPUTED_VALUE"""),44726.7055555555)</f>
        <v>44726.705555555498</v>
      </c>
      <c r="P3030" s="111">
        <f ca="1">IFERROR(__xludf.DUMMYFUNCTION("""COMPUTED_VALUE"""),81.72)</f>
        <v>81.72</v>
      </c>
      <c r="Q3030" s="112">
        <f ca="1">IFERROR(__xludf.DUMMYFUNCTION("""COMPUTED_VALUE"""),44725.7055555555)</f>
        <v>44725.705555555498</v>
      </c>
      <c r="R3030" s="111">
        <f ca="1">IFERROR(__xludf.DUMMYFUNCTION("""COMPUTED_VALUE"""),33.76)</f>
        <v>33.76</v>
      </c>
      <c r="S3030" s="112">
        <f ca="1">IFERROR(__xludf.DUMMYFUNCTION("""COMPUTED_VALUE"""),44741.7055555555)</f>
        <v>44741.705555555498</v>
      </c>
      <c r="T3030" s="111">
        <f ca="1">IFERROR(__xludf.DUMMYFUNCTION("""COMPUTED_VALUE"""),22.3)</f>
        <v>22.3</v>
      </c>
    </row>
    <row r="3031" spans="1:20" x14ac:dyDescent="0.3">
      <c r="A3031" s="112">
        <f ca="1">IFERROR(__xludf.DUMMYFUNCTION("""COMPUTED_VALUE"""),44736.7055555555)</f>
        <v>44736.705555555498</v>
      </c>
      <c r="B3031" s="111">
        <f ca="1">IFERROR(__xludf.DUMMYFUNCTION("""COMPUTED_VALUE"""),44.25)</f>
        <v>44.25</v>
      </c>
      <c r="C3031" s="112">
        <f ca="1">IFERROR(__xludf.DUMMYFUNCTION("""COMPUTED_VALUE"""),44746.7055555555)</f>
        <v>44746.705555555498</v>
      </c>
      <c r="D3031" s="111">
        <f ca="1">IFERROR(__xludf.DUMMYFUNCTION("""COMPUTED_VALUE"""),22.63)</f>
        <v>22.63</v>
      </c>
      <c r="E3031" s="112">
        <f ca="1">IFERROR(__xludf.DUMMYFUNCTION("""COMPUTED_VALUE"""),44747.7055555555)</f>
        <v>44747.705555555498</v>
      </c>
      <c r="F3031" s="111">
        <f ca="1">IFERROR(__xludf.DUMMYFUNCTION("""COMPUTED_VALUE"""),8.26)</f>
        <v>8.26</v>
      </c>
      <c r="G3031" s="112">
        <f ca="1">IFERROR(__xludf.DUMMYFUNCTION("""COMPUTED_VALUE"""),44743.7055555555)</f>
        <v>44743.705555555498</v>
      </c>
      <c r="H3031" s="111">
        <f ca="1">IFERROR(__xludf.DUMMYFUNCTION("""COMPUTED_VALUE"""),28.53)</f>
        <v>28.53</v>
      </c>
      <c r="M3031" s="112">
        <f ca="1">IFERROR(__xludf.DUMMYFUNCTION("""COMPUTED_VALUE"""),44651.7055555555)</f>
        <v>44651.705555555498</v>
      </c>
      <c r="N3031" s="111">
        <f ca="1">IFERROR(__xludf.DUMMYFUNCTION("""COMPUTED_VALUE"""),22.22)</f>
        <v>22.22</v>
      </c>
      <c r="O3031" s="112">
        <f ca="1">IFERROR(__xludf.DUMMYFUNCTION("""COMPUTED_VALUE"""),44727.7055555555)</f>
        <v>44727.705555555498</v>
      </c>
      <c r="P3031" s="111">
        <f ca="1">IFERROR(__xludf.DUMMYFUNCTION("""COMPUTED_VALUE"""),81.67)</f>
        <v>81.67</v>
      </c>
      <c r="Q3031" s="112">
        <f ca="1">IFERROR(__xludf.DUMMYFUNCTION("""COMPUTED_VALUE"""),44726.7055555555)</f>
        <v>44726.705555555498</v>
      </c>
      <c r="R3031" s="111">
        <f ca="1">IFERROR(__xludf.DUMMYFUNCTION("""COMPUTED_VALUE"""),33.52)</f>
        <v>33.520000000000003</v>
      </c>
      <c r="S3031" s="112">
        <f ca="1">IFERROR(__xludf.DUMMYFUNCTION("""COMPUTED_VALUE"""),44742.7055555555)</f>
        <v>44742.705555555498</v>
      </c>
      <c r="T3031" s="111">
        <f ca="1">IFERROR(__xludf.DUMMYFUNCTION("""COMPUTED_VALUE"""),22.62)</f>
        <v>22.62</v>
      </c>
    </row>
    <row r="3032" spans="1:20" x14ac:dyDescent="0.3">
      <c r="A3032" s="112">
        <f ca="1">IFERROR(__xludf.DUMMYFUNCTION("""COMPUTED_VALUE"""),44739.7055555555)</f>
        <v>44739.705555555498</v>
      </c>
      <c r="B3032" s="111">
        <f ca="1">IFERROR(__xludf.DUMMYFUNCTION("""COMPUTED_VALUE"""),45.3)</f>
        <v>45.3</v>
      </c>
      <c r="C3032" s="112">
        <f ca="1">IFERROR(__xludf.DUMMYFUNCTION("""COMPUTED_VALUE"""),44747.7055555555)</f>
        <v>44747.705555555498</v>
      </c>
      <c r="D3032" s="111">
        <f ca="1">IFERROR(__xludf.DUMMYFUNCTION("""COMPUTED_VALUE"""),22.79)</f>
        <v>22.79</v>
      </c>
      <c r="E3032" s="112">
        <f ca="1">IFERROR(__xludf.DUMMYFUNCTION("""COMPUTED_VALUE"""),44748.7055555555)</f>
        <v>44748.705555555498</v>
      </c>
      <c r="F3032" s="111">
        <f ca="1">IFERROR(__xludf.DUMMYFUNCTION("""COMPUTED_VALUE"""),8.25)</f>
        <v>8.25</v>
      </c>
      <c r="G3032" s="112">
        <f ca="1">IFERROR(__xludf.DUMMYFUNCTION("""COMPUTED_VALUE"""),44746.7055555555)</f>
        <v>44746.705555555498</v>
      </c>
      <c r="H3032" s="111">
        <f ca="1">IFERROR(__xludf.DUMMYFUNCTION("""COMPUTED_VALUE"""),29.14)</f>
        <v>29.14</v>
      </c>
      <c r="M3032" s="112">
        <f ca="1">IFERROR(__xludf.DUMMYFUNCTION("""COMPUTED_VALUE"""),44652.7055555555)</f>
        <v>44652.705555555498</v>
      </c>
      <c r="N3032" s="111">
        <f ca="1">IFERROR(__xludf.DUMMYFUNCTION("""COMPUTED_VALUE"""),21.98)</f>
        <v>21.98</v>
      </c>
      <c r="O3032" s="112">
        <f ca="1">IFERROR(__xludf.DUMMYFUNCTION("""COMPUTED_VALUE"""),44729.7055555555)</f>
        <v>44729.705555555498</v>
      </c>
      <c r="P3032" s="111">
        <f ca="1">IFERROR(__xludf.DUMMYFUNCTION("""COMPUTED_VALUE"""),77.41)</f>
        <v>77.41</v>
      </c>
      <c r="Q3032" s="112">
        <f ca="1">IFERROR(__xludf.DUMMYFUNCTION("""COMPUTED_VALUE"""),44727.7055555555)</f>
        <v>44727.705555555498</v>
      </c>
      <c r="R3032" s="111">
        <f ca="1">IFERROR(__xludf.DUMMYFUNCTION("""COMPUTED_VALUE"""),34.05)</f>
        <v>34.049999999999997</v>
      </c>
      <c r="S3032" s="112">
        <f ca="1">IFERROR(__xludf.DUMMYFUNCTION("""COMPUTED_VALUE"""),44743.7055555555)</f>
        <v>44743.705555555498</v>
      </c>
      <c r="T3032" s="111">
        <f ca="1">IFERROR(__xludf.DUMMYFUNCTION("""COMPUTED_VALUE"""),23.1)</f>
        <v>23.1</v>
      </c>
    </row>
    <row r="3033" spans="1:20" x14ac:dyDescent="0.3">
      <c r="A3033" s="112">
        <f ca="1">IFERROR(__xludf.DUMMYFUNCTION("""COMPUTED_VALUE"""),44740.7055555555)</f>
        <v>44740.705555555498</v>
      </c>
      <c r="B3033" s="111">
        <f ca="1">IFERROR(__xludf.DUMMYFUNCTION("""COMPUTED_VALUE"""),45.56)</f>
        <v>45.56</v>
      </c>
      <c r="C3033" s="112">
        <f ca="1">IFERROR(__xludf.DUMMYFUNCTION("""COMPUTED_VALUE"""),44748.7055555555)</f>
        <v>44748.705555555498</v>
      </c>
      <c r="D3033" s="111">
        <f ca="1">IFERROR(__xludf.DUMMYFUNCTION("""COMPUTED_VALUE"""),22.58)</f>
        <v>22.58</v>
      </c>
      <c r="E3033" s="112">
        <f ca="1">IFERROR(__xludf.DUMMYFUNCTION("""COMPUTED_VALUE"""),44749.7055555555)</f>
        <v>44749.705555555498</v>
      </c>
      <c r="F3033" s="111">
        <f ca="1">IFERROR(__xludf.DUMMYFUNCTION("""COMPUTED_VALUE"""),8.34)</f>
        <v>8.34</v>
      </c>
      <c r="G3033" s="112">
        <f ca="1">IFERROR(__xludf.DUMMYFUNCTION("""COMPUTED_VALUE"""),44747.7055555555)</f>
        <v>44747.705555555498</v>
      </c>
      <c r="H3033" s="111">
        <f ca="1">IFERROR(__xludf.DUMMYFUNCTION("""COMPUTED_VALUE"""),28.03)</f>
        <v>28.03</v>
      </c>
      <c r="M3033" s="112">
        <f ca="1">IFERROR(__xludf.DUMMYFUNCTION("""COMPUTED_VALUE"""),44655.7055555555)</f>
        <v>44655.705555555498</v>
      </c>
      <c r="N3033" s="111">
        <f ca="1">IFERROR(__xludf.DUMMYFUNCTION("""COMPUTED_VALUE"""),21.87)</f>
        <v>21.87</v>
      </c>
      <c r="O3033" s="112">
        <f ca="1">IFERROR(__xludf.DUMMYFUNCTION("""COMPUTED_VALUE"""),44732.7055555555)</f>
        <v>44732.705555555498</v>
      </c>
      <c r="P3033" s="111">
        <f ca="1">IFERROR(__xludf.DUMMYFUNCTION("""COMPUTED_VALUE"""),75.5)</f>
        <v>75.5</v>
      </c>
      <c r="Q3033" s="112">
        <f ca="1">IFERROR(__xludf.DUMMYFUNCTION("""COMPUTED_VALUE"""),44729.7055555555)</f>
        <v>44729.705555555498</v>
      </c>
      <c r="R3033" s="111">
        <f ca="1">IFERROR(__xludf.DUMMYFUNCTION("""COMPUTED_VALUE"""),34.13)</f>
        <v>34.130000000000003</v>
      </c>
      <c r="S3033" s="112">
        <f ca="1">IFERROR(__xludf.DUMMYFUNCTION("""COMPUTED_VALUE"""),44746.7055555555)</f>
        <v>44746.705555555498</v>
      </c>
      <c r="T3033" s="111">
        <f ca="1">IFERROR(__xludf.DUMMYFUNCTION("""COMPUTED_VALUE"""),23.03)</f>
        <v>23.03</v>
      </c>
    </row>
    <row r="3034" spans="1:20" x14ac:dyDescent="0.3">
      <c r="A3034" s="112">
        <f ca="1">IFERROR(__xludf.DUMMYFUNCTION("""COMPUTED_VALUE"""),44741.7055555555)</f>
        <v>44741.705555555498</v>
      </c>
      <c r="B3034" s="111">
        <f ca="1">IFERROR(__xludf.DUMMYFUNCTION("""COMPUTED_VALUE"""),45.72)</f>
        <v>45.72</v>
      </c>
      <c r="C3034" s="112">
        <f ca="1">IFERROR(__xludf.DUMMYFUNCTION("""COMPUTED_VALUE"""),44749.7055555555)</f>
        <v>44749.705555555498</v>
      </c>
      <c r="D3034" s="111">
        <f ca="1">IFERROR(__xludf.DUMMYFUNCTION("""COMPUTED_VALUE"""),22.9)</f>
        <v>22.9</v>
      </c>
      <c r="E3034" s="112">
        <f ca="1">IFERROR(__xludf.DUMMYFUNCTION("""COMPUTED_VALUE"""),44750.7055555555)</f>
        <v>44750.705555555498</v>
      </c>
      <c r="F3034" s="111">
        <f ca="1">IFERROR(__xludf.DUMMYFUNCTION("""COMPUTED_VALUE"""),8.39)</f>
        <v>8.39</v>
      </c>
      <c r="G3034" s="112">
        <f ca="1">IFERROR(__xludf.DUMMYFUNCTION("""COMPUTED_VALUE"""),44748.7055555555)</f>
        <v>44748.705555555498</v>
      </c>
      <c r="H3034" s="111">
        <f ca="1">IFERROR(__xludf.DUMMYFUNCTION("""COMPUTED_VALUE"""),27.67)</f>
        <v>27.67</v>
      </c>
      <c r="M3034" s="112">
        <f ca="1">IFERROR(__xludf.DUMMYFUNCTION("""COMPUTED_VALUE"""),44656.7055555555)</f>
        <v>44656.705555555498</v>
      </c>
      <c r="N3034" s="111">
        <f ca="1">IFERROR(__xludf.DUMMYFUNCTION("""COMPUTED_VALUE"""),21.26)</f>
        <v>21.26</v>
      </c>
      <c r="O3034" s="112">
        <f ca="1">IFERROR(__xludf.DUMMYFUNCTION("""COMPUTED_VALUE"""),44733.7055555555)</f>
        <v>44733.705555555498</v>
      </c>
      <c r="P3034" s="111">
        <f ca="1">IFERROR(__xludf.DUMMYFUNCTION("""COMPUTED_VALUE"""),76)</f>
        <v>76</v>
      </c>
      <c r="Q3034" s="112">
        <f ca="1">IFERROR(__xludf.DUMMYFUNCTION("""COMPUTED_VALUE"""),44732.7055555555)</f>
        <v>44732.705555555498</v>
      </c>
      <c r="R3034" s="111">
        <f ca="1">IFERROR(__xludf.DUMMYFUNCTION("""COMPUTED_VALUE"""),34.39)</f>
        <v>34.39</v>
      </c>
      <c r="S3034" s="112">
        <f ca="1">IFERROR(__xludf.DUMMYFUNCTION("""COMPUTED_VALUE"""),44747.7055555555)</f>
        <v>44747.705555555498</v>
      </c>
      <c r="T3034" s="111">
        <f ca="1">IFERROR(__xludf.DUMMYFUNCTION("""COMPUTED_VALUE"""),23.09)</f>
        <v>23.09</v>
      </c>
    </row>
    <row r="3035" spans="1:20" x14ac:dyDescent="0.3">
      <c r="A3035" s="112">
        <f ca="1">IFERROR(__xludf.DUMMYFUNCTION("""COMPUTED_VALUE"""),44742.7055555555)</f>
        <v>44742.705555555498</v>
      </c>
      <c r="B3035" s="111">
        <f ca="1">IFERROR(__xludf.DUMMYFUNCTION("""COMPUTED_VALUE"""),46.2)</f>
        <v>46.2</v>
      </c>
      <c r="C3035" s="112">
        <f ca="1">IFERROR(__xludf.DUMMYFUNCTION("""COMPUTED_VALUE"""),44750.7055555555)</f>
        <v>44750.705555555498</v>
      </c>
      <c r="D3035" s="111">
        <f ca="1">IFERROR(__xludf.DUMMYFUNCTION("""COMPUTED_VALUE"""),22.91)</f>
        <v>22.91</v>
      </c>
      <c r="E3035" s="112">
        <f ca="1">IFERROR(__xludf.DUMMYFUNCTION("""COMPUTED_VALUE"""),44753.7055555555)</f>
        <v>44753.705555555498</v>
      </c>
      <c r="F3035" s="111">
        <f ca="1">IFERROR(__xludf.DUMMYFUNCTION("""COMPUTED_VALUE"""),8.22)</f>
        <v>8.2200000000000006</v>
      </c>
      <c r="G3035" s="112">
        <f ca="1">IFERROR(__xludf.DUMMYFUNCTION("""COMPUTED_VALUE"""),44749.7055555555)</f>
        <v>44749.705555555498</v>
      </c>
      <c r="H3035" s="111">
        <f ca="1">IFERROR(__xludf.DUMMYFUNCTION("""COMPUTED_VALUE"""),28.48)</f>
        <v>28.48</v>
      </c>
      <c r="M3035" s="112">
        <f ca="1">IFERROR(__xludf.DUMMYFUNCTION("""COMPUTED_VALUE"""),44657.7055555555)</f>
        <v>44657.705555555498</v>
      </c>
      <c r="N3035" s="111">
        <f ca="1">IFERROR(__xludf.DUMMYFUNCTION("""COMPUTED_VALUE"""),21.15)</f>
        <v>21.15</v>
      </c>
      <c r="O3035" s="112">
        <f ca="1">IFERROR(__xludf.DUMMYFUNCTION("""COMPUTED_VALUE"""),44734.7055555555)</f>
        <v>44734.705555555498</v>
      </c>
      <c r="P3035" s="111">
        <f ca="1">IFERROR(__xludf.DUMMYFUNCTION("""COMPUTED_VALUE"""),75.35)</f>
        <v>75.349999999999994</v>
      </c>
      <c r="Q3035" s="112">
        <f ca="1">IFERROR(__xludf.DUMMYFUNCTION("""COMPUTED_VALUE"""),44733.7055555555)</f>
        <v>44733.705555555498</v>
      </c>
      <c r="R3035" s="111">
        <f ca="1">IFERROR(__xludf.DUMMYFUNCTION("""COMPUTED_VALUE"""),32.98)</f>
        <v>32.979999999999997</v>
      </c>
      <c r="S3035" s="112">
        <f ca="1">IFERROR(__xludf.DUMMYFUNCTION("""COMPUTED_VALUE"""),44748.7055555555)</f>
        <v>44748.705555555498</v>
      </c>
      <c r="T3035" s="111">
        <f ca="1">IFERROR(__xludf.DUMMYFUNCTION("""COMPUTED_VALUE"""),23.86)</f>
        <v>23.86</v>
      </c>
    </row>
    <row r="3036" spans="1:20" x14ac:dyDescent="0.3">
      <c r="A3036" s="112">
        <f ca="1">IFERROR(__xludf.DUMMYFUNCTION("""COMPUTED_VALUE"""),44743.7055555555)</f>
        <v>44743.705555555498</v>
      </c>
      <c r="B3036" s="111">
        <f ca="1">IFERROR(__xludf.DUMMYFUNCTION("""COMPUTED_VALUE"""),45.85)</f>
        <v>45.85</v>
      </c>
      <c r="C3036" s="112">
        <f ca="1">IFERROR(__xludf.DUMMYFUNCTION("""COMPUTED_VALUE"""),44753.7055555555)</f>
        <v>44753.705555555498</v>
      </c>
      <c r="D3036" s="111">
        <f ca="1">IFERROR(__xludf.DUMMYFUNCTION("""COMPUTED_VALUE"""),22.54)</f>
        <v>22.54</v>
      </c>
      <c r="E3036" s="112">
        <f ca="1">IFERROR(__xludf.DUMMYFUNCTION("""COMPUTED_VALUE"""),44754.7055555555)</f>
        <v>44754.705555555498</v>
      </c>
      <c r="F3036" s="111">
        <f ca="1">IFERROR(__xludf.DUMMYFUNCTION("""COMPUTED_VALUE"""),8.2)</f>
        <v>8.1999999999999993</v>
      </c>
      <c r="G3036" s="112">
        <f ca="1">IFERROR(__xludf.DUMMYFUNCTION("""COMPUTED_VALUE"""),44750.7055555555)</f>
        <v>44750.705555555498</v>
      </c>
      <c r="H3036" s="111">
        <f ca="1">IFERROR(__xludf.DUMMYFUNCTION("""COMPUTED_VALUE"""),28.8)</f>
        <v>28.8</v>
      </c>
      <c r="M3036" s="112">
        <f ca="1">IFERROR(__xludf.DUMMYFUNCTION("""COMPUTED_VALUE"""),44658.7055555555)</f>
        <v>44658.705555555498</v>
      </c>
      <c r="N3036" s="111">
        <f ca="1">IFERROR(__xludf.DUMMYFUNCTION("""COMPUTED_VALUE"""),21.24)</f>
        <v>21.24</v>
      </c>
      <c r="O3036" s="112">
        <f ca="1">IFERROR(__xludf.DUMMYFUNCTION("""COMPUTED_VALUE"""),44735.7055555555)</f>
        <v>44735.705555555498</v>
      </c>
      <c r="P3036" s="111">
        <f ca="1">IFERROR(__xludf.DUMMYFUNCTION("""COMPUTED_VALUE"""),72.6)</f>
        <v>72.599999999999994</v>
      </c>
      <c r="Q3036" s="112">
        <f ca="1">IFERROR(__xludf.DUMMYFUNCTION("""COMPUTED_VALUE"""),44734.7055555555)</f>
        <v>44734.705555555498</v>
      </c>
      <c r="R3036" s="111">
        <f ca="1">IFERROR(__xludf.DUMMYFUNCTION("""COMPUTED_VALUE"""),32.86)</f>
        <v>32.86</v>
      </c>
      <c r="S3036" s="112">
        <f ca="1">IFERROR(__xludf.DUMMYFUNCTION("""COMPUTED_VALUE"""),44749.7055555555)</f>
        <v>44749.705555555498</v>
      </c>
      <c r="T3036" s="111">
        <f ca="1">IFERROR(__xludf.DUMMYFUNCTION("""COMPUTED_VALUE"""),24.75)</f>
        <v>24.75</v>
      </c>
    </row>
    <row r="3037" spans="1:20" x14ac:dyDescent="0.3">
      <c r="A3037" s="112">
        <f ca="1">IFERROR(__xludf.DUMMYFUNCTION("""COMPUTED_VALUE"""),44746.7055555555)</f>
        <v>44746.705555555498</v>
      </c>
      <c r="B3037" s="111">
        <f ca="1">IFERROR(__xludf.DUMMYFUNCTION("""COMPUTED_VALUE"""),45.24)</f>
        <v>45.24</v>
      </c>
      <c r="C3037" s="112">
        <f ca="1">IFERROR(__xludf.DUMMYFUNCTION("""COMPUTED_VALUE"""),44754.7055555555)</f>
        <v>44754.705555555498</v>
      </c>
      <c r="D3037" s="111">
        <f ca="1">IFERROR(__xludf.DUMMYFUNCTION("""COMPUTED_VALUE"""),22.49)</f>
        <v>22.49</v>
      </c>
      <c r="E3037" s="112">
        <f ca="1">IFERROR(__xludf.DUMMYFUNCTION("""COMPUTED_VALUE"""),44755.7055555555)</f>
        <v>44755.705555555498</v>
      </c>
      <c r="F3037" s="111">
        <f ca="1">IFERROR(__xludf.DUMMYFUNCTION("""COMPUTED_VALUE"""),8.12)</f>
        <v>8.1199999999999992</v>
      </c>
      <c r="G3037" s="112">
        <f ca="1">IFERROR(__xludf.DUMMYFUNCTION("""COMPUTED_VALUE"""),44753.7055555555)</f>
        <v>44753.705555555498</v>
      </c>
      <c r="H3037" s="111">
        <f ca="1">IFERROR(__xludf.DUMMYFUNCTION("""COMPUTED_VALUE"""),28.66)</f>
        <v>28.66</v>
      </c>
      <c r="M3037" s="112">
        <f ca="1">IFERROR(__xludf.DUMMYFUNCTION("""COMPUTED_VALUE"""),44659.7055555555)</f>
        <v>44659.705555555498</v>
      </c>
      <c r="N3037" s="111">
        <f ca="1">IFERROR(__xludf.DUMMYFUNCTION("""COMPUTED_VALUE"""),21.48)</f>
        <v>21.48</v>
      </c>
      <c r="O3037" s="112">
        <f ca="1">IFERROR(__xludf.DUMMYFUNCTION("""COMPUTED_VALUE"""),44736.7055555555)</f>
        <v>44736.705555555498</v>
      </c>
      <c r="P3037" s="111">
        <f ca="1">IFERROR(__xludf.DUMMYFUNCTION("""COMPUTED_VALUE"""),74.62)</f>
        <v>74.62</v>
      </c>
      <c r="Q3037" s="112">
        <f ca="1">IFERROR(__xludf.DUMMYFUNCTION("""COMPUTED_VALUE"""),44735.7055555555)</f>
        <v>44735.705555555498</v>
      </c>
      <c r="R3037" s="111">
        <f ca="1">IFERROR(__xludf.DUMMYFUNCTION("""COMPUTED_VALUE"""),32.65)</f>
        <v>32.65</v>
      </c>
      <c r="S3037" s="112">
        <f ca="1">IFERROR(__xludf.DUMMYFUNCTION("""COMPUTED_VALUE"""),44750.7055555555)</f>
        <v>44750.705555555498</v>
      </c>
      <c r="T3037" s="111">
        <f ca="1">IFERROR(__xludf.DUMMYFUNCTION("""COMPUTED_VALUE"""),24.78)</f>
        <v>24.78</v>
      </c>
    </row>
    <row r="3038" spans="1:20" x14ac:dyDescent="0.3">
      <c r="A3038" s="112">
        <f ca="1">IFERROR(__xludf.DUMMYFUNCTION("""COMPUTED_VALUE"""),44747.7055555555)</f>
        <v>44747.705555555498</v>
      </c>
      <c r="B3038" s="111">
        <f ca="1">IFERROR(__xludf.DUMMYFUNCTION("""COMPUTED_VALUE"""),44.71)</f>
        <v>44.71</v>
      </c>
      <c r="C3038" s="112">
        <f ca="1">IFERROR(__xludf.DUMMYFUNCTION("""COMPUTED_VALUE"""),44755.7055555555)</f>
        <v>44755.705555555498</v>
      </c>
      <c r="D3038" s="111">
        <f ca="1">IFERROR(__xludf.DUMMYFUNCTION("""COMPUTED_VALUE"""),22.4)</f>
        <v>22.4</v>
      </c>
      <c r="E3038" s="112">
        <f ca="1">IFERROR(__xludf.DUMMYFUNCTION("""COMPUTED_VALUE"""),44756.7055555555)</f>
        <v>44756.705555555498</v>
      </c>
      <c r="F3038" s="111">
        <f ca="1">IFERROR(__xludf.DUMMYFUNCTION("""COMPUTED_VALUE"""),8.1)</f>
        <v>8.1</v>
      </c>
      <c r="G3038" s="112">
        <f ca="1">IFERROR(__xludf.DUMMYFUNCTION("""COMPUTED_VALUE"""),44754.7055555555)</f>
        <v>44754.705555555498</v>
      </c>
      <c r="H3038" s="111">
        <f ca="1">IFERROR(__xludf.DUMMYFUNCTION("""COMPUTED_VALUE"""),28.23)</f>
        <v>28.23</v>
      </c>
      <c r="M3038" s="112">
        <f ca="1">IFERROR(__xludf.DUMMYFUNCTION("""COMPUTED_VALUE"""),44662.7055555555)</f>
        <v>44662.705555555498</v>
      </c>
      <c r="N3038" s="111">
        <f ca="1">IFERROR(__xludf.DUMMYFUNCTION("""COMPUTED_VALUE"""),21.45)</f>
        <v>21.45</v>
      </c>
      <c r="O3038" s="112">
        <f ca="1">IFERROR(__xludf.DUMMYFUNCTION("""COMPUTED_VALUE"""),44739.7055555555)</f>
        <v>44739.705555555498</v>
      </c>
      <c r="P3038" s="111">
        <f ca="1">IFERROR(__xludf.DUMMYFUNCTION("""COMPUTED_VALUE"""),78.05)</f>
        <v>78.05</v>
      </c>
      <c r="Q3038" s="112">
        <f ca="1">IFERROR(__xludf.DUMMYFUNCTION("""COMPUTED_VALUE"""),44736.7055555555)</f>
        <v>44736.705555555498</v>
      </c>
      <c r="R3038" s="111">
        <f ca="1">IFERROR(__xludf.DUMMYFUNCTION("""COMPUTED_VALUE"""),32.46)</f>
        <v>32.46</v>
      </c>
      <c r="S3038" s="112">
        <f ca="1">IFERROR(__xludf.DUMMYFUNCTION("""COMPUTED_VALUE"""),44753.7055555555)</f>
        <v>44753.705555555498</v>
      </c>
      <c r="T3038" s="111">
        <f ca="1">IFERROR(__xludf.DUMMYFUNCTION("""COMPUTED_VALUE"""),24.07)</f>
        <v>24.07</v>
      </c>
    </row>
    <row r="3039" spans="1:20" x14ac:dyDescent="0.3">
      <c r="A3039" s="112">
        <f ca="1">IFERROR(__xludf.DUMMYFUNCTION("""COMPUTED_VALUE"""),44748.7055555555)</f>
        <v>44748.705555555498</v>
      </c>
      <c r="B3039" s="111">
        <f ca="1">IFERROR(__xludf.DUMMYFUNCTION("""COMPUTED_VALUE"""),44.18)</f>
        <v>44.18</v>
      </c>
      <c r="C3039" s="112">
        <f ca="1">IFERROR(__xludf.DUMMYFUNCTION("""COMPUTED_VALUE"""),44756.7055555555)</f>
        <v>44756.705555555498</v>
      </c>
      <c r="D3039" s="111">
        <f ca="1">IFERROR(__xludf.DUMMYFUNCTION("""COMPUTED_VALUE"""),22.15)</f>
        <v>22.15</v>
      </c>
      <c r="E3039" s="112">
        <f ca="1">IFERROR(__xludf.DUMMYFUNCTION("""COMPUTED_VALUE"""),44757.7055555555)</f>
        <v>44757.705555555498</v>
      </c>
      <c r="F3039" s="111">
        <f ca="1">IFERROR(__xludf.DUMMYFUNCTION("""COMPUTED_VALUE"""),8.35)</f>
        <v>8.35</v>
      </c>
      <c r="G3039" s="112">
        <f ca="1">IFERROR(__xludf.DUMMYFUNCTION("""COMPUTED_VALUE"""),44755.7055555555)</f>
        <v>44755.705555555498</v>
      </c>
      <c r="H3039" s="111">
        <f ca="1">IFERROR(__xludf.DUMMYFUNCTION("""COMPUTED_VALUE"""),28.25)</f>
        <v>28.25</v>
      </c>
      <c r="M3039" s="112">
        <f ca="1">IFERROR(__xludf.DUMMYFUNCTION("""COMPUTED_VALUE"""),44663.7055555555)</f>
        <v>44663.705555555498</v>
      </c>
      <c r="N3039" s="111">
        <f ca="1">IFERROR(__xludf.DUMMYFUNCTION("""COMPUTED_VALUE"""),21.26)</f>
        <v>21.26</v>
      </c>
      <c r="O3039" s="112">
        <f ca="1">IFERROR(__xludf.DUMMYFUNCTION("""COMPUTED_VALUE"""),44740.7055555555)</f>
        <v>44740.705555555498</v>
      </c>
      <c r="P3039" s="111">
        <f ca="1">IFERROR(__xludf.DUMMYFUNCTION("""COMPUTED_VALUE"""),79.45)</f>
        <v>79.45</v>
      </c>
      <c r="Q3039" s="112">
        <f ca="1">IFERROR(__xludf.DUMMYFUNCTION("""COMPUTED_VALUE"""),44739.7055555555)</f>
        <v>44739.705555555498</v>
      </c>
      <c r="R3039" s="111">
        <f ca="1">IFERROR(__xludf.DUMMYFUNCTION("""COMPUTED_VALUE"""),33.13)</f>
        <v>33.130000000000003</v>
      </c>
      <c r="S3039" s="112">
        <f ca="1">IFERROR(__xludf.DUMMYFUNCTION("""COMPUTED_VALUE"""),44754.7055555555)</f>
        <v>44754.705555555498</v>
      </c>
      <c r="T3039" s="111">
        <f ca="1">IFERROR(__xludf.DUMMYFUNCTION("""COMPUTED_VALUE"""),24.18)</f>
        <v>24.18</v>
      </c>
    </row>
    <row r="3040" spans="1:20" x14ac:dyDescent="0.3">
      <c r="A3040" s="112">
        <f ca="1">IFERROR(__xludf.DUMMYFUNCTION("""COMPUTED_VALUE"""),44749.7055555555)</f>
        <v>44749.705555555498</v>
      </c>
      <c r="B3040" s="111">
        <f ca="1">IFERROR(__xludf.DUMMYFUNCTION("""COMPUTED_VALUE"""),44.71)</f>
        <v>44.71</v>
      </c>
      <c r="C3040" s="112">
        <f ca="1">IFERROR(__xludf.DUMMYFUNCTION("""COMPUTED_VALUE"""),44757.7055555555)</f>
        <v>44757.705555555498</v>
      </c>
      <c r="D3040" s="111">
        <f ca="1">IFERROR(__xludf.DUMMYFUNCTION("""COMPUTED_VALUE"""),22.55)</f>
        <v>22.55</v>
      </c>
      <c r="E3040" s="112">
        <f ca="1">IFERROR(__xludf.DUMMYFUNCTION("""COMPUTED_VALUE"""),44760.7055555555)</f>
        <v>44760.705555555498</v>
      </c>
      <c r="F3040" s="111">
        <f ca="1">IFERROR(__xludf.DUMMYFUNCTION("""COMPUTED_VALUE"""),8.43)</f>
        <v>8.43</v>
      </c>
      <c r="G3040" s="112">
        <f ca="1">IFERROR(__xludf.DUMMYFUNCTION("""COMPUTED_VALUE"""),44756.7055555555)</f>
        <v>44756.705555555498</v>
      </c>
      <c r="H3040" s="111">
        <f ca="1">IFERROR(__xludf.DUMMYFUNCTION("""COMPUTED_VALUE"""),27.49)</f>
        <v>27.49</v>
      </c>
      <c r="M3040" s="112">
        <f ca="1">IFERROR(__xludf.DUMMYFUNCTION("""COMPUTED_VALUE"""),44664.7055555555)</f>
        <v>44664.705555555498</v>
      </c>
      <c r="N3040" s="111">
        <f ca="1">IFERROR(__xludf.DUMMYFUNCTION("""COMPUTED_VALUE"""),21.48)</f>
        <v>21.48</v>
      </c>
      <c r="O3040" s="112">
        <f ca="1">IFERROR(__xludf.DUMMYFUNCTION("""COMPUTED_VALUE"""),44741.7055555555)</f>
        <v>44741.705555555498</v>
      </c>
      <c r="P3040" s="111">
        <f ca="1">IFERROR(__xludf.DUMMYFUNCTION("""COMPUTED_VALUE"""),78.79)</f>
        <v>78.790000000000006</v>
      </c>
      <c r="Q3040" s="112">
        <f ca="1">IFERROR(__xludf.DUMMYFUNCTION("""COMPUTED_VALUE"""),44740.7055555555)</f>
        <v>44740.705555555498</v>
      </c>
      <c r="R3040" s="111">
        <f ca="1">IFERROR(__xludf.DUMMYFUNCTION("""COMPUTED_VALUE"""),33.25)</f>
        <v>33.25</v>
      </c>
      <c r="S3040" s="112">
        <f ca="1">IFERROR(__xludf.DUMMYFUNCTION("""COMPUTED_VALUE"""),44755.7055555555)</f>
        <v>44755.705555555498</v>
      </c>
      <c r="T3040" s="111">
        <f ca="1">IFERROR(__xludf.DUMMYFUNCTION("""COMPUTED_VALUE"""),24.6)</f>
        <v>24.6</v>
      </c>
    </row>
    <row r="3041" spans="1:20" x14ac:dyDescent="0.3">
      <c r="A3041" s="112">
        <f ca="1">IFERROR(__xludf.DUMMYFUNCTION("""COMPUTED_VALUE"""),44750.7055555555)</f>
        <v>44750.705555555498</v>
      </c>
      <c r="B3041" s="111">
        <f ca="1">IFERROR(__xludf.DUMMYFUNCTION("""COMPUTED_VALUE"""),43.95)</f>
        <v>43.95</v>
      </c>
      <c r="C3041" s="112">
        <f ca="1">IFERROR(__xludf.DUMMYFUNCTION("""COMPUTED_VALUE"""),44760.7055555555)</f>
        <v>44760.705555555498</v>
      </c>
      <c r="D3041" s="111">
        <f ca="1">IFERROR(__xludf.DUMMYFUNCTION("""COMPUTED_VALUE"""),22.85)</f>
        <v>22.85</v>
      </c>
      <c r="E3041" s="112">
        <f ca="1">IFERROR(__xludf.DUMMYFUNCTION("""COMPUTED_VALUE"""),44761.7055555555)</f>
        <v>44761.705555555498</v>
      </c>
      <c r="F3041" s="111">
        <f ca="1">IFERROR(__xludf.DUMMYFUNCTION("""COMPUTED_VALUE"""),8.59)</f>
        <v>8.59</v>
      </c>
      <c r="G3041" s="112">
        <f ca="1">IFERROR(__xludf.DUMMYFUNCTION("""COMPUTED_VALUE"""),44757.7055555555)</f>
        <v>44757.705555555498</v>
      </c>
      <c r="H3041" s="111">
        <f ca="1">IFERROR(__xludf.DUMMYFUNCTION("""COMPUTED_VALUE"""),27.96)</f>
        <v>27.96</v>
      </c>
      <c r="M3041" s="112">
        <f ca="1">IFERROR(__xludf.DUMMYFUNCTION("""COMPUTED_VALUE"""),44665.7055555555)</f>
        <v>44665.705555555498</v>
      </c>
      <c r="N3041" s="111">
        <f ca="1">IFERROR(__xludf.DUMMYFUNCTION("""COMPUTED_VALUE"""),21.43)</f>
        <v>21.43</v>
      </c>
      <c r="O3041" s="112">
        <f ca="1">IFERROR(__xludf.DUMMYFUNCTION("""COMPUTED_VALUE"""),44742.7055555555)</f>
        <v>44742.705555555498</v>
      </c>
      <c r="P3041" s="111">
        <f ca="1">IFERROR(__xludf.DUMMYFUNCTION("""COMPUTED_VALUE"""),76.56)</f>
        <v>76.56</v>
      </c>
      <c r="Q3041" s="112">
        <f ca="1">IFERROR(__xludf.DUMMYFUNCTION("""COMPUTED_VALUE"""),44741.7055555555)</f>
        <v>44741.705555555498</v>
      </c>
      <c r="R3041" s="111">
        <f ca="1">IFERROR(__xludf.DUMMYFUNCTION("""COMPUTED_VALUE"""),33.08)</f>
        <v>33.08</v>
      </c>
      <c r="S3041" s="112">
        <f ca="1">IFERROR(__xludf.DUMMYFUNCTION("""COMPUTED_VALUE"""),44756.7055555555)</f>
        <v>44756.705555555498</v>
      </c>
      <c r="T3041" s="111">
        <f ca="1">IFERROR(__xludf.DUMMYFUNCTION("""COMPUTED_VALUE"""),24.74)</f>
        <v>24.74</v>
      </c>
    </row>
    <row r="3042" spans="1:20" x14ac:dyDescent="0.3">
      <c r="A3042" s="112">
        <f ca="1">IFERROR(__xludf.DUMMYFUNCTION("""COMPUTED_VALUE"""),44753.7055555555)</f>
        <v>44753.705555555498</v>
      </c>
      <c r="B3042" s="111">
        <f ca="1">IFERROR(__xludf.DUMMYFUNCTION("""COMPUTED_VALUE"""),42.25)</f>
        <v>42.25</v>
      </c>
      <c r="C3042" s="112">
        <f ca="1">IFERROR(__xludf.DUMMYFUNCTION("""COMPUTED_VALUE"""),44761.7055555555)</f>
        <v>44761.705555555498</v>
      </c>
      <c r="D3042" s="111">
        <f ca="1">IFERROR(__xludf.DUMMYFUNCTION("""COMPUTED_VALUE"""),23.62)</f>
        <v>23.62</v>
      </c>
      <c r="E3042" s="112">
        <f ca="1">IFERROR(__xludf.DUMMYFUNCTION("""COMPUTED_VALUE"""),44762.7055555555)</f>
        <v>44762.705555555498</v>
      </c>
      <c r="F3042" s="111">
        <f ca="1">IFERROR(__xludf.DUMMYFUNCTION("""COMPUTED_VALUE"""),8.46)</f>
        <v>8.4600000000000009</v>
      </c>
      <c r="G3042" s="112">
        <f ca="1">IFERROR(__xludf.DUMMYFUNCTION("""COMPUTED_VALUE"""),44760.7055555555)</f>
        <v>44760.705555555498</v>
      </c>
      <c r="H3042" s="111">
        <f ca="1">IFERROR(__xludf.DUMMYFUNCTION("""COMPUTED_VALUE"""),28.6)</f>
        <v>28.6</v>
      </c>
      <c r="M3042" s="112">
        <f ca="1">IFERROR(__xludf.DUMMYFUNCTION("""COMPUTED_VALUE"""),44669.7055555555)</f>
        <v>44669.705555555498</v>
      </c>
      <c r="N3042" s="111">
        <f ca="1">IFERROR(__xludf.DUMMYFUNCTION("""COMPUTED_VALUE"""),21.81)</f>
        <v>21.81</v>
      </c>
      <c r="O3042" s="112">
        <f ca="1">IFERROR(__xludf.DUMMYFUNCTION("""COMPUTED_VALUE"""),44743.7055555555)</f>
        <v>44743.705555555498</v>
      </c>
      <c r="P3042" s="111">
        <f ca="1">IFERROR(__xludf.DUMMYFUNCTION("""COMPUTED_VALUE"""),75.1)</f>
        <v>75.099999999999994</v>
      </c>
      <c r="Q3042" s="112">
        <f ca="1">IFERROR(__xludf.DUMMYFUNCTION("""COMPUTED_VALUE"""),44742.7055555555)</f>
        <v>44742.705555555498</v>
      </c>
      <c r="R3042" s="111">
        <f ca="1">IFERROR(__xludf.DUMMYFUNCTION("""COMPUTED_VALUE"""),33.38)</f>
        <v>33.380000000000003</v>
      </c>
      <c r="S3042" s="112">
        <f ca="1">IFERROR(__xludf.DUMMYFUNCTION("""COMPUTED_VALUE"""),44757.7055555555)</f>
        <v>44757.705555555498</v>
      </c>
      <c r="T3042" s="111">
        <f ca="1">IFERROR(__xludf.DUMMYFUNCTION("""COMPUTED_VALUE"""),25.07)</f>
        <v>25.07</v>
      </c>
    </row>
    <row r="3043" spans="1:20" x14ac:dyDescent="0.3">
      <c r="A3043" s="112">
        <f ca="1">IFERROR(__xludf.DUMMYFUNCTION("""COMPUTED_VALUE"""),44754.7055555555)</f>
        <v>44754.705555555498</v>
      </c>
      <c r="B3043" s="111">
        <f ca="1">IFERROR(__xludf.DUMMYFUNCTION("""COMPUTED_VALUE"""),42.89)</f>
        <v>42.89</v>
      </c>
      <c r="C3043" s="112">
        <f ca="1">IFERROR(__xludf.DUMMYFUNCTION("""COMPUTED_VALUE"""),44762.7055555555)</f>
        <v>44762.705555555498</v>
      </c>
      <c r="D3043" s="111">
        <f ca="1">IFERROR(__xludf.DUMMYFUNCTION("""COMPUTED_VALUE"""),23.32)</f>
        <v>23.32</v>
      </c>
      <c r="E3043" s="112">
        <f ca="1">IFERROR(__xludf.DUMMYFUNCTION("""COMPUTED_VALUE"""),44763.7055555555)</f>
        <v>44763.705555555498</v>
      </c>
      <c r="F3043" s="111">
        <f ca="1">IFERROR(__xludf.DUMMYFUNCTION("""COMPUTED_VALUE"""),8.56)</f>
        <v>8.56</v>
      </c>
      <c r="G3043" s="112">
        <f ca="1">IFERROR(__xludf.DUMMYFUNCTION("""COMPUTED_VALUE"""),44761.7055555555)</f>
        <v>44761.705555555498</v>
      </c>
      <c r="H3043" s="111">
        <f ca="1">IFERROR(__xludf.DUMMYFUNCTION("""COMPUTED_VALUE"""),29.18)</f>
        <v>29.18</v>
      </c>
      <c r="M3043" s="112">
        <f ca="1">IFERROR(__xludf.DUMMYFUNCTION("""COMPUTED_VALUE"""),44670.7055555555)</f>
        <v>44670.705555555498</v>
      </c>
      <c r="N3043" s="111">
        <f ca="1">IFERROR(__xludf.DUMMYFUNCTION("""COMPUTED_VALUE"""),19.57)</f>
        <v>19.57</v>
      </c>
      <c r="O3043" s="112">
        <f ca="1">IFERROR(__xludf.DUMMYFUNCTION("""COMPUTED_VALUE"""),44746.7055555555)</f>
        <v>44746.705555555498</v>
      </c>
      <c r="P3043" s="111">
        <f ca="1">IFERROR(__xludf.DUMMYFUNCTION("""COMPUTED_VALUE"""),74.67)</f>
        <v>74.67</v>
      </c>
      <c r="Q3043" s="112">
        <f ca="1">IFERROR(__xludf.DUMMYFUNCTION("""COMPUTED_VALUE"""),44743.7055555555)</f>
        <v>44743.705555555498</v>
      </c>
      <c r="R3043" s="111">
        <f ca="1">IFERROR(__xludf.DUMMYFUNCTION("""COMPUTED_VALUE"""),33.15)</f>
        <v>33.15</v>
      </c>
      <c r="S3043" s="112">
        <f ca="1">IFERROR(__xludf.DUMMYFUNCTION("""COMPUTED_VALUE"""),44760.7055555555)</f>
        <v>44760.705555555498</v>
      </c>
      <c r="T3043" s="111">
        <f ca="1">IFERROR(__xludf.DUMMYFUNCTION("""COMPUTED_VALUE"""),25.04)</f>
        <v>25.04</v>
      </c>
    </row>
    <row r="3044" spans="1:20" x14ac:dyDescent="0.3">
      <c r="A3044" s="112">
        <f ca="1">IFERROR(__xludf.DUMMYFUNCTION("""COMPUTED_VALUE"""),44755.7055555555)</f>
        <v>44755.705555555498</v>
      </c>
      <c r="B3044" s="111">
        <f ca="1">IFERROR(__xludf.DUMMYFUNCTION("""COMPUTED_VALUE"""),43.19)</f>
        <v>43.19</v>
      </c>
      <c r="C3044" s="112">
        <f ca="1">IFERROR(__xludf.DUMMYFUNCTION("""COMPUTED_VALUE"""),44763.7055555555)</f>
        <v>44763.705555555498</v>
      </c>
      <c r="D3044" s="111">
        <f ca="1">IFERROR(__xludf.DUMMYFUNCTION("""COMPUTED_VALUE"""),23.51)</f>
        <v>23.51</v>
      </c>
      <c r="E3044" s="112">
        <f ca="1">IFERROR(__xludf.DUMMYFUNCTION("""COMPUTED_VALUE"""),44764.7055555555)</f>
        <v>44764.705555555498</v>
      </c>
      <c r="F3044" s="111">
        <f ca="1">IFERROR(__xludf.DUMMYFUNCTION("""COMPUTED_VALUE"""),8.47)</f>
        <v>8.4700000000000006</v>
      </c>
      <c r="G3044" s="112">
        <f ca="1">IFERROR(__xludf.DUMMYFUNCTION("""COMPUTED_VALUE"""),44762.7055555555)</f>
        <v>44762.705555555498</v>
      </c>
      <c r="H3044" s="111">
        <f ca="1">IFERROR(__xludf.DUMMYFUNCTION("""COMPUTED_VALUE"""),29.17)</f>
        <v>29.17</v>
      </c>
      <c r="M3044" s="112">
        <f ca="1">IFERROR(__xludf.DUMMYFUNCTION("""COMPUTED_VALUE"""),44671.7055555555)</f>
        <v>44671.705555555498</v>
      </c>
      <c r="N3044" s="111">
        <f ca="1">IFERROR(__xludf.DUMMYFUNCTION("""COMPUTED_VALUE"""),19.5)</f>
        <v>19.5</v>
      </c>
      <c r="O3044" s="112">
        <f ca="1">IFERROR(__xludf.DUMMYFUNCTION("""COMPUTED_VALUE"""),44747.7055555555)</f>
        <v>44747.705555555498</v>
      </c>
      <c r="P3044" s="111">
        <f ca="1">IFERROR(__xludf.DUMMYFUNCTION("""COMPUTED_VALUE"""),74.3)</f>
        <v>74.3</v>
      </c>
      <c r="Q3044" s="112">
        <f ca="1">IFERROR(__xludf.DUMMYFUNCTION("""COMPUTED_VALUE"""),44746.7055555555)</f>
        <v>44746.705555555498</v>
      </c>
      <c r="R3044" s="111">
        <f ca="1">IFERROR(__xludf.DUMMYFUNCTION("""COMPUTED_VALUE"""),33.04)</f>
        <v>33.04</v>
      </c>
      <c r="S3044" s="112">
        <f ca="1">IFERROR(__xludf.DUMMYFUNCTION("""COMPUTED_VALUE"""),44761.7055555555)</f>
        <v>44761.705555555498</v>
      </c>
      <c r="T3044" s="111">
        <f ca="1">IFERROR(__xludf.DUMMYFUNCTION("""COMPUTED_VALUE"""),24.74)</f>
        <v>24.74</v>
      </c>
    </row>
    <row r="3045" spans="1:20" x14ac:dyDescent="0.3">
      <c r="A3045" s="112">
        <f ca="1">IFERROR(__xludf.DUMMYFUNCTION("""COMPUTED_VALUE"""),44756.7055555555)</f>
        <v>44756.705555555498</v>
      </c>
      <c r="B3045" s="111">
        <f ca="1">IFERROR(__xludf.DUMMYFUNCTION("""COMPUTED_VALUE"""),43.6)</f>
        <v>43.6</v>
      </c>
      <c r="C3045" s="112">
        <f ca="1">IFERROR(__xludf.DUMMYFUNCTION("""COMPUTED_VALUE"""),44764.7055555555)</f>
        <v>44764.705555555498</v>
      </c>
      <c r="D3045" s="111">
        <f ca="1">IFERROR(__xludf.DUMMYFUNCTION("""COMPUTED_VALUE"""),23.26)</f>
        <v>23.26</v>
      </c>
      <c r="E3045" s="112">
        <f ca="1">IFERROR(__xludf.DUMMYFUNCTION("""COMPUTED_VALUE"""),44767.7055555555)</f>
        <v>44767.705555555498</v>
      </c>
      <c r="F3045" s="111">
        <f ca="1">IFERROR(__xludf.DUMMYFUNCTION("""COMPUTED_VALUE"""),8.54)</f>
        <v>8.5399999999999991</v>
      </c>
      <c r="G3045" s="112">
        <f ca="1">IFERROR(__xludf.DUMMYFUNCTION("""COMPUTED_VALUE"""),44763.7055555555)</f>
        <v>44763.705555555498</v>
      </c>
      <c r="H3045" s="111">
        <f ca="1">IFERROR(__xludf.DUMMYFUNCTION("""COMPUTED_VALUE"""),29.02)</f>
        <v>29.02</v>
      </c>
      <c r="M3045" s="112">
        <f ca="1">IFERROR(__xludf.DUMMYFUNCTION("""COMPUTED_VALUE"""),44673.7055555555)</f>
        <v>44673.705555555498</v>
      </c>
      <c r="N3045" s="111">
        <f ca="1">IFERROR(__xludf.DUMMYFUNCTION("""COMPUTED_VALUE"""),19.22)</f>
        <v>19.22</v>
      </c>
      <c r="O3045" s="112">
        <f ca="1">IFERROR(__xludf.DUMMYFUNCTION("""COMPUTED_VALUE"""),44748.7055555555)</f>
        <v>44748.705555555498</v>
      </c>
      <c r="P3045" s="111">
        <f ca="1">IFERROR(__xludf.DUMMYFUNCTION("""COMPUTED_VALUE"""),75)</f>
        <v>75</v>
      </c>
      <c r="Q3045" s="112">
        <f ca="1">IFERROR(__xludf.DUMMYFUNCTION("""COMPUTED_VALUE"""),44747.7055555555)</f>
        <v>44747.705555555498</v>
      </c>
      <c r="R3045" s="111">
        <f ca="1">IFERROR(__xludf.DUMMYFUNCTION("""COMPUTED_VALUE"""),32.86)</f>
        <v>32.86</v>
      </c>
      <c r="S3045" s="112">
        <f ca="1">IFERROR(__xludf.DUMMYFUNCTION("""COMPUTED_VALUE"""),44762.7055555555)</f>
        <v>44762.705555555498</v>
      </c>
      <c r="T3045" s="111">
        <f ca="1">IFERROR(__xludf.DUMMYFUNCTION("""COMPUTED_VALUE"""),25.12)</f>
        <v>25.12</v>
      </c>
    </row>
    <row r="3046" spans="1:20" x14ac:dyDescent="0.3">
      <c r="A3046" s="112">
        <f ca="1">IFERROR(__xludf.DUMMYFUNCTION("""COMPUTED_VALUE"""),44757.7055555555)</f>
        <v>44757.705555555498</v>
      </c>
      <c r="B3046" s="111">
        <f ca="1">IFERROR(__xludf.DUMMYFUNCTION("""COMPUTED_VALUE"""),44.05)</f>
        <v>44.05</v>
      </c>
      <c r="C3046" s="112">
        <f ca="1">IFERROR(__xludf.DUMMYFUNCTION("""COMPUTED_VALUE"""),44767.7055555555)</f>
        <v>44767.705555555498</v>
      </c>
      <c r="D3046" s="111">
        <f ca="1">IFERROR(__xludf.DUMMYFUNCTION("""COMPUTED_VALUE"""),23.6)</f>
        <v>23.6</v>
      </c>
      <c r="E3046" s="112">
        <f ca="1">IFERROR(__xludf.DUMMYFUNCTION("""COMPUTED_VALUE"""),44768.7055555555)</f>
        <v>44768.705555555498</v>
      </c>
      <c r="F3046" s="111">
        <f ca="1">IFERROR(__xludf.DUMMYFUNCTION("""COMPUTED_VALUE"""),8.52)</f>
        <v>8.52</v>
      </c>
      <c r="G3046" s="112">
        <f ca="1">IFERROR(__xludf.DUMMYFUNCTION("""COMPUTED_VALUE"""),44764.7055555555)</f>
        <v>44764.705555555498</v>
      </c>
      <c r="H3046" s="111">
        <f ca="1">IFERROR(__xludf.DUMMYFUNCTION("""COMPUTED_VALUE"""),29.33)</f>
        <v>29.33</v>
      </c>
      <c r="M3046" s="112">
        <f ca="1">IFERROR(__xludf.DUMMYFUNCTION("""COMPUTED_VALUE"""),44676.7055555555)</f>
        <v>44676.705555555498</v>
      </c>
      <c r="N3046" s="111">
        <f ca="1">IFERROR(__xludf.DUMMYFUNCTION("""COMPUTED_VALUE"""),19.1)</f>
        <v>19.100000000000001</v>
      </c>
      <c r="O3046" s="112">
        <f ca="1">IFERROR(__xludf.DUMMYFUNCTION("""COMPUTED_VALUE"""),44749.7055555555)</f>
        <v>44749.705555555498</v>
      </c>
      <c r="P3046" s="111">
        <f ca="1">IFERROR(__xludf.DUMMYFUNCTION("""COMPUTED_VALUE"""),77.18)</f>
        <v>77.180000000000007</v>
      </c>
      <c r="Q3046" s="112">
        <f ca="1">IFERROR(__xludf.DUMMYFUNCTION("""COMPUTED_VALUE"""),44748.7055555555)</f>
        <v>44748.705555555498</v>
      </c>
      <c r="R3046" s="111">
        <f ca="1">IFERROR(__xludf.DUMMYFUNCTION("""COMPUTED_VALUE"""),32.65)</f>
        <v>32.65</v>
      </c>
      <c r="S3046" s="112">
        <f ca="1">IFERROR(__xludf.DUMMYFUNCTION("""COMPUTED_VALUE"""),44763.7055555555)</f>
        <v>44763.705555555498</v>
      </c>
      <c r="T3046" s="111">
        <f ca="1">IFERROR(__xludf.DUMMYFUNCTION("""COMPUTED_VALUE"""),24.82)</f>
        <v>24.82</v>
      </c>
    </row>
    <row r="3047" spans="1:20" x14ac:dyDescent="0.3">
      <c r="A3047" s="112">
        <f ca="1">IFERROR(__xludf.DUMMYFUNCTION("""COMPUTED_VALUE"""),44760.7055555555)</f>
        <v>44760.705555555498</v>
      </c>
      <c r="B3047" s="111">
        <f ca="1">IFERROR(__xludf.DUMMYFUNCTION("""COMPUTED_VALUE"""),43.89)</f>
        <v>43.89</v>
      </c>
      <c r="C3047" s="112">
        <f ca="1">IFERROR(__xludf.DUMMYFUNCTION("""COMPUTED_VALUE"""),44768.7055555555)</f>
        <v>44768.705555555498</v>
      </c>
      <c r="D3047" s="111">
        <f ca="1">IFERROR(__xludf.DUMMYFUNCTION("""COMPUTED_VALUE"""),23.47)</f>
        <v>23.47</v>
      </c>
      <c r="E3047" s="112">
        <f ca="1">IFERROR(__xludf.DUMMYFUNCTION("""COMPUTED_VALUE"""),44769.7055555555)</f>
        <v>44769.705555555498</v>
      </c>
      <c r="F3047" s="111">
        <f ca="1">IFERROR(__xludf.DUMMYFUNCTION("""COMPUTED_VALUE"""),8.56)</f>
        <v>8.56</v>
      </c>
      <c r="G3047" s="112">
        <f ca="1">IFERROR(__xludf.DUMMYFUNCTION("""COMPUTED_VALUE"""),44767.7055555555)</f>
        <v>44767.705555555498</v>
      </c>
      <c r="H3047" s="111">
        <f ca="1">IFERROR(__xludf.DUMMYFUNCTION("""COMPUTED_VALUE"""),30.7)</f>
        <v>30.7</v>
      </c>
      <c r="M3047" s="112">
        <f ca="1">IFERROR(__xludf.DUMMYFUNCTION("""COMPUTED_VALUE"""),44677.7055555555)</f>
        <v>44677.705555555498</v>
      </c>
      <c r="N3047" s="111">
        <f ca="1">IFERROR(__xludf.DUMMYFUNCTION("""COMPUTED_VALUE"""),18.28)</f>
        <v>18.28</v>
      </c>
      <c r="O3047" s="112">
        <f ca="1">IFERROR(__xludf.DUMMYFUNCTION("""COMPUTED_VALUE"""),44750.7055555555)</f>
        <v>44750.705555555498</v>
      </c>
      <c r="P3047" s="111">
        <f ca="1">IFERROR(__xludf.DUMMYFUNCTION("""COMPUTED_VALUE"""),75.4)</f>
        <v>75.400000000000006</v>
      </c>
      <c r="Q3047" s="112">
        <f ca="1">IFERROR(__xludf.DUMMYFUNCTION("""COMPUTED_VALUE"""),44749.7055555555)</f>
        <v>44749.705555555498</v>
      </c>
      <c r="R3047" s="111">
        <f ca="1">IFERROR(__xludf.DUMMYFUNCTION("""COMPUTED_VALUE"""),33.13)</f>
        <v>33.130000000000003</v>
      </c>
      <c r="S3047" s="112">
        <f ca="1">IFERROR(__xludf.DUMMYFUNCTION("""COMPUTED_VALUE"""),44764.7055555555)</f>
        <v>44764.705555555498</v>
      </c>
      <c r="T3047" s="111">
        <f ca="1">IFERROR(__xludf.DUMMYFUNCTION("""COMPUTED_VALUE"""),24.42)</f>
        <v>24.42</v>
      </c>
    </row>
    <row r="3048" spans="1:20" x14ac:dyDescent="0.3">
      <c r="A3048" s="112">
        <f ca="1">IFERROR(__xludf.DUMMYFUNCTION("""COMPUTED_VALUE"""),44761.7055555555)</f>
        <v>44761.705555555498</v>
      </c>
      <c r="B3048" s="111">
        <f ca="1">IFERROR(__xludf.DUMMYFUNCTION("""COMPUTED_VALUE"""),44.22)</f>
        <v>44.22</v>
      </c>
      <c r="C3048" s="112">
        <f ca="1">IFERROR(__xludf.DUMMYFUNCTION("""COMPUTED_VALUE"""),44769.7055555555)</f>
        <v>44769.705555555498</v>
      </c>
      <c r="D3048" s="111">
        <f ca="1">IFERROR(__xludf.DUMMYFUNCTION("""COMPUTED_VALUE"""),23.55)</f>
        <v>23.55</v>
      </c>
      <c r="E3048" s="112">
        <f ca="1">IFERROR(__xludf.DUMMYFUNCTION("""COMPUTED_VALUE"""),44770.7055555555)</f>
        <v>44770.705555555498</v>
      </c>
      <c r="F3048" s="111">
        <f ca="1">IFERROR(__xludf.DUMMYFUNCTION("""COMPUTED_VALUE"""),8.65)</f>
        <v>8.65</v>
      </c>
      <c r="G3048" s="112">
        <f ca="1">IFERROR(__xludf.DUMMYFUNCTION("""COMPUTED_VALUE"""),44768.7055555555)</f>
        <v>44768.705555555498</v>
      </c>
      <c r="H3048" s="111">
        <f ca="1">IFERROR(__xludf.DUMMYFUNCTION("""COMPUTED_VALUE"""),31.01)</f>
        <v>31.01</v>
      </c>
      <c r="M3048" s="112">
        <f ca="1">IFERROR(__xludf.DUMMYFUNCTION("""COMPUTED_VALUE"""),44678.7055555555)</f>
        <v>44678.705555555498</v>
      </c>
      <c r="N3048" s="111">
        <f ca="1">IFERROR(__xludf.DUMMYFUNCTION("""COMPUTED_VALUE"""),18.39)</f>
        <v>18.39</v>
      </c>
      <c r="O3048" s="112">
        <f ca="1">IFERROR(__xludf.DUMMYFUNCTION("""COMPUTED_VALUE"""),44753.7055555555)</f>
        <v>44753.705555555498</v>
      </c>
      <c r="P3048" s="111">
        <f ca="1">IFERROR(__xludf.DUMMYFUNCTION("""COMPUTED_VALUE"""),72.83)</f>
        <v>72.83</v>
      </c>
      <c r="Q3048" s="112">
        <f ca="1">IFERROR(__xludf.DUMMYFUNCTION("""COMPUTED_VALUE"""),44750.7055555555)</f>
        <v>44750.705555555498</v>
      </c>
      <c r="R3048" s="111">
        <f ca="1">IFERROR(__xludf.DUMMYFUNCTION("""COMPUTED_VALUE"""),33.45)</f>
        <v>33.450000000000003</v>
      </c>
      <c r="S3048" s="112">
        <f ca="1">IFERROR(__xludf.DUMMYFUNCTION("""COMPUTED_VALUE"""),44767.7055555555)</f>
        <v>44767.705555555498</v>
      </c>
      <c r="T3048" s="111">
        <f ca="1">IFERROR(__xludf.DUMMYFUNCTION("""COMPUTED_VALUE"""),24.7)</f>
        <v>24.7</v>
      </c>
    </row>
    <row r="3049" spans="1:20" x14ac:dyDescent="0.3">
      <c r="A3049" s="112">
        <f ca="1">IFERROR(__xludf.DUMMYFUNCTION("""COMPUTED_VALUE"""),44762.7055555555)</f>
        <v>44762.705555555498</v>
      </c>
      <c r="B3049" s="111">
        <f ca="1">IFERROR(__xludf.DUMMYFUNCTION("""COMPUTED_VALUE"""),44.37)</f>
        <v>44.37</v>
      </c>
      <c r="C3049" s="112">
        <f ca="1">IFERROR(__xludf.DUMMYFUNCTION("""COMPUTED_VALUE"""),44770.7055555555)</f>
        <v>44770.705555555498</v>
      </c>
      <c r="D3049" s="111">
        <f ca="1">IFERROR(__xludf.DUMMYFUNCTION("""COMPUTED_VALUE"""),23.7)</f>
        <v>23.7</v>
      </c>
      <c r="E3049" s="112">
        <f ca="1">IFERROR(__xludf.DUMMYFUNCTION("""COMPUTED_VALUE"""),44771.7055555555)</f>
        <v>44771.705555555498</v>
      </c>
      <c r="F3049" s="111">
        <f ca="1">IFERROR(__xludf.DUMMYFUNCTION("""COMPUTED_VALUE"""),8.63)</f>
        <v>8.6300000000000008</v>
      </c>
      <c r="G3049" s="112">
        <f ca="1">IFERROR(__xludf.DUMMYFUNCTION("""COMPUTED_VALUE"""),44769.7055555555)</f>
        <v>44769.705555555498</v>
      </c>
      <c r="H3049" s="111">
        <f ca="1">IFERROR(__xludf.DUMMYFUNCTION("""COMPUTED_VALUE"""),31.35)</f>
        <v>31.35</v>
      </c>
      <c r="M3049" s="112">
        <f ca="1">IFERROR(__xludf.DUMMYFUNCTION("""COMPUTED_VALUE"""),44679.7055555555)</f>
        <v>44679.705555555498</v>
      </c>
      <c r="N3049" s="111">
        <f ca="1">IFERROR(__xludf.DUMMYFUNCTION("""COMPUTED_VALUE"""),18.22)</f>
        <v>18.22</v>
      </c>
      <c r="O3049" s="112">
        <f ca="1">IFERROR(__xludf.DUMMYFUNCTION("""COMPUTED_VALUE"""),44754.7055555555)</f>
        <v>44754.705555555498</v>
      </c>
      <c r="P3049" s="111">
        <f ca="1">IFERROR(__xludf.DUMMYFUNCTION("""COMPUTED_VALUE"""),73.05)</f>
        <v>73.05</v>
      </c>
      <c r="Q3049" s="112">
        <f ca="1">IFERROR(__xludf.DUMMYFUNCTION("""COMPUTED_VALUE"""),44753.7055555555)</f>
        <v>44753.705555555498</v>
      </c>
      <c r="R3049" s="111">
        <f ca="1">IFERROR(__xludf.DUMMYFUNCTION("""COMPUTED_VALUE"""),32.9)</f>
        <v>32.9</v>
      </c>
      <c r="S3049" s="112">
        <f ca="1">IFERROR(__xludf.DUMMYFUNCTION("""COMPUTED_VALUE"""),44768.7055555555)</f>
        <v>44768.705555555498</v>
      </c>
      <c r="T3049" s="111">
        <f ca="1">IFERROR(__xludf.DUMMYFUNCTION("""COMPUTED_VALUE"""),24.04)</f>
        <v>24.04</v>
      </c>
    </row>
    <row r="3050" spans="1:20" x14ac:dyDescent="0.3">
      <c r="A3050" s="112">
        <f ca="1">IFERROR(__xludf.DUMMYFUNCTION("""COMPUTED_VALUE"""),44763.7055555555)</f>
        <v>44763.705555555498</v>
      </c>
      <c r="B3050" s="111">
        <f ca="1">IFERROR(__xludf.DUMMYFUNCTION("""COMPUTED_VALUE"""),44.56)</f>
        <v>44.56</v>
      </c>
      <c r="C3050" s="112">
        <f ca="1">IFERROR(__xludf.DUMMYFUNCTION("""COMPUTED_VALUE"""),44771.7055555555)</f>
        <v>44771.705555555498</v>
      </c>
      <c r="D3050" s="111">
        <f ca="1">IFERROR(__xludf.DUMMYFUNCTION("""COMPUTED_VALUE"""),23.62)</f>
        <v>23.62</v>
      </c>
      <c r="E3050" s="112">
        <f ca="1">IFERROR(__xludf.DUMMYFUNCTION("""COMPUTED_VALUE"""),44774.7055555555)</f>
        <v>44774.705555555498</v>
      </c>
      <c r="F3050" s="111">
        <f ca="1">IFERROR(__xludf.DUMMYFUNCTION("""COMPUTED_VALUE"""),8.54)</f>
        <v>8.5399999999999991</v>
      </c>
      <c r="G3050" s="112">
        <f ca="1">IFERROR(__xludf.DUMMYFUNCTION("""COMPUTED_VALUE"""),44770.7055555555)</f>
        <v>44770.705555555498</v>
      </c>
      <c r="H3050" s="111">
        <f ca="1">IFERROR(__xludf.DUMMYFUNCTION("""COMPUTED_VALUE"""),32.29)</f>
        <v>32.29</v>
      </c>
      <c r="M3050" s="112">
        <f ca="1">IFERROR(__xludf.DUMMYFUNCTION("""COMPUTED_VALUE"""),44680.7055555555)</f>
        <v>44680.705555555498</v>
      </c>
      <c r="N3050" s="111">
        <f ca="1">IFERROR(__xludf.DUMMYFUNCTION("""COMPUTED_VALUE"""),17.98)</f>
        <v>17.98</v>
      </c>
      <c r="O3050" s="112">
        <f ca="1">IFERROR(__xludf.DUMMYFUNCTION("""COMPUTED_VALUE"""),44755.7055555555)</f>
        <v>44755.705555555498</v>
      </c>
      <c r="P3050" s="111">
        <f ca="1">IFERROR(__xludf.DUMMYFUNCTION("""COMPUTED_VALUE"""),72.8)</f>
        <v>72.8</v>
      </c>
      <c r="Q3050" s="112">
        <f ca="1">IFERROR(__xludf.DUMMYFUNCTION("""COMPUTED_VALUE"""),44754.7055555555)</f>
        <v>44754.705555555498</v>
      </c>
      <c r="R3050" s="111">
        <f ca="1">IFERROR(__xludf.DUMMYFUNCTION("""COMPUTED_VALUE"""),33.01)</f>
        <v>33.01</v>
      </c>
      <c r="S3050" s="112">
        <f ca="1">IFERROR(__xludf.DUMMYFUNCTION("""COMPUTED_VALUE"""),44769.7055555555)</f>
        <v>44769.705555555498</v>
      </c>
      <c r="T3050" s="111">
        <f ca="1">IFERROR(__xludf.DUMMYFUNCTION("""COMPUTED_VALUE"""),25.22)</f>
        <v>25.22</v>
      </c>
    </row>
    <row r="3051" spans="1:20" x14ac:dyDescent="0.3">
      <c r="A3051" s="112">
        <f ca="1">IFERROR(__xludf.DUMMYFUNCTION("""COMPUTED_VALUE"""),44764.7055555555)</f>
        <v>44764.705555555498</v>
      </c>
      <c r="B3051" s="111">
        <f ca="1">IFERROR(__xludf.DUMMYFUNCTION("""COMPUTED_VALUE"""),44.63)</f>
        <v>44.63</v>
      </c>
      <c r="C3051" s="112">
        <f ca="1">IFERROR(__xludf.DUMMYFUNCTION("""COMPUTED_VALUE"""),44774.7055555555)</f>
        <v>44774.705555555498</v>
      </c>
      <c r="D3051" s="111">
        <f ca="1">IFERROR(__xludf.DUMMYFUNCTION("""COMPUTED_VALUE"""),23.47)</f>
        <v>23.47</v>
      </c>
      <c r="E3051" s="112">
        <f ca="1">IFERROR(__xludf.DUMMYFUNCTION("""COMPUTED_VALUE"""),44775.7055555555)</f>
        <v>44775.705555555498</v>
      </c>
      <c r="F3051" s="111">
        <f ca="1">IFERROR(__xludf.DUMMYFUNCTION("""COMPUTED_VALUE"""),8.62)</f>
        <v>8.6199999999999992</v>
      </c>
      <c r="G3051" s="112">
        <f ca="1">IFERROR(__xludf.DUMMYFUNCTION("""COMPUTED_VALUE"""),44771.7055555555)</f>
        <v>44771.705555555498</v>
      </c>
      <c r="H3051" s="111">
        <f ca="1">IFERROR(__xludf.DUMMYFUNCTION("""COMPUTED_VALUE"""),34.15)</f>
        <v>34.15</v>
      </c>
      <c r="M3051" s="112">
        <f ca="1">IFERROR(__xludf.DUMMYFUNCTION("""COMPUTED_VALUE"""),44683.7055555555)</f>
        <v>44683.705555555498</v>
      </c>
      <c r="N3051" s="111">
        <f ca="1">IFERROR(__xludf.DUMMYFUNCTION("""COMPUTED_VALUE"""),17.97)</f>
        <v>17.97</v>
      </c>
      <c r="O3051" s="112">
        <f ca="1">IFERROR(__xludf.DUMMYFUNCTION("""COMPUTED_VALUE"""),44756.7055555555)</f>
        <v>44756.705555555498</v>
      </c>
      <c r="P3051" s="111">
        <f ca="1">IFERROR(__xludf.DUMMYFUNCTION("""COMPUTED_VALUE"""),67.95)</f>
        <v>67.95</v>
      </c>
      <c r="Q3051" s="112">
        <f ca="1">IFERROR(__xludf.DUMMYFUNCTION("""COMPUTED_VALUE"""),44755.7055555555)</f>
        <v>44755.705555555498</v>
      </c>
      <c r="R3051" s="111">
        <f ca="1">IFERROR(__xludf.DUMMYFUNCTION("""COMPUTED_VALUE"""),32.65)</f>
        <v>32.65</v>
      </c>
      <c r="S3051" s="112">
        <f ca="1">IFERROR(__xludf.DUMMYFUNCTION("""COMPUTED_VALUE"""),44770.7055555555)</f>
        <v>44770.705555555498</v>
      </c>
      <c r="T3051" s="111">
        <f ca="1">IFERROR(__xludf.DUMMYFUNCTION("""COMPUTED_VALUE"""),25.97)</f>
        <v>25.97</v>
      </c>
    </row>
    <row r="3052" spans="1:20" x14ac:dyDescent="0.3">
      <c r="A3052" s="112">
        <f ca="1">IFERROR(__xludf.DUMMYFUNCTION("""COMPUTED_VALUE"""),44767.7055555555)</f>
        <v>44767.705555555498</v>
      </c>
      <c r="B3052" s="111">
        <f ca="1">IFERROR(__xludf.DUMMYFUNCTION("""COMPUTED_VALUE"""),44.85)</f>
        <v>44.85</v>
      </c>
      <c r="C3052" s="112">
        <f ca="1">IFERROR(__xludf.DUMMYFUNCTION("""COMPUTED_VALUE"""),44775.7055555555)</f>
        <v>44775.705555555498</v>
      </c>
      <c r="D3052" s="111">
        <f ca="1">IFERROR(__xludf.DUMMYFUNCTION("""COMPUTED_VALUE"""),23.72)</f>
        <v>23.72</v>
      </c>
      <c r="E3052" s="112">
        <f ca="1">IFERROR(__xludf.DUMMYFUNCTION("""COMPUTED_VALUE"""),44776.7055555555)</f>
        <v>44776.705555555498</v>
      </c>
      <c r="F3052" s="111">
        <f ca="1">IFERROR(__xludf.DUMMYFUNCTION("""COMPUTED_VALUE"""),8.69)</f>
        <v>8.69</v>
      </c>
      <c r="G3052" s="112">
        <f ca="1">IFERROR(__xludf.DUMMYFUNCTION("""COMPUTED_VALUE"""),44774.7055555555)</f>
        <v>44774.705555555498</v>
      </c>
      <c r="H3052" s="111">
        <f ca="1">IFERROR(__xludf.DUMMYFUNCTION("""COMPUTED_VALUE"""),33.68)</f>
        <v>33.68</v>
      </c>
      <c r="M3052" s="112">
        <f ca="1">IFERROR(__xludf.DUMMYFUNCTION("""COMPUTED_VALUE"""),44684.7055555555)</f>
        <v>44684.705555555498</v>
      </c>
      <c r="N3052" s="111">
        <f ca="1">IFERROR(__xludf.DUMMYFUNCTION("""COMPUTED_VALUE"""),18.07)</f>
        <v>18.07</v>
      </c>
      <c r="O3052" s="112">
        <f ca="1">IFERROR(__xludf.DUMMYFUNCTION("""COMPUTED_VALUE"""),44757.7055555555)</f>
        <v>44757.705555555498</v>
      </c>
      <c r="P3052" s="111">
        <f ca="1">IFERROR(__xludf.DUMMYFUNCTION("""COMPUTED_VALUE"""),68.37)</f>
        <v>68.37</v>
      </c>
      <c r="Q3052" s="112">
        <f ca="1">IFERROR(__xludf.DUMMYFUNCTION("""COMPUTED_VALUE"""),44756.7055555555)</f>
        <v>44756.705555555498</v>
      </c>
      <c r="R3052" s="111">
        <f ca="1">IFERROR(__xludf.DUMMYFUNCTION("""COMPUTED_VALUE"""),32.61)</f>
        <v>32.61</v>
      </c>
      <c r="S3052" s="112">
        <f ca="1">IFERROR(__xludf.DUMMYFUNCTION("""COMPUTED_VALUE"""),44771.7055555555)</f>
        <v>44771.705555555498</v>
      </c>
      <c r="T3052" s="111">
        <f ca="1">IFERROR(__xludf.DUMMYFUNCTION("""COMPUTED_VALUE"""),25.29)</f>
        <v>25.29</v>
      </c>
    </row>
    <row r="3053" spans="1:20" x14ac:dyDescent="0.3">
      <c r="A3053" s="112">
        <f ca="1">IFERROR(__xludf.DUMMYFUNCTION("""COMPUTED_VALUE"""),44768.7055555555)</f>
        <v>44768.705555555498</v>
      </c>
      <c r="B3053" s="111">
        <f ca="1">IFERROR(__xludf.DUMMYFUNCTION("""COMPUTED_VALUE"""),44.65)</f>
        <v>44.65</v>
      </c>
      <c r="C3053" s="112">
        <f ca="1">IFERROR(__xludf.DUMMYFUNCTION("""COMPUTED_VALUE"""),44776.7055555555)</f>
        <v>44776.705555555498</v>
      </c>
      <c r="D3053" s="111">
        <f ca="1">IFERROR(__xludf.DUMMYFUNCTION("""COMPUTED_VALUE"""),23.89)</f>
        <v>23.89</v>
      </c>
      <c r="E3053" s="112">
        <f ca="1">IFERROR(__xludf.DUMMYFUNCTION("""COMPUTED_VALUE"""),44777.7055555555)</f>
        <v>44777.705555555498</v>
      </c>
      <c r="F3053" s="111">
        <f ca="1">IFERROR(__xludf.DUMMYFUNCTION("""COMPUTED_VALUE"""),8.89)</f>
        <v>8.89</v>
      </c>
      <c r="G3053" s="112">
        <f ca="1">IFERROR(__xludf.DUMMYFUNCTION("""COMPUTED_VALUE"""),44775.7055555555)</f>
        <v>44775.705555555498</v>
      </c>
      <c r="H3053" s="111">
        <f ca="1">IFERROR(__xludf.DUMMYFUNCTION("""COMPUTED_VALUE"""),33.83)</f>
        <v>33.83</v>
      </c>
      <c r="M3053" s="112">
        <f ca="1">IFERROR(__xludf.DUMMYFUNCTION("""COMPUTED_VALUE"""),44685.7055555555)</f>
        <v>44685.705555555498</v>
      </c>
      <c r="N3053" s="111">
        <f ca="1">IFERROR(__xludf.DUMMYFUNCTION("""COMPUTED_VALUE"""),18.33)</f>
        <v>18.329999999999998</v>
      </c>
      <c r="O3053" s="112">
        <f ca="1">IFERROR(__xludf.DUMMYFUNCTION("""COMPUTED_VALUE"""),44760.7055555555)</f>
        <v>44760.705555555498</v>
      </c>
      <c r="P3053" s="111">
        <f ca="1">IFERROR(__xludf.DUMMYFUNCTION("""COMPUTED_VALUE"""),68.73)</f>
        <v>68.73</v>
      </c>
      <c r="Q3053" s="112">
        <f ca="1">IFERROR(__xludf.DUMMYFUNCTION("""COMPUTED_VALUE"""),44757.7055555555)</f>
        <v>44757.705555555498</v>
      </c>
      <c r="R3053" s="111">
        <f ca="1">IFERROR(__xludf.DUMMYFUNCTION("""COMPUTED_VALUE"""),33.28)</f>
        <v>33.28</v>
      </c>
      <c r="S3053" s="112">
        <f ca="1">IFERROR(__xludf.DUMMYFUNCTION("""COMPUTED_VALUE"""),44774.7055555555)</f>
        <v>44774.705555555498</v>
      </c>
      <c r="T3053" s="111">
        <f ca="1">IFERROR(__xludf.DUMMYFUNCTION("""COMPUTED_VALUE"""),25.34)</f>
        <v>25.34</v>
      </c>
    </row>
    <row r="3054" spans="1:20" x14ac:dyDescent="0.3">
      <c r="A3054" s="112">
        <f ca="1">IFERROR(__xludf.DUMMYFUNCTION("""COMPUTED_VALUE"""),44769.7055555555)</f>
        <v>44769.705555555498</v>
      </c>
      <c r="B3054" s="111">
        <f ca="1">IFERROR(__xludf.DUMMYFUNCTION("""COMPUTED_VALUE"""),45.37)</f>
        <v>45.37</v>
      </c>
      <c r="C3054" s="112">
        <f ca="1">IFERROR(__xludf.DUMMYFUNCTION("""COMPUTED_VALUE"""),44777.7055555555)</f>
        <v>44777.705555555498</v>
      </c>
      <c r="D3054" s="111">
        <f ca="1">IFERROR(__xludf.DUMMYFUNCTION("""COMPUTED_VALUE"""),24.47)</f>
        <v>24.47</v>
      </c>
      <c r="E3054" s="112">
        <f ca="1">IFERROR(__xludf.DUMMYFUNCTION("""COMPUTED_VALUE"""),44778.7055555555)</f>
        <v>44778.705555555498</v>
      </c>
      <c r="F3054" s="111">
        <f ca="1">IFERROR(__xludf.DUMMYFUNCTION("""COMPUTED_VALUE"""),9.01)</f>
        <v>9.01</v>
      </c>
      <c r="G3054" s="112">
        <f ca="1">IFERROR(__xludf.DUMMYFUNCTION("""COMPUTED_VALUE"""),44776.7055555555)</f>
        <v>44776.705555555498</v>
      </c>
      <c r="H3054" s="111">
        <f ca="1">IFERROR(__xludf.DUMMYFUNCTION("""COMPUTED_VALUE"""),33.85)</f>
        <v>33.85</v>
      </c>
      <c r="M3054" s="112">
        <f ca="1">IFERROR(__xludf.DUMMYFUNCTION("""COMPUTED_VALUE"""),44686.7055555555)</f>
        <v>44686.705555555498</v>
      </c>
      <c r="N3054" s="111">
        <f ca="1">IFERROR(__xludf.DUMMYFUNCTION("""COMPUTED_VALUE"""),17.73)</f>
        <v>17.73</v>
      </c>
      <c r="O3054" s="112">
        <f ca="1">IFERROR(__xludf.DUMMYFUNCTION("""COMPUTED_VALUE"""),44761.7055555555)</f>
        <v>44761.705555555498</v>
      </c>
      <c r="P3054" s="111">
        <f ca="1">IFERROR(__xludf.DUMMYFUNCTION("""COMPUTED_VALUE"""),68.88)</f>
        <v>68.88</v>
      </c>
      <c r="Q3054" s="112">
        <f ca="1">IFERROR(__xludf.DUMMYFUNCTION("""COMPUTED_VALUE"""),44760.7055555555)</f>
        <v>44760.705555555498</v>
      </c>
      <c r="R3054" s="111">
        <f ca="1">IFERROR(__xludf.DUMMYFUNCTION("""COMPUTED_VALUE"""),33.75)</f>
        <v>33.75</v>
      </c>
      <c r="S3054" s="112">
        <f ca="1">IFERROR(__xludf.DUMMYFUNCTION("""COMPUTED_VALUE"""),44775.7055555555)</f>
        <v>44775.705555555498</v>
      </c>
      <c r="T3054" s="111">
        <f ca="1">IFERROR(__xludf.DUMMYFUNCTION("""COMPUTED_VALUE"""),25.57)</f>
        <v>25.57</v>
      </c>
    </row>
    <row r="3055" spans="1:20" x14ac:dyDescent="0.3">
      <c r="A3055" s="112">
        <f ca="1">IFERROR(__xludf.DUMMYFUNCTION("""COMPUTED_VALUE"""),44770.7055555555)</f>
        <v>44770.705555555498</v>
      </c>
      <c r="B3055" s="111">
        <f ca="1">IFERROR(__xludf.DUMMYFUNCTION("""COMPUTED_VALUE"""),45.45)</f>
        <v>45.45</v>
      </c>
      <c r="C3055" s="112">
        <f ca="1">IFERROR(__xludf.DUMMYFUNCTION("""COMPUTED_VALUE"""),44778.7055555555)</f>
        <v>44778.705555555498</v>
      </c>
      <c r="D3055" s="111">
        <f ca="1">IFERROR(__xludf.DUMMYFUNCTION("""COMPUTED_VALUE"""),24.93)</f>
        <v>24.93</v>
      </c>
      <c r="E3055" s="112">
        <f ca="1">IFERROR(__xludf.DUMMYFUNCTION("""COMPUTED_VALUE"""),44781.7055555555)</f>
        <v>44781.705555555498</v>
      </c>
      <c r="F3055" s="111">
        <f ca="1">IFERROR(__xludf.DUMMYFUNCTION("""COMPUTED_VALUE"""),9.13)</f>
        <v>9.1300000000000008</v>
      </c>
      <c r="G3055" s="112">
        <f ca="1">IFERROR(__xludf.DUMMYFUNCTION("""COMPUTED_VALUE"""),44777.7055555555)</f>
        <v>44777.705555555498</v>
      </c>
      <c r="H3055" s="111">
        <f ca="1">IFERROR(__xludf.DUMMYFUNCTION("""COMPUTED_VALUE"""),34.21)</f>
        <v>34.21</v>
      </c>
      <c r="M3055" s="112">
        <f ca="1">IFERROR(__xludf.DUMMYFUNCTION("""COMPUTED_VALUE"""),44687.7055555555)</f>
        <v>44687.705555555498</v>
      </c>
      <c r="N3055" s="111">
        <f ca="1">IFERROR(__xludf.DUMMYFUNCTION("""COMPUTED_VALUE"""),18.1)</f>
        <v>18.100000000000001</v>
      </c>
      <c r="O3055" s="112">
        <f ca="1">IFERROR(__xludf.DUMMYFUNCTION("""COMPUTED_VALUE"""),44762.7055555555)</f>
        <v>44762.705555555498</v>
      </c>
      <c r="P3055" s="111">
        <f ca="1">IFERROR(__xludf.DUMMYFUNCTION("""COMPUTED_VALUE"""),67.39)</f>
        <v>67.39</v>
      </c>
      <c r="Q3055" s="112">
        <f ca="1">IFERROR(__xludf.DUMMYFUNCTION("""COMPUTED_VALUE"""),44761.7055555555)</f>
        <v>44761.705555555498</v>
      </c>
      <c r="R3055" s="111">
        <f ca="1">IFERROR(__xludf.DUMMYFUNCTION("""COMPUTED_VALUE"""),34.66)</f>
        <v>34.659999999999997</v>
      </c>
      <c r="S3055" s="112">
        <f ca="1">IFERROR(__xludf.DUMMYFUNCTION("""COMPUTED_VALUE"""),44776.7055555555)</f>
        <v>44776.705555555498</v>
      </c>
      <c r="T3055" s="111">
        <f ca="1">IFERROR(__xludf.DUMMYFUNCTION("""COMPUTED_VALUE"""),27.26)</f>
        <v>27.26</v>
      </c>
    </row>
    <row r="3056" spans="1:20" x14ac:dyDescent="0.3">
      <c r="A3056" s="112">
        <f ca="1">IFERROR(__xludf.DUMMYFUNCTION("""COMPUTED_VALUE"""),44771.7055555555)</f>
        <v>44771.705555555498</v>
      </c>
      <c r="B3056" s="111">
        <f ca="1">IFERROR(__xludf.DUMMYFUNCTION("""COMPUTED_VALUE"""),45.81)</f>
        <v>45.81</v>
      </c>
      <c r="C3056" s="112">
        <f ca="1">IFERROR(__xludf.DUMMYFUNCTION("""COMPUTED_VALUE"""),44781.7055555555)</f>
        <v>44781.705555555498</v>
      </c>
      <c r="D3056" s="111">
        <f ca="1">IFERROR(__xludf.DUMMYFUNCTION("""COMPUTED_VALUE"""),25.24)</f>
        <v>25.24</v>
      </c>
      <c r="E3056" s="112">
        <f ca="1">IFERROR(__xludf.DUMMYFUNCTION("""COMPUTED_VALUE"""),44782.7055555555)</f>
        <v>44782.705555555498</v>
      </c>
      <c r="F3056" s="111">
        <f ca="1">IFERROR(__xludf.DUMMYFUNCTION("""COMPUTED_VALUE"""),9.3)</f>
        <v>9.3000000000000007</v>
      </c>
      <c r="G3056" s="112">
        <f ca="1">IFERROR(__xludf.DUMMYFUNCTION("""COMPUTED_VALUE"""),44778.7055555555)</f>
        <v>44778.705555555498</v>
      </c>
      <c r="H3056" s="111">
        <f ca="1">IFERROR(__xludf.DUMMYFUNCTION("""COMPUTED_VALUE"""),34.87)</f>
        <v>34.869999999999997</v>
      </c>
      <c r="M3056" s="112">
        <f ca="1">IFERROR(__xludf.DUMMYFUNCTION("""COMPUTED_VALUE"""),44690.7055555555)</f>
        <v>44690.705555555498</v>
      </c>
      <c r="N3056" s="111">
        <f ca="1">IFERROR(__xludf.DUMMYFUNCTION("""COMPUTED_VALUE"""),18.37)</f>
        <v>18.37</v>
      </c>
      <c r="O3056" s="112">
        <f ca="1">IFERROR(__xludf.DUMMYFUNCTION("""COMPUTED_VALUE"""),44763.7055555555)</f>
        <v>44763.705555555498</v>
      </c>
      <c r="P3056" s="111">
        <f ca="1">IFERROR(__xludf.DUMMYFUNCTION("""COMPUTED_VALUE"""),68.57)</f>
        <v>68.569999999999993</v>
      </c>
      <c r="Q3056" s="112">
        <f ca="1">IFERROR(__xludf.DUMMYFUNCTION("""COMPUTED_VALUE"""),44762.7055555555)</f>
        <v>44762.705555555498</v>
      </c>
      <c r="R3056" s="111">
        <f ca="1">IFERROR(__xludf.DUMMYFUNCTION("""COMPUTED_VALUE"""),34.67)</f>
        <v>34.67</v>
      </c>
      <c r="S3056" s="112">
        <f ca="1">IFERROR(__xludf.DUMMYFUNCTION("""COMPUTED_VALUE"""),44777.7055555555)</f>
        <v>44777.705555555498</v>
      </c>
      <c r="T3056" s="111">
        <f ca="1">IFERROR(__xludf.DUMMYFUNCTION("""COMPUTED_VALUE"""),28.25)</f>
        <v>28.25</v>
      </c>
    </row>
    <row r="3057" spans="1:20" x14ac:dyDescent="0.3">
      <c r="A3057" s="112">
        <f ca="1">IFERROR(__xludf.DUMMYFUNCTION("""COMPUTED_VALUE"""),44774.7055555555)</f>
        <v>44774.705555555498</v>
      </c>
      <c r="B3057" s="111">
        <f ca="1">IFERROR(__xludf.DUMMYFUNCTION("""COMPUTED_VALUE"""),46.5)</f>
        <v>46.5</v>
      </c>
      <c r="C3057" s="112">
        <f ca="1">IFERROR(__xludf.DUMMYFUNCTION("""COMPUTED_VALUE"""),44782.7055555555)</f>
        <v>44782.705555555498</v>
      </c>
      <c r="D3057" s="111">
        <f ca="1">IFERROR(__xludf.DUMMYFUNCTION("""COMPUTED_VALUE"""),25.9)</f>
        <v>25.9</v>
      </c>
      <c r="E3057" s="112">
        <f ca="1">IFERROR(__xludf.DUMMYFUNCTION("""COMPUTED_VALUE"""),44783.7055555555)</f>
        <v>44783.705555555498</v>
      </c>
      <c r="F3057" s="111">
        <f ca="1">IFERROR(__xludf.DUMMYFUNCTION("""COMPUTED_VALUE"""),9.35)</f>
        <v>9.35</v>
      </c>
      <c r="G3057" s="112">
        <f ca="1">IFERROR(__xludf.DUMMYFUNCTION("""COMPUTED_VALUE"""),44781.7055555555)</f>
        <v>44781.705555555498</v>
      </c>
      <c r="H3057" s="111">
        <f ca="1">IFERROR(__xludf.DUMMYFUNCTION("""COMPUTED_VALUE"""),36.63)</f>
        <v>36.630000000000003</v>
      </c>
      <c r="M3057" s="112">
        <f ca="1">IFERROR(__xludf.DUMMYFUNCTION("""COMPUTED_VALUE"""),44691.7055555555)</f>
        <v>44691.705555555498</v>
      </c>
      <c r="N3057" s="111">
        <f ca="1">IFERROR(__xludf.DUMMYFUNCTION("""COMPUTED_VALUE"""),18.55)</f>
        <v>18.55</v>
      </c>
      <c r="O3057" s="112">
        <f ca="1">IFERROR(__xludf.DUMMYFUNCTION("""COMPUTED_VALUE"""),44764.7055555555)</f>
        <v>44764.705555555498</v>
      </c>
      <c r="P3057" s="111">
        <f ca="1">IFERROR(__xludf.DUMMYFUNCTION("""COMPUTED_VALUE"""),69.21)</f>
        <v>69.209999999999994</v>
      </c>
      <c r="Q3057" s="112">
        <f ca="1">IFERROR(__xludf.DUMMYFUNCTION("""COMPUTED_VALUE"""),44763.7055555555)</f>
        <v>44763.705555555498</v>
      </c>
      <c r="R3057" s="111">
        <f ca="1">IFERROR(__xludf.DUMMYFUNCTION("""COMPUTED_VALUE"""),34.91)</f>
        <v>34.909999999999997</v>
      </c>
      <c r="S3057" s="112">
        <f ca="1">IFERROR(__xludf.DUMMYFUNCTION("""COMPUTED_VALUE"""),44778.7055555555)</f>
        <v>44778.705555555498</v>
      </c>
      <c r="T3057" s="111">
        <f ca="1">IFERROR(__xludf.DUMMYFUNCTION("""COMPUTED_VALUE"""),27.47)</f>
        <v>27.47</v>
      </c>
    </row>
    <row r="3058" spans="1:20" x14ac:dyDescent="0.3">
      <c r="A3058" s="112">
        <f ca="1">IFERROR(__xludf.DUMMYFUNCTION("""COMPUTED_VALUE"""),44775.7055555555)</f>
        <v>44775.705555555498</v>
      </c>
      <c r="B3058" s="111">
        <f ca="1">IFERROR(__xludf.DUMMYFUNCTION("""COMPUTED_VALUE"""),46.86)</f>
        <v>46.86</v>
      </c>
      <c r="C3058" s="112">
        <f ca="1">IFERROR(__xludf.DUMMYFUNCTION("""COMPUTED_VALUE"""),44783.7055555555)</f>
        <v>44783.705555555498</v>
      </c>
      <c r="D3058" s="111">
        <f ca="1">IFERROR(__xludf.DUMMYFUNCTION("""COMPUTED_VALUE"""),26.38)</f>
        <v>26.38</v>
      </c>
      <c r="E3058" s="112">
        <f ca="1">IFERROR(__xludf.DUMMYFUNCTION("""COMPUTED_VALUE"""),44784.7055555555)</f>
        <v>44784.705555555498</v>
      </c>
      <c r="F3058" s="111">
        <f ca="1">IFERROR(__xludf.DUMMYFUNCTION("""COMPUTED_VALUE"""),9.32)</f>
        <v>9.32</v>
      </c>
      <c r="G3058" s="112">
        <f ca="1">IFERROR(__xludf.DUMMYFUNCTION("""COMPUTED_VALUE"""),44782.7055555555)</f>
        <v>44782.705555555498</v>
      </c>
      <c r="H3058" s="111">
        <f ca="1">IFERROR(__xludf.DUMMYFUNCTION("""COMPUTED_VALUE"""),37.23)</f>
        <v>37.229999999999997</v>
      </c>
      <c r="M3058" s="112">
        <f ca="1">IFERROR(__xludf.DUMMYFUNCTION("""COMPUTED_VALUE"""),44692.7055555555)</f>
        <v>44692.705555555498</v>
      </c>
      <c r="N3058" s="111">
        <f ca="1">IFERROR(__xludf.DUMMYFUNCTION("""COMPUTED_VALUE"""),18.87)</f>
        <v>18.87</v>
      </c>
      <c r="O3058" s="112">
        <f ca="1">IFERROR(__xludf.DUMMYFUNCTION("""COMPUTED_VALUE"""),44767.7055555555)</f>
        <v>44767.705555555498</v>
      </c>
      <c r="P3058" s="111">
        <f ca="1">IFERROR(__xludf.DUMMYFUNCTION("""COMPUTED_VALUE"""),70.49)</f>
        <v>70.489999999999995</v>
      </c>
      <c r="Q3058" s="112">
        <f ca="1">IFERROR(__xludf.DUMMYFUNCTION("""COMPUTED_VALUE"""),44764.7055555555)</f>
        <v>44764.705555555498</v>
      </c>
      <c r="R3058" s="111">
        <f ca="1">IFERROR(__xludf.DUMMYFUNCTION("""COMPUTED_VALUE"""),34.67)</f>
        <v>34.67</v>
      </c>
      <c r="S3058" s="112">
        <f ca="1">IFERROR(__xludf.DUMMYFUNCTION("""COMPUTED_VALUE"""),44781.7055555555)</f>
        <v>44781.705555555498</v>
      </c>
      <c r="T3058" s="111">
        <f ca="1">IFERROR(__xludf.DUMMYFUNCTION("""COMPUTED_VALUE"""),27.5)</f>
        <v>27.5</v>
      </c>
    </row>
    <row r="3059" spans="1:20" x14ac:dyDescent="0.3">
      <c r="A3059" s="112">
        <f ca="1">IFERROR(__xludf.DUMMYFUNCTION("""COMPUTED_VALUE"""),44776.7055555555)</f>
        <v>44776.705555555498</v>
      </c>
      <c r="B3059" s="111">
        <f ca="1">IFERROR(__xludf.DUMMYFUNCTION("""COMPUTED_VALUE"""),47.01)</f>
        <v>47.01</v>
      </c>
      <c r="C3059" s="112">
        <f ca="1">IFERROR(__xludf.DUMMYFUNCTION("""COMPUTED_VALUE"""),44784.7055555555)</f>
        <v>44784.705555555498</v>
      </c>
      <c r="D3059" s="111">
        <f ca="1">IFERROR(__xludf.DUMMYFUNCTION("""COMPUTED_VALUE"""),26.42)</f>
        <v>26.42</v>
      </c>
      <c r="E3059" s="112">
        <f ca="1">IFERROR(__xludf.DUMMYFUNCTION("""COMPUTED_VALUE"""),44785.7055555555)</f>
        <v>44785.705555555498</v>
      </c>
      <c r="F3059" s="111">
        <f ca="1">IFERROR(__xludf.DUMMYFUNCTION("""COMPUTED_VALUE"""),9.44)</f>
        <v>9.44</v>
      </c>
      <c r="G3059" s="112">
        <f ca="1">IFERROR(__xludf.DUMMYFUNCTION("""COMPUTED_VALUE"""),44783.7055555555)</f>
        <v>44783.705555555498</v>
      </c>
      <c r="H3059" s="111">
        <f ca="1">IFERROR(__xludf.DUMMYFUNCTION("""COMPUTED_VALUE"""),37.11)</f>
        <v>37.11</v>
      </c>
      <c r="M3059" s="112">
        <f ca="1">IFERROR(__xludf.DUMMYFUNCTION("""COMPUTED_VALUE"""),44693.7055555555)</f>
        <v>44693.705555555498</v>
      </c>
      <c r="N3059" s="111">
        <f ca="1">IFERROR(__xludf.DUMMYFUNCTION("""COMPUTED_VALUE"""),18.99)</f>
        <v>18.989999999999998</v>
      </c>
      <c r="O3059" s="112">
        <f ca="1">IFERROR(__xludf.DUMMYFUNCTION("""COMPUTED_VALUE"""),44768.7055555555)</f>
        <v>44768.705555555498</v>
      </c>
      <c r="P3059" s="111">
        <f ca="1">IFERROR(__xludf.DUMMYFUNCTION("""COMPUTED_VALUE"""),70.36)</f>
        <v>70.36</v>
      </c>
      <c r="Q3059" s="112">
        <f ca="1">IFERROR(__xludf.DUMMYFUNCTION("""COMPUTED_VALUE"""),44767.7055555555)</f>
        <v>44767.705555555498</v>
      </c>
      <c r="R3059" s="111">
        <f ca="1">IFERROR(__xludf.DUMMYFUNCTION("""COMPUTED_VALUE"""),35.2)</f>
        <v>35.200000000000003</v>
      </c>
      <c r="S3059" s="112">
        <f ca="1">IFERROR(__xludf.DUMMYFUNCTION("""COMPUTED_VALUE"""),44782.7055555555)</f>
        <v>44782.705555555498</v>
      </c>
      <c r="T3059" s="111">
        <f ca="1">IFERROR(__xludf.DUMMYFUNCTION("""COMPUTED_VALUE"""),26.86)</f>
        <v>26.86</v>
      </c>
    </row>
    <row r="3060" spans="1:20" x14ac:dyDescent="0.3">
      <c r="A3060" s="112">
        <f ca="1">IFERROR(__xludf.DUMMYFUNCTION("""COMPUTED_VALUE"""),44777.7055555555)</f>
        <v>44777.705555555498</v>
      </c>
      <c r="B3060" s="111">
        <f ca="1">IFERROR(__xludf.DUMMYFUNCTION("""COMPUTED_VALUE"""),48.32)</f>
        <v>48.32</v>
      </c>
      <c r="C3060" s="112">
        <f ca="1">IFERROR(__xludf.DUMMYFUNCTION("""COMPUTED_VALUE"""),44785.7055555555)</f>
        <v>44785.705555555498</v>
      </c>
      <c r="D3060" s="111">
        <f ca="1">IFERROR(__xludf.DUMMYFUNCTION("""COMPUTED_VALUE"""),26.74)</f>
        <v>26.74</v>
      </c>
      <c r="E3060" s="112">
        <f ca="1">IFERROR(__xludf.DUMMYFUNCTION("""COMPUTED_VALUE"""),44788.7055555555)</f>
        <v>44788.705555555498</v>
      </c>
      <c r="F3060" s="111">
        <f ca="1">IFERROR(__xludf.DUMMYFUNCTION("""COMPUTED_VALUE"""),9.45)</f>
        <v>9.4499999999999993</v>
      </c>
      <c r="G3060" s="112">
        <f ca="1">IFERROR(__xludf.DUMMYFUNCTION("""COMPUTED_VALUE"""),44784.7055555555)</f>
        <v>44784.705555555498</v>
      </c>
      <c r="H3060" s="111">
        <f ca="1">IFERROR(__xludf.DUMMYFUNCTION("""COMPUTED_VALUE"""),36.25)</f>
        <v>36.25</v>
      </c>
      <c r="M3060" s="112">
        <f ca="1">IFERROR(__xludf.DUMMYFUNCTION("""COMPUTED_VALUE"""),44694.7055555555)</f>
        <v>44694.705555555498</v>
      </c>
      <c r="N3060" s="111">
        <f ca="1">IFERROR(__xludf.DUMMYFUNCTION("""COMPUTED_VALUE"""),19.21)</f>
        <v>19.21</v>
      </c>
      <c r="O3060" s="112">
        <f ca="1">IFERROR(__xludf.DUMMYFUNCTION("""COMPUTED_VALUE"""),44769.7055555555)</f>
        <v>44769.705555555498</v>
      </c>
      <c r="P3060" s="111">
        <f ca="1">IFERROR(__xludf.DUMMYFUNCTION("""COMPUTED_VALUE"""),70.52)</f>
        <v>70.52</v>
      </c>
      <c r="Q3060" s="112">
        <f ca="1">IFERROR(__xludf.DUMMYFUNCTION("""COMPUTED_VALUE"""),44768.7055555555)</f>
        <v>44768.705555555498</v>
      </c>
      <c r="R3060" s="111">
        <f ca="1">IFERROR(__xludf.DUMMYFUNCTION("""COMPUTED_VALUE"""),35.32)</f>
        <v>35.32</v>
      </c>
      <c r="S3060" s="112">
        <f ca="1">IFERROR(__xludf.DUMMYFUNCTION("""COMPUTED_VALUE"""),44783.7055555555)</f>
        <v>44783.705555555498</v>
      </c>
      <c r="T3060" s="111">
        <f ca="1">IFERROR(__xludf.DUMMYFUNCTION("""COMPUTED_VALUE"""),27.97)</f>
        <v>27.97</v>
      </c>
    </row>
    <row r="3061" spans="1:20" x14ac:dyDescent="0.3">
      <c r="A3061" s="112">
        <f ca="1">IFERROR(__xludf.DUMMYFUNCTION("""COMPUTED_VALUE"""),44778.7055555555)</f>
        <v>44778.705555555498</v>
      </c>
      <c r="B3061" s="111">
        <f ca="1">IFERROR(__xludf.DUMMYFUNCTION("""COMPUTED_VALUE"""),48.13)</f>
        <v>48.13</v>
      </c>
      <c r="C3061" s="112">
        <f ca="1">IFERROR(__xludf.DUMMYFUNCTION("""COMPUTED_VALUE"""),44788.7055555555)</f>
        <v>44788.705555555498</v>
      </c>
      <c r="D3061" s="111">
        <f ca="1">IFERROR(__xludf.DUMMYFUNCTION("""COMPUTED_VALUE"""),26.97)</f>
        <v>26.97</v>
      </c>
      <c r="E3061" s="112">
        <f ca="1">IFERROR(__xludf.DUMMYFUNCTION("""COMPUTED_VALUE"""),44789.7055555555)</f>
        <v>44789.705555555498</v>
      </c>
      <c r="F3061" s="111">
        <f ca="1">IFERROR(__xludf.DUMMYFUNCTION("""COMPUTED_VALUE"""),9.49)</f>
        <v>9.49</v>
      </c>
      <c r="G3061" s="112">
        <f ca="1">IFERROR(__xludf.DUMMYFUNCTION("""COMPUTED_VALUE"""),44785.7055555555)</f>
        <v>44785.705555555498</v>
      </c>
      <c r="H3061" s="111">
        <f ca="1">IFERROR(__xludf.DUMMYFUNCTION("""COMPUTED_VALUE"""),31.71)</f>
        <v>31.71</v>
      </c>
      <c r="M3061" s="112">
        <f ca="1">IFERROR(__xludf.DUMMYFUNCTION("""COMPUTED_VALUE"""),44697.7055555555)</f>
        <v>44697.705555555498</v>
      </c>
      <c r="N3061" s="111">
        <f ca="1">IFERROR(__xludf.DUMMYFUNCTION("""COMPUTED_VALUE"""),19.53)</f>
        <v>19.53</v>
      </c>
      <c r="O3061" s="112">
        <f ca="1">IFERROR(__xludf.DUMMYFUNCTION("""COMPUTED_VALUE"""),44770.7055555555)</f>
        <v>44770.705555555498</v>
      </c>
      <c r="P3061" s="111">
        <f ca="1">IFERROR(__xludf.DUMMYFUNCTION("""COMPUTED_VALUE"""),70.69)</f>
        <v>70.69</v>
      </c>
      <c r="Q3061" s="112">
        <f ca="1">IFERROR(__xludf.DUMMYFUNCTION("""COMPUTED_VALUE"""),44769.7055555555)</f>
        <v>44769.705555555498</v>
      </c>
      <c r="R3061" s="111">
        <f ca="1">IFERROR(__xludf.DUMMYFUNCTION("""COMPUTED_VALUE"""),35.55)</f>
        <v>35.549999999999997</v>
      </c>
      <c r="S3061" s="112">
        <f ca="1">IFERROR(__xludf.DUMMYFUNCTION("""COMPUTED_VALUE"""),44784.7055555555)</f>
        <v>44784.705555555498</v>
      </c>
      <c r="T3061" s="111">
        <f ca="1">IFERROR(__xludf.DUMMYFUNCTION("""COMPUTED_VALUE"""),27.24)</f>
        <v>27.24</v>
      </c>
    </row>
    <row r="3062" spans="1:20" x14ac:dyDescent="0.3">
      <c r="A3062" s="112">
        <f ca="1">IFERROR(__xludf.DUMMYFUNCTION("""COMPUTED_VALUE"""),44781.7055555555)</f>
        <v>44781.705555555498</v>
      </c>
      <c r="B3062" s="111">
        <f ca="1">IFERROR(__xludf.DUMMYFUNCTION("""COMPUTED_VALUE"""),48.29)</f>
        <v>48.29</v>
      </c>
      <c r="C3062" s="112">
        <f ca="1">IFERROR(__xludf.DUMMYFUNCTION("""COMPUTED_VALUE"""),44789.7055555555)</f>
        <v>44789.705555555498</v>
      </c>
      <c r="D3062" s="111">
        <f ca="1">IFERROR(__xludf.DUMMYFUNCTION("""COMPUTED_VALUE"""),27.28)</f>
        <v>27.28</v>
      </c>
      <c r="E3062" s="112">
        <f ca="1">IFERROR(__xludf.DUMMYFUNCTION("""COMPUTED_VALUE"""),44790.7055555555)</f>
        <v>44790.705555555498</v>
      </c>
      <c r="F3062" s="111">
        <f ca="1">IFERROR(__xludf.DUMMYFUNCTION("""COMPUTED_VALUE"""),9.5)</f>
        <v>9.5</v>
      </c>
      <c r="G3062" s="112">
        <f ca="1">IFERROR(__xludf.DUMMYFUNCTION("""COMPUTED_VALUE"""),44788.7055555555)</f>
        <v>44788.705555555498</v>
      </c>
      <c r="H3062" s="111">
        <f ca="1">IFERROR(__xludf.DUMMYFUNCTION("""COMPUTED_VALUE"""),31.72)</f>
        <v>31.72</v>
      </c>
      <c r="M3062" s="112">
        <f ca="1">IFERROR(__xludf.DUMMYFUNCTION("""COMPUTED_VALUE"""),44698.7055555555)</f>
        <v>44698.705555555498</v>
      </c>
      <c r="N3062" s="111">
        <f ca="1">IFERROR(__xludf.DUMMYFUNCTION("""COMPUTED_VALUE"""),19.93)</f>
        <v>19.93</v>
      </c>
      <c r="O3062" s="112">
        <f ca="1">IFERROR(__xludf.DUMMYFUNCTION("""COMPUTED_VALUE"""),44771.7055555555)</f>
        <v>44771.705555555498</v>
      </c>
      <c r="P3062" s="111">
        <f ca="1">IFERROR(__xludf.DUMMYFUNCTION("""COMPUTED_VALUE"""),69.75)</f>
        <v>69.75</v>
      </c>
      <c r="Q3062" s="112">
        <f ca="1">IFERROR(__xludf.DUMMYFUNCTION("""COMPUTED_VALUE"""),44770.7055555555)</f>
        <v>44770.705555555498</v>
      </c>
      <c r="R3062" s="111">
        <f ca="1">IFERROR(__xludf.DUMMYFUNCTION("""COMPUTED_VALUE"""),36.21)</f>
        <v>36.21</v>
      </c>
      <c r="S3062" s="112">
        <f ca="1">IFERROR(__xludf.DUMMYFUNCTION("""COMPUTED_VALUE"""),44785.7055555555)</f>
        <v>44785.705555555498</v>
      </c>
      <c r="T3062" s="111">
        <f ca="1">IFERROR(__xludf.DUMMYFUNCTION("""COMPUTED_VALUE"""),27.69)</f>
        <v>27.69</v>
      </c>
    </row>
    <row r="3063" spans="1:20" x14ac:dyDescent="0.3">
      <c r="A3063" s="112">
        <f ca="1">IFERROR(__xludf.DUMMYFUNCTION("""COMPUTED_VALUE"""),44782.7055555555)</f>
        <v>44782.705555555498</v>
      </c>
      <c r="B3063" s="111">
        <f ca="1">IFERROR(__xludf.DUMMYFUNCTION("""COMPUTED_VALUE"""),48.33)</f>
        <v>48.33</v>
      </c>
      <c r="C3063" s="112">
        <f ca="1">IFERROR(__xludf.DUMMYFUNCTION("""COMPUTED_VALUE"""),44790.7055555555)</f>
        <v>44790.705555555498</v>
      </c>
      <c r="D3063" s="111">
        <f ca="1">IFERROR(__xludf.DUMMYFUNCTION("""COMPUTED_VALUE"""),27.35)</f>
        <v>27.35</v>
      </c>
      <c r="E3063" s="112">
        <f ca="1">IFERROR(__xludf.DUMMYFUNCTION("""COMPUTED_VALUE"""),44791.7055555555)</f>
        <v>44791.705555555498</v>
      </c>
      <c r="F3063" s="111">
        <f ca="1">IFERROR(__xludf.DUMMYFUNCTION("""COMPUTED_VALUE"""),9.5)</f>
        <v>9.5</v>
      </c>
      <c r="G3063" s="112">
        <f ca="1">IFERROR(__xludf.DUMMYFUNCTION("""COMPUTED_VALUE"""),44789.7055555555)</f>
        <v>44789.705555555498</v>
      </c>
      <c r="H3063" s="111">
        <f ca="1">IFERROR(__xludf.DUMMYFUNCTION("""COMPUTED_VALUE"""),32.01)</f>
        <v>32.01</v>
      </c>
      <c r="M3063" s="112">
        <f ca="1">IFERROR(__xludf.DUMMYFUNCTION("""COMPUTED_VALUE"""),44699.7055555555)</f>
        <v>44699.705555555498</v>
      </c>
      <c r="N3063" s="111">
        <f ca="1">IFERROR(__xludf.DUMMYFUNCTION("""COMPUTED_VALUE"""),19.56)</f>
        <v>19.559999999999999</v>
      </c>
      <c r="O3063" s="112">
        <f ca="1">IFERROR(__xludf.DUMMYFUNCTION("""COMPUTED_VALUE"""),44774.7055555555)</f>
        <v>44774.705555555498</v>
      </c>
      <c r="P3063" s="111">
        <f ca="1">IFERROR(__xludf.DUMMYFUNCTION("""COMPUTED_VALUE"""),68.08)</f>
        <v>68.08</v>
      </c>
      <c r="Q3063" s="112">
        <f ca="1">IFERROR(__xludf.DUMMYFUNCTION("""COMPUTED_VALUE"""),44771.7055555555)</f>
        <v>44771.705555555498</v>
      </c>
      <c r="R3063" s="111">
        <f ca="1">IFERROR(__xludf.DUMMYFUNCTION("""COMPUTED_VALUE"""),35.97)</f>
        <v>35.97</v>
      </c>
      <c r="S3063" s="112">
        <f ca="1">IFERROR(__xludf.DUMMYFUNCTION("""COMPUTED_VALUE"""),44788.7055555555)</f>
        <v>44788.705555555498</v>
      </c>
      <c r="T3063" s="111">
        <f ca="1">IFERROR(__xludf.DUMMYFUNCTION("""COMPUTED_VALUE"""),28.63)</f>
        <v>28.63</v>
      </c>
    </row>
    <row r="3064" spans="1:20" x14ac:dyDescent="0.3">
      <c r="A3064" s="112">
        <f ca="1">IFERROR(__xludf.DUMMYFUNCTION("""COMPUTED_VALUE"""),44783.7055555555)</f>
        <v>44783.705555555498</v>
      </c>
      <c r="B3064" s="111">
        <f ca="1">IFERROR(__xludf.DUMMYFUNCTION("""COMPUTED_VALUE"""),47.98)</f>
        <v>47.98</v>
      </c>
      <c r="C3064" s="112">
        <f ca="1">IFERROR(__xludf.DUMMYFUNCTION("""COMPUTED_VALUE"""),44791.7055555555)</f>
        <v>44791.705555555498</v>
      </c>
      <c r="D3064" s="111">
        <f ca="1">IFERROR(__xludf.DUMMYFUNCTION("""COMPUTED_VALUE"""),27.27)</f>
        <v>27.27</v>
      </c>
      <c r="E3064" s="112">
        <f ca="1">IFERROR(__xludf.DUMMYFUNCTION("""COMPUTED_VALUE"""),44792.7055555555)</f>
        <v>44792.705555555498</v>
      </c>
      <c r="F3064" s="111">
        <f ca="1">IFERROR(__xludf.DUMMYFUNCTION("""COMPUTED_VALUE"""),9.4)</f>
        <v>9.4</v>
      </c>
      <c r="G3064" s="112">
        <f ca="1">IFERROR(__xludf.DUMMYFUNCTION("""COMPUTED_VALUE"""),44790.7055555555)</f>
        <v>44790.705555555498</v>
      </c>
      <c r="H3064" s="111">
        <f ca="1">IFERROR(__xludf.DUMMYFUNCTION("""COMPUTED_VALUE"""),32.76)</f>
        <v>32.76</v>
      </c>
      <c r="M3064" s="112">
        <f ca="1">IFERROR(__xludf.DUMMYFUNCTION("""COMPUTED_VALUE"""),44700.7055555555)</f>
        <v>44700.705555555498</v>
      </c>
      <c r="N3064" s="111">
        <f ca="1">IFERROR(__xludf.DUMMYFUNCTION("""COMPUTED_VALUE"""),19.41)</f>
        <v>19.41</v>
      </c>
      <c r="O3064" s="112">
        <f ca="1">IFERROR(__xludf.DUMMYFUNCTION("""COMPUTED_VALUE"""),44775.7055555555)</f>
        <v>44775.705555555498</v>
      </c>
      <c r="P3064" s="111">
        <f ca="1">IFERROR(__xludf.DUMMYFUNCTION("""COMPUTED_VALUE"""),70.25)</f>
        <v>70.25</v>
      </c>
      <c r="Q3064" s="112">
        <f ca="1">IFERROR(__xludf.DUMMYFUNCTION("""COMPUTED_VALUE"""),44774.7055555555)</f>
        <v>44774.705555555498</v>
      </c>
      <c r="R3064" s="111">
        <f ca="1">IFERROR(__xludf.DUMMYFUNCTION("""COMPUTED_VALUE"""),35.68)</f>
        <v>35.68</v>
      </c>
      <c r="S3064" s="112">
        <f ca="1">IFERROR(__xludf.DUMMYFUNCTION("""COMPUTED_VALUE"""),44789.7055555555)</f>
        <v>44789.705555555498</v>
      </c>
      <c r="T3064" s="111">
        <f ca="1">IFERROR(__xludf.DUMMYFUNCTION("""COMPUTED_VALUE"""),28.06)</f>
        <v>28.06</v>
      </c>
    </row>
    <row r="3065" spans="1:20" x14ac:dyDescent="0.3">
      <c r="A3065" s="112">
        <f ca="1">IFERROR(__xludf.DUMMYFUNCTION("""COMPUTED_VALUE"""),44784.7055555555)</f>
        <v>44784.705555555498</v>
      </c>
      <c r="B3065" s="111">
        <f ca="1">IFERROR(__xludf.DUMMYFUNCTION("""COMPUTED_VALUE"""),46.96)</f>
        <v>46.96</v>
      </c>
      <c r="C3065" s="112">
        <f ca="1">IFERROR(__xludf.DUMMYFUNCTION("""COMPUTED_VALUE"""),44792.7055555555)</f>
        <v>44792.705555555498</v>
      </c>
      <c r="D3065" s="111">
        <f ca="1">IFERROR(__xludf.DUMMYFUNCTION("""COMPUTED_VALUE"""),26.64)</f>
        <v>26.64</v>
      </c>
      <c r="E3065" s="112">
        <f ca="1">IFERROR(__xludf.DUMMYFUNCTION("""COMPUTED_VALUE"""),44795.7055555555)</f>
        <v>44795.705555555498</v>
      </c>
      <c r="F3065" s="111">
        <f ca="1">IFERROR(__xludf.DUMMYFUNCTION("""COMPUTED_VALUE"""),9.32)</f>
        <v>9.32</v>
      </c>
      <c r="G3065" s="112">
        <f ca="1">IFERROR(__xludf.DUMMYFUNCTION("""COMPUTED_VALUE"""),44791.7055555555)</f>
        <v>44791.705555555498</v>
      </c>
      <c r="H3065" s="111">
        <f ca="1">IFERROR(__xludf.DUMMYFUNCTION("""COMPUTED_VALUE"""),33.42)</f>
        <v>33.42</v>
      </c>
      <c r="M3065" s="112">
        <f ca="1">IFERROR(__xludf.DUMMYFUNCTION("""COMPUTED_VALUE"""),44701.7055555555)</f>
        <v>44701.705555555498</v>
      </c>
      <c r="N3065" s="111">
        <f ca="1">IFERROR(__xludf.DUMMYFUNCTION("""COMPUTED_VALUE"""),19.67)</f>
        <v>19.670000000000002</v>
      </c>
      <c r="O3065" s="112">
        <f ca="1">IFERROR(__xludf.DUMMYFUNCTION("""COMPUTED_VALUE"""),44776.7055555555)</f>
        <v>44776.705555555498</v>
      </c>
      <c r="P3065" s="111">
        <f ca="1">IFERROR(__xludf.DUMMYFUNCTION("""COMPUTED_VALUE"""),67.52)</f>
        <v>67.52</v>
      </c>
      <c r="Q3065" s="112">
        <f ca="1">IFERROR(__xludf.DUMMYFUNCTION("""COMPUTED_VALUE"""),44775.7055555555)</f>
        <v>44775.705555555498</v>
      </c>
      <c r="R3065" s="111">
        <f ca="1">IFERROR(__xludf.DUMMYFUNCTION("""COMPUTED_VALUE"""),36.16)</f>
        <v>36.159999999999997</v>
      </c>
      <c r="S3065" s="112">
        <f ca="1">IFERROR(__xludf.DUMMYFUNCTION("""COMPUTED_VALUE"""),44790.7055555555)</f>
        <v>44790.705555555498</v>
      </c>
      <c r="T3065" s="111">
        <f ca="1">IFERROR(__xludf.DUMMYFUNCTION("""COMPUTED_VALUE"""),27.65)</f>
        <v>27.65</v>
      </c>
    </row>
    <row r="3066" spans="1:20" x14ac:dyDescent="0.3">
      <c r="A3066" s="112">
        <f ca="1">IFERROR(__xludf.DUMMYFUNCTION("""COMPUTED_VALUE"""),44785.7055555555)</f>
        <v>44785.705555555498</v>
      </c>
      <c r="B3066" s="111">
        <f ca="1">IFERROR(__xludf.DUMMYFUNCTION("""COMPUTED_VALUE"""),46.9)</f>
        <v>46.9</v>
      </c>
      <c r="C3066" s="112">
        <f ca="1">IFERROR(__xludf.DUMMYFUNCTION("""COMPUTED_VALUE"""),44795.7055555555)</f>
        <v>44795.705555555498</v>
      </c>
      <c r="D3066" s="111">
        <f ca="1">IFERROR(__xludf.DUMMYFUNCTION("""COMPUTED_VALUE"""),26.34)</f>
        <v>26.34</v>
      </c>
      <c r="E3066" s="112">
        <f ca="1">IFERROR(__xludf.DUMMYFUNCTION("""COMPUTED_VALUE"""),44796.7055555555)</f>
        <v>44796.705555555498</v>
      </c>
      <c r="F3066" s="111">
        <f ca="1">IFERROR(__xludf.DUMMYFUNCTION("""COMPUTED_VALUE"""),9.32)</f>
        <v>9.32</v>
      </c>
      <c r="G3066" s="112">
        <f ca="1">IFERROR(__xludf.DUMMYFUNCTION("""COMPUTED_VALUE"""),44792.7055555555)</f>
        <v>44792.705555555498</v>
      </c>
      <c r="H3066" s="111">
        <f ca="1">IFERROR(__xludf.DUMMYFUNCTION("""COMPUTED_VALUE"""),31.73)</f>
        <v>31.73</v>
      </c>
      <c r="M3066" s="112">
        <f ca="1">IFERROR(__xludf.DUMMYFUNCTION("""COMPUTED_VALUE"""),44704.7055555555)</f>
        <v>44704.705555555498</v>
      </c>
      <c r="N3066" s="111">
        <f ca="1">IFERROR(__xludf.DUMMYFUNCTION("""COMPUTED_VALUE"""),19.99)</f>
        <v>19.989999999999998</v>
      </c>
      <c r="O3066" s="112">
        <f ca="1">IFERROR(__xludf.DUMMYFUNCTION("""COMPUTED_VALUE"""),44777.7055555555)</f>
        <v>44777.705555555498</v>
      </c>
      <c r="P3066" s="111">
        <f ca="1">IFERROR(__xludf.DUMMYFUNCTION("""COMPUTED_VALUE"""),67.13)</f>
        <v>67.13</v>
      </c>
      <c r="Q3066" s="112">
        <f ca="1">IFERROR(__xludf.DUMMYFUNCTION("""COMPUTED_VALUE"""),44776.7055555555)</f>
        <v>44776.705555555498</v>
      </c>
      <c r="R3066" s="111">
        <f ca="1">IFERROR(__xludf.DUMMYFUNCTION("""COMPUTED_VALUE"""),36.41)</f>
        <v>36.409999999999997</v>
      </c>
      <c r="S3066" s="112">
        <f ca="1">IFERROR(__xludf.DUMMYFUNCTION("""COMPUTED_VALUE"""),44791.7055555555)</f>
        <v>44791.705555555498</v>
      </c>
      <c r="T3066" s="111">
        <f ca="1">IFERROR(__xludf.DUMMYFUNCTION("""COMPUTED_VALUE"""),27.65)</f>
        <v>27.65</v>
      </c>
    </row>
    <row r="3067" spans="1:20" x14ac:dyDescent="0.3">
      <c r="A3067" s="112">
        <f ca="1">IFERROR(__xludf.DUMMYFUNCTION("""COMPUTED_VALUE"""),44788.7055555555)</f>
        <v>44788.705555555498</v>
      </c>
      <c r="B3067" s="111">
        <f ca="1">IFERROR(__xludf.DUMMYFUNCTION("""COMPUTED_VALUE"""),48.68)</f>
        <v>48.68</v>
      </c>
      <c r="C3067" s="112">
        <f ca="1">IFERROR(__xludf.DUMMYFUNCTION("""COMPUTED_VALUE"""),44796.7055555555)</f>
        <v>44796.705555555498</v>
      </c>
      <c r="D3067" s="111">
        <f ca="1">IFERROR(__xludf.DUMMYFUNCTION("""COMPUTED_VALUE"""),26.41)</f>
        <v>26.41</v>
      </c>
      <c r="E3067" s="112">
        <f ca="1">IFERROR(__xludf.DUMMYFUNCTION("""COMPUTED_VALUE"""),44797.7055555555)</f>
        <v>44797.705555555498</v>
      </c>
      <c r="F3067" s="111">
        <f ca="1">IFERROR(__xludf.DUMMYFUNCTION("""COMPUTED_VALUE"""),9.29)</f>
        <v>9.2899999999999991</v>
      </c>
      <c r="G3067" s="112">
        <f ca="1">IFERROR(__xludf.DUMMYFUNCTION("""COMPUTED_VALUE"""),44795.7055555555)</f>
        <v>44795.705555555498</v>
      </c>
      <c r="H3067" s="111">
        <f ca="1">IFERROR(__xludf.DUMMYFUNCTION("""COMPUTED_VALUE"""),32.41)</f>
        <v>32.409999999999997</v>
      </c>
      <c r="M3067" s="112">
        <f ca="1">IFERROR(__xludf.DUMMYFUNCTION("""COMPUTED_VALUE"""),44705.7055555555)</f>
        <v>44705.705555555498</v>
      </c>
      <c r="N3067" s="111">
        <f ca="1">IFERROR(__xludf.DUMMYFUNCTION("""COMPUTED_VALUE"""),20.41)</f>
        <v>20.41</v>
      </c>
      <c r="O3067" s="112">
        <f ca="1">IFERROR(__xludf.DUMMYFUNCTION("""COMPUTED_VALUE"""),44778.7055555555)</f>
        <v>44778.705555555498</v>
      </c>
      <c r="P3067" s="111">
        <f ca="1">IFERROR(__xludf.DUMMYFUNCTION("""COMPUTED_VALUE"""),68)</f>
        <v>68</v>
      </c>
      <c r="Q3067" s="112">
        <f ca="1">IFERROR(__xludf.DUMMYFUNCTION("""COMPUTED_VALUE"""),44777.7055555555)</f>
        <v>44777.705555555498</v>
      </c>
      <c r="R3067" s="111">
        <f ca="1">IFERROR(__xludf.DUMMYFUNCTION("""COMPUTED_VALUE"""),37.1)</f>
        <v>37.1</v>
      </c>
      <c r="S3067" s="112">
        <f ca="1">IFERROR(__xludf.DUMMYFUNCTION("""COMPUTED_VALUE"""),44792.7055555555)</f>
        <v>44792.705555555498</v>
      </c>
      <c r="T3067" s="111">
        <f ca="1">IFERROR(__xludf.DUMMYFUNCTION("""COMPUTED_VALUE"""),27.13)</f>
        <v>27.13</v>
      </c>
    </row>
    <row r="3068" spans="1:20" x14ac:dyDescent="0.3">
      <c r="A3068" s="112">
        <f ca="1">IFERROR(__xludf.DUMMYFUNCTION("""COMPUTED_VALUE"""),44789.7055555555)</f>
        <v>44789.705555555498</v>
      </c>
      <c r="B3068" s="111">
        <f ca="1">IFERROR(__xludf.DUMMYFUNCTION("""COMPUTED_VALUE"""),48.44)</f>
        <v>48.44</v>
      </c>
      <c r="C3068" s="112">
        <f ca="1">IFERROR(__xludf.DUMMYFUNCTION("""COMPUTED_VALUE"""),44797.7055555555)</f>
        <v>44797.705555555498</v>
      </c>
      <c r="D3068" s="111">
        <f ca="1">IFERROR(__xludf.DUMMYFUNCTION("""COMPUTED_VALUE"""),26.52)</f>
        <v>26.52</v>
      </c>
      <c r="E3068" s="112">
        <f ca="1">IFERROR(__xludf.DUMMYFUNCTION("""COMPUTED_VALUE"""),44798.7055555555)</f>
        <v>44798.705555555498</v>
      </c>
      <c r="F3068" s="111">
        <f ca="1">IFERROR(__xludf.DUMMYFUNCTION("""COMPUTED_VALUE"""),9.38)</f>
        <v>9.3800000000000008</v>
      </c>
      <c r="G3068" s="112">
        <f ca="1">IFERROR(__xludf.DUMMYFUNCTION("""COMPUTED_VALUE"""),44796.7055555555)</f>
        <v>44796.705555555498</v>
      </c>
      <c r="H3068" s="111">
        <f ca="1">IFERROR(__xludf.DUMMYFUNCTION("""COMPUTED_VALUE"""),33.44)</f>
        <v>33.44</v>
      </c>
      <c r="M3068" s="112">
        <f ca="1">IFERROR(__xludf.DUMMYFUNCTION("""COMPUTED_VALUE"""),44706.7055555555)</f>
        <v>44706.705555555498</v>
      </c>
      <c r="N3068" s="111">
        <f ca="1">IFERROR(__xludf.DUMMYFUNCTION("""COMPUTED_VALUE"""),20.18)</f>
        <v>20.18</v>
      </c>
      <c r="O3068" s="112">
        <f ca="1">IFERROR(__xludf.DUMMYFUNCTION("""COMPUTED_VALUE"""),44781.7055555555)</f>
        <v>44781.705555555498</v>
      </c>
      <c r="P3068" s="111">
        <f ca="1">IFERROR(__xludf.DUMMYFUNCTION("""COMPUTED_VALUE"""),68.58)</f>
        <v>68.58</v>
      </c>
      <c r="Q3068" s="112">
        <f ca="1">IFERROR(__xludf.DUMMYFUNCTION("""COMPUTED_VALUE"""),44778.7055555555)</f>
        <v>44778.705555555498</v>
      </c>
      <c r="R3068" s="111">
        <f ca="1">IFERROR(__xludf.DUMMYFUNCTION("""COMPUTED_VALUE"""),37.79)</f>
        <v>37.79</v>
      </c>
      <c r="S3068" s="112">
        <f ca="1">IFERROR(__xludf.DUMMYFUNCTION("""COMPUTED_VALUE"""),44795.7055555555)</f>
        <v>44795.705555555498</v>
      </c>
      <c r="T3068" s="111">
        <f ca="1">IFERROR(__xludf.DUMMYFUNCTION("""COMPUTED_VALUE"""),26.57)</f>
        <v>26.57</v>
      </c>
    </row>
    <row r="3069" spans="1:20" x14ac:dyDescent="0.3">
      <c r="A3069" s="112">
        <f ca="1">IFERROR(__xludf.DUMMYFUNCTION("""COMPUTED_VALUE"""),44790.7055555555)</f>
        <v>44790.705555555498</v>
      </c>
      <c r="B3069" s="111">
        <f ca="1">IFERROR(__xludf.DUMMYFUNCTION("""COMPUTED_VALUE"""),49.6)</f>
        <v>49.6</v>
      </c>
      <c r="C3069" s="112">
        <f ca="1">IFERROR(__xludf.DUMMYFUNCTION("""COMPUTED_VALUE"""),44798.7055555555)</f>
        <v>44798.705555555498</v>
      </c>
      <c r="D3069" s="111">
        <f ca="1">IFERROR(__xludf.DUMMYFUNCTION("""COMPUTED_VALUE"""),26.85)</f>
        <v>26.85</v>
      </c>
      <c r="E3069" s="112">
        <f ca="1">IFERROR(__xludf.DUMMYFUNCTION("""COMPUTED_VALUE"""),44799.7055555555)</f>
        <v>44799.705555555498</v>
      </c>
      <c r="F3069" s="111">
        <f ca="1">IFERROR(__xludf.DUMMYFUNCTION("""COMPUTED_VALUE"""),9.35)</f>
        <v>9.35</v>
      </c>
      <c r="G3069" s="112">
        <f ca="1">IFERROR(__xludf.DUMMYFUNCTION("""COMPUTED_VALUE"""),44797.7055555555)</f>
        <v>44797.705555555498</v>
      </c>
      <c r="H3069" s="111">
        <f ca="1">IFERROR(__xludf.DUMMYFUNCTION("""COMPUTED_VALUE"""),33.64)</f>
        <v>33.64</v>
      </c>
      <c r="M3069" s="112">
        <f ca="1">IFERROR(__xludf.DUMMYFUNCTION("""COMPUTED_VALUE"""),44707.7055555555)</f>
        <v>44707.705555555498</v>
      </c>
      <c r="N3069" s="111">
        <f ca="1">IFERROR(__xludf.DUMMYFUNCTION("""COMPUTED_VALUE"""),20.29)</f>
        <v>20.29</v>
      </c>
      <c r="O3069" s="112">
        <f ca="1">IFERROR(__xludf.DUMMYFUNCTION("""COMPUTED_VALUE"""),44782.7055555555)</f>
        <v>44782.705555555498</v>
      </c>
      <c r="P3069" s="111">
        <f ca="1">IFERROR(__xludf.DUMMYFUNCTION("""COMPUTED_VALUE"""),70)</f>
        <v>70</v>
      </c>
      <c r="Q3069" s="112">
        <f ca="1">IFERROR(__xludf.DUMMYFUNCTION("""COMPUTED_VALUE"""),44781.7055555555)</f>
        <v>44781.705555555498</v>
      </c>
      <c r="R3069" s="111">
        <f ca="1">IFERROR(__xludf.DUMMYFUNCTION("""COMPUTED_VALUE"""),38.98)</f>
        <v>38.979999999999997</v>
      </c>
      <c r="S3069" s="112">
        <f ca="1">IFERROR(__xludf.DUMMYFUNCTION("""COMPUTED_VALUE"""),44796.7055555555)</f>
        <v>44796.705555555498</v>
      </c>
      <c r="T3069" s="111">
        <f ca="1">IFERROR(__xludf.DUMMYFUNCTION("""COMPUTED_VALUE"""),27)</f>
        <v>27</v>
      </c>
    </row>
    <row r="3070" spans="1:20" x14ac:dyDescent="0.3">
      <c r="A3070" s="112">
        <f ca="1">IFERROR(__xludf.DUMMYFUNCTION("""COMPUTED_VALUE"""),44791.7055555555)</f>
        <v>44791.705555555498</v>
      </c>
      <c r="B3070" s="111">
        <f ca="1">IFERROR(__xludf.DUMMYFUNCTION("""COMPUTED_VALUE"""),49.42)</f>
        <v>49.42</v>
      </c>
      <c r="C3070" s="112">
        <f ca="1">IFERROR(__xludf.DUMMYFUNCTION("""COMPUTED_VALUE"""),44799.7055555555)</f>
        <v>44799.705555555498</v>
      </c>
      <c r="D3070" s="111">
        <f ca="1">IFERROR(__xludf.DUMMYFUNCTION("""COMPUTED_VALUE"""),26.69)</f>
        <v>26.69</v>
      </c>
      <c r="E3070" s="112">
        <f ca="1">IFERROR(__xludf.DUMMYFUNCTION("""COMPUTED_VALUE"""),44802.7055555555)</f>
        <v>44802.705555555498</v>
      </c>
      <c r="F3070" s="111">
        <f ca="1">IFERROR(__xludf.DUMMYFUNCTION("""COMPUTED_VALUE"""),9.29)</f>
        <v>9.2899999999999991</v>
      </c>
      <c r="G3070" s="112">
        <f ca="1">IFERROR(__xludf.DUMMYFUNCTION("""COMPUTED_VALUE"""),44798.7055555555)</f>
        <v>44798.705555555498</v>
      </c>
      <c r="H3070" s="111">
        <f ca="1">IFERROR(__xludf.DUMMYFUNCTION("""COMPUTED_VALUE"""),33.28)</f>
        <v>33.28</v>
      </c>
      <c r="M3070" s="112">
        <f ca="1">IFERROR(__xludf.DUMMYFUNCTION("""COMPUTED_VALUE"""),44708.7055555555)</f>
        <v>44708.705555555498</v>
      </c>
      <c r="N3070" s="111">
        <f ca="1">IFERROR(__xludf.DUMMYFUNCTION("""COMPUTED_VALUE"""),20.58)</f>
        <v>20.58</v>
      </c>
      <c r="O3070" s="112">
        <f ca="1">IFERROR(__xludf.DUMMYFUNCTION("""COMPUTED_VALUE"""),44783.7055555555)</f>
        <v>44783.705555555498</v>
      </c>
      <c r="P3070" s="111">
        <f ca="1">IFERROR(__xludf.DUMMYFUNCTION("""COMPUTED_VALUE"""),70.05)</f>
        <v>70.05</v>
      </c>
      <c r="Q3070" s="112">
        <f ca="1">IFERROR(__xludf.DUMMYFUNCTION("""COMPUTED_VALUE"""),44782.7055555555)</f>
        <v>44782.705555555498</v>
      </c>
      <c r="R3070" s="111">
        <f ca="1">IFERROR(__xludf.DUMMYFUNCTION("""COMPUTED_VALUE"""),39.63)</f>
        <v>39.630000000000003</v>
      </c>
      <c r="S3070" s="112">
        <f ca="1">IFERROR(__xludf.DUMMYFUNCTION("""COMPUTED_VALUE"""),44797.7055555555)</f>
        <v>44797.705555555498</v>
      </c>
      <c r="T3070" s="111">
        <f ca="1">IFERROR(__xludf.DUMMYFUNCTION("""COMPUTED_VALUE"""),27.23)</f>
        <v>27.23</v>
      </c>
    </row>
    <row r="3071" spans="1:20" x14ac:dyDescent="0.3">
      <c r="A3071" s="112">
        <f ca="1">IFERROR(__xludf.DUMMYFUNCTION("""COMPUTED_VALUE"""),44792.7055555555)</f>
        <v>44792.705555555498</v>
      </c>
      <c r="B3071" s="111">
        <f ca="1">IFERROR(__xludf.DUMMYFUNCTION("""COMPUTED_VALUE"""),48.17)</f>
        <v>48.17</v>
      </c>
      <c r="C3071" s="112">
        <f ca="1">IFERROR(__xludf.DUMMYFUNCTION("""COMPUTED_VALUE"""),44802.7055555555)</f>
        <v>44802.705555555498</v>
      </c>
      <c r="D3071" s="111">
        <f ca="1">IFERROR(__xludf.DUMMYFUNCTION("""COMPUTED_VALUE"""),26.6)</f>
        <v>26.6</v>
      </c>
      <c r="E3071" s="112">
        <f ca="1">IFERROR(__xludf.DUMMYFUNCTION("""COMPUTED_VALUE"""),44803.7055555555)</f>
        <v>44803.705555555498</v>
      </c>
      <c r="F3071" s="111">
        <f ca="1">IFERROR(__xludf.DUMMYFUNCTION("""COMPUTED_VALUE"""),9.34)</f>
        <v>9.34</v>
      </c>
      <c r="G3071" s="112">
        <f ca="1">IFERROR(__xludf.DUMMYFUNCTION("""COMPUTED_VALUE"""),44799.7055555555)</f>
        <v>44799.705555555498</v>
      </c>
      <c r="H3071" s="111">
        <f ca="1">IFERROR(__xludf.DUMMYFUNCTION("""COMPUTED_VALUE"""),33.64)</f>
        <v>33.64</v>
      </c>
      <c r="M3071" s="112">
        <f ca="1">IFERROR(__xludf.DUMMYFUNCTION("""COMPUTED_VALUE"""),44711.7055555555)</f>
        <v>44711.705555555498</v>
      </c>
      <c r="N3071" s="111">
        <f ca="1">IFERROR(__xludf.DUMMYFUNCTION("""COMPUTED_VALUE"""),20.38)</f>
        <v>20.38</v>
      </c>
      <c r="O3071" s="112">
        <f ca="1">IFERROR(__xludf.DUMMYFUNCTION("""COMPUTED_VALUE"""),44784.7055555555)</f>
        <v>44784.705555555498</v>
      </c>
      <c r="P3071" s="111">
        <f ca="1">IFERROR(__xludf.DUMMYFUNCTION("""COMPUTED_VALUE"""),72.49)</f>
        <v>72.489999999999995</v>
      </c>
      <c r="Q3071" s="112">
        <f ca="1">IFERROR(__xludf.DUMMYFUNCTION("""COMPUTED_VALUE"""),44783.7055555555)</f>
        <v>44783.705555555498</v>
      </c>
      <c r="R3071" s="111">
        <f ca="1">IFERROR(__xludf.DUMMYFUNCTION("""COMPUTED_VALUE"""),39.97)</f>
        <v>39.97</v>
      </c>
      <c r="S3071" s="112">
        <f ca="1">IFERROR(__xludf.DUMMYFUNCTION("""COMPUTED_VALUE"""),44798.7055555555)</f>
        <v>44798.705555555498</v>
      </c>
      <c r="T3071" s="111">
        <f ca="1">IFERROR(__xludf.DUMMYFUNCTION("""COMPUTED_VALUE"""),27.6)</f>
        <v>27.6</v>
      </c>
    </row>
    <row r="3072" spans="1:20" x14ac:dyDescent="0.3">
      <c r="A3072" s="112">
        <f ca="1">IFERROR(__xludf.DUMMYFUNCTION("""COMPUTED_VALUE"""),44795.7055555555)</f>
        <v>44795.705555555498</v>
      </c>
      <c r="B3072" s="111">
        <f ca="1">IFERROR(__xludf.DUMMYFUNCTION("""COMPUTED_VALUE"""),47.58)</f>
        <v>47.58</v>
      </c>
      <c r="C3072" s="112">
        <f ca="1">IFERROR(__xludf.DUMMYFUNCTION("""COMPUTED_VALUE"""),44803.7055555555)</f>
        <v>44803.705555555498</v>
      </c>
      <c r="D3072" s="111">
        <f ca="1">IFERROR(__xludf.DUMMYFUNCTION("""COMPUTED_VALUE"""),26.48)</f>
        <v>26.48</v>
      </c>
      <c r="E3072" s="112">
        <f ca="1">IFERROR(__xludf.DUMMYFUNCTION("""COMPUTED_VALUE"""),44804.7055555555)</f>
        <v>44804.705555555498</v>
      </c>
      <c r="F3072" s="111">
        <f ca="1">IFERROR(__xludf.DUMMYFUNCTION("""COMPUTED_VALUE"""),9.15)</f>
        <v>9.15</v>
      </c>
      <c r="G3072" s="112">
        <f ca="1">IFERROR(__xludf.DUMMYFUNCTION("""COMPUTED_VALUE"""),44802.7055555555)</f>
        <v>44802.705555555498</v>
      </c>
      <c r="H3072" s="111">
        <f ca="1">IFERROR(__xludf.DUMMYFUNCTION("""COMPUTED_VALUE"""),34.48)</f>
        <v>34.479999999999997</v>
      </c>
      <c r="M3072" s="112">
        <f ca="1">IFERROR(__xludf.DUMMYFUNCTION("""COMPUTED_VALUE"""),44712.7055555555)</f>
        <v>44712.705555555498</v>
      </c>
      <c r="N3072" s="111">
        <f ca="1">IFERROR(__xludf.DUMMYFUNCTION("""COMPUTED_VALUE"""),20.5)</f>
        <v>20.5</v>
      </c>
      <c r="O3072" s="112">
        <f ca="1">IFERROR(__xludf.DUMMYFUNCTION("""COMPUTED_VALUE"""),44785.7055555555)</f>
        <v>44785.705555555498</v>
      </c>
      <c r="P3072" s="111">
        <f ca="1">IFERROR(__xludf.DUMMYFUNCTION("""COMPUTED_VALUE"""),69.8)</f>
        <v>69.8</v>
      </c>
      <c r="Q3072" s="112">
        <f ca="1">IFERROR(__xludf.DUMMYFUNCTION("""COMPUTED_VALUE"""),44784.7055555555)</f>
        <v>44784.705555555498</v>
      </c>
      <c r="R3072" s="111">
        <f ca="1">IFERROR(__xludf.DUMMYFUNCTION("""COMPUTED_VALUE"""),41.74)</f>
        <v>41.74</v>
      </c>
      <c r="S3072" s="112">
        <f ca="1">IFERROR(__xludf.DUMMYFUNCTION("""COMPUTED_VALUE"""),44799.7055555555)</f>
        <v>44799.705555555498</v>
      </c>
      <c r="T3072" s="111">
        <f ca="1">IFERROR(__xludf.DUMMYFUNCTION("""COMPUTED_VALUE"""),27.8)</f>
        <v>27.8</v>
      </c>
    </row>
    <row r="3073" spans="1:20" x14ac:dyDescent="0.3">
      <c r="A3073" s="112">
        <f ca="1">IFERROR(__xludf.DUMMYFUNCTION("""COMPUTED_VALUE"""),44796.7055555555)</f>
        <v>44796.705555555498</v>
      </c>
      <c r="B3073" s="111">
        <f ca="1">IFERROR(__xludf.DUMMYFUNCTION("""COMPUTED_VALUE"""),47.61)</f>
        <v>47.61</v>
      </c>
      <c r="C3073" s="112">
        <f ca="1">IFERROR(__xludf.DUMMYFUNCTION("""COMPUTED_VALUE"""),44804.7055555555)</f>
        <v>44804.705555555498</v>
      </c>
      <c r="D3073" s="111">
        <f ca="1">IFERROR(__xludf.DUMMYFUNCTION("""COMPUTED_VALUE"""),25.81)</f>
        <v>25.81</v>
      </c>
      <c r="E3073" s="112">
        <f ca="1">IFERROR(__xludf.DUMMYFUNCTION("""COMPUTED_VALUE"""),44805.7055555555)</f>
        <v>44805.705555555498</v>
      </c>
      <c r="F3073" s="111">
        <f ca="1">IFERROR(__xludf.DUMMYFUNCTION("""COMPUTED_VALUE"""),9.16)</f>
        <v>9.16</v>
      </c>
      <c r="G3073" s="112">
        <f ca="1">IFERROR(__xludf.DUMMYFUNCTION("""COMPUTED_VALUE"""),44803.7055555555)</f>
        <v>44803.705555555498</v>
      </c>
      <c r="H3073" s="111">
        <f ca="1">IFERROR(__xludf.DUMMYFUNCTION("""COMPUTED_VALUE"""),32.43)</f>
        <v>32.43</v>
      </c>
      <c r="M3073" s="112">
        <f ca="1">IFERROR(__xludf.DUMMYFUNCTION("""COMPUTED_VALUE"""),44713.7055555555)</f>
        <v>44713.705555555498</v>
      </c>
      <c r="N3073" s="111">
        <f ca="1">IFERROR(__xludf.DUMMYFUNCTION("""COMPUTED_VALUE"""),20.13)</f>
        <v>20.13</v>
      </c>
      <c r="O3073" s="112">
        <f ca="1">IFERROR(__xludf.DUMMYFUNCTION("""COMPUTED_VALUE"""),44788.7055555555)</f>
        <v>44788.705555555498</v>
      </c>
      <c r="P3073" s="111">
        <f ca="1">IFERROR(__xludf.DUMMYFUNCTION("""COMPUTED_VALUE"""),68.3)</f>
        <v>68.3</v>
      </c>
      <c r="Q3073" s="112">
        <f ca="1">IFERROR(__xludf.DUMMYFUNCTION("""COMPUTED_VALUE"""),44785.7055555555)</f>
        <v>44785.705555555498</v>
      </c>
      <c r="R3073" s="111">
        <f ca="1">IFERROR(__xludf.DUMMYFUNCTION("""COMPUTED_VALUE"""),44.1)</f>
        <v>44.1</v>
      </c>
      <c r="S3073" s="112">
        <f ca="1">IFERROR(__xludf.DUMMYFUNCTION("""COMPUTED_VALUE"""),44802.7055555555)</f>
        <v>44802.705555555498</v>
      </c>
      <c r="T3073" s="111">
        <f ca="1">IFERROR(__xludf.DUMMYFUNCTION("""COMPUTED_VALUE"""),27.53)</f>
        <v>27.53</v>
      </c>
    </row>
    <row r="3074" spans="1:20" x14ac:dyDescent="0.3">
      <c r="A3074" s="112">
        <f ca="1">IFERROR(__xludf.DUMMYFUNCTION("""COMPUTED_VALUE"""),44797.7055555555)</f>
        <v>44797.705555555498</v>
      </c>
      <c r="B3074" s="111">
        <f ca="1">IFERROR(__xludf.DUMMYFUNCTION("""COMPUTED_VALUE"""),47.48)</f>
        <v>47.48</v>
      </c>
      <c r="C3074" s="112">
        <f ca="1">IFERROR(__xludf.DUMMYFUNCTION("""COMPUTED_VALUE"""),44805.7055555555)</f>
        <v>44805.705555555498</v>
      </c>
      <c r="D3074" s="111">
        <f ca="1">IFERROR(__xludf.DUMMYFUNCTION("""COMPUTED_VALUE"""),26.19)</f>
        <v>26.19</v>
      </c>
      <c r="E3074" s="112">
        <f ca="1">IFERROR(__xludf.DUMMYFUNCTION("""COMPUTED_VALUE"""),44806.7055555555)</f>
        <v>44806.705555555498</v>
      </c>
      <c r="F3074" s="111">
        <f ca="1">IFERROR(__xludf.DUMMYFUNCTION("""COMPUTED_VALUE"""),9.3)</f>
        <v>9.3000000000000007</v>
      </c>
      <c r="G3074" s="112">
        <f ca="1">IFERROR(__xludf.DUMMYFUNCTION("""COMPUTED_VALUE"""),44804.7055555555)</f>
        <v>44804.705555555498</v>
      </c>
      <c r="H3074" s="111">
        <f ca="1">IFERROR(__xludf.DUMMYFUNCTION("""COMPUTED_VALUE"""),33.23)</f>
        <v>33.229999999999997</v>
      </c>
      <c r="M3074" s="112">
        <f ca="1">IFERROR(__xludf.DUMMYFUNCTION("""COMPUTED_VALUE"""),44714.7055555555)</f>
        <v>44714.705555555498</v>
      </c>
      <c r="N3074" s="111">
        <f ca="1">IFERROR(__xludf.DUMMYFUNCTION("""COMPUTED_VALUE"""),20.03)</f>
        <v>20.03</v>
      </c>
      <c r="O3074" s="112">
        <f ca="1">IFERROR(__xludf.DUMMYFUNCTION("""COMPUTED_VALUE"""),44789.7055555555)</f>
        <v>44789.705555555498</v>
      </c>
      <c r="P3074" s="111">
        <f ca="1">IFERROR(__xludf.DUMMYFUNCTION("""COMPUTED_VALUE"""),69.82)</f>
        <v>69.819999999999993</v>
      </c>
      <c r="Q3074" s="112">
        <f ca="1">IFERROR(__xludf.DUMMYFUNCTION("""COMPUTED_VALUE"""),44788.7055555555)</f>
        <v>44788.705555555498</v>
      </c>
      <c r="R3074" s="111">
        <f ca="1">IFERROR(__xludf.DUMMYFUNCTION("""COMPUTED_VALUE"""),42.99)</f>
        <v>42.99</v>
      </c>
      <c r="S3074" s="112">
        <f ca="1">IFERROR(__xludf.DUMMYFUNCTION("""COMPUTED_VALUE"""),44803.7055555555)</f>
        <v>44803.705555555498</v>
      </c>
      <c r="T3074" s="111">
        <f ca="1">IFERROR(__xludf.DUMMYFUNCTION("""COMPUTED_VALUE"""),27.39)</f>
        <v>27.39</v>
      </c>
    </row>
    <row r="3075" spans="1:20" x14ac:dyDescent="0.3">
      <c r="A3075" s="112">
        <f ca="1">IFERROR(__xludf.DUMMYFUNCTION("""COMPUTED_VALUE"""),44798.7055555555)</f>
        <v>44798.705555555498</v>
      </c>
      <c r="B3075" s="111">
        <f ca="1">IFERROR(__xludf.DUMMYFUNCTION("""COMPUTED_VALUE"""),46.79)</f>
        <v>46.79</v>
      </c>
      <c r="C3075" s="112">
        <f ca="1">IFERROR(__xludf.DUMMYFUNCTION("""COMPUTED_VALUE"""),44806.7055555555)</f>
        <v>44806.705555555498</v>
      </c>
      <c r="D3075" s="111">
        <f ca="1">IFERROR(__xludf.DUMMYFUNCTION("""COMPUTED_VALUE"""),26.55)</f>
        <v>26.55</v>
      </c>
      <c r="E3075" s="112">
        <f ca="1">IFERROR(__xludf.DUMMYFUNCTION("""COMPUTED_VALUE"""),44809.7055555555)</f>
        <v>44809.705555555498</v>
      </c>
      <c r="F3075" s="111">
        <f ca="1">IFERROR(__xludf.DUMMYFUNCTION("""COMPUTED_VALUE"""),9.41)</f>
        <v>9.41</v>
      </c>
      <c r="G3075" s="112">
        <f ca="1">IFERROR(__xludf.DUMMYFUNCTION("""COMPUTED_VALUE"""),44805.7055555555)</f>
        <v>44805.705555555498</v>
      </c>
      <c r="H3075" s="111">
        <f ca="1">IFERROR(__xludf.DUMMYFUNCTION("""COMPUTED_VALUE"""),33.85)</f>
        <v>33.85</v>
      </c>
      <c r="M3075" s="112">
        <f ca="1">IFERROR(__xludf.DUMMYFUNCTION("""COMPUTED_VALUE"""),44715.7055555555)</f>
        <v>44715.705555555498</v>
      </c>
      <c r="N3075" s="111">
        <f ca="1">IFERROR(__xludf.DUMMYFUNCTION("""COMPUTED_VALUE"""),19.91)</f>
        <v>19.91</v>
      </c>
      <c r="O3075" s="112">
        <f ca="1">IFERROR(__xludf.DUMMYFUNCTION("""COMPUTED_VALUE"""),44790.7055555555)</f>
        <v>44790.705555555498</v>
      </c>
      <c r="P3075" s="111">
        <f ca="1">IFERROR(__xludf.DUMMYFUNCTION("""COMPUTED_VALUE"""),68.23)</f>
        <v>68.23</v>
      </c>
      <c r="Q3075" s="112">
        <f ca="1">IFERROR(__xludf.DUMMYFUNCTION("""COMPUTED_VALUE"""),44789.7055555555)</f>
        <v>44789.705555555498</v>
      </c>
      <c r="R3075" s="111">
        <f ca="1">IFERROR(__xludf.DUMMYFUNCTION("""COMPUTED_VALUE"""),43.2)</f>
        <v>43.2</v>
      </c>
      <c r="S3075" s="112">
        <f ca="1">IFERROR(__xludf.DUMMYFUNCTION("""COMPUTED_VALUE"""),44804.7055555555)</f>
        <v>44804.705555555498</v>
      </c>
      <c r="T3075" s="111">
        <f ca="1">IFERROR(__xludf.DUMMYFUNCTION("""COMPUTED_VALUE"""),26.47)</f>
        <v>26.47</v>
      </c>
    </row>
    <row r="3076" spans="1:20" x14ac:dyDescent="0.3">
      <c r="A3076" s="112">
        <f ca="1">IFERROR(__xludf.DUMMYFUNCTION("""COMPUTED_VALUE"""),44799.7055555555)</f>
        <v>44799.705555555498</v>
      </c>
      <c r="B3076" s="111">
        <f ca="1">IFERROR(__xludf.DUMMYFUNCTION("""COMPUTED_VALUE"""),46.35)</f>
        <v>46.35</v>
      </c>
      <c r="C3076" s="112">
        <f ca="1">IFERROR(__xludf.DUMMYFUNCTION("""COMPUTED_VALUE"""),44809.7055555555)</f>
        <v>44809.705555555498</v>
      </c>
      <c r="D3076" s="111">
        <f ca="1">IFERROR(__xludf.DUMMYFUNCTION("""COMPUTED_VALUE"""),26.98)</f>
        <v>26.98</v>
      </c>
      <c r="E3076" s="112">
        <f ca="1">IFERROR(__xludf.DUMMYFUNCTION("""COMPUTED_VALUE"""),44810.7055555555)</f>
        <v>44810.705555555498</v>
      </c>
      <c r="F3076" s="111">
        <f ca="1">IFERROR(__xludf.DUMMYFUNCTION("""COMPUTED_VALUE"""),9.25)</f>
        <v>9.25</v>
      </c>
      <c r="G3076" s="112">
        <f ca="1">IFERROR(__xludf.DUMMYFUNCTION("""COMPUTED_VALUE"""),44806.7055555555)</f>
        <v>44806.705555555498</v>
      </c>
      <c r="H3076" s="111">
        <f ca="1">IFERROR(__xludf.DUMMYFUNCTION("""COMPUTED_VALUE"""),33.42)</f>
        <v>33.42</v>
      </c>
      <c r="M3076" s="112">
        <f ca="1">IFERROR(__xludf.DUMMYFUNCTION("""COMPUTED_VALUE"""),44718.7055555555)</f>
        <v>44718.705555555498</v>
      </c>
      <c r="N3076" s="111">
        <f ca="1">IFERROR(__xludf.DUMMYFUNCTION("""COMPUTED_VALUE"""),19.93)</f>
        <v>19.93</v>
      </c>
      <c r="O3076" s="112">
        <f ca="1">IFERROR(__xludf.DUMMYFUNCTION("""COMPUTED_VALUE"""),44791.7055555555)</f>
        <v>44791.705555555498</v>
      </c>
      <c r="P3076" s="111">
        <f ca="1">IFERROR(__xludf.DUMMYFUNCTION("""COMPUTED_VALUE"""),67.72)</f>
        <v>67.72</v>
      </c>
      <c r="Q3076" s="112">
        <f ca="1">IFERROR(__xludf.DUMMYFUNCTION("""COMPUTED_VALUE"""),44790.7055555555)</f>
        <v>44790.705555555498</v>
      </c>
      <c r="R3076" s="111">
        <f ca="1">IFERROR(__xludf.DUMMYFUNCTION("""COMPUTED_VALUE"""),42.81)</f>
        <v>42.81</v>
      </c>
      <c r="S3076" s="112">
        <f ca="1">IFERROR(__xludf.DUMMYFUNCTION("""COMPUTED_VALUE"""),44805.7055555555)</f>
        <v>44805.705555555498</v>
      </c>
      <c r="T3076" s="111">
        <f ca="1">IFERROR(__xludf.DUMMYFUNCTION("""COMPUTED_VALUE"""),26.57)</f>
        <v>26.57</v>
      </c>
    </row>
    <row r="3077" spans="1:20" x14ac:dyDescent="0.3">
      <c r="A3077" s="112">
        <f ca="1">IFERROR(__xludf.DUMMYFUNCTION("""COMPUTED_VALUE"""),44802.7055555555)</f>
        <v>44802.705555555498</v>
      </c>
      <c r="B3077" s="111">
        <f ca="1">IFERROR(__xludf.DUMMYFUNCTION("""COMPUTED_VALUE"""),46.66)</f>
        <v>46.66</v>
      </c>
      <c r="C3077" s="112">
        <f ca="1">IFERROR(__xludf.DUMMYFUNCTION("""COMPUTED_VALUE"""),44810.7055555555)</f>
        <v>44810.705555555498</v>
      </c>
      <c r="D3077" s="111">
        <f ca="1">IFERROR(__xludf.DUMMYFUNCTION("""COMPUTED_VALUE"""),26.73)</f>
        <v>26.73</v>
      </c>
      <c r="E3077" s="112">
        <f ca="1">IFERROR(__xludf.DUMMYFUNCTION("""COMPUTED_VALUE"""),44812.7055555555)</f>
        <v>44812.705555555498</v>
      </c>
      <c r="F3077" s="111">
        <f ca="1">IFERROR(__xludf.DUMMYFUNCTION("""COMPUTED_VALUE"""),9.27)</f>
        <v>9.27</v>
      </c>
      <c r="G3077" s="112">
        <f ca="1">IFERROR(__xludf.DUMMYFUNCTION("""COMPUTED_VALUE"""),44809.7055555555)</f>
        <v>44809.705555555498</v>
      </c>
      <c r="H3077" s="111">
        <f ca="1">IFERROR(__xludf.DUMMYFUNCTION("""COMPUTED_VALUE"""),33.34)</f>
        <v>33.340000000000003</v>
      </c>
      <c r="M3077" s="112">
        <f ca="1">IFERROR(__xludf.DUMMYFUNCTION("""COMPUTED_VALUE"""),44719.7055555555)</f>
        <v>44719.705555555498</v>
      </c>
      <c r="N3077" s="111">
        <f ca="1">IFERROR(__xludf.DUMMYFUNCTION("""COMPUTED_VALUE"""),19.76)</f>
        <v>19.760000000000002</v>
      </c>
      <c r="O3077" s="112">
        <f ca="1">IFERROR(__xludf.DUMMYFUNCTION("""COMPUTED_VALUE"""),44792.7055555555)</f>
        <v>44792.705555555498</v>
      </c>
      <c r="P3077" s="111">
        <f ca="1">IFERROR(__xludf.DUMMYFUNCTION("""COMPUTED_VALUE"""),66.96)</f>
        <v>66.959999999999994</v>
      </c>
      <c r="Q3077" s="112">
        <f ca="1">IFERROR(__xludf.DUMMYFUNCTION("""COMPUTED_VALUE"""),44791.7055555555)</f>
        <v>44791.705555555498</v>
      </c>
      <c r="R3077" s="111">
        <f ca="1">IFERROR(__xludf.DUMMYFUNCTION("""COMPUTED_VALUE"""),41.82)</f>
        <v>41.82</v>
      </c>
      <c r="S3077" s="112">
        <f ca="1">IFERROR(__xludf.DUMMYFUNCTION("""COMPUTED_VALUE"""),44806.7055555555)</f>
        <v>44806.705555555498</v>
      </c>
      <c r="T3077" s="111">
        <f ca="1">IFERROR(__xludf.DUMMYFUNCTION("""COMPUTED_VALUE"""),26.7)</f>
        <v>26.7</v>
      </c>
    </row>
    <row r="3078" spans="1:20" x14ac:dyDescent="0.3">
      <c r="A3078" s="112">
        <f ca="1">IFERROR(__xludf.DUMMYFUNCTION("""COMPUTED_VALUE"""),44803.7055555555)</f>
        <v>44803.705555555498</v>
      </c>
      <c r="B3078" s="111">
        <f ca="1">IFERROR(__xludf.DUMMYFUNCTION("""COMPUTED_VALUE"""),46.04)</f>
        <v>46.04</v>
      </c>
      <c r="C3078" s="112">
        <f ca="1">IFERROR(__xludf.DUMMYFUNCTION("""COMPUTED_VALUE"""),44812.7055555555)</f>
        <v>44812.705555555498</v>
      </c>
      <c r="D3078" s="111">
        <f ca="1">IFERROR(__xludf.DUMMYFUNCTION("""COMPUTED_VALUE"""),26.54)</f>
        <v>26.54</v>
      </c>
      <c r="E3078" s="112">
        <f ca="1">IFERROR(__xludf.DUMMYFUNCTION("""COMPUTED_VALUE"""),44813.7055555555)</f>
        <v>44813.705555555498</v>
      </c>
      <c r="F3078" s="111">
        <f ca="1">IFERROR(__xludf.DUMMYFUNCTION("""COMPUTED_VALUE"""),9.33)</f>
        <v>9.33</v>
      </c>
      <c r="G3078" s="112">
        <f ca="1">IFERROR(__xludf.DUMMYFUNCTION("""COMPUTED_VALUE"""),44810.7055555555)</f>
        <v>44810.705555555498</v>
      </c>
      <c r="H3078" s="111">
        <f ca="1">IFERROR(__xludf.DUMMYFUNCTION("""COMPUTED_VALUE"""),32.1)</f>
        <v>32.1</v>
      </c>
      <c r="M3078" s="112">
        <f ca="1">IFERROR(__xludf.DUMMYFUNCTION("""COMPUTED_VALUE"""),44720.7055555555)</f>
        <v>44720.705555555498</v>
      </c>
      <c r="N3078" s="111">
        <f ca="1">IFERROR(__xludf.DUMMYFUNCTION("""COMPUTED_VALUE"""),19.41)</f>
        <v>19.41</v>
      </c>
      <c r="O3078" s="112">
        <f ca="1">IFERROR(__xludf.DUMMYFUNCTION("""COMPUTED_VALUE"""),44795.7055555555)</f>
        <v>44795.705555555498</v>
      </c>
      <c r="P3078" s="111">
        <f ca="1">IFERROR(__xludf.DUMMYFUNCTION("""COMPUTED_VALUE"""),65.98)</f>
        <v>65.98</v>
      </c>
      <c r="Q3078" s="112">
        <f ca="1">IFERROR(__xludf.DUMMYFUNCTION("""COMPUTED_VALUE"""),44792.7055555555)</f>
        <v>44792.705555555498</v>
      </c>
      <c r="R3078" s="111">
        <f ca="1">IFERROR(__xludf.DUMMYFUNCTION("""COMPUTED_VALUE"""),41.05)</f>
        <v>41.05</v>
      </c>
      <c r="S3078" s="112">
        <f ca="1">IFERROR(__xludf.DUMMYFUNCTION("""COMPUTED_VALUE"""),44809.7055555555)</f>
        <v>44809.705555555498</v>
      </c>
      <c r="T3078" s="111">
        <f ca="1">IFERROR(__xludf.DUMMYFUNCTION("""COMPUTED_VALUE"""),26.97)</f>
        <v>26.97</v>
      </c>
    </row>
    <row r="3079" spans="1:20" x14ac:dyDescent="0.3">
      <c r="A3079" s="112">
        <f ca="1">IFERROR(__xludf.DUMMYFUNCTION("""COMPUTED_VALUE"""),44804.7055555555)</f>
        <v>44804.705555555498</v>
      </c>
      <c r="B3079" s="111">
        <f ca="1">IFERROR(__xludf.DUMMYFUNCTION("""COMPUTED_VALUE"""),46.11)</f>
        <v>46.11</v>
      </c>
      <c r="C3079" s="112">
        <f ca="1">IFERROR(__xludf.DUMMYFUNCTION("""COMPUTED_VALUE"""),44813.7055555555)</f>
        <v>44813.705555555498</v>
      </c>
      <c r="D3079" s="111">
        <f ca="1">IFERROR(__xludf.DUMMYFUNCTION("""COMPUTED_VALUE"""),26.75)</f>
        <v>26.75</v>
      </c>
      <c r="E3079" s="112">
        <f ca="1">IFERROR(__xludf.DUMMYFUNCTION("""COMPUTED_VALUE"""),44816.7055555555)</f>
        <v>44816.705555555498</v>
      </c>
      <c r="F3079" s="111">
        <f ca="1">IFERROR(__xludf.DUMMYFUNCTION("""COMPUTED_VALUE"""),9.5)</f>
        <v>9.5</v>
      </c>
      <c r="G3079" s="112">
        <f ca="1">IFERROR(__xludf.DUMMYFUNCTION("""COMPUTED_VALUE"""),44812.7055555555)</f>
        <v>44812.705555555498</v>
      </c>
      <c r="H3079" s="111">
        <f ca="1">IFERROR(__xludf.DUMMYFUNCTION("""COMPUTED_VALUE"""),31.8)</f>
        <v>31.8</v>
      </c>
      <c r="M3079" s="112">
        <f ca="1">IFERROR(__xludf.DUMMYFUNCTION("""COMPUTED_VALUE"""),44721.7055555555)</f>
        <v>44721.705555555498</v>
      </c>
      <c r="N3079" s="111">
        <f ca="1">IFERROR(__xludf.DUMMYFUNCTION("""COMPUTED_VALUE"""),19.4)</f>
        <v>19.399999999999999</v>
      </c>
      <c r="O3079" s="112">
        <f ca="1">IFERROR(__xludf.DUMMYFUNCTION("""COMPUTED_VALUE"""),44796.7055555555)</f>
        <v>44796.705555555498</v>
      </c>
      <c r="P3079" s="111">
        <f ca="1">IFERROR(__xludf.DUMMYFUNCTION("""COMPUTED_VALUE"""),70.21)</f>
        <v>70.209999999999994</v>
      </c>
      <c r="Q3079" s="112">
        <f ca="1">IFERROR(__xludf.DUMMYFUNCTION("""COMPUTED_VALUE"""),44795.7055555555)</f>
        <v>44795.705555555498</v>
      </c>
      <c r="R3079" s="111">
        <f ca="1">IFERROR(__xludf.DUMMYFUNCTION("""COMPUTED_VALUE"""),41.47)</f>
        <v>41.47</v>
      </c>
      <c r="S3079" s="112">
        <f ca="1">IFERROR(__xludf.DUMMYFUNCTION("""COMPUTED_VALUE"""),44810.7055555555)</f>
        <v>44810.705555555498</v>
      </c>
      <c r="T3079" s="111">
        <f ca="1">IFERROR(__xludf.DUMMYFUNCTION("""COMPUTED_VALUE"""),26.03)</f>
        <v>26.03</v>
      </c>
    </row>
    <row r="3080" spans="1:20" x14ac:dyDescent="0.3">
      <c r="A3080" s="112">
        <f ca="1">IFERROR(__xludf.DUMMYFUNCTION("""COMPUTED_VALUE"""),44805.7055555555)</f>
        <v>44805.705555555498</v>
      </c>
      <c r="B3080" s="111">
        <f ca="1">IFERROR(__xludf.DUMMYFUNCTION("""COMPUTED_VALUE"""),46.81)</f>
        <v>46.81</v>
      </c>
      <c r="C3080" s="112">
        <f ca="1">IFERROR(__xludf.DUMMYFUNCTION("""COMPUTED_VALUE"""),44816.7055555555)</f>
        <v>44816.705555555498</v>
      </c>
      <c r="D3080" s="111">
        <f ca="1">IFERROR(__xludf.DUMMYFUNCTION("""COMPUTED_VALUE"""),27.08)</f>
        <v>27.08</v>
      </c>
      <c r="E3080" s="112">
        <f ca="1">IFERROR(__xludf.DUMMYFUNCTION("""COMPUTED_VALUE"""),44817.7055555555)</f>
        <v>44817.705555555498</v>
      </c>
      <c r="F3080" s="111">
        <f ca="1">IFERROR(__xludf.DUMMYFUNCTION("""COMPUTED_VALUE"""),9.37)</f>
        <v>9.3699999999999992</v>
      </c>
      <c r="G3080" s="112">
        <f ca="1">IFERROR(__xludf.DUMMYFUNCTION("""COMPUTED_VALUE"""),44813.7055555555)</f>
        <v>44813.705555555498</v>
      </c>
      <c r="H3080" s="111">
        <f ca="1">IFERROR(__xludf.DUMMYFUNCTION("""COMPUTED_VALUE"""),31.79)</f>
        <v>31.79</v>
      </c>
      <c r="M3080" s="112">
        <f ca="1">IFERROR(__xludf.DUMMYFUNCTION("""COMPUTED_VALUE"""),44722.7055555555)</f>
        <v>44722.705555555498</v>
      </c>
      <c r="N3080" s="111">
        <f ca="1">IFERROR(__xludf.DUMMYFUNCTION("""COMPUTED_VALUE"""),19.11)</f>
        <v>19.11</v>
      </c>
      <c r="O3080" s="112">
        <f ca="1">IFERROR(__xludf.DUMMYFUNCTION("""COMPUTED_VALUE"""),44797.7055555555)</f>
        <v>44797.705555555498</v>
      </c>
      <c r="P3080" s="111">
        <f ca="1">IFERROR(__xludf.DUMMYFUNCTION("""COMPUTED_VALUE"""),67.95)</f>
        <v>67.95</v>
      </c>
      <c r="Q3080" s="112">
        <f ca="1">IFERROR(__xludf.DUMMYFUNCTION("""COMPUTED_VALUE"""),44796.7055555555)</f>
        <v>44796.705555555498</v>
      </c>
      <c r="R3080" s="111">
        <f ca="1">IFERROR(__xludf.DUMMYFUNCTION("""COMPUTED_VALUE"""),41.52)</f>
        <v>41.52</v>
      </c>
      <c r="S3080" s="112">
        <f ca="1">IFERROR(__xludf.DUMMYFUNCTION("""COMPUTED_VALUE"""),44812.7055555555)</f>
        <v>44812.705555555498</v>
      </c>
      <c r="T3080" s="111">
        <f ca="1">IFERROR(__xludf.DUMMYFUNCTION("""COMPUTED_VALUE"""),26.02)</f>
        <v>26.02</v>
      </c>
    </row>
    <row r="3081" spans="1:20" x14ac:dyDescent="0.3">
      <c r="A3081" s="112">
        <f ca="1">IFERROR(__xludf.DUMMYFUNCTION("""COMPUTED_VALUE"""),44806.7055555555)</f>
        <v>44806.705555555498</v>
      </c>
      <c r="B3081" s="111">
        <f ca="1">IFERROR(__xludf.DUMMYFUNCTION("""COMPUTED_VALUE"""),46.51)</f>
        <v>46.51</v>
      </c>
      <c r="C3081" s="112">
        <f ca="1">IFERROR(__xludf.DUMMYFUNCTION("""COMPUTED_VALUE"""),44817.7055555555)</f>
        <v>44817.705555555498</v>
      </c>
      <c r="D3081" s="111">
        <f ca="1">IFERROR(__xludf.DUMMYFUNCTION("""COMPUTED_VALUE"""),26.8)</f>
        <v>26.8</v>
      </c>
      <c r="E3081" s="112">
        <f ca="1">IFERROR(__xludf.DUMMYFUNCTION("""COMPUTED_VALUE"""),44818.7055555555)</f>
        <v>44818.705555555498</v>
      </c>
      <c r="F3081" s="111">
        <f ca="1">IFERROR(__xludf.DUMMYFUNCTION("""COMPUTED_VALUE"""),9.36)</f>
        <v>9.36</v>
      </c>
      <c r="G3081" s="112">
        <f ca="1">IFERROR(__xludf.DUMMYFUNCTION("""COMPUTED_VALUE"""),44816.7055555555)</f>
        <v>44816.705555555498</v>
      </c>
      <c r="H3081" s="111">
        <f ca="1">IFERROR(__xludf.DUMMYFUNCTION("""COMPUTED_VALUE"""),31.48)</f>
        <v>31.48</v>
      </c>
      <c r="M3081" s="112">
        <f ca="1">IFERROR(__xludf.DUMMYFUNCTION("""COMPUTED_VALUE"""),44725.7055555555)</f>
        <v>44725.705555555498</v>
      </c>
      <c r="N3081" s="111">
        <f ca="1">IFERROR(__xludf.DUMMYFUNCTION("""COMPUTED_VALUE"""),18.83)</f>
        <v>18.829999999999998</v>
      </c>
      <c r="O3081" s="112">
        <f ca="1">IFERROR(__xludf.DUMMYFUNCTION("""COMPUTED_VALUE"""),44798.7055555555)</f>
        <v>44798.705555555498</v>
      </c>
      <c r="P3081" s="111">
        <f ca="1">IFERROR(__xludf.DUMMYFUNCTION("""COMPUTED_VALUE"""),69.27)</f>
        <v>69.27</v>
      </c>
      <c r="Q3081" s="112">
        <f ca="1">IFERROR(__xludf.DUMMYFUNCTION("""COMPUTED_VALUE"""),44797.7055555555)</f>
        <v>44797.705555555498</v>
      </c>
      <c r="R3081" s="111">
        <f ca="1">IFERROR(__xludf.DUMMYFUNCTION("""COMPUTED_VALUE"""),40.83)</f>
        <v>40.83</v>
      </c>
      <c r="S3081" s="112">
        <f ca="1">IFERROR(__xludf.DUMMYFUNCTION("""COMPUTED_VALUE"""),44813.7055555555)</f>
        <v>44813.705555555498</v>
      </c>
      <c r="T3081" s="111">
        <f ca="1">IFERROR(__xludf.DUMMYFUNCTION("""COMPUTED_VALUE"""),26.85)</f>
        <v>26.85</v>
      </c>
    </row>
    <row r="3082" spans="1:20" x14ac:dyDescent="0.3">
      <c r="A3082" s="112">
        <f ca="1">IFERROR(__xludf.DUMMYFUNCTION("""COMPUTED_VALUE"""),44809.7055555555)</f>
        <v>44809.705555555498</v>
      </c>
      <c r="B3082" s="111">
        <f ca="1">IFERROR(__xludf.DUMMYFUNCTION("""COMPUTED_VALUE"""),46.45)</f>
        <v>46.45</v>
      </c>
      <c r="C3082" s="112">
        <f ca="1">IFERROR(__xludf.DUMMYFUNCTION("""COMPUTED_VALUE"""),44818.7055555555)</f>
        <v>44818.705555555498</v>
      </c>
      <c r="D3082" s="111">
        <f ca="1">IFERROR(__xludf.DUMMYFUNCTION("""COMPUTED_VALUE"""),26.7)</f>
        <v>26.7</v>
      </c>
      <c r="E3082" s="112">
        <f ca="1">IFERROR(__xludf.DUMMYFUNCTION("""COMPUTED_VALUE"""),44819.7055555555)</f>
        <v>44819.705555555498</v>
      </c>
      <c r="F3082" s="111">
        <f ca="1">IFERROR(__xludf.DUMMYFUNCTION("""COMPUTED_VALUE"""),9.35)</f>
        <v>9.35</v>
      </c>
      <c r="G3082" s="112">
        <f ca="1">IFERROR(__xludf.DUMMYFUNCTION("""COMPUTED_VALUE"""),44817.7055555555)</f>
        <v>44817.705555555498</v>
      </c>
      <c r="H3082" s="111">
        <f ca="1">IFERROR(__xludf.DUMMYFUNCTION("""COMPUTED_VALUE"""),30.65)</f>
        <v>30.65</v>
      </c>
      <c r="M3082" s="112">
        <f ca="1">IFERROR(__xludf.DUMMYFUNCTION("""COMPUTED_VALUE"""),44726.7055555555)</f>
        <v>44726.705555555498</v>
      </c>
      <c r="N3082" s="111">
        <f ca="1">IFERROR(__xludf.DUMMYFUNCTION("""COMPUTED_VALUE"""),18.64)</f>
        <v>18.64</v>
      </c>
      <c r="O3082" s="112">
        <f ca="1">IFERROR(__xludf.DUMMYFUNCTION("""COMPUTED_VALUE"""),44799.7055555555)</f>
        <v>44799.705555555498</v>
      </c>
      <c r="P3082" s="111">
        <f ca="1">IFERROR(__xludf.DUMMYFUNCTION("""COMPUTED_VALUE"""),68.23)</f>
        <v>68.23</v>
      </c>
      <c r="Q3082" s="112">
        <f ca="1">IFERROR(__xludf.DUMMYFUNCTION("""COMPUTED_VALUE"""),44798.7055555555)</f>
        <v>44798.705555555498</v>
      </c>
      <c r="R3082" s="111">
        <f ca="1">IFERROR(__xludf.DUMMYFUNCTION("""COMPUTED_VALUE"""),41.8)</f>
        <v>41.8</v>
      </c>
      <c r="S3082" s="112">
        <f ca="1">IFERROR(__xludf.DUMMYFUNCTION("""COMPUTED_VALUE"""),44816.7055555555)</f>
        <v>44816.705555555498</v>
      </c>
      <c r="T3082" s="111">
        <f ca="1">IFERROR(__xludf.DUMMYFUNCTION("""COMPUTED_VALUE"""),27.41)</f>
        <v>27.41</v>
      </c>
    </row>
    <row r="3083" spans="1:20" x14ac:dyDescent="0.3">
      <c r="A3083" s="112">
        <f ca="1">IFERROR(__xludf.DUMMYFUNCTION("""COMPUTED_VALUE"""),44810.7055555555)</f>
        <v>44810.705555555498</v>
      </c>
      <c r="B3083" s="111">
        <f ca="1">IFERROR(__xludf.DUMMYFUNCTION("""COMPUTED_VALUE"""),45.16)</f>
        <v>45.16</v>
      </c>
      <c r="C3083" s="112">
        <f ca="1">IFERROR(__xludf.DUMMYFUNCTION("""COMPUTED_VALUE"""),44819.7055555555)</f>
        <v>44819.705555555498</v>
      </c>
      <c r="D3083" s="111">
        <f ca="1">IFERROR(__xludf.DUMMYFUNCTION("""COMPUTED_VALUE"""),26.77)</f>
        <v>26.77</v>
      </c>
      <c r="E3083" s="112">
        <f ca="1">IFERROR(__xludf.DUMMYFUNCTION("""COMPUTED_VALUE"""),44820.7055555555)</f>
        <v>44820.705555555498</v>
      </c>
      <c r="F3083" s="111">
        <f ca="1">IFERROR(__xludf.DUMMYFUNCTION("""COMPUTED_VALUE"""),9.28)</f>
        <v>9.2799999999999994</v>
      </c>
      <c r="G3083" s="112">
        <f ca="1">IFERROR(__xludf.DUMMYFUNCTION("""COMPUTED_VALUE"""),44818.7055555555)</f>
        <v>44818.705555555498</v>
      </c>
      <c r="H3083" s="111">
        <f ca="1">IFERROR(__xludf.DUMMYFUNCTION("""COMPUTED_VALUE"""),31.12)</f>
        <v>31.12</v>
      </c>
      <c r="M3083" s="112">
        <f ca="1">IFERROR(__xludf.DUMMYFUNCTION("""COMPUTED_VALUE"""),44727.7055555555)</f>
        <v>44727.705555555498</v>
      </c>
      <c r="N3083" s="111">
        <f ca="1">IFERROR(__xludf.DUMMYFUNCTION("""COMPUTED_VALUE"""),18.77)</f>
        <v>18.77</v>
      </c>
      <c r="O3083" s="112">
        <f ca="1">IFERROR(__xludf.DUMMYFUNCTION("""COMPUTED_VALUE"""),44802.7055555555)</f>
        <v>44802.705555555498</v>
      </c>
      <c r="P3083" s="111">
        <f ca="1">IFERROR(__xludf.DUMMYFUNCTION("""COMPUTED_VALUE"""),66.91)</f>
        <v>66.91</v>
      </c>
      <c r="Q3083" s="112">
        <f ca="1">IFERROR(__xludf.DUMMYFUNCTION("""COMPUTED_VALUE"""),44799.7055555555)</f>
        <v>44799.705555555498</v>
      </c>
      <c r="R3083" s="111">
        <f ca="1">IFERROR(__xludf.DUMMYFUNCTION("""COMPUTED_VALUE"""),41.59)</f>
        <v>41.59</v>
      </c>
      <c r="S3083" s="112">
        <f ca="1">IFERROR(__xludf.DUMMYFUNCTION("""COMPUTED_VALUE"""),44817.7055555555)</f>
        <v>44817.705555555498</v>
      </c>
      <c r="T3083" s="111">
        <f ca="1">IFERROR(__xludf.DUMMYFUNCTION("""COMPUTED_VALUE"""),27.22)</f>
        <v>27.22</v>
      </c>
    </row>
    <row r="3084" spans="1:20" x14ac:dyDescent="0.3">
      <c r="A3084" s="112">
        <f ca="1">IFERROR(__xludf.DUMMYFUNCTION("""COMPUTED_VALUE"""),44812.7055555555)</f>
        <v>44812.705555555498</v>
      </c>
      <c r="B3084" s="111">
        <f ca="1">IFERROR(__xludf.DUMMYFUNCTION("""COMPUTED_VALUE"""),45.22)</f>
        <v>45.22</v>
      </c>
      <c r="C3084" s="112">
        <f ca="1">IFERROR(__xludf.DUMMYFUNCTION("""COMPUTED_VALUE"""),44820.7055555555)</f>
        <v>44820.705555555498</v>
      </c>
      <c r="D3084" s="111">
        <f ca="1">IFERROR(__xludf.DUMMYFUNCTION("""COMPUTED_VALUE"""),26.68)</f>
        <v>26.68</v>
      </c>
      <c r="E3084" s="112">
        <f ca="1">IFERROR(__xludf.DUMMYFUNCTION("""COMPUTED_VALUE"""),44823.7055555555)</f>
        <v>44823.705555555498</v>
      </c>
      <c r="F3084" s="111">
        <f ca="1">IFERROR(__xludf.DUMMYFUNCTION("""COMPUTED_VALUE"""),9.56)</f>
        <v>9.56</v>
      </c>
      <c r="G3084" s="112">
        <f ca="1">IFERROR(__xludf.DUMMYFUNCTION("""COMPUTED_VALUE"""),44819.7055555555)</f>
        <v>44819.705555555498</v>
      </c>
      <c r="H3084" s="111">
        <f ca="1">IFERROR(__xludf.DUMMYFUNCTION("""COMPUTED_VALUE"""),31.06)</f>
        <v>31.06</v>
      </c>
      <c r="M3084" s="112">
        <f ca="1">IFERROR(__xludf.DUMMYFUNCTION("""COMPUTED_VALUE"""),44729.7055555555)</f>
        <v>44729.705555555498</v>
      </c>
      <c r="N3084" s="111">
        <f ca="1">IFERROR(__xludf.DUMMYFUNCTION("""COMPUTED_VALUE"""),18.48)</f>
        <v>18.48</v>
      </c>
      <c r="O3084" s="112">
        <f ca="1">IFERROR(__xludf.DUMMYFUNCTION("""COMPUTED_VALUE"""),44803.7055555555)</f>
        <v>44803.705555555498</v>
      </c>
      <c r="P3084" s="111">
        <f ca="1">IFERROR(__xludf.DUMMYFUNCTION("""COMPUTED_VALUE"""),64.97)</f>
        <v>64.97</v>
      </c>
      <c r="Q3084" s="112">
        <f ca="1">IFERROR(__xludf.DUMMYFUNCTION("""COMPUTED_VALUE"""),44802.7055555555)</f>
        <v>44802.705555555498</v>
      </c>
      <c r="R3084" s="111">
        <f ca="1">IFERROR(__xludf.DUMMYFUNCTION("""COMPUTED_VALUE"""),42.45)</f>
        <v>42.45</v>
      </c>
      <c r="S3084" s="112">
        <f ca="1">IFERROR(__xludf.DUMMYFUNCTION("""COMPUTED_VALUE"""),44818.7055555555)</f>
        <v>44818.705555555498</v>
      </c>
      <c r="T3084" s="111">
        <f ca="1">IFERROR(__xludf.DUMMYFUNCTION("""COMPUTED_VALUE"""),27.38)</f>
        <v>27.38</v>
      </c>
    </row>
    <row r="3085" spans="1:20" x14ac:dyDescent="0.3">
      <c r="A3085" s="112">
        <f ca="1">IFERROR(__xludf.DUMMYFUNCTION("""COMPUTED_VALUE"""),44813.7055555555)</f>
        <v>44813.705555555498</v>
      </c>
      <c r="B3085" s="111">
        <f ca="1">IFERROR(__xludf.DUMMYFUNCTION("""COMPUTED_VALUE"""),45.34)</f>
        <v>45.34</v>
      </c>
      <c r="C3085" s="112">
        <f ca="1">IFERROR(__xludf.DUMMYFUNCTION("""COMPUTED_VALUE"""),44823.7055555555)</f>
        <v>44823.705555555498</v>
      </c>
      <c r="D3085" s="111">
        <f ca="1">IFERROR(__xludf.DUMMYFUNCTION("""COMPUTED_VALUE"""),27.68)</f>
        <v>27.68</v>
      </c>
      <c r="G3085" s="112">
        <f ca="1">IFERROR(__xludf.DUMMYFUNCTION("""COMPUTED_VALUE"""),44820.7055555555)</f>
        <v>44820.705555555498</v>
      </c>
      <c r="H3085" s="111">
        <f ca="1">IFERROR(__xludf.DUMMYFUNCTION("""COMPUTED_VALUE"""),30.78)</f>
        <v>30.78</v>
      </c>
      <c r="M3085" s="112">
        <f ca="1">IFERROR(__xludf.DUMMYFUNCTION("""COMPUTED_VALUE"""),44732.7055555555)</f>
        <v>44732.705555555498</v>
      </c>
      <c r="N3085" s="111">
        <f ca="1">IFERROR(__xludf.DUMMYFUNCTION("""COMPUTED_VALUE"""),18.97)</f>
        <v>18.97</v>
      </c>
      <c r="O3085" s="112">
        <f ca="1">IFERROR(__xludf.DUMMYFUNCTION("""COMPUTED_VALUE"""),44804.7055555555)</f>
        <v>44804.705555555498</v>
      </c>
      <c r="P3085" s="111">
        <f ca="1">IFERROR(__xludf.DUMMYFUNCTION("""COMPUTED_VALUE"""),64.5)</f>
        <v>64.5</v>
      </c>
      <c r="Q3085" s="112">
        <f ca="1">IFERROR(__xludf.DUMMYFUNCTION("""COMPUTED_VALUE"""),44803.7055555555)</f>
        <v>44803.705555555498</v>
      </c>
      <c r="R3085" s="111">
        <f ca="1">IFERROR(__xludf.DUMMYFUNCTION("""COMPUTED_VALUE"""),42.33)</f>
        <v>42.33</v>
      </c>
      <c r="S3085" s="112">
        <f ca="1">IFERROR(__xludf.DUMMYFUNCTION("""COMPUTED_VALUE"""),44819.7055555555)</f>
        <v>44819.705555555498</v>
      </c>
      <c r="T3085" s="111">
        <f ca="1">IFERROR(__xludf.DUMMYFUNCTION("""COMPUTED_VALUE"""),26.8)</f>
        <v>26.8</v>
      </c>
    </row>
    <row r="3086" spans="1:20" x14ac:dyDescent="0.3">
      <c r="A3086" s="112">
        <f ca="1">IFERROR(__xludf.DUMMYFUNCTION("""COMPUTED_VALUE"""),44816.7055555555)</f>
        <v>44816.705555555498</v>
      </c>
      <c r="B3086" s="111">
        <f ca="1">IFERROR(__xludf.DUMMYFUNCTION("""COMPUTED_VALUE"""),46.11)</f>
        <v>46.11</v>
      </c>
      <c r="G3086" s="112">
        <f ca="1">IFERROR(__xludf.DUMMYFUNCTION("""COMPUTED_VALUE"""),44823.7055555555)</f>
        <v>44823.705555555498</v>
      </c>
      <c r="H3086" s="111">
        <f ca="1">IFERROR(__xludf.DUMMYFUNCTION("""COMPUTED_VALUE"""),31.27)</f>
        <v>31.27</v>
      </c>
      <c r="M3086" s="112">
        <f ca="1">IFERROR(__xludf.DUMMYFUNCTION("""COMPUTED_VALUE"""),44733.7055555555)</f>
        <v>44733.705555555498</v>
      </c>
      <c r="N3086" s="111">
        <f ca="1">IFERROR(__xludf.DUMMYFUNCTION("""COMPUTED_VALUE"""),18.64)</f>
        <v>18.64</v>
      </c>
      <c r="O3086" s="112">
        <f ca="1">IFERROR(__xludf.DUMMYFUNCTION("""COMPUTED_VALUE"""),44805.7055555555)</f>
        <v>44805.705555555498</v>
      </c>
      <c r="P3086" s="111">
        <f ca="1">IFERROR(__xludf.DUMMYFUNCTION("""COMPUTED_VALUE"""),63.89)</f>
        <v>63.89</v>
      </c>
      <c r="Q3086" s="112">
        <f ca="1">IFERROR(__xludf.DUMMYFUNCTION("""COMPUTED_VALUE"""),44804.7055555555)</f>
        <v>44804.705555555498</v>
      </c>
      <c r="R3086" s="111">
        <f ca="1">IFERROR(__xludf.DUMMYFUNCTION("""COMPUTED_VALUE"""),41.69)</f>
        <v>41.69</v>
      </c>
      <c r="S3086" s="112">
        <f ca="1">IFERROR(__xludf.DUMMYFUNCTION("""COMPUTED_VALUE"""),44820.7055555555)</f>
        <v>44820.705555555498</v>
      </c>
      <c r="T3086" s="111">
        <f ca="1">IFERROR(__xludf.DUMMYFUNCTION("""COMPUTED_VALUE"""),26.38)</f>
        <v>26.38</v>
      </c>
    </row>
    <row r="3087" spans="1:20" x14ac:dyDescent="0.3">
      <c r="A3087" s="112">
        <f ca="1">IFERROR(__xludf.DUMMYFUNCTION("""COMPUTED_VALUE"""),44817.7055555555)</f>
        <v>44817.705555555498</v>
      </c>
      <c r="B3087" s="111">
        <f ca="1">IFERROR(__xludf.DUMMYFUNCTION("""COMPUTED_VALUE"""),45.46)</f>
        <v>45.46</v>
      </c>
      <c r="M3087" s="112">
        <f ca="1">IFERROR(__xludf.DUMMYFUNCTION("""COMPUTED_VALUE"""),44734.7055555555)</f>
        <v>44734.705555555498</v>
      </c>
      <c r="N3087" s="111">
        <f ca="1">IFERROR(__xludf.DUMMYFUNCTION("""COMPUTED_VALUE"""),18.56)</f>
        <v>18.559999999999999</v>
      </c>
      <c r="O3087" s="112">
        <f ca="1">IFERROR(__xludf.DUMMYFUNCTION("""COMPUTED_VALUE"""),44806.7055555555)</f>
        <v>44806.705555555498</v>
      </c>
      <c r="P3087" s="111">
        <f ca="1">IFERROR(__xludf.DUMMYFUNCTION("""COMPUTED_VALUE"""),62.92)</f>
        <v>62.92</v>
      </c>
      <c r="Q3087" s="112">
        <f ca="1">IFERROR(__xludf.DUMMYFUNCTION("""COMPUTED_VALUE"""),44805.7055555555)</f>
        <v>44805.705555555498</v>
      </c>
      <c r="R3087" s="111">
        <f ca="1">IFERROR(__xludf.DUMMYFUNCTION("""COMPUTED_VALUE"""),42.33)</f>
        <v>42.33</v>
      </c>
      <c r="S3087" s="112">
        <f ca="1">IFERROR(__xludf.DUMMYFUNCTION("""COMPUTED_VALUE"""),44823.7055555555)</f>
        <v>44823.705555555498</v>
      </c>
      <c r="T3087" s="111">
        <f ca="1">IFERROR(__xludf.DUMMYFUNCTION("""COMPUTED_VALUE"""),26.72)</f>
        <v>26.72</v>
      </c>
    </row>
    <row r="3088" spans="1:20" x14ac:dyDescent="0.3">
      <c r="A3088" s="112">
        <f ca="1">IFERROR(__xludf.DUMMYFUNCTION("""COMPUTED_VALUE"""),44818.7055555555)</f>
        <v>44818.705555555498</v>
      </c>
      <c r="B3088" s="111">
        <f ca="1">IFERROR(__xludf.DUMMYFUNCTION("""COMPUTED_VALUE"""),45.37)</f>
        <v>45.37</v>
      </c>
      <c r="M3088" s="112">
        <f ca="1">IFERROR(__xludf.DUMMYFUNCTION("""COMPUTED_VALUE"""),44735.7055555555)</f>
        <v>44735.705555555498</v>
      </c>
      <c r="N3088" s="111">
        <f ca="1">IFERROR(__xludf.DUMMYFUNCTION("""COMPUTED_VALUE"""),18.07)</f>
        <v>18.07</v>
      </c>
      <c r="O3088" s="112">
        <f ca="1">IFERROR(__xludf.DUMMYFUNCTION("""COMPUTED_VALUE"""),44809.7055555555)</f>
        <v>44809.705555555498</v>
      </c>
      <c r="P3088" s="111">
        <f ca="1">IFERROR(__xludf.DUMMYFUNCTION("""COMPUTED_VALUE"""),65.22)</f>
        <v>65.22</v>
      </c>
      <c r="Q3088" s="112">
        <f ca="1">IFERROR(__xludf.DUMMYFUNCTION("""COMPUTED_VALUE"""),44806.7055555555)</f>
        <v>44806.705555555498</v>
      </c>
      <c r="R3088" s="111">
        <f ca="1">IFERROR(__xludf.DUMMYFUNCTION("""COMPUTED_VALUE"""),42.53)</f>
        <v>42.53</v>
      </c>
    </row>
    <row r="3089" spans="1:18" x14ac:dyDescent="0.3">
      <c r="A3089" s="112">
        <f ca="1">IFERROR(__xludf.DUMMYFUNCTION("""COMPUTED_VALUE"""),44819.7055555555)</f>
        <v>44819.705555555498</v>
      </c>
      <c r="B3089" s="111">
        <f ca="1">IFERROR(__xludf.DUMMYFUNCTION("""COMPUTED_VALUE"""),44.69)</f>
        <v>44.69</v>
      </c>
      <c r="M3089" s="112">
        <f ca="1">IFERROR(__xludf.DUMMYFUNCTION("""COMPUTED_VALUE"""),44736.7055555555)</f>
        <v>44736.705555555498</v>
      </c>
      <c r="N3089" s="111">
        <f ca="1">IFERROR(__xludf.DUMMYFUNCTION("""COMPUTED_VALUE"""),17.92)</f>
        <v>17.920000000000002</v>
      </c>
      <c r="O3089" s="112">
        <f ca="1">IFERROR(__xludf.DUMMYFUNCTION("""COMPUTED_VALUE"""),44810.7055555555)</f>
        <v>44810.705555555498</v>
      </c>
      <c r="P3089" s="111">
        <f ca="1">IFERROR(__xludf.DUMMYFUNCTION("""COMPUTED_VALUE"""),63.67)</f>
        <v>63.67</v>
      </c>
      <c r="Q3089" s="112">
        <f ca="1">IFERROR(__xludf.DUMMYFUNCTION("""COMPUTED_VALUE"""),44809.7055555555)</f>
        <v>44809.705555555498</v>
      </c>
      <c r="R3089" s="111">
        <f ca="1">IFERROR(__xludf.DUMMYFUNCTION("""COMPUTED_VALUE"""),41.63)</f>
        <v>41.63</v>
      </c>
    </row>
    <row r="3090" spans="1:18" x14ac:dyDescent="0.3">
      <c r="A3090" s="112">
        <f ca="1">IFERROR(__xludf.DUMMYFUNCTION("""COMPUTED_VALUE"""),44820.7055555555)</f>
        <v>44820.705555555498</v>
      </c>
      <c r="B3090" s="111">
        <f ca="1">IFERROR(__xludf.DUMMYFUNCTION("""COMPUTED_VALUE"""),43.88)</f>
        <v>43.88</v>
      </c>
      <c r="M3090" s="112">
        <f ca="1">IFERROR(__xludf.DUMMYFUNCTION("""COMPUTED_VALUE"""),44739.7055555555)</f>
        <v>44739.705555555498</v>
      </c>
      <c r="N3090" s="111">
        <f ca="1">IFERROR(__xludf.DUMMYFUNCTION("""COMPUTED_VALUE"""),18.17)</f>
        <v>18.170000000000002</v>
      </c>
      <c r="O3090" s="112">
        <f ca="1">IFERROR(__xludf.DUMMYFUNCTION("""COMPUTED_VALUE"""),44812.7055555555)</f>
        <v>44812.705555555498</v>
      </c>
      <c r="P3090" s="111">
        <f ca="1">IFERROR(__xludf.DUMMYFUNCTION("""COMPUTED_VALUE"""),64.51)</f>
        <v>64.510000000000005</v>
      </c>
      <c r="Q3090" s="112">
        <f ca="1">IFERROR(__xludf.DUMMYFUNCTION("""COMPUTED_VALUE"""),44810.7055555555)</f>
        <v>44810.705555555498</v>
      </c>
      <c r="R3090" s="111">
        <f ca="1">IFERROR(__xludf.DUMMYFUNCTION("""COMPUTED_VALUE"""),39.63)</f>
        <v>39.630000000000003</v>
      </c>
    </row>
    <row r="3091" spans="1:18" x14ac:dyDescent="0.3">
      <c r="A3091" s="112">
        <f ca="1">IFERROR(__xludf.DUMMYFUNCTION("""COMPUTED_VALUE"""),44823.7055555555)</f>
        <v>44823.705555555498</v>
      </c>
      <c r="B3091" s="111">
        <f ca="1">IFERROR(__xludf.DUMMYFUNCTION("""COMPUTED_VALUE"""),44.16)</f>
        <v>44.16</v>
      </c>
      <c r="M3091" s="112">
        <f ca="1">IFERROR(__xludf.DUMMYFUNCTION("""COMPUTED_VALUE"""),44740.7055555555)</f>
        <v>44740.705555555498</v>
      </c>
      <c r="N3091" s="111">
        <f ca="1">IFERROR(__xludf.DUMMYFUNCTION("""COMPUTED_VALUE"""),17.91)</f>
        <v>17.91</v>
      </c>
      <c r="O3091" s="112">
        <f ca="1">IFERROR(__xludf.DUMMYFUNCTION("""COMPUTED_VALUE"""),44813.7055555555)</f>
        <v>44813.705555555498</v>
      </c>
      <c r="P3091" s="111">
        <f ca="1">IFERROR(__xludf.DUMMYFUNCTION("""COMPUTED_VALUE"""),69.55)</f>
        <v>69.55</v>
      </c>
      <c r="Q3091" s="112">
        <f ca="1">IFERROR(__xludf.DUMMYFUNCTION("""COMPUTED_VALUE"""),44812.7055555555)</f>
        <v>44812.705555555498</v>
      </c>
      <c r="R3091" s="111">
        <f ca="1">IFERROR(__xludf.DUMMYFUNCTION("""COMPUTED_VALUE"""),39.46)</f>
        <v>39.46</v>
      </c>
    </row>
    <row r="3092" spans="1:18" x14ac:dyDescent="0.3">
      <c r="M3092" s="112">
        <f ca="1">IFERROR(__xludf.DUMMYFUNCTION("""COMPUTED_VALUE"""),44741.7055555555)</f>
        <v>44741.705555555498</v>
      </c>
      <c r="N3092" s="111">
        <f ca="1">IFERROR(__xludf.DUMMYFUNCTION("""COMPUTED_VALUE"""),17.6)</f>
        <v>17.600000000000001</v>
      </c>
      <c r="O3092" s="112">
        <f ca="1">IFERROR(__xludf.DUMMYFUNCTION("""COMPUTED_VALUE"""),44816.7055555555)</f>
        <v>44816.705555555498</v>
      </c>
      <c r="P3092" s="111">
        <f ca="1">IFERROR(__xludf.DUMMYFUNCTION("""COMPUTED_VALUE"""),70.16)</f>
        <v>70.16</v>
      </c>
      <c r="Q3092" s="112">
        <f ca="1">IFERROR(__xludf.DUMMYFUNCTION("""COMPUTED_VALUE"""),44813.7055555555)</f>
        <v>44813.705555555498</v>
      </c>
      <c r="R3092" s="111">
        <f ca="1">IFERROR(__xludf.DUMMYFUNCTION("""COMPUTED_VALUE"""),40.55)</f>
        <v>40.549999999999997</v>
      </c>
    </row>
    <row r="3093" spans="1:18" x14ac:dyDescent="0.3">
      <c r="M3093" s="112">
        <f ca="1">IFERROR(__xludf.DUMMYFUNCTION("""COMPUTED_VALUE"""),44742.7055555555)</f>
        <v>44742.705555555498</v>
      </c>
      <c r="N3093" s="111">
        <f ca="1">IFERROR(__xludf.DUMMYFUNCTION("""COMPUTED_VALUE"""),17.2)</f>
        <v>17.2</v>
      </c>
      <c r="O3093" s="112">
        <f ca="1">IFERROR(__xludf.DUMMYFUNCTION("""COMPUTED_VALUE"""),44817.7055555555)</f>
        <v>44817.705555555498</v>
      </c>
      <c r="P3093" s="111">
        <f ca="1">IFERROR(__xludf.DUMMYFUNCTION("""COMPUTED_VALUE"""),68.25)</f>
        <v>68.25</v>
      </c>
      <c r="Q3093" s="112">
        <f ca="1">IFERROR(__xludf.DUMMYFUNCTION("""COMPUTED_VALUE"""),44816.7055555555)</f>
        <v>44816.705555555498</v>
      </c>
      <c r="R3093" s="111">
        <f ca="1">IFERROR(__xludf.DUMMYFUNCTION("""COMPUTED_VALUE"""),41.18)</f>
        <v>41.18</v>
      </c>
    </row>
    <row r="3094" spans="1:18" x14ac:dyDescent="0.3">
      <c r="M3094" s="112">
        <f ca="1">IFERROR(__xludf.DUMMYFUNCTION("""COMPUTED_VALUE"""),44743.7055555555)</f>
        <v>44743.705555555498</v>
      </c>
      <c r="N3094" s="111">
        <f ca="1">IFERROR(__xludf.DUMMYFUNCTION("""COMPUTED_VALUE"""),17.33)</f>
        <v>17.329999999999998</v>
      </c>
      <c r="O3094" s="112">
        <f ca="1">IFERROR(__xludf.DUMMYFUNCTION("""COMPUTED_VALUE"""),44818.7055555555)</f>
        <v>44818.705555555498</v>
      </c>
      <c r="P3094" s="111">
        <f ca="1">IFERROR(__xludf.DUMMYFUNCTION("""COMPUTED_VALUE"""),67)</f>
        <v>67</v>
      </c>
      <c r="Q3094" s="112">
        <f ca="1">IFERROR(__xludf.DUMMYFUNCTION("""COMPUTED_VALUE"""),44817.7055555555)</f>
        <v>44817.705555555498</v>
      </c>
      <c r="R3094" s="111">
        <f ca="1">IFERROR(__xludf.DUMMYFUNCTION("""COMPUTED_VALUE"""),40.22)</f>
        <v>40.22</v>
      </c>
    </row>
    <row r="3095" spans="1:18" x14ac:dyDescent="0.3">
      <c r="M3095" s="112">
        <f ca="1">IFERROR(__xludf.DUMMYFUNCTION("""COMPUTED_VALUE"""),44746.7055555555)</f>
        <v>44746.705555555498</v>
      </c>
      <c r="N3095" s="111">
        <f ca="1">IFERROR(__xludf.DUMMYFUNCTION("""COMPUTED_VALUE"""),17.13)</f>
        <v>17.13</v>
      </c>
      <c r="O3095" s="112">
        <f ca="1">IFERROR(__xludf.DUMMYFUNCTION("""COMPUTED_VALUE"""),44819.7055555555)</f>
        <v>44819.705555555498</v>
      </c>
      <c r="P3095" s="111">
        <f ca="1">IFERROR(__xludf.DUMMYFUNCTION("""COMPUTED_VALUE"""),68.35)</f>
        <v>68.349999999999994</v>
      </c>
      <c r="Q3095" s="112">
        <f ca="1">IFERROR(__xludf.DUMMYFUNCTION("""COMPUTED_VALUE"""),44818.7055555555)</f>
        <v>44818.705555555498</v>
      </c>
      <c r="R3095" s="111">
        <f ca="1">IFERROR(__xludf.DUMMYFUNCTION("""COMPUTED_VALUE"""),40.26)</f>
        <v>40.26</v>
      </c>
    </row>
    <row r="3096" spans="1:18" x14ac:dyDescent="0.3">
      <c r="M3096" s="112">
        <f ca="1">IFERROR(__xludf.DUMMYFUNCTION("""COMPUTED_VALUE"""),44747.7055555555)</f>
        <v>44747.705555555498</v>
      </c>
      <c r="N3096" s="111">
        <f ca="1">IFERROR(__xludf.DUMMYFUNCTION("""COMPUTED_VALUE"""),17.17)</f>
        <v>17.170000000000002</v>
      </c>
      <c r="O3096" s="112">
        <f ca="1">IFERROR(__xludf.DUMMYFUNCTION("""COMPUTED_VALUE"""),44820.7055555555)</f>
        <v>44820.705555555498</v>
      </c>
      <c r="P3096" s="111">
        <f ca="1">IFERROR(__xludf.DUMMYFUNCTION("""COMPUTED_VALUE"""),68.25)</f>
        <v>68.25</v>
      </c>
      <c r="Q3096" s="112">
        <f ca="1">IFERROR(__xludf.DUMMYFUNCTION("""COMPUTED_VALUE"""),44819.7055555555)</f>
        <v>44819.705555555498</v>
      </c>
      <c r="R3096" s="111">
        <f ca="1">IFERROR(__xludf.DUMMYFUNCTION("""COMPUTED_VALUE"""),39.85)</f>
        <v>39.85</v>
      </c>
    </row>
    <row r="3097" spans="1:18" x14ac:dyDescent="0.3">
      <c r="M3097" s="112">
        <f ca="1">IFERROR(__xludf.DUMMYFUNCTION("""COMPUTED_VALUE"""),44748.7055555555)</f>
        <v>44748.705555555498</v>
      </c>
      <c r="N3097" s="111">
        <f ca="1">IFERROR(__xludf.DUMMYFUNCTION("""COMPUTED_VALUE"""),17.03)</f>
        <v>17.03</v>
      </c>
      <c r="O3097" s="112">
        <f ca="1">IFERROR(__xludf.DUMMYFUNCTION("""COMPUTED_VALUE"""),44823.7055555555)</f>
        <v>44823.705555555498</v>
      </c>
      <c r="P3097" s="111">
        <f ca="1">IFERROR(__xludf.DUMMYFUNCTION("""COMPUTED_VALUE"""),70.46)</f>
        <v>70.459999999999994</v>
      </c>
      <c r="Q3097" s="112">
        <f ca="1">IFERROR(__xludf.DUMMYFUNCTION("""COMPUTED_VALUE"""),44820.7055555555)</f>
        <v>44820.705555555498</v>
      </c>
      <c r="R3097" s="111">
        <f ca="1">IFERROR(__xludf.DUMMYFUNCTION("""COMPUTED_VALUE"""),39.4)</f>
        <v>39.4</v>
      </c>
    </row>
    <row r="3098" spans="1:18" x14ac:dyDescent="0.3">
      <c r="M3098" s="112">
        <f ca="1">IFERROR(__xludf.DUMMYFUNCTION("""COMPUTED_VALUE"""),44749.7055555555)</f>
        <v>44749.705555555498</v>
      </c>
      <c r="N3098" s="111">
        <f ca="1">IFERROR(__xludf.DUMMYFUNCTION("""COMPUTED_VALUE"""),17.38)</f>
        <v>17.38</v>
      </c>
      <c r="Q3098" s="112">
        <f ca="1">IFERROR(__xludf.DUMMYFUNCTION("""COMPUTED_VALUE"""),44823.7055555555)</f>
        <v>44823.705555555498</v>
      </c>
      <c r="R3098" s="111">
        <f ca="1">IFERROR(__xludf.DUMMYFUNCTION("""COMPUTED_VALUE"""),40.18)</f>
        <v>40.18</v>
      </c>
    </row>
    <row r="3099" spans="1:18" x14ac:dyDescent="0.3">
      <c r="M3099" s="112">
        <f ca="1">IFERROR(__xludf.DUMMYFUNCTION("""COMPUTED_VALUE"""),44750.7055555555)</f>
        <v>44750.705555555498</v>
      </c>
      <c r="N3099" s="111">
        <f ca="1">IFERROR(__xludf.DUMMYFUNCTION("""COMPUTED_VALUE"""),17.39)</f>
        <v>17.39</v>
      </c>
    </row>
    <row r="3100" spans="1:18" x14ac:dyDescent="0.3">
      <c r="M3100" s="112">
        <f ca="1">IFERROR(__xludf.DUMMYFUNCTION("""COMPUTED_VALUE"""),44753.7055555555)</f>
        <v>44753.705555555498</v>
      </c>
      <c r="N3100" s="111">
        <f ca="1">IFERROR(__xludf.DUMMYFUNCTION("""COMPUTED_VALUE"""),17.04)</f>
        <v>17.04</v>
      </c>
    </row>
    <row r="3101" spans="1:18" x14ac:dyDescent="0.3">
      <c r="M3101" s="112">
        <f ca="1">IFERROR(__xludf.DUMMYFUNCTION("""COMPUTED_VALUE"""),44754.7055555555)</f>
        <v>44754.705555555498</v>
      </c>
      <c r="N3101" s="111">
        <f ca="1">IFERROR(__xludf.DUMMYFUNCTION("""COMPUTED_VALUE"""),17.11)</f>
        <v>17.11</v>
      </c>
    </row>
    <row r="3102" spans="1:18" x14ac:dyDescent="0.3">
      <c r="M3102" s="112">
        <f ca="1">IFERROR(__xludf.DUMMYFUNCTION("""COMPUTED_VALUE"""),44755.7055555555)</f>
        <v>44755.705555555498</v>
      </c>
      <c r="N3102" s="111">
        <f ca="1">IFERROR(__xludf.DUMMYFUNCTION("""COMPUTED_VALUE"""),16.72)</f>
        <v>16.72</v>
      </c>
    </row>
    <row r="3103" spans="1:18" x14ac:dyDescent="0.3">
      <c r="M3103" s="112">
        <f ca="1">IFERROR(__xludf.DUMMYFUNCTION("""COMPUTED_VALUE"""),44756.7055555555)</f>
        <v>44756.705555555498</v>
      </c>
      <c r="N3103" s="111">
        <f ca="1">IFERROR(__xludf.DUMMYFUNCTION("""COMPUTED_VALUE"""),16.34)</f>
        <v>16.34</v>
      </c>
    </row>
    <row r="3104" spans="1:18" x14ac:dyDescent="0.3">
      <c r="M3104" s="112">
        <f ca="1">IFERROR(__xludf.DUMMYFUNCTION("""COMPUTED_VALUE"""),44757.7055555555)</f>
        <v>44757.705555555498</v>
      </c>
      <c r="N3104" s="111">
        <f ca="1">IFERROR(__xludf.DUMMYFUNCTION("""COMPUTED_VALUE"""),16.44)</f>
        <v>16.440000000000001</v>
      </c>
    </row>
    <row r="3105" spans="13:14" x14ac:dyDescent="0.3">
      <c r="M3105" s="112">
        <f ca="1">IFERROR(__xludf.DUMMYFUNCTION("""COMPUTED_VALUE"""),44760.7055555555)</f>
        <v>44760.705555555498</v>
      </c>
      <c r="N3105" s="111">
        <f ca="1">IFERROR(__xludf.DUMMYFUNCTION("""COMPUTED_VALUE"""),16.65)</f>
        <v>16.649999999999999</v>
      </c>
    </row>
    <row r="3106" spans="13:14" x14ac:dyDescent="0.3">
      <c r="M3106" s="112">
        <f ca="1">IFERROR(__xludf.DUMMYFUNCTION("""COMPUTED_VALUE"""),44761.7055555555)</f>
        <v>44761.705555555498</v>
      </c>
      <c r="N3106" s="111">
        <f ca="1">IFERROR(__xludf.DUMMYFUNCTION("""COMPUTED_VALUE"""),17.26)</f>
        <v>17.260000000000002</v>
      </c>
    </row>
    <row r="3107" spans="13:14" x14ac:dyDescent="0.3">
      <c r="M3107" s="112">
        <f ca="1">IFERROR(__xludf.DUMMYFUNCTION("""COMPUTED_VALUE"""),44762.7055555555)</f>
        <v>44762.705555555498</v>
      </c>
      <c r="N3107" s="111">
        <f ca="1">IFERROR(__xludf.DUMMYFUNCTION("""COMPUTED_VALUE"""),17.04)</f>
        <v>17.04</v>
      </c>
    </row>
    <row r="3108" spans="13:14" x14ac:dyDescent="0.3">
      <c r="M3108" s="112">
        <f ca="1">IFERROR(__xludf.DUMMYFUNCTION("""COMPUTED_VALUE"""),44763.7055555555)</f>
        <v>44763.705555555498</v>
      </c>
      <c r="N3108" s="111">
        <f ca="1">IFERROR(__xludf.DUMMYFUNCTION("""COMPUTED_VALUE"""),17.27)</f>
        <v>17.27</v>
      </c>
    </row>
    <row r="3109" spans="13:14" x14ac:dyDescent="0.3">
      <c r="M3109" s="112">
        <f ca="1">IFERROR(__xludf.DUMMYFUNCTION("""COMPUTED_VALUE"""),44764.7055555555)</f>
        <v>44764.705555555498</v>
      </c>
      <c r="N3109" s="111">
        <f ca="1">IFERROR(__xludf.DUMMYFUNCTION("""COMPUTED_VALUE"""),17.05)</f>
        <v>17.05</v>
      </c>
    </row>
    <row r="3110" spans="13:14" x14ac:dyDescent="0.3">
      <c r="M3110" s="112">
        <f ca="1">IFERROR(__xludf.DUMMYFUNCTION("""COMPUTED_VALUE"""),44767.7055555555)</f>
        <v>44767.705555555498</v>
      </c>
      <c r="N3110" s="111">
        <f ca="1">IFERROR(__xludf.DUMMYFUNCTION("""COMPUTED_VALUE"""),17.28)</f>
        <v>17.28</v>
      </c>
    </row>
    <row r="3111" spans="13:14" x14ac:dyDescent="0.3">
      <c r="M3111" s="112">
        <f ca="1">IFERROR(__xludf.DUMMYFUNCTION("""COMPUTED_VALUE"""),44768.7055555555)</f>
        <v>44768.705555555498</v>
      </c>
      <c r="N3111" s="111">
        <f ca="1">IFERROR(__xludf.DUMMYFUNCTION("""COMPUTED_VALUE"""),17.16)</f>
        <v>17.16</v>
      </c>
    </row>
    <row r="3112" spans="13:14" x14ac:dyDescent="0.3">
      <c r="M3112" s="112">
        <f ca="1">IFERROR(__xludf.DUMMYFUNCTION("""COMPUTED_VALUE"""),44769.7055555555)</f>
        <v>44769.705555555498</v>
      </c>
      <c r="N3112" s="111">
        <f ca="1">IFERROR(__xludf.DUMMYFUNCTION("""COMPUTED_VALUE"""),17.26)</f>
        <v>17.260000000000002</v>
      </c>
    </row>
    <row r="3113" spans="13:14" x14ac:dyDescent="0.3">
      <c r="M3113" s="112">
        <f ca="1">IFERROR(__xludf.DUMMYFUNCTION("""COMPUTED_VALUE"""),44770.7055555555)</f>
        <v>44770.705555555498</v>
      </c>
      <c r="N3113" s="111">
        <f ca="1">IFERROR(__xludf.DUMMYFUNCTION("""COMPUTED_VALUE"""),17.39)</f>
        <v>17.39</v>
      </c>
    </row>
    <row r="3114" spans="13:14" x14ac:dyDescent="0.3">
      <c r="M3114" s="112">
        <f ca="1">IFERROR(__xludf.DUMMYFUNCTION("""COMPUTED_VALUE"""),44771.7055555555)</f>
        <v>44771.705555555498</v>
      </c>
      <c r="N3114" s="111">
        <f ca="1">IFERROR(__xludf.DUMMYFUNCTION("""COMPUTED_VALUE"""),17.43)</f>
        <v>17.43</v>
      </c>
    </row>
    <row r="3115" spans="13:14" x14ac:dyDescent="0.3">
      <c r="M3115" s="112">
        <f ca="1">IFERROR(__xludf.DUMMYFUNCTION("""COMPUTED_VALUE"""),44774.7055555555)</f>
        <v>44774.705555555498</v>
      </c>
      <c r="N3115" s="111">
        <f ca="1">IFERROR(__xludf.DUMMYFUNCTION("""COMPUTED_VALUE"""),17.39)</f>
        <v>17.39</v>
      </c>
    </row>
    <row r="3116" spans="13:14" x14ac:dyDescent="0.3">
      <c r="M3116" s="112">
        <f ca="1">IFERROR(__xludf.DUMMYFUNCTION("""COMPUTED_VALUE"""),44775.7055555555)</f>
        <v>44775.705555555498</v>
      </c>
      <c r="N3116" s="111">
        <f ca="1">IFERROR(__xludf.DUMMYFUNCTION("""COMPUTED_VALUE"""),17.67)</f>
        <v>17.670000000000002</v>
      </c>
    </row>
    <row r="3117" spans="13:14" x14ac:dyDescent="0.3">
      <c r="M3117" s="112">
        <f ca="1">IFERROR(__xludf.DUMMYFUNCTION("""COMPUTED_VALUE"""),44776.7055555555)</f>
        <v>44776.705555555498</v>
      </c>
      <c r="N3117" s="111">
        <f ca="1">IFERROR(__xludf.DUMMYFUNCTION("""COMPUTED_VALUE"""),17.95)</f>
        <v>17.95</v>
      </c>
    </row>
    <row r="3118" spans="13:14" x14ac:dyDescent="0.3">
      <c r="M3118" s="112">
        <f ca="1">IFERROR(__xludf.DUMMYFUNCTION("""COMPUTED_VALUE"""),44777.7055555555)</f>
        <v>44777.705555555498</v>
      </c>
      <c r="N3118" s="111">
        <f ca="1">IFERROR(__xludf.DUMMYFUNCTION("""COMPUTED_VALUE"""),18.28)</f>
        <v>18.28</v>
      </c>
    </row>
    <row r="3119" spans="13:14" x14ac:dyDescent="0.3">
      <c r="M3119" s="112">
        <f ca="1">IFERROR(__xludf.DUMMYFUNCTION("""COMPUTED_VALUE"""),44778.7055555555)</f>
        <v>44778.705555555498</v>
      </c>
      <c r="N3119" s="111">
        <f ca="1">IFERROR(__xludf.DUMMYFUNCTION("""COMPUTED_VALUE"""),18.5)</f>
        <v>18.5</v>
      </c>
    </row>
    <row r="3120" spans="13:14" x14ac:dyDescent="0.3">
      <c r="M3120" s="112">
        <f ca="1">IFERROR(__xludf.DUMMYFUNCTION("""COMPUTED_VALUE"""),44781.7055555555)</f>
        <v>44781.705555555498</v>
      </c>
      <c r="N3120" s="111">
        <f ca="1">IFERROR(__xludf.DUMMYFUNCTION("""COMPUTED_VALUE"""),18.56)</f>
        <v>18.559999999999999</v>
      </c>
    </row>
    <row r="3121" spans="13:14" x14ac:dyDescent="0.3">
      <c r="M3121" s="112">
        <f ca="1">IFERROR(__xludf.DUMMYFUNCTION("""COMPUTED_VALUE"""),44782.7055555555)</f>
        <v>44782.705555555498</v>
      </c>
      <c r="N3121" s="111">
        <f ca="1">IFERROR(__xludf.DUMMYFUNCTION("""COMPUTED_VALUE"""),18.83)</f>
        <v>18.829999999999998</v>
      </c>
    </row>
    <row r="3122" spans="13:14" x14ac:dyDescent="0.3">
      <c r="M3122" s="112">
        <f ca="1">IFERROR(__xludf.DUMMYFUNCTION("""COMPUTED_VALUE"""),44783.7055555555)</f>
        <v>44783.705555555498</v>
      </c>
      <c r="N3122" s="111">
        <f ca="1">IFERROR(__xludf.DUMMYFUNCTION("""COMPUTED_VALUE"""),19.13)</f>
        <v>19.13</v>
      </c>
    </row>
    <row r="3123" spans="13:14" x14ac:dyDescent="0.3">
      <c r="M3123" s="112">
        <f ca="1">IFERROR(__xludf.DUMMYFUNCTION("""COMPUTED_VALUE"""),44784.7055555555)</f>
        <v>44784.705555555498</v>
      </c>
      <c r="N3123" s="111">
        <f ca="1">IFERROR(__xludf.DUMMYFUNCTION("""COMPUTED_VALUE"""),19.29)</f>
        <v>19.29</v>
      </c>
    </row>
    <row r="3124" spans="13:14" x14ac:dyDescent="0.3">
      <c r="M3124" s="112">
        <f ca="1">IFERROR(__xludf.DUMMYFUNCTION("""COMPUTED_VALUE"""),44785.7055555555)</f>
        <v>44785.705555555498</v>
      </c>
      <c r="N3124" s="111">
        <f ca="1">IFERROR(__xludf.DUMMYFUNCTION("""COMPUTED_VALUE"""),19.53)</f>
        <v>19.53</v>
      </c>
    </row>
    <row r="3125" spans="13:14" x14ac:dyDescent="0.3">
      <c r="M3125" s="112">
        <f ca="1">IFERROR(__xludf.DUMMYFUNCTION("""COMPUTED_VALUE"""),44788.7055555555)</f>
        <v>44788.705555555498</v>
      </c>
      <c r="N3125" s="111">
        <f ca="1">IFERROR(__xludf.DUMMYFUNCTION("""COMPUTED_VALUE"""),19.43)</f>
        <v>19.43</v>
      </c>
    </row>
    <row r="3126" spans="13:14" x14ac:dyDescent="0.3">
      <c r="M3126" s="112">
        <f ca="1">IFERROR(__xludf.DUMMYFUNCTION("""COMPUTED_VALUE"""),44789.7055555555)</f>
        <v>44789.705555555498</v>
      </c>
      <c r="N3126" s="111">
        <f ca="1">IFERROR(__xludf.DUMMYFUNCTION("""COMPUTED_VALUE"""),19.71)</f>
        <v>19.71</v>
      </c>
    </row>
    <row r="3127" spans="13:14" x14ac:dyDescent="0.3">
      <c r="M3127" s="112">
        <f ca="1">IFERROR(__xludf.DUMMYFUNCTION("""COMPUTED_VALUE"""),44790.7055555555)</f>
        <v>44790.705555555498</v>
      </c>
      <c r="N3127" s="111">
        <f ca="1">IFERROR(__xludf.DUMMYFUNCTION("""COMPUTED_VALUE"""),19.74)</f>
        <v>19.739999999999998</v>
      </c>
    </row>
    <row r="3128" spans="13:14" x14ac:dyDescent="0.3">
      <c r="M3128" s="112">
        <f ca="1">IFERROR(__xludf.DUMMYFUNCTION("""COMPUTED_VALUE"""),44791.7055555555)</f>
        <v>44791.705555555498</v>
      </c>
      <c r="N3128" s="111">
        <f ca="1">IFERROR(__xludf.DUMMYFUNCTION("""COMPUTED_VALUE"""),19.86)</f>
        <v>19.86</v>
      </c>
    </row>
    <row r="3129" spans="13:14" x14ac:dyDescent="0.3">
      <c r="M3129" s="112">
        <f ca="1">IFERROR(__xludf.DUMMYFUNCTION("""COMPUTED_VALUE"""),44792.7055555555)</f>
        <v>44792.705555555498</v>
      </c>
      <c r="N3129" s="111">
        <f ca="1">IFERROR(__xludf.DUMMYFUNCTION("""COMPUTED_VALUE"""),19.61)</f>
        <v>19.61</v>
      </c>
    </row>
    <row r="3130" spans="13:14" x14ac:dyDescent="0.3">
      <c r="M3130" s="112">
        <f ca="1">IFERROR(__xludf.DUMMYFUNCTION("""COMPUTED_VALUE"""),44795.7055555555)</f>
        <v>44795.705555555498</v>
      </c>
      <c r="N3130" s="111">
        <f ca="1">IFERROR(__xludf.DUMMYFUNCTION("""COMPUTED_VALUE"""),19.34)</f>
        <v>19.34</v>
      </c>
    </row>
    <row r="3131" spans="13:14" x14ac:dyDescent="0.3">
      <c r="M3131" s="112">
        <f ca="1">IFERROR(__xludf.DUMMYFUNCTION("""COMPUTED_VALUE"""),44796.7055555555)</f>
        <v>44796.705555555498</v>
      </c>
      <c r="N3131" s="111">
        <f ca="1">IFERROR(__xludf.DUMMYFUNCTION("""COMPUTED_VALUE"""),19.48)</f>
        <v>19.48</v>
      </c>
    </row>
    <row r="3132" spans="13:14" x14ac:dyDescent="0.3">
      <c r="M3132" s="112">
        <f ca="1">IFERROR(__xludf.DUMMYFUNCTION("""COMPUTED_VALUE"""),44797.7055555555)</f>
        <v>44797.705555555498</v>
      </c>
      <c r="N3132" s="111">
        <f ca="1">IFERROR(__xludf.DUMMYFUNCTION("""COMPUTED_VALUE"""),19.37)</f>
        <v>19.37</v>
      </c>
    </row>
    <row r="3133" spans="13:14" x14ac:dyDescent="0.3">
      <c r="M3133" s="112">
        <f ca="1">IFERROR(__xludf.DUMMYFUNCTION("""COMPUTED_VALUE"""),44798.7055555555)</f>
        <v>44798.705555555498</v>
      </c>
      <c r="N3133" s="111">
        <f ca="1">IFERROR(__xludf.DUMMYFUNCTION("""COMPUTED_VALUE"""),19.51)</f>
        <v>19.510000000000002</v>
      </c>
    </row>
    <row r="3134" spans="13:14" x14ac:dyDescent="0.3">
      <c r="M3134" s="112">
        <f ca="1">IFERROR(__xludf.DUMMYFUNCTION("""COMPUTED_VALUE"""),44799.7055555555)</f>
        <v>44799.705555555498</v>
      </c>
      <c r="N3134" s="111">
        <f ca="1">IFERROR(__xludf.DUMMYFUNCTION("""COMPUTED_VALUE"""),19.44)</f>
        <v>19.440000000000001</v>
      </c>
    </row>
    <row r="3135" spans="13:14" x14ac:dyDescent="0.3">
      <c r="M3135" s="112">
        <f ca="1">IFERROR(__xludf.DUMMYFUNCTION("""COMPUTED_VALUE"""),44802.7055555555)</f>
        <v>44802.705555555498</v>
      </c>
      <c r="N3135" s="111">
        <f ca="1">IFERROR(__xludf.DUMMYFUNCTION("""COMPUTED_VALUE"""),19.51)</f>
        <v>19.510000000000002</v>
      </c>
    </row>
    <row r="3136" spans="13:14" x14ac:dyDescent="0.3">
      <c r="M3136" s="112">
        <f ca="1">IFERROR(__xludf.DUMMYFUNCTION("""COMPUTED_VALUE"""),44803.7055555555)</f>
        <v>44803.705555555498</v>
      </c>
      <c r="N3136" s="111">
        <f ca="1">IFERROR(__xludf.DUMMYFUNCTION("""COMPUTED_VALUE"""),19.45)</f>
        <v>19.45</v>
      </c>
    </row>
    <row r="3137" spans="13:14" x14ac:dyDescent="0.3">
      <c r="M3137" s="112">
        <f ca="1">IFERROR(__xludf.DUMMYFUNCTION("""COMPUTED_VALUE"""),44804.7055555555)</f>
        <v>44804.705555555498</v>
      </c>
      <c r="N3137" s="111">
        <f ca="1">IFERROR(__xludf.DUMMYFUNCTION("""COMPUTED_VALUE"""),18.96)</f>
        <v>18.96</v>
      </c>
    </row>
    <row r="3138" spans="13:14" x14ac:dyDescent="0.3">
      <c r="M3138" s="112">
        <f ca="1">IFERROR(__xludf.DUMMYFUNCTION("""COMPUTED_VALUE"""),44805.7055555555)</f>
        <v>44805.705555555498</v>
      </c>
      <c r="N3138" s="111">
        <f ca="1">IFERROR(__xludf.DUMMYFUNCTION("""COMPUTED_VALUE"""),19.12)</f>
        <v>19.12</v>
      </c>
    </row>
    <row r="3139" spans="13:14" x14ac:dyDescent="0.3">
      <c r="M3139" s="112">
        <f ca="1">IFERROR(__xludf.DUMMYFUNCTION("""COMPUTED_VALUE"""),44806.7055555555)</f>
        <v>44806.705555555498</v>
      </c>
      <c r="N3139" s="111">
        <f ca="1">IFERROR(__xludf.DUMMYFUNCTION("""COMPUTED_VALUE"""),19.31)</f>
        <v>19.309999999999999</v>
      </c>
    </row>
    <row r="3140" spans="13:14" x14ac:dyDescent="0.3">
      <c r="M3140" s="112">
        <f ca="1">IFERROR(__xludf.DUMMYFUNCTION("""COMPUTED_VALUE"""),44809.7055555555)</f>
        <v>44809.705555555498</v>
      </c>
      <c r="N3140" s="111">
        <f ca="1">IFERROR(__xludf.DUMMYFUNCTION("""COMPUTED_VALUE"""),19.35)</f>
        <v>19.350000000000001</v>
      </c>
    </row>
    <row r="3141" spans="13:14" x14ac:dyDescent="0.3">
      <c r="M3141" s="112">
        <f ca="1">IFERROR(__xludf.DUMMYFUNCTION("""COMPUTED_VALUE"""),44810.7055555555)</f>
        <v>44810.705555555498</v>
      </c>
      <c r="N3141" s="111">
        <f ca="1">IFERROR(__xludf.DUMMYFUNCTION("""COMPUTED_VALUE"""),19.23)</f>
        <v>19.23</v>
      </c>
    </row>
    <row r="3142" spans="13:14" x14ac:dyDescent="0.3">
      <c r="M3142" s="112">
        <f ca="1">IFERROR(__xludf.DUMMYFUNCTION("""COMPUTED_VALUE"""),44812.7055555555)</f>
        <v>44812.705555555498</v>
      </c>
      <c r="N3142" s="111">
        <f ca="1">IFERROR(__xludf.DUMMYFUNCTION("""COMPUTED_VALUE"""),19.12)</f>
        <v>19.12</v>
      </c>
    </row>
    <row r="3143" spans="13:14" x14ac:dyDescent="0.3">
      <c r="M3143" s="112">
        <f ca="1">IFERROR(__xludf.DUMMYFUNCTION("""COMPUTED_VALUE"""),44813.7055555555)</f>
        <v>44813.705555555498</v>
      </c>
      <c r="N3143" s="111">
        <f ca="1">IFERROR(__xludf.DUMMYFUNCTION("""COMPUTED_VALUE"""),19.38)</f>
        <v>19.38</v>
      </c>
    </row>
    <row r="3144" spans="13:14" x14ac:dyDescent="0.3">
      <c r="M3144" s="112">
        <f ca="1">IFERROR(__xludf.DUMMYFUNCTION("""COMPUTED_VALUE"""),44816.7055555555)</f>
        <v>44816.705555555498</v>
      </c>
      <c r="N3144" s="111">
        <f ca="1">IFERROR(__xludf.DUMMYFUNCTION("""COMPUTED_VALUE"""),19.57)</f>
        <v>19.57</v>
      </c>
    </row>
    <row r="3145" spans="13:14" x14ac:dyDescent="0.3">
      <c r="M3145" s="112">
        <f ca="1">IFERROR(__xludf.DUMMYFUNCTION("""COMPUTED_VALUE"""),44817.7055555555)</f>
        <v>44817.705555555498</v>
      </c>
      <c r="N3145" s="111">
        <f ca="1">IFERROR(__xludf.DUMMYFUNCTION("""COMPUTED_VALUE"""),19.42)</f>
        <v>19.420000000000002</v>
      </c>
    </row>
    <row r="3146" spans="13:14" x14ac:dyDescent="0.3">
      <c r="M3146" s="112">
        <f ca="1">IFERROR(__xludf.DUMMYFUNCTION("""COMPUTED_VALUE"""),44818.7055555555)</f>
        <v>44818.705555555498</v>
      </c>
      <c r="N3146" s="111">
        <f ca="1">IFERROR(__xludf.DUMMYFUNCTION("""COMPUTED_VALUE"""),19.33)</f>
        <v>19.329999999999998</v>
      </c>
    </row>
    <row r="3147" spans="13:14" x14ac:dyDescent="0.3">
      <c r="M3147" s="112">
        <f ca="1">IFERROR(__xludf.DUMMYFUNCTION("""COMPUTED_VALUE"""),44819.7055555555)</f>
        <v>44819.705555555498</v>
      </c>
      <c r="N3147" s="111">
        <f ca="1">IFERROR(__xludf.DUMMYFUNCTION("""COMPUTED_VALUE"""),19.26)</f>
        <v>19.260000000000002</v>
      </c>
    </row>
    <row r="3148" spans="13:14" x14ac:dyDescent="0.3">
      <c r="M3148" s="112">
        <f ca="1">IFERROR(__xludf.DUMMYFUNCTION("""COMPUTED_VALUE"""),44820.7055555555)</f>
        <v>44820.705555555498</v>
      </c>
      <c r="N3148" s="111">
        <f ca="1">IFERROR(__xludf.DUMMYFUNCTION("""COMPUTED_VALUE"""),19.04)</f>
        <v>19.04</v>
      </c>
    </row>
    <row r="3149" spans="13:14" x14ac:dyDescent="0.3">
      <c r="M3149" s="112">
        <f ca="1">IFERROR(__xludf.DUMMYFUNCTION("""COMPUTED_VALUE"""),44823.7055555555)</f>
        <v>44823.705555555498</v>
      </c>
      <c r="N3149" s="111">
        <f ca="1">IFERROR(__xludf.DUMMYFUNCTION("""COMPUTED_VALUE"""),19.53)</f>
        <v>19.53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41"/>
  <sheetViews>
    <sheetView zoomScale="90" zoomScaleNormal="90" workbookViewId="0">
      <selection activeCell="A22" sqref="A22"/>
    </sheetView>
  </sheetViews>
  <sheetFormatPr defaultColWidth="8.6640625" defaultRowHeight="14.4" x14ac:dyDescent="0.3"/>
  <cols>
    <col min="1" max="1" width="8.6640625" style="1"/>
    <col min="2" max="2" width="17.5546875" style="1" customWidth="1"/>
    <col min="3" max="3" width="12.109375" style="1" customWidth="1"/>
    <col min="4" max="7" width="11.109375" style="1" customWidth="1"/>
    <col min="8" max="8" width="24.44140625" style="1" customWidth="1"/>
    <col min="9" max="9" width="8.6640625" style="1"/>
    <col min="10" max="10" width="56.109375" style="1" customWidth="1"/>
    <col min="11" max="11" width="20.21875" style="1" customWidth="1"/>
    <col min="12" max="16384" width="8.6640625" style="1"/>
  </cols>
  <sheetData>
    <row r="2" spans="2:15" x14ac:dyDescent="0.3">
      <c r="B2" s="19" t="s">
        <v>19</v>
      </c>
      <c r="D2" s="9" t="s">
        <v>21</v>
      </c>
      <c r="E2" s="17"/>
      <c r="F2" s="17"/>
      <c r="G2" s="17"/>
      <c r="H2" s="121" t="s">
        <v>100</v>
      </c>
      <c r="J2" s="15" t="s">
        <v>66</v>
      </c>
    </row>
    <row r="3" spans="2:15" x14ac:dyDescent="0.3">
      <c r="B3" s="20" t="s">
        <v>19</v>
      </c>
      <c r="D3" s="23" t="s">
        <v>21</v>
      </c>
      <c r="E3" s="17"/>
      <c r="F3" s="17"/>
      <c r="G3" s="17"/>
      <c r="H3" s="122"/>
    </row>
    <row r="4" spans="2:15" x14ac:dyDescent="0.3">
      <c r="B4" s="46" t="s">
        <v>19</v>
      </c>
      <c r="D4" s="25" t="s">
        <v>21</v>
      </c>
      <c r="E4" s="17"/>
      <c r="F4" s="17"/>
      <c r="G4" s="17"/>
      <c r="H4" s="122"/>
    </row>
    <row r="5" spans="2:15" x14ac:dyDescent="0.3">
      <c r="B5" s="47" t="s">
        <v>19</v>
      </c>
      <c r="D5" s="48" t="s">
        <v>21</v>
      </c>
      <c r="E5" s="17"/>
      <c r="F5" s="17"/>
      <c r="G5" s="17"/>
      <c r="H5" s="123"/>
    </row>
    <row r="6" spans="2:15" x14ac:dyDescent="0.3">
      <c r="B6" s="17"/>
    </row>
    <row r="7" spans="2:15" x14ac:dyDescent="0.3">
      <c r="C7" s="1" t="s">
        <v>71</v>
      </c>
      <c r="D7" s="1" t="s">
        <v>72</v>
      </c>
      <c r="E7" s="1" t="s">
        <v>73</v>
      </c>
      <c r="F7" s="1" t="s">
        <v>74</v>
      </c>
    </row>
    <row r="8" spans="2:15" x14ac:dyDescent="0.3">
      <c r="B8" s="3">
        <v>1</v>
      </c>
      <c r="C8" s="45">
        <v>4</v>
      </c>
      <c r="D8" s="22">
        <v>1</v>
      </c>
      <c r="E8" s="44">
        <v>9</v>
      </c>
      <c r="F8" s="43">
        <v>7</v>
      </c>
      <c r="G8" s="49"/>
      <c r="H8" s="121" t="s">
        <v>93</v>
      </c>
      <c r="I8" s="1">
        <v>1</v>
      </c>
      <c r="J8" s="15" t="s">
        <v>194</v>
      </c>
      <c r="K8" s="15" t="s">
        <v>0</v>
      </c>
      <c r="L8" s="52">
        <f>COUNT(C8:C32)</f>
        <v>5</v>
      </c>
      <c r="M8" s="53">
        <f t="shared" ref="M8:O8" si="0">COUNT(D8:D32)</f>
        <v>5</v>
      </c>
      <c r="N8" s="54">
        <f t="shared" si="0"/>
        <v>5</v>
      </c>
      <c r="O8" s="55">
        <f t="shared" si="0"/>
        <v>5</v>
      </c>
    </row>
    <row r="9" spans="2:15" x14ac:dyDescent="0.3">
      <c r="B9" s="3">
        <v>2</v>
      </c>
      <c r="C9" s="45">
        <v>5</v>
      </c>
      <c r="D9" s="22">
        <v>5</v>
      </c>
      <c r="E9" s="44">
        <v>10</v>
      </c>
      <c r="F9" s="43">
        <v>9</v>
      </c>
      <c r="G9" s="49"/>
      <c r="H9" s="122"/>
      <c r="I9" s="1">
        <v>2</v>
      </c>
      <c r="J9" s="15" t="s">
        <v>67</v>
      </c>
      <c r="K9" s="15" t="s">
        <v>6</v>
      </c>
      <c r="L9" s="56">
        <f>MIN(C8:C32)</f>
        <v>4</v>
      </c>
      <c r="M9" s="57">
        <f t="shared" ref="M9:O9" si="1">MIN(D8:D32)</f>
        <v>1</v>
      </c>
      <c r="N9" s="58">
        <f t="shared" si="1"/>
        <v>9</v>
      </c>
      <c r="O9" s="59">
        <f t="shared" si="1"/>
        <v>7</v>
      </c>
    </row>
    <row r="10" spans="2:15" x14ac:dyDescent="0.3">
      <c r="B10" s="3">
        <v>3</v>
      </c>
      <c r="C10" s="45">
        <v>6</v>
      </c>
      <c r="D10" s="22">
        <v>9</v>
      </c>
      <c r="E10" s="44">
        <v>11</v>
      </c>
      <c r="F10" s="43">
        <v>11</v>
      </c>
      <c r="G10" s="49"/>
      <c r="H10" s="122"/>
      <c r="I10" s="1">
        <v>3</v>
      </c>
      <c r="J10" s="15" t="s">
        <v>79</v>
      </c>
      <c r="K10" s="15" t="s">
        <v>78</v>
      </c>
      <c r="L10" s="56">
        <f>PERCENTILE(C8:C32,0.025)</f>
        <v>4.0999999999999996</v>
      </c>
      <c r="M10" s="57">
        <f t="shared" ref="M10:O10" si="2">PERCENTILE(D8:D32,0.025)</f>
        <v>1.2000000000000002</v>
      </c>
      <c r="N10" s="58">
        <f t="shared" si="2"/>
        <v>9.1</v>
      </c>
      <c r="O10" s="59">
        <f t="shared" si="2"/>
        <v>7.2</v>
      </c>
    </row>
    <row r="11" spans="2:15" x14ac:dyDescent="0.3">
      <c r="B11" s="3">
        <v>4</v>
      </c>
      <c r="C11" s="45">
        <v>5</v>
      </c>
      <c r="D11" s="22">
        <v>3</v>
      </c>
      <c r="E11" s="44">
        <v>10</v>
      </c>
      <c r="F11" s="43">
        <v>13</v>
      </c>
      <c r="G11" s="49"/>
      <c r="H11" s="122"/>
      <c r="I11" s="1">
        <v>4</v>
      </c>
      <c r="J11" s="15" t="s">
        <v>75</v>
      </c>
      <c r="K11" s="15" t="s">
        <v>76</v>
      </c>
      <c r="L11" s="56">
        <f>_xlfn.PERCENTILE.INC(C8:C32,0.1)</f>
        <v>4.4000000000000004</v>
      </c>
      <c r="M11" s="57">
        <f t="shared" ref="M11:O11" si="3">_xlfn.PERCENTILE.INC(D8:D32,0.1)</f>
        <v>1.7999999999999998</v>
      </c>
      <c r="N11" s="58">
        <f t="shared" si="3"/>
        <v>9.4</v>
      </c>
      <c r="O11" s="59">
        <f t="shared" si="3"/>
        <v>7.8</v>
      </c>
    </row>
    <row r="12" spans="2:15" x14ac:dyDescent="0.3">
      <c r="B12" s="3">
        <v>5</v>
      </c>
      <c r="C12" s="45">
        <v>5</v>
      </c>
      <c r="D12" s="22">
        <v>7</v>
      </c>
      <c r="E12" s="44">
        <v>10</v>
      </c>
      <c r="F12" s="43">
        <v>15</v>
      </c>
      <c r="G12" s="49"/>
      <c r="H12" s="122"/>
      <c r="I12" s="1">
        <v>5</v>
      </c>
      <c r="J12" s="15" t="s">
        <v>83</v>
      </c>
      <c r="K12" s="15" t="s">
        <v>85</v>
      </c>
      <c r="L12" s="56">
        <f>_xlfn.PERCENTILE.INC(C8:C32,0.25)</f>
        <v>5</v>
      </c>
      <c r="M12" s="57">
        <f t="shared" ref="M12:O12" si="4">_xlfn.PERCENTILE.INC(D8:D32,0.25)</f>
        <v>3</v>
      </c>
      <c r="N12" s="58">
        <f t="shared" si="4"/>
        <v>10</v>
      </c>
      <c r="O12" s="59">
        <f t="shared" si="4"/>
        <v>9</v>
      </c>
    </row>
    <row r="13" spans="2:15" x14ac:dyDescent="0.3">
      <c r="B13" s="3">
        <v>6</v>
      </c>
      <c r="C13" s="45"/>
      <c r="D13" s="22"/>
      <c r="E13" s="44"/>
      <c r="F13" s="43"/>
      <c r="G13" s="49"/>
      <c r="H13" s="122"/>
      <c r="I13" s="1">
        <v>6</v>
      </c>
      <c r="J13" s="15" t="s">
        <v>88</v>
      </c>
      <c r="K13" s="15" t="s">
        <v>86</v>
      </c>
      <c r="L13" s="56">
        <f>PERCENTILE(C8:C32,0.5)</f>
        <v>5</v>
      </c>
      <c r="M13" s="57">
        <f t="shared" ref="M13:O13" si="5">PERCENTILE(D8:D32,0.5)</f>
        <v>5</v>
      </c>
      <c r="N13" s="58">
        <f t="shared" si="5"/>
        <v>10</v>
      </c>
      <c r="O13" s="59">
        <f t="shared" si="5"/>
        <v>11</v>
      </c>
    </row>
    <row r="14" spans="2:15" x14ac:dyDescent="0.3">
      <c r="B14" s="3">
        <v>7</v>
      </c>
      <c r="C14" s="24"/>
      <c r="D14" s="26"/>
      <c r="E14" s="40"/>
      <c r="F14" s="41"/>
      <c r="G14" s="50"/>
      <c r="H14" s="122"/>
      <c r="I14" s="1">
        <v>7</v>
      </c>
      <c r="J14" s="15" t="s">
        <v>84</v>
      </c>
      <c r="K14" s="15" t="s">
        <v>87</v>
      </c>
      <c r="L14" s="56">
        <f>PERCENTILE(C8:C32,0.75)</f>
        <v>5</v>
      </c>
      <c r="M14" s="57">
        <f t="shared" ref="M14:O14" si="6">PERCENTILE(D8:D32,0.75)</f>
        <v>7</v>
      </c>
      <c r="N14" s="58">
        <f t="shared" si="6"/>
        <v>10</v>
      </c>
      <c r="O14" s="59">
        <f t="shared" si="6"/>
        <v>13</v>
      </c>
    </row>
    <row r="15" spans="2:15" x14ac:dyDescent="0.3">
      <c r="B15" s="3">
        <v>8</v>
      </c>
      <c r="C15" s="24"/>
      <c r="D15" s="26"/>
      <c r="E15" s="40"/>
      <c r="F15" s="41"/>
      <c r="G15" s="50"/>
      <c r="H15" s="122"/>
      <c r="I15" s="1">
        <v>8</v>
      </c>
      <c r="J15" s="15" t="s">
        <v>81</v>
      </c>
      <c r="K15" s="15" t="s">
        <v>77</v>
      </c>
      <c r="L15" s="56">
        <f>PERCENTILE(C8:C32,0.9)</f>
        <v>5.6</v>
      </c>
      <c r="M15" s="57">
        <f t="shared" ref="M15:O15" si="7">PERCENTILE(D8:D32,0.9)</f>
        <v>8.1999999999999993</v>
      </c>
      <c r="N15" s="58">
        <f t="shared" si="7"/>
        <v>10.6</v>
      </c>
      <c r="O15" s="59">
        <f t="shared" si="7"/>
        <v>14.2</v>
      </c>
    </row>
    <row r="16" spans="2:15" x14ac:dyDescent="0.3">
      <c r="B16" s="3">
        <v>9</v>
      </c>
      <c r="C16" s="24"/>
      <c r="D16" s="26"/>
      <c r="E16" s="40"/>
      <c r="F16" s="41"/>
      <c r="G16" s="50"/>
      <c r="H16" s="122"/>
      <c r="I16" s="1">
        <v>9</v>
      </c>
      <c r="J16" s="15" t="s">
        <v>82</v>
      </c>
      <c r="K16" s="15" t="s">
        <v>80</v>
      </c>
      <c r="L16" s="56">
        <f>PERCENTILE(C8:C32,0.975)</f>
        <v>5.9</v>
      </c>
      <c r="M16" s="57">
        <f t="shared" ref="M16:O16" si="8">PERCENTILE(D8:D32,0.975)</f>
        <v>8.8000000000000007</v>
      </c>
      <c r="N16" s="58">
        <f t="shared" si="8"/>
        <v>10.9</v>
      </c>
      <c r="O16" s="59">
        <f t="shared" si="8"/>
        <v>14.8</v>
      </c>
    </row>
    <row r="17" spans="2:16" x14ac:dyDescent="0.3">
      <c r="B17" s="3">
        <v>10</v>
      </c>
      <c r="C17" s="24"/>
      <c r="D17" s="26"/>
      <c r="E17" s="40"/>
      <c r="F17" s="41"/>
      <c r="G17" s="50"/>
      <c r="H17" s="123"/>
      <c r="I17" s="1">
        <v>10</v>
      </c>
      <c r="J17" s="15" t="s">
        <v>68</v>
      </c>
      <c r="K17" s="15" t="s">
        <v>7</v>
      </c>
      <c r="L17" s="56">
        <f>MAX(C8:C32)</f>
        <v>6</v>
      </c>
      <c r="M17" s="57">
        <f t="shared" ref="M17:O17" si="9">MAX(D8:D32)</f>
        <v>9</v>
      </c>
      <c r="N17" s="58">
        <f t="shared" si="9"/>
        <v>11</v>
      </c>
      <c r="O17" s="59">
        <f t="shared" si="9"/>
        <v>15</v>
      </c>
    </row>
    <row r="18" spans="2:16" x14ac:dyDescent="0.3">
      <c r="B18" s="3">
        <v>11</v>
      </c>
      <c r="C18" s="24"/>
      <c r="D18" s="26"/>
      <c r="E18" s="40"/>
      <c r="F18" s="41"/>
      <c r="G18" s="50"/>
      <c r="H18" s="50"/>
      <c r="J18" s="15"/>
      <c r="K18" s="15"/>
      <c r="L18" s="56"/>
      <c r="M18" s="57"/>
      <c r="N18" s="58"/>
      <c r="O18" s="59"/>
    </row>
    <row r="19" spans="2:16" x14ac:dyDescent="0.3">
      <c r="B19" s="3">
        <v>12</v>
      </c>
      <c r="C19" s="10"/>
      <c r="D19" s="16"/>
      <c r="E19" s="11"/>
      <c r="F19" s="42"/>
      <c r="G19" s="17"/>
      <c r="H19" s="124" t="s">
        <v>95</v>
      </c>
      <c r="I19" s="1">
        <v>11</v>
      </c>
      <c r="J19" s="15" t="s">
        <v>69</v>
      </c>
      <c r="K19" s="15" t="s">
        <v>70</v>
      </c>
      <c r="L19" s="56">
        <f>L17-L9</f>
        <v>2</v>
      </c>
      <c r="M19" s="57">
        <f t="shared" ref="M19:O19" si="10">M17-M9</f>
        <v>8</v>
      </c>
      <c r="N19" s="58">
        <f t="shared" si="10"/>
        <v>2</v>
      </c>
      <c r="O19" s="59">
        <f t="shared" si="10"/>
        <v>8</v>
      </c>
    </row>
    <row r="20" spans="2:16" x14ac:dyDescent="0.3">
      <c r="B20" s="3">
        <v>13</v>
      </c>
      <c r="C20" s="10"/>
      <c r="D20" s="16"/>
      <c r="E20" s="11"/>
      <c r="F20" s="42"/>
      <c r="G20" s="17"/>
      <c r="H20" s="124"/>
      <c r="I20" s="1">
        <v>12</v>
      </c>
      <c r="J20" s="15" t="s">
        <v>89</v>
      </c>
      <c r="K20" s="15" t="s">
        <v>90</v>
      </c>
      <c r="L20" s="56">
        <f>L19/2</f>
        <v>1</v>
      </c>
      <c r="M20" s="57">
        <f t="shared" ref="M20:O20" si="11">M19/2</f>
        <v>4</v>
      </c>
      <c r="N20" s="58">
        <f t="shared" si="11"/>
        <v>1</v>
      </c>
      <c r="O20" s="59">
        <f t="shared" si="11"/>
        <v>4</v>
      </c>
    </row>
    <row r="21" spans="2:16" x14ac:dyDescent="0.3">
      <c r="B21" s="3">
        <v>14</v>
      </c>
      <c r="C21" s="10"/>
      <c r="D21" s="16"/>
      <c r="E21" s="11"/>
      <c r="F21" s="42"/>
      <c r="G21" s="17"/>
      <c r="H21" s="124"/>
      <c r="I21" s="1">
        <v>13</v>
      </c>
      <c r="J21" s="15" t="s">
        <v>91</v>
      </c>
      <c r="K21" s="15" t="s">
        <v>92</v>
      </c>
      <c r="L21" s="56">
        <f>L14-L12</f>
        <v>0</v>
      </c>
      <c r="M21" s="57">
        <f t="shared" ref="M21:O21" si="12">M14-M12</f>
        <v>4</v>
      </c>
      <c r="N21" s="58">
        <f t="shared" si="12"/>
        <v>0</v>
      </c>
      <c r="O21" s="59">
        <f t="shared" si="12"/>
        <v>4</v>
      </c>
    </row>
    <row r="22" spans="2:16" x14ac:dyDescent="0.3">
      <c r="B22" s="3">
        <v>15</v>
      </c>
      <c r="C22" s="10"/>
      <c r="D22" s="16"/>
      <c r="E22" s="11"/>
      <c r="F22" s="42"/>
      <c r="G22" s="17"/>
      <c r="H22" s="124"/>
      <c r="J22" s="15"/>
      <c r="K22" s="15"/>
      <c r="L22" s="56"/>
      <c r="M22" s="57"/>
      <c r="N22" s="58"/>
      <c r="O22" s="59"/>
    </row>
    <row r="23" spans="2:16" x14ac:dyDescent="0.3">
      <c r="B23" s="3">
        <v>16</v>
      </c>
      <c r="C23" s="10"/>
      <c r="D23" s="16"/>
      <c r="E23" s="11"/>
      <c r="F23" s="42"/>
      <c r="G23" s="17"/>
      <c r="H23" s="68"/>
      <c r="J23" s="15"/>
      <c r="K23" s="15"/>
      <c r="L23" s="56"/>
      <c r="M23" s="57"/>
      <c r="N23" s="58"/>
      <c r="O23" s="59"/>
    </row>
    <row r="24" spans="2:16" x14ac:dyDescent="0.3">
      <c r="B24" s="3">
        <v>17</v>
      </c>
      <c r="C24" s="10"/>
      <c r="D24" s="16"/>
      <c r="E24" s="11"/>
      <c r="F24" s="42"/>
      <c r="G24" s="17"/>
      <c r="H24" s="125" t="s">
        <v>94</v>
      </c>
      <c r="I24" s="8">
        <v>14</v>
      </c>
      <c r="J24" s="15" t="s">
        <v>98</v>
      </c>
      <c r="K24" s="15" t="s">
        <v>99</v>
      </c>
      <c r="L24" s="56">
        <f>MODE(C8:C32)</f>
        <v>5</v>
      </c>
      <c r="M24" s="57" t="e">
        <f t="shared" ref="M24:O24" si="13">MODE(D8:D32)</f>
        <v>#N/A</v>
      </c>
      <c r="N24" s="58">
        <f t="shared" si="13"/>
        <v>10</v>
      </c>
      <c r="O24" s="59" t="e">
        <f t="shared" si="13"/>
        <v>#N/A</v>
      </c>
    </row>
    <row r="25" spans="2:16" ht="14.55" customHeight="1" x14ac:dyDescent="0.3">
      <c r="B25" s="3">
        <v>18</v>
      </c>
      <c r="C25" s="10"/>
      <c r="D25" s="16"/>
      <c r="E25" s="11"/>
      <c r="F25" s="42"/>
      <c r="G25" s="17"/>
      <c r="H25" s="125"/>
      <c r="I25" s="1">
        <v>15</v>
      </c>
      <c r="J25" s="15" t="s">
        <v>3</v>
      </c>
      <c r="K25" s="15" t="s">
        <v>101</v>
      </c>
      <c r="L25" s="56">
        <f>L13</f>
        <v>5</v>
      </c>
      <c r="M25" s="57">
        <f t="shared" ref="M25:O25" si="14">M13</f>
        <v>5</v>
      </c>
      <c r="N25" s="58">
        <f t="shared" si="14"/>
        <v>10</v>
      </c>
      <c r="O25" s="59">
        <f t="shared" si="14"/>
        <v>11</v>
      </c>
      <c r="P25" s="17"/>
    </row>
    <row r="26" spans="2:16" x14ac:dyDescent="0.3">
      <c r="B26" s="3">
        <v>19</v>
      </c>
      <c r="C26" s="10"/>
      <c r="D26" s="16"/>
      <c r="E26" s="11"/>
      <c r="F26" s="42"/>
      <c r="G26" s="17"/>
      <c r="H26" s="125"/>
      <c r="I26" s="1">
        <v>16</v>
      </c>
      <c r="J26" s="15" t="s">
        <v>103</v>
      </c>
      <c r="K26" s="15" t="s">
        <v>102</v>
      </c>
      <c r="L26" s="60">
        <f>AVERAGE(C8:C32)</f>
        <v>5</v>
      </c>
      <c r="M26" s="61">
        <f>AVERAGE(D8:D32)</f>
        <v>5</v>
      </c>
      <c r="N26" s="62">
        <f t="shared" ref="N26:O26" si="15">AVERAGE(E8:E32)</f>
        <v>10</v>
      </c>
      <c r="O26" s="63">
        <f t="shared" si="15"/>
        <v>11</v>
      </c>
      <c r="P26" s="17"/>
    </row>
    <row r="27" spans="2:16" ht="14.55" customHeight="1" x14ac:dyDescent="0.3">
      <c r="B27" s="3">
        <v>20</v>
      </c>
      <c r="C27" s="10"/>
      <c r="D27" s="16"/>
      <c r="E27" s="11"/>
      <c r="F27" s="42"/>
      <c r="G27" s="17"/>
      <c r="H27" s="125" t="s">
        <v>96</v>
      </c>
      <c r="I27" s="8">
        <v>17</v>
      </c>
      <c r="J27" s="15" t="s">
        <v>13</v>
      </c>
      <c r="K27" s="15" t="s">
        <v>5</v>
      </c>
      <c r="L27" s="60">
        <f>_xlfn.STDEV.S(C8:C32)</f>
        <v>0.70710678118654757</v>
      </c>
      <c r="M27" s="61">
        <f>_xlfn.STDEV.S(D8:D32)</f>
        <v>3.1622776601683795</v>
      </c>
      <c r="N27" s="62">
        <f t="shared" ref="N27:O27" si="16">_xlfn.STDEV.S(E8:E32)</f>
        <v>0.70710678118654757</v>
      </c>
      <c r="O27" s="63">
        <f t="shared" si="16"/>
        <v>3.1622776601683795</v>
      </c>
      <c r="P27" s="17"/>
    </row>
    <row r="28" spans="2:16" x14ac:dyDescent="0.3">
      <c r="B28" s="3">
        <v>21</v>
      </c>
      <c r="C28" s="10"/>
      <c r="D28" s="16"/>
      <c r="E28" s="11"/>
      <c r="F28" s="42"/>
      <c r="G28" s="17"/>
      <c r="H28" s="125"/>
      <c r="I28" s="1">
        <v>18</v>
      </c>
      <c r="J28" s="15" t="s">
        <v>14</v>
      </c>
      <c r="K28" s="15" t="s">
        <v>1</v>
      </c>
      <c r="L28" s="60">
        <f>L27/L26</f>
        <v>0.1414213562373095</v>
      </c>
      <c r="M28" s="61">
        <f>M27/M26</f>
        <v>0.63245553203367588</v>
      </c>
      <c r="N28" s="62">
        <f t="shared" ref="N28:O28" si="17">N27/N26</f>
        <v>7.0710678118654752E-2</v>
      </c>
      <c r="O28" s="63">
        <f t="shared" si="17"/>
        <v>0.28747978728803453</v>
      </c>
      <c r="P28" s="17"/>
    </row>
    <row r="29" spans="2:16" x14ac:dyDescent="0.3">
      <c r="B29" s="3">
        <v>22</v>
      </c>
      <c r="C29" s="10"/>
      <c r="D29" s="16"/>
      <c r="E29" s="11"/>
      <c r="F29" s="42"/>
      <c r="G29" s="17"/>
      <c r="H29" s="125"/>
      <c r="I29" s="1">
        <v>19</v>
      </c>
      <c r="J29" s="15" t="s">
        <v>15</v>
      </c>
      <c r="K29" s="15" t="s">
        <v>10</v>
      </c>
      <c r="L29" s="64">
        <f>L27/L26</f>
        <v>0.1414213562373095</v>
      </c>
      <c r="M29" s="65">
        <f>M27/M26</f>
        <v>0.63245553203367588</v>
      </c>
      <c r="N29" s="66">
        <f t="shared" ref="N29:O29" si="18">N27/N26</f>
        <v>7.0710678118654752E-2</v>
      </c>
      <c r="O29" s="67">
        <f t="shared" si="18"/>
        <v>0.28747978728803453</v>
      </c>
      <c r="P29" s="17"/>
    </row>
    <row r="30" spans="2:16" x14ac:dyDescent="0.3">
      <c r="B30" s="3">
        <v>23</v>
      </c>
      <c r="C30" s="10"/>
      <c r="D30" s="16"/>
      <c r="E30" s="11"/>
      <c r="F30" s="42"/>
      <c r="G30" s="17"/>
      <c r="H30" s="125" t="s">
        <v>97</v>
      </c>
      <c r="I30" s="8">
        <v>20</v>
      </c>
      <c r="J30" s="15" t="s">
        <v>16</v>
      </c>
      <c r="K30" s="15" t="s">
        <v>8</v>
      </c>
      <c r="L30" s="60">
        <f>L27/SQRT(L8)</f>
        <v>0.31622776601683794</v>
      </c>
      <c r="M30" s="61">
        <f>M27/SQRT(M8)</f>
        <v>1.4142135623730951</v>
      </c>
      <c r="N30" s="62">
        <f t="shared" ref="N30:O30" si="19">N27/SQRT(N8)</f>
        <v>0.31622776601683794</v>
      </c>
      <c r="O30" s="63">
        <f t="shared" si="19"/>
        <v>1.4142135623730951</v>
      </c>
      <c r="P30" s="17"/>
    </row>
    <row r="31" spans="2:16" x14ac:dyDescent="0.3">
      <c r="B31" s="3">
        <v>24</v>
      </c>
      <c r="C31" s="10"/>
      <c r="D31" s="16"/>
      <c r="E31" s="11"/>
      <c r="F31" s="42"/>
      <c r="G31" s="17"/>
      <c r="H31" s="125"/>
      <c r="I31" s="1">
        <v>21</v>
      </c>
      <c r="J31" s="15" t="s">
        <v>17</v>
      </c>
      <c r="K31" s="15" t="s">
        <v>11</v>
      </c>
      <c r="L31" s="60">
        <f>L30/L26</f>
        <v>6.3245553203367583E-2</v>
      </c>
      <c r="M31" s="61">
        <f>M30/M26</f>
        <v>0.28284271247461901</v>
      </c>
      <c r="N31" s="62">
        <f t="shared" ref="N31:O31" si="20">N30/N26</f>
        <v>3.1622776601683791E-2</v>
      </c>
      <c r="O31" s="63">
        <f t="shared" si="20"/>
        <v>0.12856486930664501</v>
      </c>
      <c r="P31" s="17"/>
    </row>
    <row r="32" spans="2:16" x14ac:dyDescent="0.3">
      <c r="B32" s="3">
        <v>25</v>
      </c>
      <c r="C32" s="10"/>
      <c r="D32" s="16"/>
      <c r="E32" s="11"/>
      <c r="F32" s="42"/>
      <c r="G32" s="17"/>
      <c r="H32" s="125"/>
      <c r="I32" s="1">
        <v>22</v>
      </c>
      <c r="J32" s="15" t="s">
        <v>18</v>
      </c>
      <c r="K32" s="15" t="s">
        <v>12</v>
      </c>
      <c r="L32" s="64">
        <f>L30/L26</f>
        <v>6.3245553203367583E-2</v>
      </c>
      <c r="M32" s="65">
        <f>M30/M26</f>
        <v>0.28284271247461901</v>
      </c>
      <c r="N32" s="66">
        <f t="shared" ref="N32:O32" si="21">N30/N26</f>
        <v>3.1622776601683791E-2</v>
      </c>
      <c r="O32" s="67">
        <f t="shared" si="21"/>
        <v>0.12856486930664501</v>
      </c>
      <c r="P32" s="17"/>
    </row>
    <row r="34" spans="8:15" ht="15" thickBot="1" x14ac:dyDescent="0.35">
      <c r="J34" s="15" t="s">
        <v>193</v>
      </c>
    </row>
    <row r="35" spans="8:15" ht="14.55" customHeight="1" x14ac:dyDescent="0.3">
      <c r="H35" s="101" t="s">
        <v>190</v>
      </c>
      <c r="I35" s="8">
        <v>23</v>
      </c>
      <c r="J35" s="15" t="s">
        <v>187</v>
      </c>
      <c r="K35" s="15" t="s">
        <v>188</v>
      </c>
      <c r="L35" s="9">
        <f>L37-1.5*L21</f>
        <v>5</v>
      </c>
      <c r="M35" s="23">
        <f t="shared" ref="M35:O35" si="22">M37-1.5*M21</f>
        <v>-3</v>
      </c>
      <c r="N35" s="25">
        <f t="shared" si="22"/>
        <v>10</v>
      </c>
      <c r="O35" s="48">
        <f t="shared" si="22"/>
        <v>3</v>
      </c>
    </row>
    <row r="36" spans="8:15" x14ac:dyDescent="0.3">
      <c r="H36" s="119"/>
      <c r="I36" s="8">
        <v>24</v>
      </c>
      <c r="J36" s="15" t="s">
        <v>191</v>
      </c>
      <c r="K36" s="15" t="s">
        <v>182</v>
      </c>
      <c r="L36" s="9"/>
      <c r="M36" s="23"/>
      <c r="N36" s="25"/>
      <c r="O36" s="48"/>
    </row>
    <row r="37" spans="8:15" x14ac:dyDescent="0.3">
      <c r="H37" s="119"/>
      <c r="I37" s="8">
        <v>25</v>
      </c>
      <c r="J37" s="15" t="s">
        <v>183</v>
      </c>
      <c r="K37" s="15" t="s">
        <v>178</v>
      </c>
      <c r="L37" s="9">
        <f>L12</f>
        <v>5</v>
      </c>
      <c r="M37" s="23">
        <f t="shared" ref="M37:O37" si="23">M12</f>
        <v>3</v>
      </c>
      <c r="N37" s="25">
        <f t="shared" si="23"/>
        <v>10</v>
      </c>
      <c r="O37" s="48">
        <f t="shared" si="23"/>
        <v>9</v>
      </c>
    </row>
    <row r="38" spans="8:15" x14ac:dyDescent="0.3">
      <c r="H38" s="119"/>
      <c r="I38" s="8">
        <v>26</v>
      </c>
      <c r="J38" s="15" t="s">
        <v>184</v>
      </c>
      <c r="K38" s="15" t="s">
        <v>179</v>
      </c>
      <c r="L38" s="9">
        <f>L13</f>
        <v>5</v>
      </c>
      <c r="M38" s="23">
        <f t="shared" ref="M38:O38" si="24">M13</f>
        <v>5</v>
      </c>
      <c r="N38" s="25">
        <f t="shared" si="24"/>
        <v>10</v>
      </c>
      <c r="O38" s="48">
        <f t="shared" si="24"/>
        <v>11</v>
      </c>
    </row>
    <row r="39" spans="8:15" x14ac:dyDescent="0.3">
      <c r="H39" s="119"/>
      <c r="I39" s="8">
        <v>27</v>
      </c>
      <c r="J39" s="15" t="s">
        <v>185</v>
      </c>
      <c r="K39" s="15" t="s">
        <v>180</v>
      </c>
      <c r="L39" s="9">
        <f>L14</f>
        <v>5</v>
      </c>
      <c r="M39" s="23">
        <f t="shared" ref="M39:O39" si="25">M14</f>
        <v>7</v>
      </c>
      <c r="N39" s="25">
        <f t="shared" si="25"/>
        <v>10</v>
      </c>
      <c r="O39" s="48">
        <f t="shared" si="25"/>
        <v>13</v>
      </c>
    </row>
    <row r="40" spans="8:15" x14ac:dyDescent="0.3">
      <c r="H40" s="119"/>
      <c r="I40" s="8">
        <v>28</v>
      </c>
      <c r="J40" s="15" t="s">
        <v>192</v>
      </c>
      <c r="K40" s="15" t="s">
        <v>181</v>
      </c>
      <c r="L40" s="9"/>
      <c r="M40" s="23"/>
      <c r="N40" s="25"/>
      <c r="O40" s="48"/>
    </row>
    <row r="41" spans="8:15" ht="15" thickBot="1" x14ac:dyDescent="0.35">
      <c r="H41" s="120"/>
      <c r="I41" s="8">
        <v>29</v>
      </c>
      <c r="J41" s="15" t="s">
        <v>186</v>
      </c>
      <c r="K41" s="15" t="s">
        <v>189</v>
      </c>
      <c r="L41" s="9">
        <f>L39+1.5*L21</f>
        <v>5</v>
      </c>
      <c r="M41" s="23">
        <f t="shared" ref="M41:O41" si="26">M39+1.5*M21</f>
        <v>13</v>
      </c>
      <c r="N41" s="25">
        <f t="shared" si="26"/>
        <v>10</v>
      </c>
      <c r="O41" s="48">
        <f t="shared" si="26"/>
        <v>19</v>
      </c>
    </row>
  </sheetData>
  <mergeCells count="7">
    <mergeCell ref="H36:H41"/>
    <mergeCell ref="H2:H5"/>
    <mergeCell ref="H8:H17"/>
    <mergeCell ref="H19:H22"/>
    <mergeCell ref="H27:H29"/>
    <mergeCell ref="H30:H32"/>
    <mergeCell ref="H24:H26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K105"/>
  <sheetViews>
    <sheetView zoomScaleNormal="100" workbookViewId="0">
      <selection activeCell="J23" sqref="J23"/>
    </sheetView>
  </sheetViews>
  <sheetFormatPr defaultColWidth="8.6640625" defaultRowHeight="14.4" x14ac:dyDescent="0.3"/>
  <cols>
    <col min="1" max="1" width="14.33203125" style="1" customWidth="1"/>
    <col min="2" max="2" width="17.5546875" style="1" customWidth="1"/>
    <col min="3" max="3" width="12.109375" style="1" customWidth="1"/>
    <col min="4" max="4" width="11.109375" style="1" customWidth="1"/>
    <col min="5" max="12" width="11.109375" style="69" customWidth="1"/>
    <col min="13" max="13" width="11.109375" style="17" customWidth="1"/>
    <col min="14" max="14" width="8.6640625" style="1"/>
    <col min="15" max="15" width="49.6640625" style="1" customWidth="1"/>
    <col min="16" max="16" width="18.6640625" style="1" customWidth="1"/>
    <col min="17" max="17" width="8.6640625" style="69" customWidth="1"/>
    <col min="18" max="30" width="8.6640625" style="17"/>
    <col min="31" max="31" width="8.6640625" style="1"/>
    <col min="32" max="32" width="76.109375" style="1" customWidth="1"/>
    <col min="33" max="35" width="8.6640625" style="1"/>
    <col min="36" max="36" width="16.5546875" style="1" customWidth="1"/>
    <col min="37" max="37" width="14.5546875" style="1" customWidth="1"/>
    <col min="38" max="16384" width="8.6640625" style="1"/>
  </cols>
  <sheetData>
    <row r="2" spans="1:37" x14ac:dyDescent="0.3">
      <c r="B2" s="19" t="s">
        <v>19</v>
      </c>
      <c r="C2" s="1" t="s">
        <v>20</v>
      </c>
      <c r="D2" s="17"/>
      <c r="E2" s="17"/>
      <c r="F2" s="17"/>
      <c r="G2" s="17"/>
      <c r="H2" s="17"/>
      <c r="I2" s="17"/>
      <c r="J2" s="17"/>
      <c r="K2" s="17"/>
      <c r="L2" s="17"/>
      <c r="O2" s="15" t="s">
        <v>9</v>
      </c>
      <c r="R2" s="91" t="s">
        <v>118</v>
      </c>
    </row>
    <row r="3" spans="1:37" x14ac:dyDescent="0.3">
      <c r="B3" s="20" t="s">
        <v>19</v>
      </c>
      <c r="C3" s="1" t="s">
        <v>20</v>
      </c>
      <c r="D3" s="17"/>
      <c r="E3" s="17"/>
      <c r="F3" s="17"/>
      <c r="G3" s="17"/>
      <c r="H3" s="17"/>
      <c r="I3" s="17"/>
      <c r="J3" s="17"/>
      <c r="K3" s="17"/>
      <c r="L3" s="17"/>
    </row>
    <row r="4" spans="1:37" s="69" customFormat="1" x14ac:dyDescent="0.3">
      <c r="B4" s="20"/>
      <c r="D4" s="17"/>
      <c r="F4" s="17"/>
      <c r="H4" s="17"/>
      <c r="J4" s="17"/>
      <c r="L4" s="17"/>
      <c r="R4" s="17"/>
      <c r="T4" s="17"/>
      <c r="V4" s="17"/>
      <c r="W4" s="17"/>
      <c r="X4" s="17"/>
      <c r="Y4" s="17"/>
      <c r="Z4" s="17"/>
      <c r="AA4" s="17"/>
      <c r="AB4" s="17"/>
      <c r="AC4" s="17"/>
      <c r="AD4" s="17"/>
    </row>
    <row r="5" spans="1:37" s="17" customFormat="1" x14ac:dyDescent="0.3">
      <c r="B5" s="51"/>
    </row>
    <row r="6" spans="1:37" s="17" customFormat="1" x14ac:dyDescent="0.3">
      <c r="B6" s="51"/>
    </row>
    <row r="7" spans="1:37" x14ac:dyDescent="0.3">
      <c r="B7" s="17"/>
      <c r="C7" s="2"/>
      <c r="D7" s="2"/>
      <c r="E7" s="2"/>
      <c r="F7" s="2"/>
      <c r="G7" s="2"/>
      <c r="H7" s="2"/>
      <c r="I7" s="2"/>
      <c r="J7" s="2"/>
      <c r="K7" s="2"/>
      <c r="L7" s="2"/>
      <c r="O7" s="1" t="s">
        <v>177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 spans="1:37" x14ac:dyDescent="0.3">
      <c r="C8" s="93" t="s">
        <v>206</v>
      </c>
      <c r="D8" s="2" t="s">
        <v>207</v>
      </c>
      <c r="E8" s="2" t="s">
        <v>208</v>
      </c>
      <c r="F8" s="2" t="s">
        <v>209</v>
      </c>
      <c r="G8" s="2" t="s">
        <v>210</v>
      </c>
      <c r="H8" s="2" t="s">
        <v>211</v>
      </c>
      <c r="I8" s="93" t="s">
        <v>212</v>
      </c>
      <c r="J8" s="93" t="s">
        <v>213</v>
      </c>
      <c r="K8" s="2" t="s">
        <v>214</v>
      </c>
      <c r="L8" s="2" t="s">
        <v>215</v>
      </c>
      <c r="R8" s="93" t="s">
        <v>206</v>
      </c>
      <c r="S8" s="2" t="s">
        <v>207</v>
      </c>
      <c r="T8" s="2" t="s">
        <v>208</v>
      </c>
      <c r="U8" s="2" t="s">
        <v>209</v>
      </c>
      <c r="V8" s="2" t="s">
        <v>210</v>
      </c>
      <c r="W8" s="2" t="s">
        <v>211</v>
      </c>
      <c r="X8" s="93" t="s">
        <v>212</v>
      </c>
      <c r="Y8" s="93" t="s">
        <v>213</v>
      </c>
      <c r="Z8" s="2" t="s">
        <v>214</v>
      </c>
      <c r="AA8" s="2" t="s">
        <v>215</v>
      </c>
    </row>
    <row r="9" spans="1:37" x14ac:dyDescent="0.3">
      <c r="A9" s="118">
        <f ca="1">IFERROR(__xludf.DUMMYFUNCTION("""COMPUTED_VALUE"""),44805.7055555555)</f>
        <v>44805.705555555498</v>
      </c>
      <c r="B9" s="3">
        <v>1</v>
      </c>
      <c r="C9" s="117">
        <v>46.81</v>
      </c>
      <c r="D9" s="117">
        <v>26.19</v>
      </c>
      <c r="E9" s="117">
        <v>9.16</v>
      </c>
      <c r="F9" s="117">
        <v>33.85</v>
      </c>
      <c r="G9" s="117">
        <v>4.21</v>
      </c>
      <c r="H9" s="117">
        <v>4.37</v>
      </c>
      <c r="I9" s="117">
        <v>19.12</v>
      </c>
      <c r="J9" s="117">
        <v>63.89</v>
      </c>
      <c r="K9" s="117">
        <v>42.33</v>
      </c>
      <c r="L9" s="117">
        <v>26.57</v>
      </c>
      <c r="M9" s="70"/>
      <c r="N9" s="1">
        <v>1</v>
      </c>
      <c r="O9" s="1" t="s">
        <v>174</v>
      </c>
      <c r="P9" s="1" t="s">
        <v>0</v>
      </c>
      <c r="R9" s="71">
        <f t="shared" ref="R9:AA9" si="0">COUNT(C9:C105)</f>
        <v>12</v>
      </c>
      <c r="S9" s="71">
        <f t="shared" si="0"/>
        <v>12</v>
      </c>
      <c r="T9" s="71">
        <f t="shared" si="0"/>
        <v>12</v>
      </c>
      <c r="U9" s="71">
        <f t="shared" si="0"/>
        <v>12</v>
      </c>
      <c r="V9" s="71">
        <f t="shared" si="0"/>
        <v>12</v>
      </c>
      <c r="W9" s="71">
        <f t="shared" si="0"/>
        <v>12</v>
      </c>
      <c r="X9" s="71">
        <f t="shared" si="0"/>
        <v>12</v>
      </c>
      <c r="Y9" s="71">
        <f t="shared" si="0"/>
        <v>12</v>
      </c>
      <c r="Z9" s="71">
        <f t="shared" si="0"/>
        <v>12</v>
      </c>
      <c r="AA9" s="71">
        <f t="shared" si="0"/>
        <v>12</v>
      </c>
    </row>
    <row r="10" spans="1:37" x14ac:dyDescent="0.3">
      <c r="A10" s="118">
        <f ca="1">IFERROR(__xludf.DUMMYFUNCTION("""COMPUTED_VALUE"""),44806.7055555555)</f>
        <v>44806.705555555498</v>
      </c>
      <c r="B10" s="3">
        <v>2</v>
      </c>
      <c r="C10" s="117">
        <v>46.51</v>
      </c>
      <c r="D10" s="117">
        <v>26.55</v>
      </c>
      <c r="E10" s="117">
        <v>9.3000000000000007</v>
      </c>
      <c r="F10" s="117">
        <v>33.42</v>
      </c>
      <c r="G10" s="117">
        <v>4.2</v>
      </c>
      <c r="H10" s="117">
        <v>4.26</v>
      </c>
      <c r="I10" s="117">
        <v>19.309999999999999</v>
      </c>
      <c r="J10" s="117">
        <v>62.92</v>
      </c>
      <c r="K10" s="117">
        <v>42.53</v>
      </c>
      <c r="L10" s="117">
        <v>26.7</v>
      </c>
      <c r="M10" s="70"/>
      <c r="N10" s="1">
        <v>2</v>
      </c>
      <c r="O10" s="1" t="s">
        <v>175</v>
      </c>
      <c r="P10" s="1" t="s">
        <v>4</v>
      </c>
      <c r="R10" s="36">
        <f t="shared" ref="R10:AA10" si="1">AVERAGE(C9:C105)</f>
        <v>45.43</v>
      </c>
      <c r="S10" s="36">
        <f t="shared" si="1"/>
        <v>26.787499999999998</v>
      </c>
      <c r="T10" s="36">
        <f t="shared" si="1"/>
        <v>9.3450000000000006</v>
      </c>
      <c r="U10" s="36">
        <f t="shared" si="1"/>
        <v>31.888333333333332</v>
      </c>
      <c r="V10" s="36">
        <f t="shared" si="1"/>
        <v>4.4575000000000005</v>
      </c>
      <c r="W10" s="36">
        <f t="shared" si="1"/>
        <v>4.4116666666666671</v>
      </c>
      <c r="X10" s="36">
        <f t="shared" si="1"/>
        <v>19.304999999999996</v>
      </c>
      <c r="Y10" s="36">
        <f t="shared" si="1"/>
        <v>66.852500000000006</v>
      </c>
      <c r="Z10" s="36">
        <f t="shared" si="1"/>
        <v>40.601666666666667</v>
      </c>
      <c r="AA10" s="36">
        <f t="shared" si="1"/>
        <v>26.754166666666663</v>
      </c>
      <c r="AC10" s="21"/>
    </row>
    <row r="11" spans="1:37" x14ac:dyDescent="0.3">
      <c r="A11" s="118">
        <f ca="1">IFERROR(__xludf.DUMMYFUNCTION("""COMPUTED_VALUE"""),44809.7055555555)</f>
        <v>44809.705555555498</v>
      </c>
      <c r="B11" s="3">
        <v>3</v>
      </c>
      <c r="C11" s="117">
        <v>46.45</v>
      </c>
      <c r="D11" s="117">
        <v>26.98</v>
      </c>
      <c r="E11" s="117">
        <v>9.41</v>
      </c>
      <c r="F11" s="117">
        <v>33.340000000000003</v>
      </c>
      <c r="G11" s="117">
        <v>4.3</v>
      </c>
      <c r="H11" s="117">
        <v>4.32</v>
      </c>
      <c r="I11" s="117">
        <v>19.350000000000001</v>
      </c>
      <c r="J11" s="117">
        <v>65.22</v>
      </c>
      <c r="K11" s="117">
        <v>41.63</v>
      </c>
      <c r="L11" s="117">
        <v>26.97</v>
      </c>
      <c r="M11" s="70"/>
      <c r="N11" s="12">
        <v>3</v>
      </c>
      <c r="O11" s="12" t="s">
        <v>176</v>
      </c>
      <c r="P11" s="12" t="s">
        <v>5</v>
      </c>
      <c r="Q11" s="12"/>
      <c r="R11" s="36">
        <f t="shared" ref="R11:AA11" si="2">_xlfn.STDEV.S(C9:C105)</f>
        <v>0.91781360753794639</v>
      </c>
      <c r="S11" s="36">
        <f t="shared" si="2"/>
        <v>0.3590676056880448</v>
      </c>
      <c r="T11" s="36">
        <f t="shared" si="2"/>
        <v>0.10900375306299412</v>
      </c>
      <c r="U11" s="36">
        <f t="shared" si="2"/>
        <v>1.0850708676758354</v>
      </c>
      <c r="V11" s="36">
        <f t="shared" si="2"/>
        <v>0.20701888363581256</v>
      </c>
      <c r="W11" s="36">
        <f t="shared" si="2"/>
        <v>0.20836302818674793</v>
      </c>
      <c r="X11" s="36">
        <f t="shared" si="2"/>
        <v>0.16200448927562033</v>
      </c>
      <c r="Y11" s="36">
        <f t="shared" si="2"/>
        <v>2.6954848610896751</v>
      </c>
      <c r="Z11" s="36">
        <f t="shared" si="2"/>
        <v>1.0785919553105365</v>
      </c>
      <c r="AA11" s="36">
        <f t="shared" si="2"/>
        <v>0.46103556031914467</v>
      </c>
    </row>
    <row r="12" spans="1:37" x14ac:dyDescent="0.3">
      <c r="A12" s="118">
        <f ca="1">IFERROR(__xludf.DUMMYFUNCTION("""COMPUTED_VALUE"""),44810.7055555555)</f>
        <v>44810.705555555498</v>
      </c>
      <c r="B12" s="3">
        <v>4</v>
      </c>
      <c r="C12" s="114">
        <v>45.16</v>
      </c>
      <c r="D12" s="115">
        <v>26.73</v>
      </c>
      <c r="E12" s="115">
        <v>9.25</v>
      </c>
      <c r="F12" s="115">
        <v>32.1</v>
      </c>
      <c r="G12" s="115">
        <v>4.1100000000000003</v>
      </c>
      <c r="H12" s="115">
        <v>4</v>
      </c>
      <c r="I12" s="115">
        <v>19.23</v>
      </c>
      <c r="J12" s="115">
        <v>63.67</v>
      </c>
      <c r="K12" s="115">
        <v>39.630000000000003</v>
      </c>
      <c r="L12" s="115">
        <v>26.03</v>
      </c>
      <c r="M12" s="50"/>
      <c r="N12" s="12">
        <v>4</v>
      </c>
      <c r="O12" s="12" t="s">
        <v>14</v>
      </c>
      <c r="P12" s="12" t="s">
        <v>1</v>
      </c>
      <c r="Q12" s="12"/>
      <c r="R12" s="36">
        <f>R11/R10</f>
        <v>2.0202808882631443E-2</v>
      </c>
      <c r="S12" s="36">
        <f>S11/S10</f>
        <v>1.340429699255417E-2</v>
      </c>
      <c r="T12" s="36">
        <f t="shared" ref="T12:AA12" si="3">T11/T10</f>
        <v>1.1664393051149718E-2</v>
      </c>
      <c r="U12" s="36">
        <f t="shared" si="3"/>
        <v>3.4027205383656577E-2</v>
      </c>
      <c r="V12" s="36">
        <f t="shared" si="3"/>
        <v>4.6442823025420646E-2</v>
      </c>
      <c r="W12" s="36">
        <f t="shared" si="3"/>
        <v>4.7230002611276446E-2</v>
      </c>
      <c r="X12" s="36">
        <f t="shared" si="3"/>
        <v>8.3918409363180711E-3</v>
      </c>
      <c r="Y12" s="36">
        <f t="shared" si="3"/>
        <v>4.0319881247368086E-2</v>
      </c>
      <c r="Z12" s="36">
        <f t="shared" si="3"/>
        <v>2.6565213791975777E-2</v>
      </c>
      <c r="AA12" s="36">
        <f t="shared" si="3"/>
        <v>1.7232290060207871E-2</v>
      </c>
    </row>
    <row r="13" spans="1:37" x14ac:dyDescent="0.3">
      <c r="A13" s="118">
        <f ca="1">IFERROR(__xludf.DUMMYFUNCTION("""COMPUTED_VALUE"""),44812.7055555555)</f>
        <v>44812.705555555498</v>
      </c>
      <c r="B13" s="3">
        <v>5</v>
      </c>
      <c r="C13" s="114">
        <v>45.22</v>
      </c>
      <c r="D13" s="115">
        <v>26.54</v>
      </c>
      <c r="E13" s="115">
        <v>9.27</v>
      </c>
      <c r="F13" s="115">
        <v>31.8</v>
      </c>
      <c r="G13" s="115">
        <v>4.4000000000000004</v>
      </c>
      <c r="H13" s="115">
        <v>4.29</v>
      </c>
      <c r="I13" s="115">
        <v>19.12</v>
      </c>
      <c r="J13" s="115">
        <v>64.510000000000005</v>
      </c>
      <c r="K13" s="115">
        <v>39.46</v>
      </c>
      <c r="L13" s="115">
        <v>26.02</v>
      </c>
      <c r="M13" s="50"/>
      <c r="N13" s="12">
        <v>5</v>
      </c>
      <c r="O13" s="12" t="s">
        <v>172</v>
      </c>
      <c r="P13" s="12" t="s">
        <v>10</v>
      </c>
      <c r="Q13" s="12"/>
      <c r="R13" s="72">
        <f>R11/R10</f>
        <v>2.0202808882631443E-2</v>
      </c>
      <c r="S13" s="72">
        <f>S11/S10</f>
        <v>1.340429699255417E-2</v>
      </c>
      <c r="T13" s="72">
        <f t="shared" ref="T13:AA13" si="4">T11/T10</f>
        <v>1.1664393051149718E-2</v>
      </c>
      <c r="U13" s="72">
        <f t="shared" si="4"/>
        <v>3.4027205383656577E-2</v>
      </c>
      <c r="V13" s="72">
        <f t="shared" si="4"/>
        <v>4.6442823025420646E-2</v>
      </c>
      <c r="W13" s="72">
        <f t="shared" si="4"/>
        <v>4.7230002611276446E-2</v>
      </c>
      <c r="X13" s="72">
        <f t="shared" si="4"/>
        <v>8.3918409363180711E-3</v>
      </c>
      <c r="Y13" s="72">
        <f t="shared" si="4"/>
        <v>4.0319881247368086E-2</v>
      </c>
      <c r="Z13" s="72">
        <f t="shared" si="4"/>
        <v>2.6565213791975777E-2</v>
      </c>
      <c r="AA13" s="72">
        <f t="shared" si="4"/>
        <v>1.7232290060207871E-2</v>
      </c>
      <c r="AJ13" s="85"/>
      <c r="AK13" s="85"/>
    </row>
    <row r="14" spans="1:37" x14ac:dyDescent="0.3">
      <c r="A14" s="118">
        <f ca="1">IFERROR(__xludf.DUMMYFUNCTION("""COMPUTED_VALUE"""),44813.7055555555)</f>
        <v>44813.705555555498</v>
      </c>
      <c r="B14" s="3">
        <v>6</v>
      </c>
      <c r="C14" s="114">
        <v>45.34</v>
      </c>
      <c r="D14" s="115">
        <v>26.75</v>
      </c>
      <c r="E14" s="115">
        <v>9.33</v>
      </c>
      <c r="F14" s="115">
        <v>31.79</v>
      </c>
      <c r="G14" s="115">
        <v>4.5999999999999996</v>
      </c>
      <c r="H14" s="115">
        <v>4.38</v>
      </c>
      <c r="I14" s="115">
        <v>19.38</v>
      </c>
      <c r="J14" s="115">
        <v>69.55</v>
      </c>
      <c r="K14" s="115">
        <v>40.549999999999997</v>
      </c>
      <c r="L14" s="115">
        <v>26.85</v>
      </c>
      <c r="M14" s="50"/>
      <c r="N14" s="12">
        <v>6</v>
      </c>
      <c r="O14" s="12" t="s">
        <v>16</v>
      </c>
      <c r="P14" s="12" t="s">
        <v>173</v>
      </c>
      <c r="Q14" s="12"/>
      <c r="R14" s="36">
        <f>R11/SQRT(R9)</f>
        <v>0.26494996668896748</v>
      </c>
      <c r="S14" s="36">
        <f>S11/SQRT(S9)</f>
        <v>0.10365388940063354</v>
      </c>
      <c r="T14" s="36">
        <f t="shared" ref="T14:AA14" si="5">T11/SQRT(T9)</f>
        <v>3.1466673086799575E-2</v>
      </c>
      <c r="U14" s="36">
        <f t="shared" si="5"/>
        <v>0.31323297877123218</v>
      </c>
      <c r="V14" s="36">
        <f t="shared" si="5"/>
        <v>5.9761204097236099E-2</v>
      </c>
      <c r="W14" s="36">
        <f t="shared" si="5"/>
        <v>6.0149225206392251E-2</v>
      </c>
      <c r="X14" s="36">
        <f t="shared" si="5"/>
        <v>4.6766667746603624E-2</v>
      </c>
      <c r="Y14" s="36">
        <f t="shared" si="5"/>
        <v>0.77811945507334246</v>
      </c>
      <c r="Z14" s="36">
        <f t="shared" si="5"/>
        <v>0.31136267787215155</v>
      </c>
      <c r="AA14" s="36">
        <f t="shared" si="5"/>
        <v>0.13308950242812406</v>
      </c>
      <c r="AJ14" s="87"/>
      <c r="AK14" s="88"/>
    </row>
    <row r="15" spans="1:37" x14ac:dyDescent="0.3">
      <c r="A15" s="118">
        <f ca="1">IFERROR(__xludf.DUMMYFUNCTION("""COMPUTED_VALUE"""),44816.7055555555)</f>
        <v>44816.705555555498</v>
      </c>
      <c r="B15" s="4">
        <v>7</v>
      </c>
      <c r="C15" s="114">
        <v>46.11</v>
      </c>
      <c r="D15" s="115">
        <v>27.08</v>
      </c>
      <c r="E15" s="115">
        <v>9.5</v>
      </c>
      <c r="F15" s="115">
        <v>31.48</v>
      </c>
      <c r="G15" s="115">
        <v>4.6399999999999997</v>
      </c>
      <c r="H15" s="115">
        <v>4.79</v>
      </c>
      <c r="I15" s="115">
        <v>19.57</v>
      </c>
      <c r="J15" s="115">
        <v>70.16</v>
      </c>
      <c r="K15" s="115">
        <v>41.18</v>
      </c>
      <c r="L15" s="115">
        <v>27.41</v>
      </c>
      <c r="M15" s="50"/>
      <c r="N15" s="12">
        <v>7</v>
      </c>
      <c r="O15" s="12" t="s">
        <v>17</v>
      </c>
      <c r="P15" s="12" t="s">
        <v>11</v>
      </c>
      <c r="Q15" s="12"/>
      <c r="R15" s="36">
        <f>R14/R10</f>
        <v>5.8320485733869137E-3</v>
      </c>
      <c r="S15" s="36">
        <f>S14/S10</f>
        <v>3.8694872384744208E-3</v>
      </c>
      <c r="T15" s="36">
        <f t="shared" ref="T15:AA15" si="6">T14/T10</f>
        <v>3.3672202340074451E-3</v>
      </c>
      <c r="U15" s="36">
        <f t="shared" si="6"/>
        <v>9.8228080940124043E-3</v>
      </c>
      <c r="V15" s="36">
        <f t="shared" si="6"/>
        <v>1.3406888187826382E-2</v>
      </c>
      <c r="W15" s="36">
        <f t="shared" si="6"/>
        <v>1.3634127360723591E-2</v>
      </c>
      <c r="X15" s="36">
        <f t="shared" si="6"/>
        <v>2.4225158117898802E-3</v>
      </c>
      <c r="Y15" s="36">
        <f t="shared" si="6"/>
        <v>1.1639347145930854E-2</v>
      </c>
      <c r="Z15" s="36">
        <f t="shared" si="6"/>
        <v>7.6687166669385876E-3</v>
      </c>
      <c r="AA15" s="36">
        <f t="shared" si="6"/>
        <v>4.974533652507363E-3</v>
      </c>
      <c r="AJ15" s="87"/>
      <c r="AK15" s="88"/>
    </row>
    <row r="16" spans="1:37" x14ac:dyDescent="0.3">
      <c r="A16" s="118">
        <f ca="1">IFERROR(__xludf.DUMMYFUNCTION("""COMPUTED_VALUE"""),44817.7055555555)</f>
        <v>44817.705555555498</v>
      </c>
      <c r="B16" s="4">
        <v>8</v>
      </c>
      <c r="C16" s="114">
        <v>45.46</v>
      </c>
      <c r="D16" s="115">
        <v>26.8</v>
      </c>
      <c r="E16" s="115">
        <v>9.3699999999999992</v>
      </c>
      <c r="F16" s="115">
        <v>30.65</v>
      </c>
      <c r="G16" s="115">
        <v>4.55</v>
      </c>
      <c r="H16" s="115">
        <v>4.7</v>
      </c>
      <c r="I16" s="115">
        <v>19.420000000000002</v>
      </c>
      <c r="J16" s="115">
        <v>68.25</v>
      </c>
      <c r="K16" s="115">
        <v>40.22</v>
      </c>
      <c r="L16" s="115">
        <v>27.22</v>
      </c>
      <c r="M16" s="50"/>
      <c r="N16" s="12">
        <v>8</v>
      </c>
      <c r="O16" s="12" t="s">
        <v>18</v>
      </c>
      <c r="P16" s="12" t="s">
        <v>12</v>
      </c>
      <c r="Q16" s="12"/>
      <c r="R16" s="72">
        <f>R14/R10</f>
        <v>5.8320485733869137E-3</v>
      </c>
      <c r="S16" s="72">
        <f>S14/S10</f>
        <v>3.8694872384744208E-3</v>
      </c>
      <c r="T16" s="72">
        <f t="shared" ref="T16:AA16" si="7">T14/T10</f>
        <v>3.3672202340074451E-3</v>
      </c>
      <c r="U16" s="72">
        <f t="shared" si="7"/>
        <v>9.8228080940124043E-3</v>
      </c>
      <c r="V16" s="72">
        <f t="shared" si="7"/>
        <v>1.3406888187826382E-2</v>
      </c>
      <c r="W16" s="72">
        <f t="shared" si="7"/>
        <v>1.3634127360723591E-2</v>
      </c>
      <c r="X16" s="72">
        <f t="shared" si="7"/>
        <v>2.4225158117898802E-3</v>
      </c>
      <c r="Y16" s="72">
        <f t="shared" si="7"/>
        <v>1.1639347145930854E-2</v>
      </c>
      <c r="Z16" s="72">
        <f t="shared" si="7"/>
        <v>7.6687166669385876E-3</v>
      </c>
      <c r="AA16" s="72">
        <f t="shared" si="7"/>
        <v>4.974533652507363E-3</v>
      </c>
      <c r="AJ16" s="87"/>
      <c r="AK16" s="88"/>
    </row>
    <row r="17" spans="1:37" x14ac:dyDescent="0.3">
      <c r="A17" s="118">
        <f ca="1">IFERROR(__xludf.DUMMYFUNCTION("""COMPUTED_VALUE"""),44818.7055555555)</f>
        <v>44818.705555555498</v>
      </c>
      <c r="B17" s="4">
        <v>9</v>
      </c>
      <c r="C17" s="114">
        <v>45.37</v>
      </c>
      <c r="D17" s="115">
        <v>26.7</v>
      </c>
      <c r="E17" s="115">
        <v>9.36</v>
      </c>
      <c r="F17" s="115">
        <v>31.12</v>
      </c>
      <c r="G17" s="115">
        <v>4.5999999999999996</v>
      </c>
      <c r="H17" s="115">
        <v>4.47</v>
      </c>
      <c r="I17" s="115">
        <v>19.329999999999998</v>
      </c>
      <c r="J17" s="115">
        <v>67</v>
      </c>
      <c r="K17" s="115">
        <v>40.26</v>
      </c>
      <c r="L17" s="115">
        <v>27.38</v>
      </c>
      <c r="M17" s="50"/>
      <c r="AJ17" s="87"/>
      <c r="AK17" s="88"/>
    </row>
    <row r="18" spans="1:37" x14ac:dyDescent="0.3">
      <c r="A18" s="118">
        <f ca="1">IFERROR(__xludf.DUMMYFUNCTION("""COMPUTED_VALUE"""),44819.7055555555)</f>
        <v>44819.705555555498</v>
      </c>
      <c r="B18" s="4">
        <v>10</v>
      </c>
      <c r="C18" s="114">
        <v>44.69</v>
      </c>
      <c r="D18" s="115">
        <v>26.77</v>
      </c>
      <c r="E18" s="115">
        <v>9.35</v>
      </c>
      <c r="F18" s="115">
        <v>31.06</v>
      </c>
      <c r="G18" s="115">
        <v>4.76</v>
      </c>
      <c r="H18" s="115">
        <v>4.34</v>
      </c>
      <c r="I18" s="115">
        <v>19.260000000000002</v>
      </c>
      <c r="J18" s="115">
        <v>68.349999999999994</v>
      </c>
      <c r="K18" s="115">
        <v>39.85</v>
      </c>
      <c r="L18" s="115">
        <v>26.8</v>
      </c>
      <c r="M18" s="50"/>
      <c r="N18" s="1">
        <v>9</v>
      </c>
      <c r="O18" s="1" t="s">
        <v>42</v>
      </c>
      <c r="P18" s="18" t="s">
        <v>22</v>
      </c>
      <c r="Q18" s="18"/>
      <c r="R18" s="17">
        <v>0.05</v>
      </c>
      <c r="S18" s="17">
        <v>0.05</v>
      </c>
      <c r="T18" s="17">
        <v>0.05</v>
      </c>
      <c r="U18" s="17">
        <v>0.05</v>
      </c>
      <c r="V18" s="17">
        <v>0.05</v>
      </c>
      <c r="W18" s="17">
        <v>0.05</v>
      </c>
      <c r="X18" s="17">
        <v>0.05</v>
      </c>
      <c r="Y18" s="17">
        <v>0.05</v>
      </c>
      <c r="Z18" s="17">
        <v>0.05</v>
      </c>
      <c r="AA18" s="17">
        <v>0.05</v>
      </c>
      <c r="AJ18" s="87"/>
      <c r="AK18" s="88"/>
    </row>
    <row r="19" spans="1:37" x14ac:dyDescent="0.3">
      <c r="A19" s="118">
        <f ca="1">IFERROR(__xludf.DUMMYFUNCTION("""COMPUTED_VALUE"""),44820.7055555555)</f>
        <v>44820.705555555498</v>
      </c>
      <c r="B19" s="4">
        <v>11</v>
      </c>
      <c r="C19" s="116">
        <v>43.88</v>
      </c>
      <c r="D19" s="116">
        <v>26.68</v>
      </c>
      <c r="E19" s="116">
        <v>9.2799999999999994</v>
      </c>
      <c r="F19" s="116">
        <v>30.78</v>
      </c>
      <c r="G19" s="116">
        <v>4.5599999999999996</v>
      </c>
      <c r="H19" s="116">
        <v>4.46</v>
      </c>
      <c r="I19" s="116">
        <v>19.04</v>
      </c>
      <c r="J19" s="116">
        <v>68.25</v>
      </c>
      <c r="K19" s="116">
        <v>39.4</v>
      </c>
      <c r="L19" s="116">
        <v>26.38</v>
      </c>
      <c r="N19" s="1">
        <v>10</v>
      </c>
      <c r="O19" s="1" t="s">
        <v>63</v>
      </c>
      <c r="P19" s="18" t="s">
        <v>23</v>
      </c>
      <c r="Q19" s="18"/>
      <c r="R19" s="17">
        <f>1-R18</f>
        <v>0.95</v>
      </c>
      <c r="S19" s="17">
        <v>0.95</v>
      </c>
      <c r="T19" s="17">
        <v>0.95</v>
      </c>
      <c r="U19" s="17">
        <v>0.95</v>
      </c>
      <c r="V19" s="17">
        <v>0.95</v>
      </c>
      <c r="W19" s="17">
        <v>0.95</v>
      </c>
      <c r="X19" s="17">
        <v>0.95</v>
      </c>
      <c r="Y19" s="17">
        <v>0.95</v>
      </c>
      <c r="Z19" s="17">
        <v>0.95</v>
      </c>
      <c r="AA19" s="17">
        <v>0.95</v>
      </c>
      <c r="AJ19" s="87"/>
      <c r="AK19" s="88"/>
    </row>
    <row r="20" spans="1:37" ht="15" thickBot="1" x14ac:dyDescent="0.35">
      <c r="A20" s="118">
        <f ca="1">IFERROR(__xludf.DUMMYFUNCTION("""COMPUTED_VALUE"""),44823.7055555555)</f>
        <v>44823.705555555498</v>
      </c>
      <c r="B20" s="4">
        <v>12</v>
      </c>
      <c r="C20" s="116">
        <v>44.16</v>
      </c>
      <c r="D20" s="116">
        <v>27.68</v>
      </c>
      <c r="E20" s="116">
        <v>9.56</v>
      </c>
      <c r="F20" s="116">
        <v>31.27</v>
      </c>
      <c r="G20" s="116">
        <v>4.5599999999999996</v>
      </c>
      <c r="H20" s="116">
        <v>4.5599999999999996</v>
      </c>
      <c r="I20" s="116">
        <v>19.53</v>
      </c>
      <c r="J20" s="116">
        <v>70.459999999999994</v>
      </c>
      <c r="K20" s="116">
        <v>40.18</v>
      </c>
      <c r="L20" s="116">
        <v>26.72</v>
      </c>
      <c r="P20" s="1" t="s">
        <v>37</v>
      </c>
      <c r="R20" s="17">
        <f>(R18/2)+R19</f>
        <v>0.97499999999999998</v>
      </c>
      <c r="S20" s="17">
        <v>0.97499999999999998</v>
      </c>
      <c r="T20" s="17">
        <v>0.97499999999999998</v>
      </c>
      <c r="U20" s="17">
        <v>0.97499999999999998</v>
      </c>
      <c r="V20" s="17">
        <v>0.97499999999999998</v>
      </c>
      <c r="W20" s="17">
        <v>0.97499999999999998</v>
      </c>
      <c r="X20" s="17">
        <v>0.97499999999999998</v>
      </c>
      <c r="Y20" s="17">
        <v>0.97499999999999998</v>
      </c>
      <c r="Z20" s="17">
        <v>0.97499999999999998</v>
      </c>
      <c r="AA20" s="17">
        <v>0.97499999999999998</v>
      </c>
      <c r="AJ20" s="87"/>
      <c r="AK20" s="88"/>
    </row>
    <row r="21" spans="1:37" x14ac:dyDescent="0.3">
      <c r="B21" s="4">
        <v>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N21" s="1">
        <v>11</v>
      </c>
      <c r="O21" s="35" t="s">
        <v>24</v>
      </c>
      <c r="P21" s="1" t="s">
        <v>38</v>
      </c>
      <c r="R21" s="36">
        <f>_xlfn.T.INV(R20,R9-1)</f>
        <v>2.2009851600916384</v>
      </c>
      <c r="S21" s="36">
        <f>_xlfn.T.INV(S20,S9-1)</f>
        <v>2.2009851600916384</v>
      </c>
      <c r="T21" s="36">
        <f t="shared" ref="T21:AA21" si="8">_xlfn.T.INV(T20,T9-1)</f>
        <v>2.2009851600916384</v>
      </c>
      <c r="U21" s="36">
        <f t="shared" si="8"/>
        <v>2.2009851600916384</v>
      </c>
      <c r="V21" s="36">
        <f t="shared" si="8"/>
        <v>2.2009851600916384</v>
      </c>
      <c r="W21" s="36">
        <f t="shared" si="8"/>
        <v>2.2009851600916384</v>
      </c>
      <c r="X21" s="36">
        <f t="shared" si="8"/>
        <v>2.2009851600916384</v>
      </c>
      <c r="Y21" s="36">
        <f t="shared" si="8"/>
        <v>2.2009851600916384</v>
      </c>
      <c r="Z21" s="36">
        <f t="shared" si="8"/>
        <v>2.2009851600916384</v>
      </c>
      <c r="AA21" s="36">
        <f t="shared" si="8"/>
        <v>2.2009851600916384</v>
      </c>
      <c r="AE21" s="33" t="s">
        <v>53</v>
      </c>
      <c r="AF21" s="27"/>
      <c r="AJ21" s="87"/>
      <c r="AK21" s="88"/>
    </row>
    <row r="22" spans="1:37" x14ac:dyDescent="0.3">
      <c r="B22" s="4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N22" s="1">
        <v>12</v>
      </c>
      <c r="O22" s="13" t="s">
        <v>25</v>
      </c>
      <c r="P22" s="1" t="s">
        <v>26</v>
      </c>
      <c r="R22" s="37">
        <f>R21*R11</f>
        <v>2.020094129921191</v>
      </c>
      <c r="S22" s="37">
        <f>S21*S11</f>
        <v>0.79030247158902256</v>
      </c>
      <c r="T22" s="37">
        <f t="shared" ref="T22:AA22" si="9">T21*T11</f>
        <v>0.23991564288594353</v>
      </c>
      <c r="U22" s="37">
        <f t="shared" si="9"/>
        <v>2.3882248774022714</v>
      </c>
      <c r="V22" s="37">
        <f t="shared" si="9"/>
        <v>0.45564549074116117</v>
      </c>
      <c r="W22" s="37">
        <f t="shared" si="9"/>
        <v>0.45860393295078794</v>
      </c>
      <c r="X22" s="37">
        <f t="shared" si="9"/>
        <v>0.35656947676386536</v>
      </c>
      <c r="Y22" s="37">
        <f t="shared" si="9"/>
        <v>5.9327221785100459</v>
      </c>
      <c r="Z22" s="37">
        <f t="shared" si="9"/>
        <v>2.3739648874327144</v>
      </c>
      <c r="AA22" s="37">
        <f t="shared" si="9"/>
        <v>1.0147324265369708</v>
      </c>
      <c r="AE22" s="28"/>
      <c r="AF22" s="29" t="s">
        <v>59</v>
      </c>
      <c r="AJ22" s="87"/>
      <c r="AK22" s="88"/>
    </row>
    <row r="23" spans="1:37" x14ac:dyDescent="0.3">
      <c r="B23" s="4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N23" s="1">
        <v>13</v>
      </c>
      <c r="O23" s="1" t="s">
        <v>29</v>
      </c>
      <c r="P23" s="1" t="s">
        <v>28</v>
      </c>
      <c r="R23" s="38">
        <f>R21*R12</f>
        <v>4.446608254283934E-2</v>
      </c>
      <c r="S23" s="38">
        <f>S21*S12</f>
        <v>2.9502658762072708E-2</v>
      </c>
      <c r="T23" s="38">
        <f t="shared" ref="T23:AA23" si="10">T21*T12</f>
        <v>2.5673156007056556E-2</v>
      </c>
      <c r="U23" s="38">
        <f t="shared" si="10"/>
        <v>7.4893374088818424E-2</v>
      </c>
      <c r="V23" s="38">
        <f t="shared" si="10"/>
        <v>0.10221996427171309</v>
      </c>
      <c r="W23" s="38">
        <f t="shared" si="10"/>
        <v>0.10395253485850879</v>
      </c>
      <c r="X23" s="38">
        <f t="shared" si="10"/>
        <v>1.8470317366685595E-2</v>
      </c>
      <c r="Y23" s="38">
        <f t="shared" si="10"/>
        <v>8.87434602821143E-2</v>
      </c>
      <c r="Z23" s="38">
        <f t="shared" si="10"/>
        <v>5.8469641330800404E-2</v>
      </c>
      <c r="AA23" s="38">
        <f t="shared" si="10"/>
        <v>3.792801469691217E-2</v>
      </c>
      <c r="AE23" s="28"/>
      <c r="AF23" s="29"/>
      <c r="AJ23" s="87"/>
      <c r="AK23" s="88"/>
    </row>
    <row r="24" spans="1:37" ht="15" thickBot="1" x14ac:dyDescent="0.35">
      <c r="B24" s="4">
        <v>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N24" s="1">
        <v>14</v>
      </c>
      <c r="O24" s="1" t="s">
        <v>27</v>
      </c>
      <c r="P24" s="1" t="s">
        <v>30</v>
      </c>
      <c r="R24" s="39">
        <f>R21*R13</f>
        <v>4.446608254283934E-2</v>
      </c>
      <c r="S24" s="39">
        <f>S21*S13</f>
        <v>2.9502658762072708E-2</v>
      </c>
      <c r="T24" s="39">
        <f t="shared" ref="T24:AA24" si="11">T21*T13</f>
        <v>2.5673156007056556E-2</v>
      </c>
      <c r="U24" s="39">
        <f t="shared" si="11"/>
        <v>7.4893374088818424E-2</v>
      </c>
      <c r="V24" s="39">
        <f t="shared" si="11"/>
        <v>0.10221996427171309</v>
      </c>
      <c r="W24" s="39">
        <f t="shared" si="11"/>
        <v>0.10395253485850879</v>
      </c>
      <c r="X24" s="39">
        <f t="shared" si="11"/>
        <v>1.8470317366685595E-2</v>
      </c>
      <c r="Y24" s="39">
        <f t="shared" si="11"/>
        <v>8.87434602821143E-2</v>
      </c>
      <c r="Z24" s="39">
        <f t="shared" si="11"/>
        <v>5.8469641330800404E-2</v>
      </c>
      <c r="AA24" s="39">
        <f t="shared" si="11"/>
        <v>3.792801469691217E-2</v>
      </c>
      <c r="AE24" s="30">
        <f>R24</f>
        <v>4.446608254283934E-2</v>
      </c>
      <c r="AF24" s="31" t="s">
        <v>56</v>
      </c>
    </row>
    <row r="25" spans="1:37" x14ac:dyDescent="0.3">
      <c r="B25" s="4">
        <v>17</v>
      </c>
      <c r="C25" s="2"/>
      <c r="D25" s="2"/>
      <c r="E25" s="2"/>
      <c r="F25" s="2"/>
      <c r="G25" s="2"/>
      <c r="H25" s="2"/>
      <c r="I25" s="2"/>
      <c r="J25" s="2"/>
      <c r="K25" s="2"/>
      <c r="L25" s="2"/>
      <c r="N25" s="1">
        <v>15</v>
      </c>
      <c r="O25" s="1" t="s">
        <v>31</v>
      </c>
      <c r="P25" s="1" t="s">
        <v>32</v>
      </c>
      <c r="R25" s="21">
        <f>R21*R14</f>
        <v>0.58315094484919128</v>
      </c>
      <c r="S25" s="21">
        <f>S21*S14</f>
        <v>0.2281406723565744</v>
      </c>
      <c r="T25" s="21">
        <f t="shared" ref="T25:AA25" si="12">T21*T14</f>
        <v>6.9257680501500815E-2</v>
      </c>
      <c r="U25" s="21">
        <f t="shared" si="12"/>
        <v>0.68942113792678128</v>
      </c>
      <c r="V25" s="21">
        <f t="shared" si="12"/>
        <v>0.13153352336722426</v>
      </c>
      <c r="W25" s="21">
        <f t="shared" si="12"/>
        <v>0.13238755207027925</v>
      </c>
      <c r="X25" s="21">
        <f t="shared" si="12"/>
        <v>0.10293274169721084</v>
      </c>
      <c r="Y25" s="21">
        <f t="shared" si="12"/>
        <v>1.7126293733950191</v>
      </c>
      <c r="Z25" s="21">
        <f t="shared" si="12"/>
        <v>0.68530463340299874</v>
      </c>
      <c r="AA25" s="21">
        <f t="shared" si="12"/>
        <v>0.29292801980828115</v>
      </c>
      <c r="AE25" s="33" t="s">
        <v>54</v>
      </c>
      <c r="AF25" s="27"/>
    </row>
    <row r="26" spans="1:37" x14ac:dyDescent="0.3">
      <c r="B26" s="4">
        <v>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N26" s="12">
        <v>16</v>
      </c>
      <c r="O26" s="12" t="s">
        <v>33</v>
      </c>
      <c r="P26" s="12" t="s">
        <v>34</v>
      </c>
      <c r="Q26" s="12"/>
      <c r="R26" s="74">
        <f>R21*R15</f>
        <v>1.2836252362958208E-2</v>
      </c>
      <c r="S26" s="74">
        <f>S21*S15</f>
        <v>8.5166839890461754E-3</v>
      </c>
      <c r="T26" s="74">
        <f t="shared" ref="T26:AA26" si="13">T21*T15</f>
        <v>7.4112017658106806E-3</v>
      </c>
      <c r="U26" s="74">
        <f t="shared" si="13"/>
        <v>2.1619854845349333E-2</v>
      </c>
      <c r="V26" s="74">
        <f t="shared" si="13"/>
        <v>2.9508361944413745E-2</v>
      </c>
      <c r="W26" s="74">
        <f t="shared" si="13"/>
        <v>3.0008511991751998E-2</v>
      </c>
      <c r="X26" s="74">
        <f t="shared" si="13"/>
        <v>5.3319213518368746E-3</v>
      </c>
      <c r="Y26" s="74">
        <f t="shared" si="13"/>
        <v>2.5618030341348776E-2</v>
      </c>
      <c r="Z26" s="74">
        <f t="shared" si="13"/>
        <v>1.6878731580879242E-2</v>
      </c>
      <c r="AA26" s="74">
        <f t="shared" si="13"/>
        <v>1.094887474754516E-2</v>
      </c>
      <c r="AE26" s="28"/>
      <c r="AF26" s="29" t="s">
        <v>58</v>
      </c>
    </row>
    <row r="27" spans="1:37" ht="15" thickBot="1" x14ac:dyDescent="0.35">
      <c r="B27" s="4">
        <v>19</v>
      </c>
      <c r="C27" s="2"/>
      <c r="D27" s="2"/>
      <c r="E27" s="2"/>
      <c r="F27" s="2"/>
      <c r="G27" s="2"/>
      <c r="H27" s="2"/>
      <c r="I27" s="2"/>
      <c r="J27" s="2"/>
      <c r="K27" s="2"/>
      <c r="L27" s="2"/>
      <c r="N27" s="12">
        <v>17</v>
      </c>
      <c r="O27" s="12" t="s">
        <v>35</v>
      </c>
      <c r="P27" s="12" t="s">
        <v>36</v>
      </c>
      <c r="Q27" s="12"/>
      <c r="R27" s="75">
        <f>R21*R16</f>
        <v>1.2836252362958208E-2</v>
      </c>
      <c r="S27" s="75">
        <f>S21*S16</f>
        <v>8.5166839890461754E-3</v>
      </c>
      <c r="T27" s="75">
        <f t="shared" ref="T27:AA27" si="14">T21*T16</f>
        <v>7.4112017658106806E-3</v>
      </c>
      <c r="U27" s="75">
        <f t="shared" si="14"/>
        <v>2.1619854845349333E-2</v>
      </c>
      <c r="V27" s="75">
        <f t="shared" si="14"/>
        <v>2.9508361944413745E-2</v>
      </c>
      <c r="W27" s="75">
        <f t="shared" si="14"/>
        <v>3.0008511991751998E-2</v>
      </c>
      <c r="X27" s="75">
        <f t="shared" si="14"/>
        <v>5.3319213518368746E-3</v>
      </c>
      <c r="Y27" s="75">
        <f t="shared" si="14"/>
        <v>2.5618030341348776E-2</v>
      </c>
      <c r="Z27" s="75">
        <f t="shared" si="14"/>
        <v>1.6878731580879242E-2</v>
      </c>
      <c r="AA27" s="75">
        <f t="shared" si="14"/>
        <v>1.094887474754516E-2</v>
      </c>
      <c r="AE27" s="30">
        <f>R27</f>
        <v>1.2836252362958208E-2</v>
      </c>
      <c r="AF27" s="31" t="s">
        <v>55</v>
      </c>
      <c r="AK27" s="89"/>
    </row>
    <row r="28" spans="1:37" x14ac:dyDescent="0.3">
      <c r="B28" s="4">
        <v>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AK28" s="90"/>
    </row>
    <row r="29" spans="1:37" ht="15" thickBot="1" x14ac:dyDescent="0.35">
      <c r="B29" s="4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AK29" s="86"/>
    </row>
    <row r="30" spans="1:37" x14ac:dyDescent="0.3">
      <c r="B30" s="4">
        <v>22</v>
      </c>
      <c r="C30" s="2"/>
      <c r="D30" s="2"/>
      <c r="E30" s="2"/>
      <c r="F30" s="2"/>
      <c r="G30" s="2"/>
      <c r="H30" s="2"/>
      <c r="I30" s="2"/>
      <c r="J30" s="2"/>
      <c r="K30" s="2"/>
      <c r="L30" s="2"/>
      <c r="N30" s="1">
        <v>18</v>
      </c>
      <c r="O30" s="126" t="s">
        <v>39</v>
      </c>
      <c r="P30" s="1" t="s">
        <v>104</v>
      </c>
      <c r="R30" s="21">
        <f>R10-R11</f>
        <v>44.512186392462056</v>
      </c>
      <c r="S30" s="21">
        <f>S10-S11</f>
        <v>26.428432394311955</v>
      </c>
      <c r="T30" s="21">
        <f t="shared" ref="T30:AA30" si="15">T10-T11</f>
        <v>9.235996246937006</v>
      </c>
      <c r="U30" s="21">
        <f t="shared" si="15"/>
        <v>30.803262465657497</v>
      </c>
      <c r="V30" s="21">
        <f t="shared" si="15"/>
        <v>4.2504811163641882</v>
      </c>
      <c r="W30" s="21">
        <f t="shared" si="15"/>
        <v>4.2033036384799187</v>
      </c>
      <c r="X30" s="21">
        <f t="shared" si="15"/>
        <v>19.142995510724376</v>
      </c>
      <c r="Y30" s="21">
        <f t="shared" si="15"/>
        <v>64.157015138910324</v>
      </c>
      <c r="Z30" s="21">
        <f t="shared" si="15"/>
        <v>39.523074711356131</v>
      </c>
      <c r="AA30" s="21">
        <f t="shared" si="15"/>
        <v>26.29313110634752</v>
      </c>
      <c r="AB30" s="21"/>
      <c r="AC30" s="21"/>
      <c r="AD30" s="21"/>
      <c r="AE30" s="77" t="s">
        <v>115</v>
      </c>
      <c r="AF30" s="27"/>
      <c r="AK30" s="86"/>
    </row>
    <row r="31" spans="1:37" s="69" customFormat="1" x14ac:dyDescent="0.3">
      <c r="B31" s="4">
        <v>23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17"/>
      <c r="O31" s="126"/>
      <c r="P31" s="69" t="s">
        <v>105</v>
      </c>
      <c r="R31" s="21">
        <f>+R10+R11</f>
        <v>46.347813607537944</v>
      </c>
      <c r="S31" s="21">
        <f t="shared" ref="S31:AA31" si="16">+S10+S11</f>
        <v>27.146567605688041</v>
      </c>
      <c r="T31" s="21">
        <f t="shared" si="16"/>
        <v>9.4540037530629952</v>
      </c>
      <c r="U31" s="21">
        <f t="shared" si="16"/>
        <v>32.973404201009167</v>
      </c>
      <c r="V31" s="21">
        <f t="shared" si="16"/>
        <v>4.6645188836358127</v>
      </c>
      <c r="W31" s="21">
        <f t="shared" si="16"/>
        <v>4.6200296948534154</v>
      </c>
      <c r="X31" s="21">
        <f t="shared" si="16"/>
        <v>19.467004489275617</v>
      </c>
      <c r="Y31" s="21">
        <f t="shared" si="16"/>
        <v>69.547984861089688</v>
      </c>
      <c r="Z31" s="21">
        <f t="shared" si="16"/>
        <v>41.680258621977202</v>
      </c>
      <c r="AA31" s="21">
        <f t="shared" si="16"/>
        <v>27.215202226985806</v>
      </c>
      <c r="AB31" s="21"/>
      <c r="AC31" s="21"/>
      <c r="AD31" s="21"/>
      <c r="AE31" s="78" t="s">
        <v>116</v>
      </c>
      <c r="AF31" s="29"/>
    </row>
    <row r="32" spans="1:37" s="69" customFormat="1" x14ac:dyDescent="0.3">
      <c r="B32" s="4">
        <v>24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17"/>
      <c r="O32" s="73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78"/>
      <c r="AF32" s="29"/>
    </row>
    <row r="33" spans="2:35" x14ac:dyDescent="0.3">
      <c r="B33" s="4">
        <v>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N33" s="1">
        <v>19</v>
      </c>
      <c r="O33" s="126" t="s">
        <v>40</v>
      </c>
      <c r="P33" s="1" t="s">
        <v>106</v>
      </c>
      <c r="R33" s="21">
        <f>R10-R22</f>
        <v>43.409905870078809</v>
      </c>
      <c r="S33" s="21">
        <f>S10-S22</f>
        <v>25.997197528410975</v>
      </c>
      <c r="T33" s="21">
        <f t="shared" ref="T33:AA33" si="17">T10-T22</f>
        <v>9.1050843571140572</v>
      </c>
      <c r="U33" s="21">
        <f t="shared" si="17"/>
        <v>29.500108455931059</v>
      </c>
      <c r="V33" s="21">
        <f t="shared" si="17"/>
        <v>4.0018545092588393</v>
      </c>
      <c r="W33" s="21">
        <f t="shared" si="17"/>
        <v>3.9530627337158792</v>
      </c>
      <c r="X33" s="21">
        <f t="shared" si="17"/>
        <v>18.94843052323613</v>
      </c>
      <c r="Y33" s="21">
        <f t="shared" si="17"/>
        <v>60.919777821489959</v>
      </c>
      <c r="Z33" s="21">
        <f t="shared" si="17"/>
        <v>38.227701779233954</v>
      </c>
      <c r="AA33" s="21">
        <f t="shared" si="17"/>
        <v>25.739434240129693</v>
      </c>
      <c r="AB33" s="21"/>
      <c r="AC33" s="21"/>
      <c r="AD33" s="21"/>
      <c r="AE33" s="78" t="s">
        <v>115</v>
      </c>
      <c r="AF33" s="79" t="s">
        <v>60</v>
      </c>
    </row>
    <row r="34" spans="2:35" ht="15" thickBot="1" x14ac:dyDescent="0.35">
      <c r="B34" s="4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O34" s="126"/>
      <c r="P34" s="69" t="s">
        <v>107</v>
      </c>
      <c r="R34" s="21">
        <f>R10+R22</f>
        <v>47.45009412992119</v>
      </c>
      <c r="S34" s="21">
        <f t="shared" ref="S34:AA34" si="18">S10+S22</f>
        <v>27.57780247158902</v>
      </c>
      <c r="T34" s="21">
        <f t="shared" si="18"/>
        <v>9.5849156428859441</v>
      </c>
      <c r="U34" s="21">
        <f t="shared" si="18"/>
        <v>34.276558210735601</v>
      </c>
      <c r="V34" s="21">
        <f t="shared" si="18"/>
        <v>4.9131454907411616</v>
      </c>
      <c r="W34" s="21">
        <f t="shared" si="18"/>
        <v>4.8702705996174549</v>
      </c>
      <c r="X34" s="21">
        <f t="shared" si="18"/>
        <v>19.661569476763862</v>
      </c>
      <c r="Y34" s="21">
        <f t="shared" si="18"/>
        <v>72.785222178510054</v>
      </c>
      <c r="Z34" s="21">
        <f t="shared" si="18"/>
        <v>42.97563155409938</v>
      </c>
      <c r="AA34" s="21">
        <f t="shared" si="18"/>
        <v>27.768899093203633</v>
      </c>
      <c r="AE34" s="80" t="s">
        <v>116</v>
      </c>
      <c r="AF34" s="31"/>
    </row>
    <row r="35" spans="2:35" s="69" customFormat="1" ht="15" thickBot="1" x14ac:dyDescent="0.35">
      <c r="B35" s="4">
        <v>27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17"/>
      <c r="R35" s="21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2:35" x14ac:dyDescent="0.3">
      <c r="B36" s="4">
        <v>28</v>
      </c>
      <c r="C36" s="2"/>
      <c r="D36" s="2"/>
      <c r="E36" s="2"/>
      <c r="F36" s="2"/>
      <c r="G36" s="2"/>
      <c r="H36" s="2"/>
      <c r="I36" s="2"/>
      <c r="J36" s="2"/>
      <c r="K36" s="2"/>
      <c r="L36" s="2"/>
      <c r="N36" s="1">
        <v>20</v>
      </c>
      <c r="O36" s="127" t="s">
        <v>41</v>
      </c>
      <c r="P36" s="1" t="s">
        <v>108</v>
      </c>
      <c r="R36" s="21">
        <f>R10-R14</f>
        <v>45.165050033311033</v>
      </c>
      <c r="S36" s="21">
        <f>S10-S14</f>
        <v>26.683846110599365</v>
      </c>
      <c r="T36" s="21">
        <f t="shared" ref="T36:AA36" si="19">T10-T14</f>
        <v>9.3135333269132019</v>
      </c>
      <c r="U36" s="21">
        <f t="shared" si="19"/>
        <v>31.5751003545621</v>
      </c>
      <c r="V36" s="21">
        <f t="shared" si="19"/>
        <v>4.3977387959027645</v>
      </c>
      <c r="W36" s="21">
        <f t="shared" si="19"/>
        <v>4.3515174414602749</v>
      </c>
      <c r="X36" s="21">
        <f t="shared" si="19"/>
        <v>19.258233332253393</v>
      </c>
      <c r="Y36" s="21">
        <f t="shared" si="19"/>
        <v>66.074380544926669</v>
      </c>
      <c r="Z36" s="21">
        <f t="shared" si="19"/>
        <v>40.290303988794513</v>
      </c>
      <c r="AA36" s="21">
        <f t="shared" si="19"/>
        <v>26.621077164238539</v>
      </c>
      <c r="AB36" s="21"/>
      <c r="AC36" s="21"/>
      <c r="AD36" s="21"/>
      <c r="AE36" s="81" t="s">
        <v>115</v>
      </c>
      <c r="AF36" s="27"/>
    </row>
    <row r="37" spans="2:35" s="69" customFormat="1" x14ac:dyDescent="0.3">
      <c r="B37" s="4">
        <v>29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17"/>
      <c r="O37" s="127"/>
      <c r="P37" s="69" t="s">
        <v>110</v>
      </c>
      <c r="R37" s="21">
        <f>R10+R14</f>
        <v>45.694949966688966</v>
      </c>
      <c r="S37" s="21">
        <f t="shared" ref="S37:AA37" si="20">S10+S14</f>
        <v>26.891153889400631</v>
      </c>
      <c r="T37" s="21">
        <f t="shared" si="20"/>
        <v>9.3764666730867994</v>
      </c>
      <c r="U37" s="21">
        <f t="shared" si="20"/>
        <v>32.201566312104561</v>
      </c>
      <c r="V37" s="21">
        <f t="shared" si="20"/>
        <v>4.5172612040972364</v>
      </c>
      <c r="W37" s="21">
        <f t="shared" si="20"/>
        <v>4.4718158918730593</v>
      </c>
      <c r="X37" s="21">
        <f t="shared" si="20"/>
        <v>19.351766667746599</v>
      </c>
      <c r="Y37" s="21">
        <f t="shared" si="20"/>
        <v>67.630619455073344</v>
      </c>
      <c r="Z37" s="21">
        <f t="shared" si="20"/>
        <v>40.91302934453882</v>
      </c>
      <c r="AA37" s="21">
        <f t="shared" si="20"/>
        <v>26.887256169094787</v>
      </c>
      <c r="AB37" s="21"/>
      <c r="AC37" s="21"/>
      <c r="AD37" s="21"/>
      <c r="AE37" s="82" t="s">
        <v>116</v>
      </c>
      <c r="AF37" s="29"/>
    </row>
    <row r="38" spans="2:35" s="69" customFormat="1" x14ac:dyDescent="0.3">
      <c r="B38" s="4">
        <v>30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17"/>
      <c r="O38" s="13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8"/>
      <c r="AF38" s="29"/>
    </row>
    <row r="39" spans="2:35" x14ac:dyDescent="0.3">
      <c r="B39" s="4">
        <v>31</v>
      </c>
      <c r="C39" s="2"/>
      <c r="D39" s="2"/>
      <c r="E39" s="2"/>
      <c r="F39" s="2"/>
      <c r="G39" s="2"/>
      <c r="H39" s="2"/>
      <c r="I39" s="2"/>
      <c r="J39" s="2"/>
      <c r="K39" s="2"/>
      <c r="L39" s="2"/>
      <c r="N39" s="1">
        <v>21</v>
      </c>
      <c r="O39" s="127" t="s">
        <v>203</v>
      </c>
      <c r="P39" s="1" t="s">
        <v>109</v>
      </c>
      <c r="R39" s="21">
        <f>R10-R25</f>
        <v>44.846849055150805</v>
      </c>
      <c r="S39" s="21">
        <f>S10-S25</f>
        <v>26.559359327643424</v>
      </c>
      <c r="T39" s="21">
        <f t="shared" ref="T39:AA39" si="21">T10-T25</f>
        <v>9.2757423194984998</v>
      </c>
      <c r="U39" s="21">
        <f t="shared" si="21"/>
        <v>31.19891219540655</v>
      </c>
      <c r="V39" s="21">
        <f t="shared" si="21"/>
        <v>4.3259664766327761</v>
      </c>
      <c r="W39" s="21">
        <f t="shared" si="21"/>
        <v>4.2792791145963882</v>
      </c>
      <c r="X39" s="21">
        <f t="shared" si="21"/>
        <v>19.202067258302787</v>
      </c>
      <c r="Y39" s="21">
        <f t="shared" si="21"/>
        <v>65.139870626604989</v>
      </c>
      <c r="Z39" s="21">
        <f t="shared" si="21"/>
        <v>39.916362033263667</v>
      </c>
      <c r="AA39" s="21">
        <f t="shared" si="21"/>
        <v>26.46123864685838</v>
      </c>
      <c r="AB39" s="21"/>
      <c r="AC39" s="21"/>
      <c r="AD39" s="21"/>
      <c r="AE39" s="82" t="s">
        <v>115</v>
      </c>
      <c r="AF39" s="79" t="s">
        <v>117</v>
      </c>
    </row>
    <row r="40" spans="2:35" s="69" customFormat="1" ht="15" thickBot="1" x14ac:dyDescent="0.35">
      <c r="B40" s="4">
        <v>32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17"/>
      <c r="O40" s="127"/>
      <c r="P40" s="69" t="s">
        <v>111</v>
      </c>
      <c r="R40" s="21">
        <f>R10+R25</f>
        <v>46.013150944849194</v>
      </c>
      <c r="S40" s="21">
        <f t="shared" ref="S40:AA40" si="22">S10+S25</f>
        <v>27.015640672356572</v>
      </c>
      <c r="T40" s="21">
        <f t="shared" si="22"/>
        <v>9.4142576805015015</v>
      </c>
      <c r="U40" s="21">
        <f t="shared" si="22"/>
        <v>32.577754471260114</v>
      </c>
      <c r="V40" s="21">
        <f t="shared" si="22"/>
        <v>4.5890335233672248</v>
      </c>
      <c r="W40" s="21">
        <f t="shared" si="22"/>
        <v>4.5440542187369459</v>
      </c>
      <c r="X40" s="21">
        <f t="shared" si="22"/>
        <v>19.407932741697206</v>
      </c>
      <c r="Y40" s="21">
        <f t="shared" si="22"/>
        <v>68.565129373395024</v>
      </c>
      <c r="Z40" s="21">
        <f t="shared" si="22"/>
        <v>41.286971300069666</v>
      </c>
      <c r="AA40" s="21">
        <f t="shared" si="22"/>
        <v>27.047094686474946</v>
      </c>
      <c r="AB40" s="21"/>
      <c r="AC40" s="21"/>
      <c r="AD40" s="21"/>
      <c r="AE40" s="83" t="s">
        <v>116</v>
      </c>
      <c r="AF40" s="31"/>
    </row>
    <row r="41" spans="2:35" x14ac:dyDescent="0.3">
      <c r="B41" s="4">
        <v>33</v>
      </c>
      <c r="C41" s="2"/>
      <c r="D41" s="2"/>
      <c r="E41" s="2"/>
      <c r="F41" s="2"/>
      <c r="G41" s="2"/>
      <c r="H41" s="2"/>
      <c r="I41" s="2"/>
      <c r="J41" s="2"/>
      <c r="K41" s="2"/>
      <c r="L41" s="2"/>
      <c r="AE41" s="12"/>
    </row>
    <row r="42" spans="2:35" x14ac:dyDescent="0.3">
      <c r="B42" s="4">
        <v>34</v>
      </c>
      <c r="C42" s="2"/>
      <c r="D42" s="2"/>
      <c r="E42" s="2"/>
      <c r="F42" s="2"/>
      <c r="G42" s="2"/>
      <c r="H42" s="2"/>
      <c r="I42" s="2"/>
      <c r="J42" s="2"/>
      <c r="K42" s="2"/>
      <c r="L42" s="2"/>
      <c r="N42" s="1">
        <v>22</v>
      </c>
      <c r="O42" s="1" t="s">
        <v>51</v>
      </c>
      <c r="P42" s="1" t="s">
        <v>43</v>
      </c>
      <c r="R42" s="21">
        <f>_xlfn.CONFIDENCE.T(R18,R11,R9)</f>
        <v>0.58315094484919128</v>
      </c>
      <c r="S42" s="21">
        <f>_xlfn.CONFIDENCE.T(S18,S11,S9)</f>
        <v>0.2281406723565744</v>
      </c>
      <c r="T42" s="21">
        <f t="shared" ref="T42:Z42" si="23">_xlfn.CONFIDENCE.T(T18,T11,T9)</f>
        <v>6.9257680501500815E-2</v>
      </c>
      <c r="U42" s="21">
        <f t="shared" si="23"/>
        <v>0.68942113792678128</v>
      </c>
      <c r="V42" s="21">
        <f t="shared" si="23"/>
        <v>0.13153352336722426</v>
      </c>
      <c r="W42" s="21">
        <f t="shared" si="23"/>
        <v>0.13238755207027925</v>
      </c>
      <c r="X42" s="21">
        <f t="shared" si="23"/>
        <v>0.10293274169721084</v>
      </c>
      <c r="Y42" s="21">
        <f t="shared" si="23"/>
        <v>1.7126293733950191</v>
      </c>
      <c r="Z42" s="21">
        <f t="shared" si="23"/>
        <v>0.68530463340299874</v>
      </c>
      <c r="AA42" s="21">
        <f>_xlfn.CONFIDENCE.T(AA18,AA11,AA9)</f>
        <v>0.29292801980828115</v>
      </c>
      <c r="AE42" s="76">
        <f>R42</f>
        <v>0.58315094484919128</v>
      </c>
      <c r="AF42" s="12" t="s">
        <v>57</v>
      </c>
    </row>
    <row r="43" spans="2:35" x14ac:dyDescent="0.3">
      <c r="B43" s="4">
        <v>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N43" s="1">
        <v>23</v>
      </c>
      <c r="O43" s="14" t="s">
        <v>52</v>
      </c>
      <c r="P43" s="1" t="s">
        <v>31</v>
      </c>
      <c r="R43" s="21">
        <f>R25</f>
        <v>0.58315094484919128</v>
      </c>
      <c r="S43" s="21">
        <f>S25</f>
        <v>0.2281406723565744</v>
      </c>
      <c r="T43" s="21">
        <f t="shared" ref="T43:AA43" si="24">T25</f>
        <v>6.9257680501500815E-2</v>
      </c>
      <c r="U43" s="21">
        <f t="shared" si="24"/>
        <v>0.68942113792678128</v>
      </c>
      <c r="V43" s="21">
        <f t="shared" si="24"/>
        <v>0.13153352336722426</v>
      </c>
      <c r="W43" s="21">
        <f t="shared" si="24"/>
        <v>0.13238755207027925</v>
      </c>
      <c r="X43" s="21">
        <f t="shared" si="24"/>
        <v>0.10293274169721084</v>
      </c>
      <c r="Y43" s="21">
        <f t="shared" si="24"/>
        <v>1.7126293733950191</v>
      </c>
      <c r="Z43" s="21">
        <f>Z25</f>
        <v>0.68530463340299874</v>
      </c>
      <c r="AA43" s="21">
        <f t="shared" si="24"/>
        <v>0.29292801980828115</v>
      </c>
      <c r="AE43" s="12"/>
      <c r="AF43" s="12" t="s">
        <v>58</v>
      </c>
    </row>
    <row r="44" spans="2:35" ht="15" thickBot="1" x14ac:dyDescent="0.35">
      <c r="B44" s="4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35" x14ac:dyDescent="0.3">
      <c r="B45" s="4">
        <v>37</v>
      </c>
      <c r="C45" s="2"/>
      <c r="D45" s="2"/>
      <c r="E45" s="2"/>
      <c r="F45" s="2"/>
      <c r="G45" s="2"/>
      <c r="H45" s="2"/>
      <c r="I45" s="2"/>
      <c r="J45" s="2"/>
      <c r="K45" s="2"/>
      <c r="L45" s="2"/>
      <c r="N45" s="1">
        <v>24</v>
      </c>
      <c r="O45" s="1" t="s">
        <v>112</v>
      </c>
      <c r="P45" s="13" t="s">
        <v>62</v>
      </c>
      <c r="Q45" s="21">
        <f t="shared" ref="Q45:AB45" si="25">$AH$46</f>
        <v>25.600370370370367</v>
      </c>
      <c r="R45" s="21">
        <f t="shared" si="25"/>
        <v>25.600370370370367</v>
      </c>
      <c r="S45" s="21">
        <f t="shared" si="25"/>
        <v>25.600370370370367</v>
      </c>
      <c r="T45" s="21">
        <f t="shared" si="25"/>
        <v>25.600370370370367</v>
      </c>
      <c r="U45" s="21">
        <f t="shared" si="25"/>
        <v>25.600370370370367</v>
      </c>
      <c r="V45" s="21">
        <f t="shared" si="25"/>
        <v>25.600370370370367</v>
      </c>
      <c r="W45" s="21">
        <f t="shared" si="25"/>
        <v>25.600370370370367</v>
      </c>
      <c r="X45" s="21">
        <f t="shared" si="25"/>
        <v>25.600370370370367</v>
      </c>
      <c r="Y45" s="21">
        <f t="shared" si="25"/>
        <v>25.600370370370367</v>
      </c>
      <c r="Z45" s="21">
        <f t="shared" si="25"/>
        <v>25.600370370370367</v>
      </c>
      <c r="AA45" s="21">
        <f t="shared" si="25"/>
        <v>25.600370370370367</v>
      </c>
      <c r="AB45" s="21">
        <f t="shared" si="25"/>
        <v>25.600370370370367</v>
      </c>
      <c r="AE45" s="84"/>
      <c r="AF45" s="34" t="s">
        <v>195</v>
      </c>
      <c r="AH45" s="17" t="s">
        <v>119</v>
      </c>
      <c r="AI45" s="1" t="s">
        <v>120</v>
      </c>
    </row>
    <row r="46" spans="2:35" x14ac:dyDescent="0.3">
      <c r="B46" s="4">
        <v>38</v>
      </c>
      <c r="C46" s="2"/>
      <c r="D46" s="2"/>
      <c r="E46" s="2"/>
      <c r="F46" s="2"/>
      <c r="G46" s="2"/>
      <c r="H46" s="2"/>
      <c r="I46" s="2"/>
      <c r="J46" s="2"/>
      <c r="K46" s="2"/>
      <c r="L46" s="2"/>
      <c r="N46" s="1">
        <v>25</v>
      </c>
      <c r="O46" s="1" t="s">
        <v>113</v>
      </c>
      <c r="P46" s="13" t="s">
        <v>61</v>
      </c>
      <c r="Q46" s="13"/>
      <c r="R46" s="21">
        <f>$AI$46</f>
        <v>19.902597118665224</v>
      </c>
      <c r="S46" s="21">
        <f t="shared" ref="S46:AA46" si="26">$AI$46</f>
        <v>19.902597118665224</v>
      </c>
      <c r="T46" s="21">
        <f t="shared" si="26"/>
        <v>19.902597118665224</v>
      </c>
      <c r="U46" s="21">
        <f t="shared" si="26"/>
        <v>19.902597118665224</v>
      </c>
      <c r="V46" s="21">
        <f t="shared" si="26"/>
        <v>19.902597118665224</v>
      </c>
      <c r="W46" s="21">
        <f t="shared" si="26"/>
        <v>19.902597118665224</v>
      </c>
      <c r="X46" s="21">
        <f t="shared" si="26"/>
        <v>19.902597118665224</v>
      </c>
      <c r="Y46" s="21">
        <f t="shared" si="26"/>
        <v>19.902597118665224</v>
      </c>
      <c r="Z46" s="21">
        <f t="shared" si="26"/>
        <v>19.902597118665224</v>
      </c>
      <c r="AA46" s="21">
        <f t="shared" si="26"/>
        <v>19.902597118665224</v>
      </c>
      <c r="AE46" s="28"/>
      <c r="AF46" s="29" t="s">
        <v>196</v>
      </c>
      <c r="AH46" s="21">
        <f>AVERAGE(S10:AA10)</f>
        <v>25.600370370370367</v>
      </c>
      <c r="AI46" s="1">
        <f>_xlfn.STDEV.S(S10:AA10)</f>
        <v>19.902597118665224</v>
      </c>
    </row>
    <row r="47" spans="2:35" x14ac:dyDescent="0.3">
      <c r="B47" s="4">
        <v>39</v>
      </c>
      <c r="C47" s="2"/>
      <c r="D47" s="2"/>
      <c r="E47" s="2"/>
      <c r="F47" s="2"/>
      <c r="G47" s="2"/>
      <c r="H47" s="2"/>
      <c r="I47" s="2"/>
      <c r="J47" s="2"/>
      <c r="K47" s="2"/>
      <c r="L47" s="2"/>
      <c r="N47" s="1">
        <v>26</v>
      </c>
      <c r="O47" s="69" t="s">
        <v>64</v>
      </c>
      <c r="P47" s="69" t="s">
        <v>65</v>
      </c>
      <c r="R47" s="38">
        <f t="shared" ref="R47:AA47" si="27">2*MIN(_xlfn.Z.TEST(C9:C11,R45,R46), 1 - _xlfn.Z.TEST(C9:C11,R45,R46))</f>
        <v>6.775221451923559E-2</v>
      </c>
      <c r="S47" s="38">
        <f t="shared" si="27"/>
        <v>0.93252101501211193</v>
      </c>
      <c r="T47" s="38">
        <f t="shared" si="27"/>
        <v>0.15577300702613295</v>
      </c>
      <c r="U47" s="38">
        <f t="shared" si="27"/>
        <v>0.48977478894809134</v>
      </c>
      <c r="V47" s="38">
        <f t="shared" si="27"/>
        <v>6.299799968857922E-2</v>
      </c>
      <c r="W47" s="38">
        <f t="shared" si="27"/>
        <v>6.3990864579589468E-2</v>
      </c>
      <c r="X47" s="38">
        <f t="shared" si="27"/>
        <v>0.58109948462182892</v>
      </c>
      <c r="Y47" s="38">
        <f t="shared" si="27"/>
        <v>8.2982285716179177E-4</v>
      </c>
      <c r="Z47" s="38">
        <f t="shared" si="27"/>
        <v>0.14946759779380914</v>
      </c>
      <c r="AA47" s="38">
        <f t="shared" si="27"/>
        <v>0.92053644712338989</v>
      </c>
      <c r="AE47" s="28"/>
      <c r="AF47" s="29"/>
    </row>
    <row r="48" spans="2:35" x14ac:dyDescent="0.3">
      <c r="B48" s="4">
        <v>40</v>
      </c>
      <c r="C48" s="2"/>
      <c r="D48" s="2"/>
      <c r="E48" s="2"/>
      <c r="F48" s="2"/>
      <c r="G48" s="2"/>
      <c r="H48" s="2"/>
      <c r="I48" s="2"/>
      <c r="J48" s="2"/>
      <c r="K48" s="2"/>
      <c r="L48" s="2"/>
      <c r="AE48" s="28"/>
      <c r="AF48" s="29" t="s">
        <v>197</v>
      </c>
    </row>
    <row r="49" spans="2:32" x14ac:dyDescent="0.3">
      <c r="B49" s="4">
        <v>41</v>
      </c>
      <c r="C49" s="2"/>
      <c r="D49" s="2"/>
      <c r="E49" s="2"/>
      <c r="F49" s="2"/>
      <c r="G49" s="2"/>
      <c r="H49" s="2"/>
      <c r="I49" s="2"/>
      <c r="J49" s="2"/>
      <c r="K49" s="2"/>
      <c r="L49" s="2"/>
      <c r="AE49" s="28"/>
      <c r="AF49" s="29" t="s">
        <v>198</v>
      </c>
    </row>
    <row r="50" spans="2:32" x14ac:dyDescent="0.3">
      <c r="B50" s="4">
        <v>42</v>
      </c>
      <c r="C50" s="2"/>
      <c r="D50" s="2"/>
      <c r="E50" s="2"/>
      <c r="F50" s="2"/>
      <c r="G50" s="2"/>
      <c r="H50" s="2"/>
      <c r="I50" s="2"/>
      <c r="J50" s="2"/>
      <c r="K50" s="2"/>
      <c r="L50" s="2"/>
      <c r="AE50" s="28"/>
      <c r="AF50" s="29" t="s">
        <v>199</v>
      </c>
    </row>
    <row r="51" spans="2:32" x14ac:dyDescent="0.3">
      <c r="B51" s="4">
        <v>43</v>
      </c>
      <c r="C51" s="2"/>
      <c r="D51" s="2"/>
      <c r="E51" s="2"/>
      <c r="F51" s="2"/>
      <c r="G51" s="2"/>
      <c r="H51" s="2"/>
      <c r="I51" s="2"/>
      <c r="J51" s="2"/>
      <c r="K51" s="2"/>
      <c r="L51" s="2"/>
      <c r="AE51" s="28"/>
      <c r="AF51" s="79" t="s">
        <v>200</v>
      </c>
    </row>
    <row r="52" spans="2:32" x14ac:dyDescent="0.3">
      <c r="B52" s="4">
        <v>44</v>
      </c>
      <c r="C52" s="2"/>
      <c r="D52" s="2"/>
      <c r="E52" s="2"/>
      <c r="F52" s="2"/>
      <c r="G52" s="2"/>
      <c r="H52" s="2"/>
      <c r="I52" s="2"/>
      <c r="J52" s="2"/>
      <c r="K52" s="2"/>
      <c r="L52" s="2"/>
      <c r="AE52" s="28"/>
      <c r="AF52" s="29"/>
    </row>
    <row r="53" spans="2:32" x14ac:dyDescent="0.3">
      <c r="B53" s="4">
        <v>45</v>
      </c>
      <c r="C53" s="2"/>
      <c r="D53" s="2"/>
      <c r="E53" s="2"/>
      <c r="F53" s="2"/>
      <c r="G53" s="2"/>
      <c r="H53" s="2"/>
      <c r="I53" s="2"/>
      <c r="J53" s="2"/>
      <c r="K53" s="2"/>
      <c r="L53" s="2"/>
      <c r="AE53" s="28"/>
      <c r="AF53" s="102" t="s">
        <v>114</v>
      </c>
    </row>
    <row r="54" spans="2:32" x14ac:dyDescent="0.3">
      <c r="B54" s="4">
        <v>46</v>
      </c>
      <c r="C54" s="2"/>
      <c r="D54" s="2"/>
      <c r="E54" s="2"/>
      <c r="F54" s="2"/>
      <c r="G54" s="2"/>
      <c r="H54" s="2"/>
      <c r="I54" s="2"/>
      <c r="J54" s="2"/>
      <c r="K54" s="2"/>
      <c r="L54" s="2"/>
      <c r="AE54" s="28"/>
      <c r="AF54" s="103" t="s">
        <v>201</v>
      </c>
    </row>
    <row r="55" spans="2:32" ht="15" thickBot="1" x14ac:dyDescent="0.35">
      <c r="B55" s="4">
        <v>47</v>
      </c>
      <c r="C55" s="2"/>
      <c r="D55" s="2"/>
      <c r="E55" s="2"/>
      <c r="F55" s="2"/>
      <c r="G55" s="2"/>
      <c r="H55" s="2"/>
      <c r="I55" s="2"/>
      <c r="J55" s="2"/>
      <c r="K55" s="2"/>
      <c r="L55" s="2"/>
      <c r="AE55" s="32"/>
      <c r="AF55" s="104" t="s">
        <v>202</v>
      </c>
    </row>
    <row r="56" spans="2:32" x14ac:dyDescent="0.3">
      <c r="B56" s="4">
        <v>48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32" x14ac:dyDescent="0.3">
      <c r="B57" s="4">
        <v>49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32" x14ac:dyDescent="0.3">
      <c r="B58" s="4">
        <v>50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32" x14ac:dyDescent="0.3">
      <c r="B59" s="4">
        <v>51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32" x14ac:dyDescent="0.3">
      <c r="B60" s="4">
        <v>52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32" x14ac:dyDescent="0.3">
      <c r="B61" s="4">
        <v>53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32" x14ac:dyDescent="0.3">
      <c r="B62" s="4">
        <v>54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32" x14ac:dyDescent="0.3">
      <c r="B63" s="4">
        <v>55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32" x14ac:dyDescent="0.3">
      <c r="B64" s="4">
        <v>56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4" x14ac:dyDescent="0.3">
      <c r="B65" s="4">
        <v>57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4" x14ac:dyDescent="0.3">
      <c r="B66" s="4">
        <v>58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4" x14ac:dyDescent="0.3">
      <c r="B67" s="4">
        <v>59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4" x14ac:dyDescent="0.3">
      <c r="B68" s="4">
        <v>60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4" x14ac:dyDescent="0.3">
      <c r="B69" s="4">
        <v>61</v>
      </c>
      <c r="C69" s="2"/>
      <c r="D69" s="2"/>
      <c r="E69" s="2"/>
      <c r="F69" s="2"/>
      <c r="G69" s="2"/>
      <c r="H69" s="2"/>
      <c r="I69" s="2"/>
      <c r="J69" s="2"/>
      <c r="K69" s="2"/>
      <c r="L69" s="2"/>
      <c r="N69" s="1">
        <v>27</v>
      </c>
    </row>
    <row r="70" spans="2:14" x14ac:dyDescent="0.3">
      <c r="B70" s="4">
        <v>62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4" x14ac:dyDescent="0.3">
      <c r="B71" s="4">
        <v>63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4" x14ac:dyDescent="0.3">
      <c r="B72" s="4">
        <v>64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4" x14ac:dyDescent="0.3">
      <c r="B73" s="4">
        <v>65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4" x14ac:dyDescent="0.3">
      <c r="B74" s="4">
        <v>66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4" x14ac:dyDescent="0.3">
      <c r="B75" s="4">
        <v>67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4" x14ac:dyDescent="0.3">
      <c r="B76" s="4">
        <v>68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4" x14ac:dyDescent="0.3">
      <c r="B77" s="4">
        <v>69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4" x14ac:dyDescent="0.3">
      <c r="B78" s="4">
        <v>70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4" x14ac:dyDescent="0.3">
      <c r="B79" s="4">
        <v>71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4" x14ac:dyDescent="0.3">
      <c r="B80" s="4">
        <v>72</v>
      </c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3">
      <c r="B81" s="4">
        <v>73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3">
      <c r="B82" s="4">
        <v>74</v>
      </c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3">
      <c r="B83" s="4">
        <v>75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3">
      <c r="B84" s="4">
        <v>76</v>
      </c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3">
      <c r="B85" s="4">
        <v>77</v>
      </c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3">
      <c r="B86" s="4">
        <v>78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3">
      <c r="B87" s="4">
        <v>79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3">
      <c r="B88" s="4">
        <v>80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3">
      <c r="B89" s="4">
        <v>81</v>
      </c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3">
      <c r="B90" s="4">
        <v>82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3">
      <c r="B91" s="4">
        <v>83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3">
      <c r="B92" s="4">
        <v>84</v>
      </c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3">
      <c r="B93" s="4">
        <v>85</v>
      </c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3">
      <c r="B94" s="4">
        <v>86</v>
      </c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3">
      <c r="B95" s="4">
        <v>87</v>
      </c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3">
      <c r="B96" s="4">
        <v>88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3">
      <c r="B97" s="4">
        <v>89</v>
      </c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3">
      <c r="B98" s="4">
        <v>90</v>
      </c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3">
      <c r="B99" s="4">
        <v>91</v>
      </c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3">
      <c r="B100" s="4">
        <v>92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3">
      <c r="B101" s="4">
        <v>93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3">
      <c r="B102" s="4">
        <v>94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3">
      <c r="B103" s="4">
        <v>95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3">
      <c r="B104" s="4">
        <v>96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3">
      <c r="B105" s="4">
        <v>97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</row>
  </sheetData>
  <mergeCells count="4">
    <mergeCell ref="O30:O31"/>
    <mergeCell ref="O33:O34"/>
    <mergeCell ref="O36:O37"/>
    <mergeCell ref="O39:O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6:AJ99"/>
  <sheetViews>
    <sheetView topLeftCell="D37" zoomScale="110" zoomScaleNormal="110" workbookViewId="0">
      <selection activeCell="J45" sqref="J45"/>
    </sheetView>
  </sheetViews>
  <sheetFormatPr defaultColWidth="8.6640625" defaultRowHeight="14.4" x14ac:dyDescent="0.3"/>
  <cols>
    <col min="1" max="3" width="8.6640625" style="69"/>
    <col min="4" max="4" width="4.6640625" style="69" customWidth="1"/>
    <col min="5" max="5" width="10.21875" style="69" customWidth="1"/>
    <col min="6" max="6" width="14.109375" style="69" customWidth="1"/>
    <col min="7" max="8" width="8.6640625" style="69"/>
    <col min="9" max="9" width="28.109375" style="69" customWidth="1"/>
    <col min="10" max="10" width="8.6640625" style="69"/>
    <col min="11" max="11" width="20.5546875" style="69" customWidth="1"/>
    <col min="12" max="27" width="8.6640625" style="69"/>
    <col min="28" max="28" width="12.21875" style="69" customWidth="1"/>
    <col min="29" max="29" width="15.88671875" style="69" customWidth="1"/>
    <col min="30" max="16384" width="8.6640625" style="69"/>
  </cols>
  <sheetData>
    <row r="6" spans="4:8" ht="28.8" x14ac:dyDescent="0.3">
      <c r="D6" s="93"/>
      <c r="E6" s="108" t="s">
        <v>204</v>
      </c>
      <c r="F6" s="97" t="s">
        <v>164</v>
      </c>
      <c r="H6" s="35" t="s">
        <v>149</v>
      </c>
    </row>
    <row r="7" spans="4:8" x14ac:dyDescent="0.3">
      <c r="D7" s="93">
        <v>1</v>
      </c>
      <c r="E7" s="93">
        <v>0</v>
      </c>
      <c r="F7" s="93">
        <v>0.06</v>
      </c>
    </row>
    <row r="8" spans="4:8" x14ac:dyDescent="0.3">
      <c r="D8" s="93">
        <v>2</v>
      </c>
      <c r="E8" s="93">
        <v>5</v>
      </c>
      <c r="F8" s="93">
        <v>1.48</v>
      </c>
    </row>
    <row r="9" spans="4:8" x14ac:dyDescent="0.3">
      <c r="D9" s="93">
        <v>3</v>
      </c>
      <c r="E9" s="93">
        <v>10</v>
      </c>
      <c r="F9" s="93">
        <v>2.2799999999999998</v>
      </c>
    </row>
    <row r="10" spans="4:8" x14ac:dyDescent="0.3">
      <c r="D10" s="93">
        <v>4</v>
      </c>
      <c r="E10" s="93">
        <v>15</v>
      </c>
      <c r="F10" s="93">
        <v>3.98</v>
      </c>
    </row>
    <row r="11" spans="4:8" x14ac:dyDescent="0.3">
      <c r="D11" s="93">
        <v>5</v>
      </c>
      <c r="E11" s="93">
        <v>20</v>
      </c>
      <c r="F11" s="93">
        <v>4.6100000000000003</v>
      </c>
    </row>
    <row r="12" spans="4:8" x14ac:dyDescent="0.3">
      <c r="D12" s="99" t="s">
        <v>165</v>
      </c>
      <c r="E12" s="12"/>
      <c r="F12" s="12"/>
    </row>
    <row r="13" spans="4:8" x14ac:dyDescent="0.3">
      <c r="D13" s="98" t="s">
        <v>166</v>
      </c>
      <c r="E13" s="12"/>
      <c r="F13" s="12"/>
    </row>
    <row r="14" spans="4:8" x14ac:dyDescent="0.3">
      <c r="E14" s="12"/>
      <c r="F14" s="12"/>
    </row>
    <row r="15" spans="4:8" x14ac:dyDescent="0.3">
      <c r="D15" s="12"/>
      <c r="E15" s="12"/>
      <c r="F15" s="12"/>
    </row>
    <row r="16" spans="4:8" x14ac:dyDescent="0.3">
      <c r="D16" s="12"/>
      <c r="E16" s="12"/>
      <c r="F16" s="12"/>
    </row>
    <row r="17" spans="4:36" x14ac:dyDescent="0.3">
      <c r="D17" s="12"/>
      <c r="E17" s="12"/>
      <c r="F17" s="12"/>
    </row>
    <row r="18" spans="4:36" x14ac:dyDescent="0.3">
      <c r="D18" s="12"/>
      <c r="E18" s="12"/>
      <c r="F18" s="12"/>
    </row>
    <row r="19" spans="4:36" x14ac:dyDescent="0.3">
      <c r="D19" s="12"/>
      <c r="E19" s="12"/>
      <c r="F19" s="12"/>
    </row>
    <row r="20" spans="4:36" x14ac:dyDescent="0.3">
      <c r="D20" s="12"/>
      <c r="E20" s="12"/>
      <c r="F20" s="12"/>
    </row>
    <row r="21" spans="4:36" x14ac:dyDescent="0.3">
      <c r="D21" s="12"/>
      <c r="E21" s="12"/>
      <c r="F21" s="12"/>
    </row>
    <row r="22" spans="4:36" ht="15" thickBot="1" x14ac:dyDescent="0.35">
      <c r="D22" s="12"/>
      <c r="E22" s="12"/>
      <c r="F22" s="12"/>
    </row>
    <row r="23" spans="4:36" x14ac:dyDescent="0.3">
      <c r="D23" s="12"/>
      <c r="E23" s="12"/>
      <c r="F23" s="12"/>
      <c r="H23" s="35" t="s">
        <v>150</v>
      </c>
      <c r="I23" s="7"/>
      <c r="J23" s="7"/>
      <c r="K23" s="7" t="s">
        <v>164</v>
      </c>
      <c r="O23" s="107"/>
      <c r="P23" s="107" t="s">
        <v>204</v>
      </c>
      <c r="Q23" s="107" t="s">
        <v>164</v>
      </c>
    </row>
    <row r="24" spans="4:36" x14ac:dyDescent="0.3">
      <c r="D24" s="12"/>
      <c r="E24" s="12"/>
      <c r="F24" s="12"/>
      <c r="I24" s="5"/>
      <c r="J24" s="5">
        <v>1</v>
      </c>
      <c r="K24" s="5"/>
      <c r="O24" s="105" t="s">
        <v>204</v>
      </c>
      <c r="P24" s="105">
        <v>1</v>
      </c>
      <c r="Q24" s="105"/>
    </row>
    <row r="25" spans="4:36" ht="15" thickBot="1" x14ac:dyDescent="0.35">
      <c r="D25" s="12"/>
      <c r="E25" s="12"/>
      <c r="F25" s="12"/>
      <c r="I25" s="6" t="s">
        <v>164</v>
      </c>
      <c r="J25" s="95">
        <v>0.99166019756744417</v>
      </c>
      <c r="K25" s="6">
        <v>1</v>
      </c>
      <c r="O25" s="106" t="s">
        <v>164</v>
      </c>
      <c r="P25" s="106">
        <v>0.99166019756744417</v>
      </c>
      <c r="Q25" s="106">
        <v>1</v>
      </c>
    </row>
    <row r="26" spans="4:36" x14ac:dyDescent="0.3">
      <c r="D26" s="12"/>
      <c r="E26" s="12"/>
      <c r="F26" s="12"/>
      <c r="J26" s="35" t="s">
        <v>171</v>
      </c>
      <c r="AB26" t="s">
        <v>124</v>
      </c>
      <c r="AC26"/>
      <c r="AD26"/>
      <c r="AE26"/>
      <c r="AF26"/>
      <c r="AG26"/>
      <c r="AH26"/>
      <c r="AI26"/>
      <c r="AJ26"/>
    </row>
    <row r="27" spans="4:36" ht="15" thickBot="1" x14ac:dyDescent="0.35">
      <c r="D27" s="12"/>
      <c r="E27" s="12"/>
      <c r="F27" s="12"/>
      <c r="AB27"/>
      <c r="AC27"/>
      <c r="AD27"/>
      <c r="AE27"/>
      <c r="AF27"/>
      <c r="AG27"/>
      <c r="AH27"/>
      <c r="AI27"/>
      <c r="AJ27"/>
    </row>
    <row r="28" spans="4:36" x14ac:dyDescent="0.3">
      <c r="H28" s="35" t="s">
        <v>152</v>
      </c>
      <c r="I28" t="s">
        <v>124</v>
      </c>
      <c r="J28"/>
      <c r="K28"/>
      <c r="L28"/>
      <c r="M28"/>
      <c r="N28"/>
      <c r="O28"/>
      <c r="P28"/>
      <c r="Q28"/>
      <c r="AB28" s="92" t="s">
        <v>125</v>
      </c>
      <c r="AC28" s="92"/>
      <c r="AD28"/>
      <c r="AE28"/>
      <c r="AF28"/>
      <c r="AG28"/>
      <c r="AH28"/>
      <c r="AI28"/>
      <c r="AJ28"/>
    </row>
    <row r="29" spans="4:36" ht="15" thickBot="1" x14ac:dyDescent="0.35">
      <c r="I29"/>
      <c r="J29"/>
      <c r="K29"/>
      <c r="L29"/>
      <c r="M29"/>
      <c r="N29"/>
      <c r="O29"/>
      <c r="P29"/>
      <c r="Q29"/>
      <c r="AB29" s="105" t="s">
        <v>126</v>
      </c>
      <c r="AC29" s="105">
        <v>0.99166019756744439</v>
      </c>
      <c r="AD29"/>
      <c r="AE29"/>
      <c r="AF29"/>
      <c r="AG29"/>
      <c r="AH29"/>
      <c r="AI29"/>
      <c r="AJ29"/>
    </row>
    <row r="30" spans="4:36" x14ac:dyDescent="0.3">
      <c r="I30" s="92" t="s">
        <v>125</v>
      </c>
      <c r="J30" s="92"/>
      <c r="K30"/>
      <c r="L30"/>
      <c r="M30"/>
      <c r="N30"/>
      <c r="O30"/>
      <c r="P30"/>
      <c r="Q30"/>
      <c r="AB30" s="105" t="s">
        <v>127</v>
      </c>
      <c r="AC30" s="105">
        <v>0.98338994743950281</v>
      </c>
      <c r="AD30"/>
      <c r="AE30"/>
      <c r="AF30"/>
      <c r="AG30"/>
      <c r="AH30"/>
      <c r="AI30"/>
      <c r="AJ30"/>
    </row>
    <row r="31" spans="4:36" x14ac:dyDescent="0.3">
      <c r="I31" s="5" t="s">
        <v>126</v>
      </c>
      <c r="J31" s="5">
        <v>0.99166019756744439</v>
      </c>
      <c r="K31"/>
      <c r="L31"/>
      <c r="M31"/>
      <c r="N31"/>
      <c r="O31"/>
      <c r="P31"/>
      <c r="Q31"/>
      <c r="AB31" s="105" t="s">
        <v>128</v>
      </c>
      <c r="AC31" s="105">
        <v>0.97785326325267041</v>
      </c>
      <c r="AD31"/>
      <c r="AE31"/>
      <c r="AF31"/>
      <c r="AG31"/>
      <c r="AH31"/>
      <c r="AI31"/>
      <c r="AJ31"/>
    </row>
    <row r="32" spans="4:36" x14ac:dyDescent="0.3">
      <c r="I32" s="5" t="s">
        <v>127</v>
      </c>
      <c r="J32" s="5">
        <v>0.98338994743950281</v>
      </c>
      <c r="K32"/>
      <c r="L32"/>
      <c r="M32"/>
      <c r="N32"/>
      <c r="O32"/>
      <c r="P32"/>
      <c r="Q32"/>
      <c r="AB32" s="105" t="s">
        <v>129</v>
      </c>
      <c r="AC32" s="105">
        <v>0.27524534510142051</v>
      </c>
      <c r="AD32"/>
      <c r="AE32"/>
      <c r="AF32"/>
      <c r="AG32"/>
      <c r="AH32"/>
      <c r="AI32"/>
      <c r="AJ32"/>
    </row>
    <row r="33" spans="7:36" ht="15" thickBot="1" x14ac:dyDescent="0.35">
      <c r="I33" s="5" t="s">
        <v>128</v>
      </c>
      <c r="J33" s="5">
        <v>0.97785326325267041</v>
      </c>
      <c r="K33"/>
      <c r="L33"/>
      <c r="M33"/>
      <c r="N33"/>
      <c r="O33"/>
      <c r="P33"/>
      <c r="Q33"/>
      <c r="AB33" s="106" t="s">
        <v>50</v>
      </c>
      <c r="AC33" s="106">
        <v>5</v>
      </c>
      <c r="AD33"/>
      <c r="AE33"/>
      <c r="AF33"/>
      <c r="AG33"/>
      <c r="AH33"/>
      <c r="AI33"/>
      <c r="AJ33"/>
    </row>
    <row r="34" spans="7:36" x14ac:dyDescent="0.3">
      <c r="I34" s="5" t="s">
        <v>129</v>
      </c>
      <c r="J34" s="5">
        <v>0.27524534510142051</v>
      </c>
      <c r="K34"/>
      <c r="L34"/>
      <c r="M34"/>
      <c r="N34"/>
      <c r="O34"/>
      <c r="P34"/>
      <c r="Q34"/>
      <c r="AB34"/>
      <c r="AC34"/>
      <c r="AD34"/>
      <c r="AE34"/>
      <c r="AF34"/>
      <c r="AG34"/>
      <c r="AH34"/>
      <c r="AI34"/>
      <c r="AJ34"/>
    </row>
    <row r="35" spans="7:36" ht="15" thickBot="1" x14ac:dyDescent="0.35">
      <c r="I35" s="6" t="s">
        <v>50</v>
      </c>
      <c r="J35" s="6">
        <v>5</v>
      </c>
      <c r="K35"/>
      <c r="L35"/>
      <c r="M35"/>
      <c r="N35"/>
      <c r="O35"/>
      <c r="P35"/>
      <c r="Q35"/>
      <c r="AB35" t="s">
        <v>44</v>
      </c>
      <c r="AC35"/>
      <c r="AD35"/>
      <c r="AE35"/>
      <c r="AF35"/>
      <c r="AG35"/>
      <c r="AH35"/>
      <c r="AI35"/>
      <c r="AJ35"/>
    </row>
    <row r="36" spans="7:36" x14ac:dyDescent="0.3">
      <c r="I36"/>
      <c r="J36"/>
      <c r="K36"/>
      <c r="L36"/>
      <c r="M36"/>
      <c r="N36"/>
      <c r="O36"/>
      <c r="P36"/>
      <c r="Q36"/>
      <c r="AB36" s="107"/>
      <c r="AC36" s="107" t="s">
        <v>46</v>
      </c>
      <c r="AD36" s="107" t="s">
        <v>45</v>
      </c>
      <c r="AE36" s="107" t="s">
        <v>47</v>
      </c>
      <c r="AF36" s="107" t="s">
        <v>2</v>
      </c>
      <c r="AG36" s="107" t="s">
        <v>133</v>
      </c>
      <c r="AH36"/>
      <c r="AI36"/>
      <c r="AJ36"/>
    </row>
    <row r="37" spans="7:36" ht="15" thickBot="1" x14ac:dyDescent="0.35">
      <c r="I37" t="s">
        <v>44</v>
      </c>
      <c r="J37"/>
      <c r="K37"/>
      <c r="L37"/>
      <c r="M37"/>
      <c r="N37"/>
      <c r="O37"/>
      <c r="P37"/>
      <c r="Q37"/>
      <c r="AB37" s="105" t="s">
        <v>130</v>
      </c>
      <c r="AC37" s="105">
        <v>1</v>
      </c>
      <c r="AD37" s="105">
        <v>13.456000000000001</v>
      </c>
      <c r="AE37" s="105">
        <v>13.456000000000001</v>
      </c>
      <c r="AF37" s="105">
        <v>177.61351636747608</v>
      </c>
      <c r="AG37" s="105">
        <v>9.1311077105023415E-4</v>
      </c>
      <c r="AH37"/>
      <c r="AI37"/>
      <c r="AJ37"/>
    </row>
    <row r="38" spans="7:36" x14ac:dyDescent="0.3">
      <c r="I38" s="7"/>
      <c r="J38" s="7" t="s">
        <v>46</v>
      </c>
      <c r="K38" s="7" t="s">
        <v>45</v>
      </c>
      <c r="L38" s="7" t="s">
        <v>47</v>
      </c>
      <c r="M38" s="7" t="s">
        <v>2</v>
      </c>
      <c r="N38" s="7" t="s">
        <v>133</v>
      </c>
      <c r="O38" s="96" t="s">
        <v>156</v>
      </c>
      <c r="P38"/>
      <c r="Q38"/>
      <c r="AB38" s="105" t="s">
        <v>131</v>
      </c>
      <c r="AC38" s="105">
        <v>3</v>
      </c>
      <c r="AD38" s="105">
        <v>0.22728000000000023</v>
      </c>
      <c r="AE38" s="105">
        <v>7.5760000000000077E-2</v>
      </c>
      <c r="AF38" s="105"/>
      <c r="AG38" s="105"/>
      <c r="AH38"/>
      <c r="AI38"/>
      <c r="AJ38"/>
    </row>
    <row r="39" spans="7:36" ht="15" thickBot="1" x14ac:dyDescent="0.35">
      <c r="I39" s="5" t="s">
        <v>130</v>
      </c>
      <c r="J39" s="5">
        <v>1</v>
      </c>
      <c r="K39" s="5">
        <v>13.456000000000001</v>
      </c>
      <c r="L39" s="5">
        <v>13.456000000000001</v>
      </c>
      <c r="M39" s="5">
        <v>177.61351636747608</v>
      </c>
      <c r="N39" s="94">
        <v>9.1311077105023415E-4</v>
      </c>
      <c r="O39" s="35" t="s">
        <v>154</v>
      </c>
      <c r="P39"/>
      <c r="Q39"/>
      <c r="AB39" s="106" t="s">
        <v>49</v>
      </c>
      <c r="AC39" s="106">
        <v>4</v>
      </c>
      <c r="AD39" s="106">
        <v>13.683280000000002</v>
      </c>
      <c r="AE39" s="106"/>
      <c r="AF39" s="106"/>
      <c r="AG39" s="106"/>
      <c r="AH39"/>
      <c r="AI39"/>
      <c r="AJ39"/>
    </row>
    <row r="40" spans="7:36" ht="15" thickBot="1" x14ac:dyDescent="0.35">
      <c r="I40" s="5" t="s">
        <v>131</v>
      </c>
      <c r="J40" s="5">
        <v>3</v>
      </c>
      <c r="K40" s="5">
        <v>0.22728000000000023</v>
      </c>
      <c r="L40" s="5">
        <v>7.5760000000000077E-2</v>
      </c>
      <c r="M40" s="5"/>
      <c r="N40" s="5"/>
      <c r="O40"/>
      <c r="P40"/>
      <c r="Q40"/>
      <c r="AB40"/>
      <c r="AC40"/>
      <c r="AD40"/>
      <c r="AE40"/>
      <c r="AF40"/>
      <c r="AG40"/>
      <c r="AH40"/>
      <c r="AI40"/>
      <c r="AJ40"/>
    </row>
    <row r="41" spans="7:36" ht="15" thickBot="1" x14ac:dyDescent="0.35">
      <c r="I41" s="6" t="s">
        <v>49</v>
      </c>
      <c r="J41" s="6">
        <v>4</v>
      </c>
      <c r="K41" s="6">
        <v>13.683280000000002</v>
      </c>
      <c r="L41" s="6"/>
      <c r="M41" s="6"/>
      <c r="N41" s="6"/>
      <c r="O41"/>
      <c r="P41"/>
      <c r="Q41"/>
      <c r="AB41" s="107"/>
      <c r="AC41" s="107" t="s">
        <v>134</v>
      </c>
      <c r="AD41" s="107" t="s">
        <v>129</v>
      </c>
      <c r="AE41" s="107" t="s">
        <v>135</v>
      </c>
      <c r="AF41" s="107" t="s">
        <v>48</v>
      </c>
      <c r="AG41" s="107" t="s">
        <v>136</v>
      </c>
      <c r="AH41" s="107" t="s">
        <v>137</v>
      </c>
      <c r="AI41" s="107" t="s">
        <v>138</v>
      </c>
      <c r="AJ41" s="107" t="s">
        <v>139</v>
      </c>
    </row>
    <row r="42" spans="7:36" ht="15" thickBot="1" x14ac:dyDescent="0.35">
      <c r="I42"/>
      <c r="J42"/>
      <c r="K42"/>
      <c r="L42"/>
      <c r="M42"/>
      <c r="N42"/>
      <c r="O42"/>
      <c r="P42"/>
      <c r="Q42"/>
      <c r="AB42" s="94" t="s">
        <v>132</v>
      </c>
      <c r="AC42" s="94">
        <v>0.16200000000000037</v>
      </c>
      <c r="AD42" s="105">
        <v>0.21320412753978293</v>
      </c>
      <c r="AE42" s="105">
        <v>0.75983519582552117</v>
      </c>
      <c r="AF42" s="105">
        <v>0.5026087924999767</v>
      </c>
      <c r="AG42" s="105">
        <v>-0.51651068796021848</v>
      </c>
      <c r="AH42" s="105">
        <v>0.84051068796021922</v>
      </c>
      <c r="AI42" s="105">
        <v>-0.51651068796021848</v>
      </c>
      <c r="AJ42" s="105">
        <v>0.84051068796021922</v>
      </c>
    </row>
    <row r="43" spans="7:36" ht="15" thickBot="1" x14ac:dyDescent="0.35">
      <c r="I43" s="7"/>
      <c r="J43" s="7" t="s">
        <v>134</v>
      </c>
      <c r="K43" s="7" t="s">
        <v>129</v>
      </c>
      <c r="L43" s="7" t="s">
        <v>135</v>
      </c>
      <c r="M43" s="7" t="s">
        <v>48</v>
      </c>
      <c r="N43" s="7" t="s">
        <v>136</v>
      </c>
      <c r="O43" s="7" t="s">
        <v>137</v>
      </c>
      <c r="P43" s="7" t="s">
        <v>138</v>
      </c>
      <c r="Q43" s="7" t="s">
        <v>139</v>
      </c>
      <c r="AB43" s="95" t="s">
        <v>204</v>
      </c>
      <c r="AC43" s="95">
        <v>0.23199999999999998</v>
      </c>
      <c r="AD43" s="106">
        <v>1.740804411759116E-2</v>
      </c>
      <c r="AE43" s="106">
        <v>13.327172106920361</v>
      </c>
      <c r="AF43" s="106">
        <v>9.1311077105023415E-4</v>
      </c>
      <c r="AG43" s="106">
        <v>0.17659983431575618</v>
      </c>
      <c r="AH43" s="106">
        <v>0.28740016568424376</v>
      </c>
      <c r="AI43" s="106">
        <v>0.17659983431575618</v>
      </c>
      <c r="AJ43" s="106">
        <v>0.28740016568424376</v>
      </c>
    </row>
    <row r="44" spans="7:36" x14ac:dyDescent="0.3">
      <c r="G44" s="35" t="s">
        <v>151</v>
      </c>
      <c r="H44" s="69" t="s">
        <v>147</v>
      </c>
      <c r="I44" s="5" t="s">
        <v>132</v>
      </c>
      <c r="J44" s="5">
        <v>0.16200000000000037</v>
      </c>
      <c r="K44" s="5">
        <v>0.21320412753978293</v>
      </c>
      <c r="L44" s="5">
        <v>0.75983519582552117</v>
      </c>
      <c r="M44" s="94">
        <v>0.5026087924999767</v>
      </c>
      <c r="N44" s="5">
        <v>-0.51651068796021848</v>
      </c>
      <c r="O44" s="5">
        <v>0.84051068796021922</v>
      </c>
      <c r="P44" s="5">
        <v>-0.51651068796021848</v>
      </c>
      <c r="Q44" s="5">
        <v>0.84051068796021922</v>
      </c>
      <c r="AB44"/>
      <c r="AC44"/>
      <c r="AD44"/>
      <c r="AE44"/>
      <c r="AF44"/>
      <c r="AG44"/>
      <c r="AH44"/>
      <c r="AI44"/>
      <c r="AJ44"/>
    </row>
    <row r="45" spans="7:36" ht="15" thickBot="1" x14ac:dyDescent="0.35">
      <c r="H45" s="69" t="s">
        <v>148</v>
      </c>
      <c r="I45" s="6"/>
      <c r="J45" s="6">
        <v>0.23199999999999998</v>
      </c>
      <c r="K45" s="6">
        <v>1.740804411759116E-2</v>
      </c>
      <c r="L45" s="6">
        <v>13.327172106920361</v>
      </c>
      <c r="M45" s="95">
        <v>9.1311077105023415E-4</v>
      </c>
      <c r="N45" s="6">
        <v>0.17659983431575618</v>
      </c>
      <c r="O45" s="6">
        <v>0.28740016568424376</v>
      </c>
      <c r="P45" s="6">
        <v>0.17659983431575618</v>
      </c>
      <c r="Q45" s="6">
        <v>0.28740016568424376</v>
      </c>
      <c r="AB45"/>
      <c r="AC45"/>
      <c r="AD45"/>
      <c r="AE45"/>
      <c r="AF45"/>
      <c r="AG45"/>
      <c r="AH45"/>
      <c r="AI45"/>
      <c r="AJ45"/>
    </row>
    <row r="46" spans="7:36" x14ac:dyDescent="0.3">
      <c r="I46"/>
      <c r="J46"/>
      <c r="K46"/>
      <c r="L46" s="35" t="s">
        <v>155</v>
      </c>
      <c r="M46" s="35" t="s">
        <v>153</v>
      </c>
      <c r="N46"/>
      <c r="O46"/>
      <c r="P46"/>
      <c r="Q46"/>
      <c r="AB46"/>
      <c r="AC46"/>
      <c r="AD46"/>
      <c r="AE46"/>
      <c r="AF46"/>
      <c r="AG46"/>
      <c r="AH46"/>
      <c r="AI46"/>
      <c r="AJ46"/>
    </row>
    <row r="47" spans="7:36" x14ac:dyDescent="0.3">
      <c r="I47"/>
      <c r="J47"/>
      <c r="K47"/>
      <c r="L47"/>
      <c r="M47"/>
      <c r="N47"/>
      <c r="O47"/>
      <c r="P47"/>
      <c r="Q47"/>
      <c r="AB47" t="s">
        <v>140</v>
      </c>
      <c r="AC47"/>
      <c r="AD47"/>
      <c r="AE47"/>
      <c r="AF47"/>
      <c r="AG47" t="s">
        <v>143</v>
      </c>
      <c r="AH47"/>
      <c r="AI47"/>
      <c r="AJ47"/>
    </row>
    <row r="48" spans="7:36" ht="15" thickBot="1" x14ac:dyDescent="0.35">
      <c r="I48"/>
      <c r="J48"/>
      <c r="K48"/>
      <c r="L48"/>
      <c r="M48"/>
      <c r="N48"/>
      <c r="O48"/>
      <c r="P48"/>
      <c r="Q48"/>
      <c r="AB48"/>
      <c r="AC48"/>
      <c r="AD48"/>
      <c r="AE48"/>
      <c r="AF48"/>
      <c r="AG48"/>
      <c r="AH48"/>
      <c r="AI48"/>
      <c r="AJ48"/>
    </row>
    <row r="49" spans="8:36" x14ac:dyDescent="0.3">
      <c r="I49" t="s">
        <v>140</v>
      </c>
      <c r="J49"/>
      <c r="K49"/>
      <c r="L49"/>
      <c r="M49" t="s">
        <v>143</v>
      </c>
      <c r="N49"/>
      <c r="O49"/>
      <c r="P49"/>
      <c r="Q49"/>
      <c r="AB49" s="107" t="s">
        <v>141</v>
      </c>
      <c r="AC49" s="107" t="s">
        <v>167</v>
      </c>
      <c r="AD49" s="107" t="s">
        <v>142</v>
      </c>
      <c r="AE49" s="107" t="s">
        <v>205</v>
      </c>
      <c r="AF49"/>
      <c r="AG49" s="107" t="s">
        <v>144</v>
      </c>
      <c r="AH49" s="107" t="s">
        <v>164</v>
      </c>
      <c r="AI49"/>
      <c r="AJ49"/>
    </row>
    <row r="50" spans="8:36" ht="15" thickBot="1" x14ac:dyDescent="0.35">
      <c r="I50"/>
      <c r="J50"/>
      <c r="K50"/>
      <c r="L50"/>
      <c r="M50"/>
      <c r="N50"/>
      <c r="O50"/>
      <c r="P50"/>
      <c r="Q50"/>
      <c r="AB50" s="105">
        <v>1</v>
      </c>
      <c r="AC50" s="105">
        <v>0.16200000000000037</v>
      </c>
      <c r="AD50" s="105">
        <v>-0.10200000000000037</v>
      </c>
      <c r="AE50" s="105">
        <v>-0.42790716359357717</v>
      </c>
      <c r="AF50"/>
      <c r="AG50" s="105">
        <v>10</v>
      </c>
      <c r="AH50" s="105">
        <v>0.06</v>
      </c>
      <c r="AI50"/>
      <c r="AJ50"/>
    </row>
    <row r="51" spans="8:36" x14ac:dyDescent="0.3">
      <c r="I51" s="7" t="s">
        <v>141</v>
      </c>
      <c r="J51" s="7" t="s">
        <v>167</v>
      </c>
      <c r="K51" s="7" t="s">
        <v>142</v>
      </c>
      <c r="L51"/>
      <c r="M51" s="7" t="s">
        <v>144</v>
      </c>
      <c r="N51" s="7" t="s">
        <v>164</v>
      </c>
      <c r="O51"/>
      <c r="P51"/>
      <c r="Q51"/>
      <c r="AB51" s="105">
        <v>2</v>
      </c>
      <c r="AC51" s="105">
        <v>1.3220000000000003</v>
      </c>
      <c r="AD51" s="105">
        <v>0.1579999999999997</v>
      </c>
      <c r="AE51" s="105">
        <v>0.6628365867429884</v>
      </c>
      <c r="AF51"/>
      <c r="AG51" s="105">
        <v>30</v>
      </c>
      <c r="AH51" s="105">
        <v>1.48</v>
      </c>
      <c r="AI51"/>
      <c r="AJ51"/>
    </row>
    <row r="52" spans="8:36" x14ac:dyDescent="0.3">
      <c r="I52" s="5">
        <v>1</v>
      </c>
      <c r="J52" s="5">
        <v>0.16200000000000037</v>
      </c>
      <c r="K52" s="5">
        <v>-0.10200000000000037</v>
      </c>
      <c r="L52"/>
      <c r="M52" s="5">
        <v>10</v>
      </c>
      <c r="N52" s="5">
        <v>0.06</v>
      </c>
      <c r="O52"/>
      <c r="P52"/>
      <c r="Q52"/>
      <c r="AB52" s="105">
        <v>3</v>
      </c>
      <c r="AC52" s="105">
        <v>2.4820000000000002</v>
      </c>
      <c r="AD52" s="105">
        <v>-0.2020000000000004</v>
      </c>
      <c r="AE52" s="105">
        <v>-0.84742399064610241</v>
      </c>
      <c r="AF52"/>
      <c r="AG52" s="105">
        <v>50</v>
      </c>
      <c r="AH52" s="105">
        <v>2.2799999999999998</v>
      </c>
      <c r="AI52"/>
      <c r="AJ52"/>
    </row>
    <row r="53" spans="8:36" x14ac:dyDescent="0.3">
      <c r="I53" s="5">
        <v>2</v>
      </c>
      <c r="J53" s="5">
        <v>1.3220000000000003</v>
      </c>
      <c r="K53" s="5">
        <v>0.1579999999999997</v>
      </c>
      <c r="L53"/>
      <c r="M53" s="5">
        <v>30</v>
      </c>
      <c r="N53" s="5">
        <v>1.48</v>
      </c>
      <c r="O53"/>
      <c r="P53"/>
      <c r="Q53"/>
      <c r="AB53" s="105">
        <v>4</v>
      </c>
      <c r="AC53" s="105">
        <v>3.6419999999999999</v>
      </c>
      <c r="AD53" s="105">
        <v>0.33800000000000008</v>
      </c>
      <c r="AE53" s="105">
        <v>1.4179668754375352</v>
      </c>
      <c r="AF53"/>
      <c r="AG53" s="105">
        <v>70</v>
      </c>
      <c r="AH53" s="105">
        <v>3.98</v>
      </c>
      <c r="AI53"/>
      <c r="AJ53"/>
    </row>
    <row r="54" spans="8:36" ht="15" thickBot="1" x14ac:dyDescent="0.35">
      <c r="I54" s="5">
        <v>3</v>
      </c>
      <c r="J54" s="5">
        <v>2.4820000000000002</v>
      </c>
      <c r="K54" s="5">
        <v>-0.2020000000000004</v>
      </c>
      <c r="L54"/>
      <c r="M54" s="5">
        <v>50</v>
      </c>
      <c r="N54" s="5">
        <v>2.2799999999999998</v>
      </c>
      <c r="O54"/>
      <c r="P54"/>
      <c r="Q54"/>
      <c r="AB54" s="106">
        <v>5</v>
      </c>
      <c r="AC54" s="106">
        <v>4.8019999999999996</v>
      </c>
      <c r="AD54" s="106">
        <v>-0.19199999999999928</v>
      </c>
      <c r="AE54" s="106">
        <v>-0.80547230794084523</v>
      </c>
      <c r="AF54"/>
      <c r="AG54" s="106">
        <v>90</v>
      </c>
      <c r="AH54" s="106">
        <v>4.6100000000000003</v>
      </c>
      <c r="AI54"/>
      <c r="AJ54"/>
    </row>
    <row r="55" spans="8:36" x14ac:dyDescent="0.3">
      <c r="I55" s="5">
        <v>4</v>
      </c>
      <c r="J55" s="5">
        <v>3.6419999999999999</v>
      </c>
      <c r="K55" s="5">
        <v>0.33800000000000008</v>
      </c>
      <c r="L55"/>
      <c r="M55" s="5">
        <v>70</v>
      </c>
      <c r="N55" s="5">
        <v>3.98</v>
      </c>
      <c r="O55"/>
      <c r="P55"/>
      <c r="Q55"/>
    </row>
    <row r="56" spans="8:36" ht="15" thickBot="1" x14ac:dyDescent="0.35">
      <c r="I56" s="6">
        <v>5</v>
      </c>
      <c r="J56" s="6">
        <v>4.8019999999999996</v>
      </c>
      <c r="K56" s="6">
        <v>-0.19199999999999928</v>
      </c>
      <c r="L56"/>
      <c r="M56" s="6">
        <v>90</v>
      </c>
      <c r="N56" s="6">
        <v>4.6100000000000003</v>
      </c>
      <c r="O56"/>
      <c r="P56"/>
      <c r="Q56"/>
    </row>
    <row r="58" spans="8:36" x14ac:dyDescent="0.3">
      <c r="H58" s="35" t="s">
        <v>157</v>
      </c>
    </row>
    <row r="70" spans="7:8" x14ac:dyDescent="0.3">
      <c r="G70" s="69" t="s">
        <v>159</v>
      </c>
      <c r="H70" s="35" t="s">
        <v>163</v>
      </c>
    </row>
    <row r="73" spans="7:8" x14ac:dyDescent="0.3">
      <c r="G73" s="69" t="s">
        <v>162</v>
      </c>
      <c r="H73" s="35" t="s">
        <v>161</v>
      </c>
    </row>
    <row r="81" spans="7:13" x14ac:dyDescent="0.3">
      <c r="G81" s="69" t="s">
        <v>160</v>
      </c>
      <c r="H81" s="35" t="s">
        <v>158</v>
      </c>
    </row>
    <row r="92" spans="7:13" x14ac:dyDescent="0.3">
      <c r="H92" s="35" t="s">
        <v>168</v>
      </c>
      <c r="I92" s="69" t="s">
        <v>169</v>
      </c>
      <c r="M92" s="5">
        <v>0.16200000000000037</v>
      </c>
    </row>
    <row r="93" spans="7:13" ht="15" thickBot="1" x14ac:dyDescent="0.35">
      <c r="J93" s="69" t="s">
        <v>170</v>
      </c>
      <c r="M93" s="6">
        <v>0.23199999999999998</v>
      </c>
    </row>
    <row r="94" spans="7:13" x14ac:dyDescent="0.3">
      <c r="J94" s="100" t="s">
        <v>122</v>
      </c>
      <c r="K94" s="100" t="s">
        <v>121</v>
      </c>
    </row>
    <row r="95" spans="7:13" x14ac:dyDescent="0.3">
      <c r="J95" s="69">
        <v>1</v>
      </c>
      <c r="K95" s="69">
        <f>(J95-0.162)/0.232</f>
        <v>3.6120689655172411</v>
      </c>
    </row>
    <row r="96" spans="7:13" x14ac:dyDescent="0.3">
      <c r="J96" s="69">
        <v>2</v>
      </c>
      <c r="K96" s="69">
        <f t="shared" ref="K96:K99" si="0">(J96-0.162)/0.232</f>
        <v>7.9224137931034484</v>
      </c>
    </row>
    <row r="97" spans="10:11" x14ac:dyDescent="0.3">
      <c r="J97" s="69">
        <v>3.05</v>
      </c>
      <c r="K97" s="69">
        <f t="shared" si="0"/>
        <v>12.448275862068964</v>
      </c>
    </row>
    <row r="98" spans="10:11" x14ac:dyDescent="0.3">
      <c r="J98" s="69">
        <v>4</v>
      </c>
      <c r="K98" s="69">
        <f t="shared" si="0"/>
        <v>16.543103448275861</v>
      </c>
    </row>
    <row r="99" spans="10:11" x14ac:dyDescent="0.3">
      <c r="J99" s="69">
        <v>5</v>
      </c>
      <c r="K99" s="69">
        <f t="shared" si="0"/>
        <v>20.853448275862068</v>
      </c>
    </row>
  </sheetData>
  <sortState xmlns:xlrd2="http://schemas.microsoft.com/office/spreadsheetml/2017/richdata2" ref="AH50:AH54">
    <sortCondition ref="AH50"/>
  </sortState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6:Q101"/>
  <sheetViews>
    <sheetView workbookViewId="0">
      <selection activeCell="L46" sqref="L46:M46"/>
    </sheetView>
  </sheetViews>
  <sheetFormatPr defaultRowHeight="14.4" x14ac:dyDescent="0.3"/>
  <cols>
    <col min="5" max="5" width="20.33203125" customWidth="1"/>
    <col min="6" max="6" width="26.109375" customWidth="1"/>
    <col min="9" max="9" width="28.109375" customWidth="1"/>
    <col min="11" max="11" width="20.5546875" customWidth="1"/>
  </cols>
  <sheetData>
    <row r="6" spans="4:8" x14ac:dyDescent="0.3">
      <c r="D6" s="93"/>
      <c r="E6" s="93" t="s">
        <v>123</v>
      </c>
      <c r="F6" s="93" t="s">
        <v>145</v>
      </c>
      <c r="H6" s="35" t="s">
        <v>149</v>
      </c>
    </row>
    <row r="7" spans="4:8" x14ac:dyDescent="0.3">
      <c r="D7" s="93">
        <v>1</v>
      </c>
      <c r="E7" s="93">
        <v>907</v>
      </c>
      <c r="F7" s="93">
        <v>11.2</v>
      </c>
    </row>
    <row r="8" spans="4:8" x14ac:dyDescent="0.3">
      <c r="D8" s="93">
        <v>2</v>
      </c>
      <c r="E8" s="93">
        <v>926</v>
      </c>
      <c r="F8" s="93">
        <v>11.05</v>
      </c>
    </row>
    <row r="9" spans="4:8" x14ac:dyDescent="0.3">
      <c r="D9" s="93">
        <v>3</v>
      </c>
      <c r="E9" s="93">
        <v>506</v>
      </c>
      <c r="F9" s="93">
        <v>6.84</v>
      </c>
    </row>
    <row r="10" spans="4:8" x14ac:dyDescent="0.3">
      <c r="D10" s="93">
        <v>4</v>
      </c>
      <c r="E10" s="93">
        <v>741</v>
      </c>
      <c r="F10" s="93">
        <v>9.2100000000000009</v>
      </c>
    </row>
    <row r="11" spans="4:8" x14ac:dyDescent="0.3">
      <c r="D11" s="93">
        <v>5</v>
      </c>
      <c r="E11" s="93">
        <v>789</v>
      </c>
      <c r="F11" s="93">
        <v>9.42</v>
      </c>
    </row>
    <row r="12" spans="4:8" x14ac:dyDescent="0.3">
      <c r="D12" s="93">
        <v>6</v>
      </c>
      <c r="E12" s="93">
        <v>889</v>
      </c>
      <c r="F12" s="93">
        <v>10.08</v>
      </c>
    </row>
    <row r="13" spans="4:8" x14ac:dyDescent="0.3">
      <c r="D13" s="93">
        <v>7</v>
      </c>
      <c r="E13" s="93">
        <v>874</v>
      </c>
      <c r="F13" s="93">
        <v>9.4499999999999993</v>
      </c>
    </row>
    <row r="14" spans="4:8" x14ac:dyDescent="0.3">
      <c r="D14" s="93">
        <v>8</v>
      </c>
      <c r="E14" s="93">
        <v>510</v>
      </c>
      <c r="F14" s="93">
        <v>6.73</v>
      </c>
    </row>
    <row r="15" spans="4:8" x14ac:dyDescent="0.3">
      <c r="D15" s="93">
        <v>9</v>
      </c>
      <c r="E15" s="93">
        <v>529</v>
      </c>
      <c r="F15" s="93">
        <v>7.24</v>
      </c>
    </row>
    <row r="16" spans="4:8" x14ac:dyDescent="0.3">
      <c r="D16" s="93">
        <v>10</v>
      </c>
      <c r="E16" s="93">
        <v>420</v>
      </c>
      <c r="F16" s="93">
        <v>6.12</v>
      </c>
    </row>
    <row r="17" spans="4:11" x14ac:dyDescent="0.3">
      <c r="D17" s="93">
        <v>11</v>
      </c>
      <c r="E17" s="93">
        <v>679</v>
      </c>
      <c r="F17" s="93">
        <v>7.63</v>
      </c>
    </row>
    <row r="18" spans="4:11" x14ac:dyDescent="0.3">
      <c r="D18" s="93">
        <v>12</v>
      </c>
      <c r="E18" s="93">
        <v>872</v>
      </c>
      <c r="F18" s="93">
        <v>9.43</v>
      </c>
    </row>
    <row r="19" spans="4:11" x14ac:dyDescent="0.3">
      <c r="D19" s="93">
        <v>13</v>
      </c>
      <c r="E19" s="93">
        <v>924</v>
      </c>
      <c r="F19" s="93">
        <v>9.4600000000000009</v>
      </c>
    </row>
    <row r="20" spans="4:11" x14ac:dyDescent="0.3">
      <c r="D20" s="93">
        <v>14</v>
      </c>
      <c r="E20" s="93">
        <v>607</v>
      </c>
      <c r="F20" s="93">
        <v>7.64</v>
      </c>
    </row>
    <row r="21" spans="4:11" x14ac:dyDescent="0.3">
      <c r="D21" s="93">
        <v>15</v>
      </c>
      <c r="E21" s="93">
        <v>452</v>
      </c>
      <c r="F21" s="93">
        <v>6.92</v>
      </c>
    </row>
    <row r="22" spans="4:11" ht="15" thickBot="1" x14ac:dyDescent="0.35">
      <c r="D22" s="93">
        <v>16</v>
      </c>
      <c r="E22" s="93">
        <v>729</v>
      </c>
      <c r="F22" s="93">
        <v>8.9499999999999993</v>
      </c>
    </row>
    <row r="23" spans="4:11" x14ac:dyDescent="0.3">
      <c r="D23" s="93">
        <v>17</v>
      </c>
      <c r="E23" s="93">
        <v>794</v>
      </c>
      <c r="F23" s="93">
        <v>9.33</v>
      </c>
      <c r="H23" s="35" t="s">
        <v>150</v>
      </c>
      <c r="I23" s="7"/>
      <c r="J23" s="7" t="s">
        <v>123</v>
      </c>
      <c r="K23" s="7" t="s">
        <v>145</v>
      </c>
    </row>
    <row r="24" spans="4:11" x14ac:dyDescent="0.3">
      <c r="D24" s="93">
        <v>18</v>
      </c>
      <c r="E24" s="93">
        <v>844</v>
      </c>
      <c r="F24" s="93">
        <v>10.23</v>
      </c>
      <c r="I24" s="5" t="s">
        <v>123</v>
      </c>
      <c r="J24" s="5">
        <v>1</v>
      </c>
      <c r="K24" s="5"/>
    </row>
    <row r="25" spans="4:11" ht="15" thickBot="1" x14ac:dyDescent="0.35">
      <c r="D25" s="93">
        <v>19</v>
      </c>
      <c r="E25" s="93">
        <v>1010</v>
      </c>
      <c r="F25" s="93">
        <v>11.77</v>
      </c>
      <c r="I25" s="6" t="s">
        <v>145</v>
      </c>
      <c r="J25" s="6">
        <v>0.95491320010927916</v>
      </c>
      <c r="K25" s="6">
        <v>1</v>
      </c>
    </row>
    <row r="26" spans="4:11" x14ac:dyDescent="0.3">
      <c r="D26" s="93">
        <v>20</v>
      </c>
      <c r="E26" s="93">
        <v>621</v>
      </c>
      <c r="F26" s="93">
        <v>7.41</v>
      </c>
    </row>
    <row r="28" spans="4:11" x14ac:dyDescent="0.3">
      <c r="H28" s="35" t="s">
        <v>152</v>
      </c>
      <c r="I28" t="s">
        <v>124</v>
      </c>
    </row>
    <row r="29" spans="4:11" ht="15" thickBot="1" x14ac:dyDescent="0.35"/>
    <row r="30" spans="4:11" x14ac:dyDescent="0.3">
      <c r="I30" s="92" t="s">
        <v>125</v>
      </c>
      <c r="J30" s="92"/>
    </row>
    <row r="31" spans="4:11" x14ac:dyDescent="0.3">
      <c r="I31" s="5" t="s">
        <v>126</v>
      </c>
      <c r="J31" s="5">
        <v>0.95491320010927894</v>
      </c>
    </row>
    <row r="32" spans="4:11" x14ac:dyDescent="0.3">
      <c r="I32" s="5" t="s">
        <v>127</v>
      </c>
      <c r="J32" s="5">
        <v>0.91185921974294382</v>
      </c>
    </row>
    <row r="33" spans="7:17" x14ac:dyDescent="0.3">
      <c r="I33" s="5" t="s">
        <v>128</v>
      </c>
      <c r="J33" s="5">
        <v>0.90696250972866288</v>
      </c>
    </row>
    <row r="34" spans="7:17" x14ac:dyDescent="0.3">
      <c r="I34" s="5" t="s">
        <v>129</v>
      </c>
      <c r="J34" s="5">
        <v>0.50149521453840828</v>
      </c>
    </row>
    <row r="35" spans="7:17" ht="15" thickBot="1" x14ac:dyDescent="0.35">
      <c r="I35" s="6" t="s">
        <v>50</v>
      </c>
      <c r="J35" s="6">
        <v>20</v>
      </c>
    </row>
    <row r="37" spans="7:17" ht="15" thickBot="1" x14ac:dyDescent="0.35">
      <c r="I37" t="s">
        <v>44</v>
      </c>
    </row>
    <row r="38" spans="7:17" x14ac:dyDescent="0.3">
      <c r="I38" s="7"/>
      <c r="J38" s="7" t="s">
        <v>46</v>
      </c>
      <c r="K38" s="7" t="s">
        <v>45</v>
      </c>
      <c r="L38" s="7" t="s">
        <v>47</v>
      </c>
      <c r="M38" s="7" t="s">
        <v>2</v>
      </c>
      <c r="N38" s="7" t="s">
        <v>133</v>
      </c>
      <c r="P38" s="96" t="s">
        <v>156</v>
      </c>
    </row>
    <row r="39" spans="7:17" x14ac:dyDescent="0.3">
      <c r="I39" s="5" t="s">
        <v>130</v>
      </c>
      <c r="J39" s="5">
        <v>1</v>
      </c>
      <c r="K39" s="5">
        <v>46.833540896311362</v>
      </c>
      <c r="L39" s="5">
        <v>46.833540896311362</v>
      </c>
      <c r="M39" s="5">
        <v>186.21875036168615</v>
      </c>
      <c r="N39" s="94">
        <v>6.2062084968614724E-11</v>
      </c>
      <c r="P39" s="35" t="s">
        <v>154</v>
      </c>
    </row>
    <row r="40" spans="7:17" x14ac:dyDescent="0.3">
      <c r="I40" s="5" t="s">
        <v>131</v>
      </c>
      <c r="J40" s="5">
        <v>18</v>
      </c>
      <c r="K40" s="5">
        <v>4.5269541036886345</v>
      </c>
      <c r="L40" s="5">
        <v>0.25149745020492414</v>
      </c>
      <c r="M40" s="5"/>
      <c r="N40" s="5"/>
    </row>
    <row r="41" spans="7:17" ht="15" thickBot="1" x14ac:dyDescent="0.35">
      <c r="I41" s="6" t="s">
        <v>49</v>
      </c>
      <c r="J41" s="6">
        <v>19</v>
      </c>
      <c r="K41" s="6">
        <v>51.360495</v>
      </c>
      <c r="L41" s="6"/>
      <c r="M41" s="6"/>
      <c r="N41" s="6"/>
    </row>
    <row r="42" spans="7:17" ht="15" thickBot="1" x14ac:dyDescent="0.35"/>
    <row r="43" spans="7:17" x14ac:dyDescent="0.3">
      <c r="I43" s="7"/>
      <c r="J43" s="7" t="s">
        <v>134</v>
      </c>
      <c r="K43" s="7" t="s">
        <v>129</v>
      </c>
      <c r="L43" s="7" t="s">
        <v>135</v>
      </c>
      <c r="M43" s="7" t="s">
        <v>48</v>
      </c>
      <c r="N43" s="7" t="s">
        <v>136</v>
      </c>
      <c r="O43" s="7" t="s">
        <v>137</v>
      </c>
      <c r="P43" s="7" t="s">
        <v>138</v>
      </c>
      <c r="Q43" s="7" t="s">
        <v>139</v>
      </c>
    </row>
    <row r="44" spans="7:17" x14ac:dyDescent="0.3">
      <c r="G44" s="35" t="s">
        <v>151</v>
      </c>
      <c r="H44" t="s">
        <v>147</v>
      </c>
      <c r="I44" s="5" t="s">
        <v>132</v>
      </c>
      <c r="J44" s="5">
        <v>2.4230443959270955</v>
      </c>
      <c r="K44" s="5">
        <v>0.48096460943053704</v>
      </c>
      <c r="L44" s="5">
        <v>5.0378850094521184</v>
      </c>
      <c r="M44" s="94">
        <v>8.5538847661034592E-5</v>
      </c>
      <c r="N44" s="5">
        <v>1.4125752473985578</v>
      </c>
      <c r="O44" s="5">
        <v>3.4335135444556331</v>
      </c>
      <c r="P44" s="5">
        <v>1.4125752473985578</v>
      </c>
      <c r="Q44" s="5">
        <v>3.4335135444556331</v>
      </c>
    </row>
    <row r="45" spans="7:17" ht="15" thickBot="1" x14ac:dyDescent="0.35">
      <c r="H45" t="s">
        <v>148</v>
      </c>
      <c r="I45" s="6" t="s">
        <v>123</v>
      </c>
      <c r="J45" s="6">
        <v>8.7293381714735763E-3</v>
      </c>
      <c r="K45" s="6">
        <v>6.3969007751833111E-4</v>
      </c>
      <c r="L45" s="6">
        <v>13.646199117764846</v>
      </c>
      <c r="M45" s="95">
        <v>6.2062084968614957E-11</v>
      </c>
      <c r="N45" s="6">
        <v>7.3853991886918165E-3</v>
      </c>
      <c r="O45" s="6">
        <v>1.0073277154255336E-2</v>
      </c>
      <c r="P45" s="6">
        <v>7.3853991886918165E-3</v>
      </c>
      <c r="Q45" s="6">
        <v>1.0073277154255336E-2</v>
      </c>
    </row>
    <row r="46" spans="7:17" x14ac:dyDescent="0.3">
      <c r="L46" s="35" t="s">
        <v>155</v>
      </c>
      <c r="M46" s="35" t="s">
        <v>153</v>
      </c>
    </row>
    <row r="49" spans="9:14" x14ac:dyDescent="0.3">
      <c r="I49" t="s">
        <v>140</v>
      </c>
      <c r="M49" t="s">
        <v>143</v>
      </c>
    </row>
    <row r="50" spans="9:14" ht="15" thickBot="1" x14ac:dyDescent="0.35"/>
    <row r="51" spans="9:14" x14ac:dyDescent="0.3">
      <c r="I51" s="7" t="s">
        <v>141</v>
      </c>
      <c r="J51" s="7" t="s">
        <v>146</v>
      </c>
      <c r="K51" s="7" t="s">
        <v>142</v>
      </c>
      <c r="M51" s="7" t="s">
        <v>144</v>
      </c>
      <c r="N51" s="7" t="s">
        <v>145</v>
      </c>
    </row>
    <row r="52" spans="9:14" x14ac:dyDescent="0.3">
      <c r="I52" s="5">
        <v>1</v>
      </c>
      <c r="J52" s="5">
        <v>10.340554117453628</v>
      </c>
      <c r="K52" s="5">
        <v>0.85944588254637111</v>
      </c>
      <c r="M52" s="5">
        <v>2.5</v>
      </c>
      <c r="N52" s="5">
        <v>6.12</v>
      </c>
    </row>
    <row r="53" spans="9:14" x14ac:dyDescent="0.3">
      <c r="I53" s="5">
        <v>2</v>
      </c>
      <c r="J53" s="5">
        <v>10.506411542711628</v>
      </c>
      <c r="K53" s="5">
        <v>0.54358845728837224</v>
      </c>
      <c r="M53" s="5">
        <v>7.5</v>
      </c>
      <c r="N53" s="5">
        <v>6.73</v>
      </c>
    </row>
    <row r="54" spans="9:14" x14ac:dyDescent="0.3">
      <c r="I54" s="5">
        <v>3</v>
      </c>
      <c r="J54" s="5">
        <v>6.8400895106927253</v>
      </c>
      <c r="K54" s="5">
        <v>-8.9510692725447427E-5</v>
      </c>
      <c r="M54" s="5">
        <v>12.5</v>
      </c>
      <c r="N54" s="5">
        <v>6.84</v>
      </c>
    </row>
    <row r="55" spans="9:14" x14ac:dyDescent="0.3">
      <c r="I55" s="5">
        <v>4</v>
      </c>
      <c r="J55" s="5">
        <v>8.8914839809890154</v>
      </c>
      <c r="K55" s="5">
        <v>0.31851601901098547</v>
      </c>
      <c r="M55" s="5">
        <v>17.5</v>
      </c>
      <c r="N55" s="5">
        <v>6.92</v>
      </c>
    </row>
    <row r="56" spans="9:14" x14ac:dyDescent="0.3">
      <c r="I56" s="5">
        <v>5</v>
      </c>
      <c r="J56" s="5">
        <v>9.3104922132197476</v>
      </c>
      <c r="K56" s="5">
        <v>0.1095077867802523</v>
      </c>
      <c r="M56" s="5">
        <v>22.5</v>
      </c>
      <c r="N56" s="5">
        <v>7.24</v>
      </c>
    </row>
    <row r="57" spans="9:14" x14ac:dyDescent="0.3">
      <c r="I57" s="5">
        <v>6</v>
      </c>
      <c r="J57" s="5">
        <v>10.183426030367105</v>
      </c>
      <c r="K57" s="5">
        <v>-0.10342603036710507</v>
      </c>
      <c r="M57" s="5">
        <v>27.5</v>
      </c>
      <c r="N57" s="5">
        <v>7.41</v>
      </c>
    </row>
    <row r="58" spans="9:14" x14ac:dyDescent="0.3">
      <c r="I58" s="5">
        <v>7</v>
      </c>
      <c r="J58" s="5">
        <v>10.052485957795001</v>
      </c>
      <c r="K58" s="5">
        <v>-0.60248595779500214</v>
      </c>
      <c r="M58" s="5">
        <v>32.5</v>
      </c>
      <c r="N58" s="5">
        <v>7.63</v>
      </c>
    </row>
    <row r="59" spans="9:14" x14ac:dyDescent="0.3">
      <c r="I59" s="5">
        <v>8</v>
      </c>
      <c r="J59" s="5">
        <v>6.8750068633786192</v>
      </c>
      <c r="K59" s="5">
        <v>-0.14500686337861879</v>
      </c>
      <c r="M59" s="5">
        <v>37.5</v>
      </c>
      <c r="N59" s="5">
        <v>7.64</v>
      </c>
    </row>
    <row r="60" spans="9:14" x14ac:dyDescent="0.3">
      <c r="I60" s="5">
        <v>9</v>
      </c>
      <c r="J60" s="5">
        <v>7.0408642886366177</v>
      </c>
      <c r="K60" s="5">
        <v>0.19913571136338248</v>
      </c>
      <c r="M60" s="5">
        <v>42.5</v>
      </c>
      <c r="N60" s="5">
        <v>8.9499999999999993</v>
      </c>
    </row>
    <row r="61" spans="9:14" x14ac:dyDescent="0.3">
      <c r="I61" s="5">
        <v>10</v>
      </c>
      <c r="J61" s="5">
        <v>6.0893664279459978</v>
      </c>
      <c r="K61" s="5">
        <v>3.06335720540023E-2</v>
      </c>
      <c r="M61" s="5">
        <v>47.5</v>
      </c>
      <c r="N61" s="5">
        <v>9.2100000000000009</v>
      </c>
    </row>
    <row r="62" spans="9:14" x14ac:dyDescent="0.3">
      <c r="I62" s="5">
        <v>11</v>
      </c>
      <c r="J62" s="5">
        <v>8.3502650143576531</v>
      </c>
      <c r="K62" s="5">
        <v>-0.72026501435765322</v>
      </c>
      <c r="M62" s="5">
        <v>52.5</v>
      </c>
      <c r="N62" s="5">
        <v>9.33</v>
      </c>
    </row>
    <row r="63" spans="9:14" x14ac:dyDescent="0.3">
      <c r="I63" s="5">
        <v>12</v>
      </c>
      <c r="J63" s="5">
        <v>10.035027281452054</v>
      </c>
      <c r="K63" s="5">
        <v>-0.60502728145205431</v>
      </c>
      <c r="M63" s="5">
        <v>57.5</v>
      </c>
      <c r="N63" s="5">
        <v>9.42</v>
      </c>
    </row>
    <row r="64" spans="9:14" x14ac:dyDescent="0.3">
      <c r="I64" s="5">
        <v>13</v>
      </c>
      <c r="J64" s="5">
        <v>10.488952866368681</v>
      </c>
      <c r="K64" s="5">
        <v>-1.0289528663686802</v>
      </c>
      <c r="M64" s="5">
        <v>62.5</v>
      </c>
      <c r="N64" s="5">
        <v>9.43</v>
      </c>
    </row>
    <row r="65" spans="8:14" x14ac:dyDescent="0.3">
      <c r="I65" s="5">
        <v>14</v>
      </c>
      <c r="J65" s="5">
        <v>7.7217526660115565</v>
      </c>
      <c r="K65" s="5">
        <v>-8.175266601155684E-2</v>
      </c>
      <c r="M65" s="5">
        <v>67.5</v>
      </c>
      <c r="N65" s="5">
        <v>9.4499999999999993</v>
      </c>
    </row>
    <row r="66" spans="8:14" x14ac:dyDescent="0.3">
      <c r="I66" s="5">
        <v>15</v>
      </c>
      <c r="J66" s="5">
        <v>6.3687052494331517</v>
      </c>
      <c r="K66" s="5">
        <v>0.55129475056684818</v>
      </c>
      <c r="M66" s="5">
        <v>72.5</v>
      </c>
      <c r="N66" s="5">
        <v>9.4600000000000009</v>
      </c>
    </row>
    <row r="67" spans="8:14" x14ac:dyDescent="0.3">
      <c r="I67" s="5">
        <v>16</v>
      </c>
      <c r="J67" s="5">
        <v>8.7867319229313328</v>
      </c>
      <c r="K67" s="5">
        <v>0.16326807706866653</v>
      </c>
      <c r="M67" s="5">
        <v>77.5</v>
      </c>
      <c r="N67" s="5">
        <v>10.08</v>
      </c>
    </row>
    <row r="68" spans="8:14" x14ac:dyDescent="0.3">
      <c r="I68" s="5">
        <v>17</v>
      </c>
      <c r="J68" s="5">
        <v>9.3541389040771143</v>
      </c>
      <c r="K68" s="5">
        <v>-2.4138904077114276E-2</v>
      </c>
      <c r="M68" s="5">
        <v>82.5</v>
      </c>
      <c r="N68" s="5">
        <v>10.23</v>
      </c>
    </row>
    <row r="69" spans="8:14" x14ac:dyDescent="0.3">
      <c r="I69" s="5">
        <v>18</v>
      </c>
      <c r="J69" s="5">
        <v>9.790605812650794</v>
      </c>
      <c r="K69" s="5">
        <v>0.43939418734920643</v>
      </c>
      <c r="M69" s="5">
        <v>87.5</v>
      </c>
      <c r="N69" s="5">
        <v>11.05</v>
      </c>
    </row>
    <row r="70" spans="8:14" x14ac:dyDescent="0.3">
      <c r="I70" s="5">
        <v>19</v>
      </c>
      <c r="J70" s="5">
        <v>11.239675949115409</v>
      </c>
      <c r="K70" s="5">
        <v>0.530324050884591</v>
      </c>
      <c r="M70" s="5">
        <v>92.5</v>
      </c>
      <c r="N70" s="5">
        <v>11.2</v>
      </c>
    </row>
    <row r="71" spans="8:14" ht="15" thickBot="1" x14ac:dyDescent="0.35">
      <c r="I71" s="6">
        <v>20</v>
      </c>
      <c r="J71" s="6">
        <v>7.8439634004121865</v>
      </c>
      <c r="K71" s="6">
        <v>-0.4339634004121864</v>
      </c>
      <c r="M71" s="6">
        <v>97.5</v>
      </c>
      <c r="N71" s="6">
        <v>11.77</v>
      </c>
    </row>
    <row r="73" spans="8:14" x14ac:dyDescent="0.3">
      <c r="H73" s="35" t="s">
        <v>157</v>
      </c>
    </row>
    <row r="90" spans="7:8" x14ac:dyDescent="0.3">
      <c r="G90" t="s">
        <v>159</v>
      </c>
      <c r="H90" s="35" t="s">
        <v>163</v>
      </c>
    </row>
    <row r="93" spans="7:8" x14ac:dyDescent="0.3">
      <c r="G93" t="s">
        <v>162</v>
      </c>
      <c r="H93" s="35" t="s">
        <v>161</v>
      </c>
    </row>
    <row r="101" spans="7:8" x14ac:dyDescent="0.3">
      <c r="G101" t="s">
        <v>160</v>
      </c>
      <c r="H101" s="35" t="s">
        <v>158</v>
      </c>
    </row>
  </sheetData>
  <sortState xmlns:xlrd2="http://schemas.microsoft.com/office/spreadsheetml/2017/richdata2" ref="N52:N71">
    <sortCondition ref="N52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Graficos Acoes</vt:lpstr>
      <vt:lpstr>Dados Preços Acoes</vt:lpstr>
      <vt:lpstr> Calculos basicos</vt:lpstr>
      <vt:lpstr>Ferramentas estatisticas </vt:lpstr>
      <vt:lpstr>Regressão Linear ex 1</vt:lpstr>
      <vt:lpstr>Regressão Linear ex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Satomi Yoshida</dc:creator>
  <cp:lastModifiedBy>Anderson Santos</cp:lastModifiedBy>
  <dcterms:created xsi:type="dcterms:W3CDTF">2021-10-15T14:24:35Z</dcterms:created>
  <dcterms:modified xsi:type="dcterms:W3CDTF">2022-11-12T20:09:39Z</dcterms:modified>
</cp:coreProperties>
</file>